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bookViews>
    <workbookView xWindow="0" yWindow="0" windowWidth="20490" windowHeight="7755" tabRatio="904" firstSheet="7" activeTab="21"/>
  </bookViews>
  <sheets>
    <sheet name="Main Page" sheetId="1" r:id="rId1"/>
    <sheet name="AVERAGE" sheetId="50" r:id="rId2"/>
    <sheet name="ATTENDANCE" sheetId="49" r:id="rId3"/>
    <sheet name="SHAKEEL RUSK" sheetId="57" state="hidden" r:id="rId4"/>
    <sheet name="AQEEL RUSK" sheetId="55" state="hidden" r:id="rId5"/>
    <sheet name="CLOSING" sheetId="54" r:id="rId6"/>
    <sheet name="SALERY SHEET" sheetId="63" r:id="rId7"/>
    <sheet name="DAMAGE REPAIR" sheetId="56" r:id="rId8"/>
    <sheet name="CUSTOMERS REPORT" sheetId="33" r:id="rId9"/>
    <sheet name="1" sheetId="2" r:id="rId10"/>
    <sheet name="2" sheetId="3" r:id="rId11"/>
    <sheet name="3" sheetId="4" r:id="rId12"/>
    <sheet name="4" sheetId="5" r:id="rId13"/>
    <sheet name="5" sheetId="6" r:id="rId14"/>
    <sheet name="6" sheetId="7" r:id="rId15"/>
    <sheet name="7" sheetId="8" r:id="rId16"/>
    <sheet name="8" sheetId="9" r:id="rId17"/>
    <sheet name="12" sheetId="13" r:id="rId18"/>
    <sheet name="9" sheetId="37" r:id="rId19"/>
    <sheet name="10" sheetId="11" r:id="rId20"/>
    <sheet name="11" sheetId="12" r:id="rId21"/>
    <sheet name="13" sheetId="14" r:id="rId22"/>
    <sheet name="14" sheetId="15" r:id="rId23"/>
    <sheet name="15" sheetId="16" r:id="rId24"/>
    <sheet name="16" sheetId="17" r:id="rId25"/>
    <sheet name="17" sheetId="18" r:id="rId26"/>
    <sheet name="18" sheetId="19" r:id="rId27"/>
    <sheet name="19" sheetId="20" r:id="rId28"/>
    <sheet name="20" sheetId="21" r:id="rId29"/>
    <sheet name="21" sheetId="22" r:id="rId30"/>
    <sheet name="22" sheetId="23" r:id="rId31"/>
    <sheet name="23" sheetId="24" r:id="rId32"/>
    <sheet name="24" sheetId="25" r:id="rId33"/>
    <sheet name="25" sheetId="26" r:id="rId34"/>
    <sheet name="26" sheetId="27" r:id="rId35"/>
    <sheet name="27" sheetId="28" r:id="rId36"/>
    <sheet name="28" sheetId="29" r:id="rId37"/>
    <sheet name="29" sheetId="30" r:id="rId38"/>
    <sheet name="30" sheetId="31" r:id="rId39"/>
    <sheet name="31" sheetId="32" r:id="rId40"/>
    <sheet name="Sheet1" sheetId="59" r:id="rId41"/>
    <sheet name="chora" sheetId="60" r:id="rId42"/>
    <sheet name="Sheet2" sheetId="62" r:id="rId43"/>
    <sheet name="BC" sheetId="61" r:id="rId44"/>
  </sheets>
  <definedNames>
    <definedName name="a">'12'!$WVQ$1</definedName>
    <definedName name="_xlnm.Print_Area" localSheetId="9">'1'!$A$4:$Q$48</definedName>
    <definedName name="_xlnm.Print_Area" localSheetId="19">'10'!$R$6:$AK$58</definedName>
    <definedName name="_xlnm.Print_Area" localSheetId="20">'11'!$R$6:$AK$58</definedName>
    <definedName name="_xlnm.Print_Area" localSheetId="17">'12'!$R$6:$AK$58</definedName>
    <definedName name="_xlnm.Print_Area" localSheetId="21">'13'!$R$6:$AK$58</definedName>
    <definedName name="_xlnm.Print_Area" localSheetId="22">'14'!$R$6:$AK$58</definedName>
    <definedName name="_xlnm.Print_Area" localSheetId="23">'15'!$R$6:$AK$58</definedName>
    <definedName name="_xlnm.Print_Area" localSheetId="24">'16'!$R$6:$AK$58</definedName>
    <definedName name="_xlnm.Print_Area" localSheetId="25">'17'!$R$6:$AK$58</definedName>
    <definedName name="_xlnm.Print_Area" localSheetId="26">'18'!$R$6:$AK$58</definedName>
    <definedName name="_xlnm.Print_Area" localSheetId="27">'19'!$R$6:$AK$59</definedName>
    <definedName name="_xlnm.Print_Area" localSheetId="10">'2'!$R$6:$AK$58</definedName>
    <definedName name="_xlnm.Print_Area" localSheetId="28">'20'!$R$6:$AK$58</definedName>
    <definedName name="_xlnm.Print_Area" localSheetId="29">'21'!$R$6:$AJ$58</definedName>
    <definedName name="_xlnm.Print_Area" localSheetId="30">'22'!$R$6:$AJ$58</definedName>
    <definedName name="_xlnm.Print_Area" localSheetId="31">'23'!$R$6:$AJ$58</definedName>
    <definedName name="_xlnm.Print_Area" localSheetId="32">'24'!$R$6:$AJ$58</definedName>
    <definedName name="_xlnm.Print_Area" localSheetId="33">'25'!$R$6:$AJ$58</definedName>
    <definedName name="_xlnm.Print_Area" localSheetId="34">'26'!$R$6:$AJ$58</definedName>
    <definedName name="_xlnm.Print_Area" localSheetId="35">'27'!$R$6:$AJ$58</definedName>
    <definedName name="_xlnm.Print_Area" localSheetId="36">'28'!$R$6:$AJ$58</definedName>
    <definedName name="_xlnm.Print_Area" localSheetId="37">'29'!$R$6:$AJ$58</definedName>
    <definedName name="_xlnm.Print_Area" localSheetId="11">'3'!$R$6:$AK$58</definedName>
    <definedName name="_xlnm.Print_Area" localSheetId="38">'30'!$S$8:$X$42</definedName>
    <definedName name="_xlnm.Print_Area" localSheetId="39">'31'!$BB$67:$BF$80</definedName>
    <definedName name="_xlnm.Print_Area" localSheetId="12">'4'!$R$6:$AK$58</definedName>
    <definedName name="_xlnm.Print_Area" localSheetId="13">'5'!$R$6:$AK$58</definedName>
    <definedName name="_xlnm.Print_Area" localSheetId="14">'6'!$R$6:$AK$58</definedName>
    <definedName name="_xlnm.Print_Area" localSheetId="15">'7'!$R$6:$AK$58</definedName>
    <definedName name="_xlnm.Print_Area" localSheetId="16">'8'!$R$6:$AK$58</definedName>
    <definedName name="_xlnm.Print_Area" localSheetId="18">'9'!$R$6:$AK$58</definedName>
    <definedName name="_xlnm.Print_Area" localSheetId="4">'AQEEL RUSK'!$C$6:$O$46</definedName>
    <definedName name="_xlnm.Print_Area" localSheetId="2">ATTENDANCE!$BU$7:$BW$28</definedName>
    <definedName name="_xlnm.Print_Area" localSheetId="1">AVERAGE!$C$8:$T$9</definedName>
    <definedName name="_xlnm.Print_Area" localSheetId="5">CLOSING!$B$7:$E$37</definedName>
    <definedName name="_xlnm.Print_Area" localSheetId="8">'CUSTOMERS REPORT'!$A$5:$AD$49</definedName>
    <definedName name="_xlnm.Print_Area" localSheetId="7">'DAMAGE REPAIR'!$A$6:$T$43</definedName>
    <definedName name="_xlnm.Print_Area" localSheetId="3">'SHAKEEL RUSK'!$A$6:$G$46</definedName>
  </definedNames>
  <calcPr calcId="152511"/>
  <fileRecoveryPr autoRecover="0"/>
</workbook>
</file>

<file path=xl/calcChain.xml><?xml version="1.0" encoding="utf-8"?>
<calcChain xmlns="http://schemas.openxmlformats.org/spreadsheetml/2006/main">
  <c r="Y594" i="33" l="1"/>
  <c r="Y595" i="33"/>
  <c r="Y596" i="33"/>
  <c r="Y597" i="33"/>
  <c r="Y598" i="33"/>
  <c r="Y599" i="33"/>
  <c r="Y600" i="33"/>
  <c r="Y601" i="33"/>
  <c r="Y602" i="33"/>
  <c r="Y603" i="33"/>
  <c r="Y604" i="33"/>
  <c r="Y605" i="33"/>
  <c r="Y606" i="33"/>
  <c r="Y607" i="33"/>
  <c r="Y608" i="33"/>
  <c r="Y609" i="33"/>
  <c r="Y610" i="33"/>
  <c r="Y611" i="33"/>
  <c r="Y612" i="33"/>
  <c r="Y613" i="33"/>
  <c r="Y614" i="33"/>
  <c r="Y615" i="33"/>
  <c r="Y616" i="33"/>
  <c r="Y617" i="33"/>
  <c r="Y618" i="33"/>
  <c r="Y619" i="33"/>
  <c r="Y620" i="33"/>
  <c r="Y621" i="33"/>
  <c r="Y622" i="33"/>
  <c r="Y623" i="33"/>
  <c r="Y593" i="33"/>
  <c r="AB10" i="27" l="1"/>
  <c r="Y1350" i="33" l="1"/>
  <c r="Y1351" i="33"/>
  <c r="Y1352" i="33"/>
  <c r="Y1353" i="33"/>
  <c r="Y1354" i="33"/>
  <c r="Y1355" i="33"/>
  <c r="Y1356" i="33"/>
  <c r="Y1357" i="33"/>
  <c r="Y1358" i="33"/>
  <c r="Y1359" i="33"/>
  <c r="Y1360" i="33"/>
  <c r="Y1361" i="33"/>
  <c r="Y1362" i="33"/>
  <c r="Y1363" i="33"/>
  <c r="Y1364" i="33"/>
  <c r="Y1365" i="33"/>
  <c r="Y1366" i="33"/>
  <c r="Y1367" i="33"/>
  <c r="Y1368" i="33"/>
  <c r="Y1369" i="33"/>
  <c r="Y1370" i="33"/>
  <c r="Y1371" i="33"/>
  <c r="Y1372" i="33"/>
  <c r="Y1373" i="33"/>
  <c r="Y1374" i="33"/>
  <c r="Y1375" i="33"/>
  <c r="Y1376" i="33"/>
  <c r="Y1377" i="33"/>
  <c r="Y1378" i="33"/>
  <c r="Y1379" i="33"/>
  <c r="Y1349" i="33"/>
  <c r="B42" i="29" l="1"/>
  <c r="Y55" i="33"/>
  <c r="Y56" i="33"/>
  <c r="Y57" i="33"/>
  <c r="Y58" i="33"/>
  <c r="Y59" i="33"/>
  <c r="Y60" i="33"/>
  <c r="Y61" i="33"/>
  <c r="Y62" i="33"/>
  <c r="Y63" i="33"/>
  <c r="Y64" i="33"/>
  <c r="Y65" i="33"/>
  <c r="Y66" i="33"/>
  <c r="Y67" i="33"/>
  <c r="Y68" i="33"/>
  <c r="Y69" i="33"/>
  <c r="Y70" i="33"/>
  <c r="Y71" i="33"/>
  <c r="Y72" i="33"/>
  <c r="Y73" i="33"/>
  <c r="Y74" i="33"/>
  <c r="Y75" i="33"/>
  <c r="Y76" i="33"/>
  <c r="Y77" i="33"/>
  <c r="Y78" i="33"/>
  <c r="Y79" i="33"/>
  <c r="Y80" i="33"/>
  <c r="Y81" i="33"/>
  <c r="Y82" i="33"/>
  <c r="Y83" i="33"/>
  <c r="Y84" i="33"/>
  <c r="Y54" i="33"/>
  <c r="B45" i="27" l="1"/>
  <c r="Y1409" i="33" l="1"/>
  <c r="Y140" i="33"/>
  <c r="Y141" i="33"/>
  <c r="Y142" i="33"/>
  <c r="Y143" i="33"/>
  <c r="Y144" i="33"/>
  <c r="Y145" i="33"/>
  <c r="Y146" i="33"/>
  <c r="Y147" i="33"/>
  <c r="Y148" i="33"/>
  <c r="Y149" i="33"/>
  <c r="Y150" i="33"/>
  <c r="Y151" i="33"/>
  <c r="Y152" i="33"/>
  <c r="Y153" i="33"/>
  <c r="Y154" i="33"/>
  <c r="Y155" i="33"/>
  <c r="Y156" i="33"/>
  <c r="Y157" i="33"/>
  <c r="Y158" i="33"/>
  <c r="Y159" i="33"/>
  <c r="Y160" i="33"/>
  <c r="Y161" i="33"/>
  <c r="Y139" i="33"/>
  <c r="Y1170" i="33" l="1"/>
  <c r="Y1444" i="33" l="1"/>
  <c r="Y1442" i="33" l="1"/>
  <c r="BR5" i="63" l="1"/>
  <c r="B29" i="21"/>
  <c r="Y93" i="33"/>
  <c r="Y94" i="33"/>
  <c r="Y95" i="33"/>
  <c r="Y96" i="33"/>
  <c r="Y97" i="33"/>
  <c r="Y98" i="33"/>
  <c r="Y99" i="33"/>
  <c r="Y100" i="33"/>
  <c r="Y101" i="33"/>
  <c r="Y102" i="33"/>
  <c r="Y103" i="33"/>
  <c r="Y104" i="33"/>
  <c r="Y105" i="33"/>
  <c r="Y106" i="33"/>
  <c r="Y107" i="33"/>
  <c r="Y108" i="33"/>
  <c r="Y109" i="33"/>
  <c r="Y110" i="33"/>
  <c r="Y111" i="33"/>
  <c r="Y112" i="33"/>
  <c r="Y113" i="33"/>
  <c r="Y114" i="33"/>
  <c r="Y115" i="33"/>
  <c r="Y116" i="33"/>
  <c r="Y117" i="33"/>
  <c r="Y118" i="33"/>
  <c r="Y119" i="33"/>
  <c r="Y120" i="33"/>
  <c r="Y121" i="33"/>
  <c r="Y92" i="33"/>
  <c r="Y122" i="33"/>
  <c r="B45" i="20" l="1"/>
  <c r="B34" i="18" l="1"/>
  <c r="Y1401" i="33" l="1"/>
  <c r="Y1216" i="33"/>
  <c r="Y1400" i="33" l="1"/>
  <c r="Y1434" i="33" l="1"/>
  <c r="Y1435" i="33"/>
  <c r="Y170" i="33"/>
  <c r="Y171" i="33"/>
  <c r="Y172" i="33"/>
  <c r="Y173" i="33"/>
  <c r="Y174" i="33"/>
  <c r="Y175" i="33"/>
  <c r="Y176" i="33"/>
  <c r="Y177" i="33"/>
  <c r="Y178" i="33"/>
  <c r="Y179" i="33"/>
  <c r="Y180" i="33"/>
  <c r="Y181" i="33"/>
  <c r="Y182" i="33"/>
  <c r="Y183" i="33"/>
  <c r="Y184" i="33"/>
  <c r="Y185" i="33"/>
  <c r="Y186" i="33"/>
  <c r="Y187" i="33"/>
  <c r="Y188" i="33"/>
  <c r="Y189" i="33"/>
  <c r="Y190" i="33"/>
  <c r="Y191" i="33"/>
  <c r="Y192" i="33"/>
  <c r="Y193" i="33"/>
  <c r="Y194" i="33"/>
  <c r="Y195" i="33"/>
  <c r="Y196" i="33"/>
  <c r="Y197" i="33"/>
  <c r="Y198" i="33"/>
  <c r="Y199" i="33"/>
  <c r="Y169" i="33"/>
  <c r="Y1313" i="33"/>
  <c r="Y1314" i="33"/>
  <c r="Y1315" i="33"/>
  <c r="Y1316" i="33"/>
  <c r="Y1317" i="33"/>
  <c r="Y1318" i="33"/>
  <c r="Y1319" i="33"/>
  <c r="Y1320" i="33"/>
  <c r="Y1321" i="33"/>
  <c r="Y1322" i="33"/>
  <c r="Y1323" i="33"/>
  <c r="Y1324" i="33"/>
  <c r="Y1325" i="33"/>
  <c r="Y1326" i="33"/>
  <c r="Y1327" i="33"/>
  <c r="Y1328" i="33"/>
  <c r="Y1329" i="33"/>
  <c r="Y1330" i="33"/>
  <c r="Y1331" i="33"/>
  <c r="Y1332" i="33"/>
  <c r="Y1333" i="33"/>
  <c r="Y1334" i="33"/>
  <c r="Y1335" i="33"/>
  <c r="Y1336" i="33"/>
  <c r="Y1337" i="33"/>
  <c r="Y1338" i="33"/>
  <c r="Y1339" i="33"/>
  <c r="Y1340" i="33"/>
  <c r="Y1341" i="33"/>
  <c r="Y1342" i="33"/>
  <c r="Y1312" i="33"/>
  <c r="Y288" i="33"/>
  <c r="Y289" i="33"/>
  <c r="Y290" i="33"/>
  <c r="Y291" i="33"/>
  <c r="Y292" i="33"/>
  <c r="Y293" i="33"/>
  <c r="Y294" i="33"/>
  <c r="Y295" i="33"/>
  <c r="Y296" i="33"/>
  <c r="Y297" i="33"/>
  <c r="Y298" i="33"/>
  <c r="Y299" i="33"/>
  <c r="Y300" i="33"/>
  <c r="Y301" i="33"/>
  <c r="Y302" i="33"/>
  <c r="Y303" i="33"/>
  <c r="Y304" i="33"/>
  <c r="Y305" i="33"/>
  <c r="Y306" i="33"/>
  <c r="Y307" i="33"/>
  <c r="Y308" i="33"/>
  <c r="Y309" i="33"/>
  <c r="Y310" i="33"/>
  <c r="Y311" i="33"/>
  <c r="Y312" i="33"/>
  <c r="Y313" i="33"/>
  <c r="Y314" i="33"/>
  <c r="Y315" i="33"/>
  <c r="Y316" i="33"/>
  <c r="Y287" i="33"/>
  <c r="Y286" i="33"/>
  <c r="Z7" i="60" l="1"/>
  <c r="Z8" i="60"/>
  <c r="Z9" i="60"/>
  <c r="Z10" i="60"/>
  <c r="Z11" i="60"/>
  <c r="Z12" i="60"/>
  <c r="Z13" i="60"/>
  <c r="Z14" i="60"/>
  <c r="Z15" i="60"/>
  <c r="Z16" i="60"/>
  <c r="Z17" i="60"/>
  <c r="Z18" i="60"/>
  <c r="Z19" i="60"/>
  <c r="Z20" i="60"/>
  <c r="Z21" i="60"/>
  <c r="Z22" i="60"/>
  <c r="Z23" i="60"/>
  <c r="Z24" i="60"/>
  <c r="Z25" i="60"/>
  <c r="Z26" i="60"/>
  <c r="Z27" i="60"/>
  <c r="Z28" i="60"/>
  <c r="Z29" i="60"/>
  <c r="Z30" i="60"/>
  <c r="Z31" i="60"/>
  <c r="Z32" i="60"/>
  <c r="Z33" i="60"/>
  <c r="Z34" i="60"/>
  <c r="Z35" i="60"/>
  <c r="Z36" i="60"/>
  <c r="Z37" i="60"/>
  <c r="Z38" i="60"/>
  <c r="Z39" i="60"/>
  <c r="Z40" i="60"/>
  <c r="Z41" i="60"/>
  <c r="Z42" i="60"/>
  <c r="Z43" i="60"/>
  <c r="Z44" i="60"/>
  <c r="Z45" i="60"/>
  <c r="Z46" i="60"/>
  <c r="Z47" i="60"/>
  <c r="Z48" i="60"/>
  <c r="Z49" i="60"/>
  <c r="Z50" i="60"/>
  <c r="Z51" i="60"/>
  <c r="Z52" i="60"/>
  <c r="Z53" i="60"/>
  <c r="Z54" i="60"/>
  <c r="Z55" i="60"/>
  <c r="Z56" i="60"/>
  <c r="Z57" i="60"/>
  <c r="Z58" i="60"/>
  <c r="Z59" i="60"/>
  <c r="Z60" i="60"/>
  <c r="Z61" i="60"/>
  <c r="Z62" i="60"/>
  <c r="Z63" i="60"/>
  <c r="Z64" i="60"/>
  <c r="Z65" i="60"/>
  <c r="Z66" i="60"/>
  <c r="Z67" i="60"/>
  <c r="Z68" i="60"/>
  <c r="Z69" i="60"/>
  <c r="Z70" i="60"/>
  <c r="Z71" i="60"/>
  <c r="Z72" i="60"/>
  <c r="Z73" i="60"/>
  <c r="Z74" i="60"/>
  <c r="Z75" i="60"/>
  <c r="Z76" i="60"/>
  <c r="Z77" i="60"/>
  <c r="Z78" i="60"/>
  <c r="Z79" i="60"/>
  <c r="Z80" i="60"/>
  <c r="Z81" i="60"/>
  <c r="Z82" i="60"/>
  <c r="Z83" i="60"/>
  <c r="Z6" i="60"/>
  <c r="Y1202" i="33" l="1"/>
  <c r="Y1203" i="33"/>
  <c r="Y1204" i="33"/>
  <c r="Y1205" i="33"/>
  <c r="Y1206" i="33"/>
  <c r="Y1207" i="33"/>
  <c r="Y1208" i="33"/>
  <c r="Y1209" i="33"/>
  <c r="Y1210" i="33"/>
  <c r="Y1211" i="33"/>
  <c r="Y1212" i="33"/>
  <c r="Y1213" i="33"/>
  <c r="Y1214" i="33"/>
  <c r="Y1215" i="33"/>
  <c r="Y1217" i="33"/>
  <c r="Y1218" i="33"/>
  <c r="Y1219" i="33"/>
  <c r="Y1220" i="33"/>
  <c r="Y1221" i="33"/>
  <c r="Y1222" i="33"/>
  <c r="Y1223" i="33"/>
  <c r="Y1224" i="33"/>
  <c r="Y1225" i="33"/>
  <c r="Y1226" i="33"/>
  <c r="Y1227" i="33"/>
  <c r="Y1228" i="33"/>
  <c r="Y1229" i="33"/>
  <c r="Y1230" i="33"/>
  <c r="Y1231" i="33"/>
  <c r="Y1201" i="33"/>
  <c r="R5" i="59"/>
  <c r="L5" i="59"/>
  <c r="T5" i="59"/>
  <c r="S5" i="59"/>
  <c r="Y1393" i="33" l="1"/>
  <c r="Y670" i="33"/>
  <c r="Y671" i="33"/>
  <c r="Y672" i="33"/>
  <c r="Y673" i="33"/>
  <c r="Y674" i="33"/>
  <c r="Y675" i="33"/>
  <c r="Y676" i="33"/>
  <c r="Y677" i="33"/>
  <c r="Y678" i="33"/>
  <c r="Y679" i="33"/>
  <c r="Y680" i="33"/>
  <c r="Y681" i="33"/>
  <c r="Y682" i="33"/>
  <c r="Y683" i="33"/>
  <c r="Y684" i="33"/>
  <c r="Y685" i="33"/>
  <c r="Y686" i="33"/>
  <c r="Y687" i="33"/>
  <c r="Y688" i="33"/>
  <c r="Y689" i="33"/>
  <c r="Y690" i="33"/>
  <c r="Y691" i="33"/>
  <c r="Y692" i="33"/>
  <c r="Y693" i="33"/>
  <c r="Y694" i="33"/>
  <c r="Y695" i="33"/>
  <c r="Y696" i="33"/>
  <c r="Y697" i="33"/>
  <c r="Y698" i="33"/>
  <c r="Y699" i="33"/>
  <c r="Y899" i="33"/>
  <c r="Y900" i="33"/>
  <c r="Y901" i="33"/>
  <c r="Y902" i="33"/>
  <c r="Y903" i="33"/>
  <c r="Y904" i="33"/>
  <c r="Y905" i="33"/>
  <c r="Y906" i="33"/>
  <c r="Y907" i="33"/>
  <c r="Y908" i="33"/>
  <c r="Y909" i="33"/>
  <c r="Y910" i="33"/>
  <c r="Y911" i="33"/>
  <c r="Y912" i="33"/>
  <c r="Y913" i="33"/>
  <c r="Y914" i="33"/>
  <c r="Y915" i="33"/>
  <c r="Y916" i="33"/>
  <c r="Y917" i="33"/>
  <c r="Y918" i="33"/>
  <c r="Y919" i="33"/>
  <c r="Y920" i="33"/>
  <c r="Y921" i="33"/>
  <c r="Y922" i="33"/>
  <c r="Y923" i="33"/>
  <c r="Y924" i="33"/>
  <c r="Y925" i="33"/>
  <c r="Y926" i="33"/>
  <c r="Y927" i="33"/>
  <c r="Y928" i="33"/>
  <c r="Y898" i="33"/>
  <c r="BO17" i="63" l="1"/>
  <c r="Y1426" i="33"/>
  <c r="I5" i="59" l="1"/>
  <c r="W84" i="60" l="1"/>
  <c r="AB5" i="60"/>
  <c r="Z5" i="60"/>
  <c r="M83" i="60"/>
  <c r="M82" i="60"/>
  <c r="K83" i="60"/>
  <c r="I84" i="60"/>
  <c r="K82" i="60"/>
  <c r="AB6" i="60" l="1"/>
  <c r="AB7" i="60" s="1"/>
  <c r="AB8" i="60" s="1"/>
  <c r="AB9" i="60" s="1"/>
  <c r="AB10" i="60" s="1"/>
  <c r="AB11" i="60" s="1"/>
  <c r="AB12" i="60" s="1"/>
  <c r="AB13" i="60" s="1"/>
  <c r="AB14" i="60" s="1"/>
  <c r="AB15" i="60" s="1"/>
  <c r="AB16" i="60" s="1"/>
  <c r="AB17" i="60" s="1"/>
  <c r="AB18" i="60" s="1"/>
  <c r="AB19" i="60" s="1"/>
  <c r="AB20" i="60" s="1"/>
  <c r="AB21" i="60" s="1"/>
  <c r="AB22" i="60" s="1"/>
  <c r="AB23" i="60" s="1"/>
  <c r="AB24" i="60" s="1"/>
  <c r="AB25" i="60" s="1"/>
  <c r="AB26" i="60" s="1"/>
  <c r="AB27" i="60" s="1"/>
  <c r="AB28" i="60" s="1"/>
  <c r="AB29" i="60" s="1"/>
  <c r="AB30" i="60" s="1"/>
  <c r="AB31" i="60" s="1"/>
  <c r="AB32" i="60" s="1"/>
  <c r="AB33" i="60" s="1"/>
  <c r="AB34" i="60" s="1"/>
  <c r="AB35" i="60" s="1"/>
  <c r="AB36" i="60" s="1"/>
  <c r="AB37" i="60" s="1"/>
  <c r="AB38" i="60" s="1"/>
  <c r="AB39" i="60" s="1"/>
  <c r="AB40" i="60" s="1"/>
  <c r="AB41" i="60" s="1"/>
  <c r="AB42" i="60" s="1"/>
  <c r="AB43" i="60" s="1"/>
  <c r="AB44" i="60" s="1"/>
  <c r="AB45" i="60" s="1"/>
  <c r="AB46" i="60" s="1"/>
  <c r="AB47" i="60" s="1"/>
  <c r="AB48" i="60" s="1"/>
  <c r="AB49" i="60" s="1"/>
  <c r="AB50" i="60" s="1"/>
  <c r="AB51" i="60" s="1"/>
  <c r="AB52" i="60" s="1"/>
  <c r="AB53" i="60" s="1"/>
  <c r="AB54" i="60" s="1"/>
  <c r="AB55" i="60" s="1"/>
  <c r="AB56" i="60" s="1"/>
  <c r="AB57" i="60" s="1"/>
  <c r="AB58" i="60" s="1"/>
  <c r="AB59" i="60" s="1"/>
  <c r="AB60" i="60" s="1"/>
  <c r="AB61" i="60" s="1"/>
  <c r="AB62" i="60" s="1"/>
  <c r="Z84" i="60"/>
  <c r="Y409" i="33" l="1"/>
  <c r="Y410" i="33"/>
  <c r="Y411" i="33"/>
  <c r="Y412" i="33"/>
  <c r="Y413" i="33"/>
  <c r="Y414" i="33"/>
  <c r="Y415" i="33"/>
  <c r="Y416" i="33"/>
  <c r="Y417" i="33"/>
  <c r="Y418" i="33"/>
  <c r="Y419" i="33"/>
  <c r="Y420" i="33"/>
  <c r="Y421" i="33"/>
  <c r="Y422" i="33"/>
  <c r="Y423" i="33"/>
  <c r="Y424" i="33"/>
  <c r="Y425" i="33"/>
  <c r="Y426" i="33"/>
  <c r="Y427" i="33"/>
  <c r="Y428" i="33"/>
  <c r="Y429" i="33"/>
  <c r="Y430" i="33"/>
  <c r="Y431" i="33"/>
  <c r="Y432" i="33"/>
  <c r="Y433" i="33"/>
  <c r="Y434" i="33"/>
  <c r="Y435" i="33"/>
  <c r="Y436" i="33"/>
  <c r="Y437" i="33"/>
  <c r="Y438" i="33"/>
  <c r="Y408" i="33"/>
  <c r="Y1277" i="33" l="1"/>
  <c r="Y1388" i="33"/>
  <c r="Y632" i="33"/>
  <c r="Y633" i="33"/>
  <c r="Y634" i="33"/>
  <c r="Y635" i="33"/>
  <c r="Y636" i="33"/>
  <c r="Y637" i="33"/>
  <c r="Y638" i="33"/>
  <c r="Y639" i="33"/>
  <c r="Y640" i="33"/>
  <c r="Y641" i="33"/>
  <c r="Y642" i="33"/>
  <c r="Y643" i="33"/>
  <c r="Y644" i="33"/>
  <c r="Y645" i="33"/>
  <c r="Y646" i="33"/>
  <c r="Y647" i="33"/>
  <c r="Y648" i="33"/>
  <c r="Y649" i="33"/>
  <c r="Y650" i="33"/>
  <c r="Y651" i="33"/>
  <c r="Y652" i="33"/>
  <c r="Y653" i="33"/>
  <c r="Y654" i="33"/>
  <c r="Y655" i="33"/>
  <c r="Y656" i="33"/>
  <c r="Y657" i="33"/>
  <c r="Y658" i="33"/>
  <c r="Y659" i="33"/>
  <c r="Y660" i="33"/>
  <c r="Y661" i="33"/>
  <c r="BP12" i="49"/>
  <c r="Y1014" i="33" l="1"/>
  <c r="Y1015" i="33"/>
  <c r="Y1016" i="33"/>
  <c r="Y1017" i="33"/>
  <c r="Y1018" i="33"/>
  <c r="Y1019" i="33"/>
  <c r="Y1020" i="33"/>
  <c r="Y1021" i="33"/>
  <c r="Y1022" i="33"/>
  <c r="Y1023" i="33"/>
  <c r="Y1024" i="33"/>
  <c r="Y1025" i="33"/>
  <c r="Y1026" i="33"/>
  <c r="Y1027" i="33"/>
  <c r="Y1028" i="33"/>
  <c r="Y1029" i="33"/>
  <c r="Y1030" i="33"/>
  <c r="Y1031" i="33"/>
  <c r="Y1032" i="33"/>
  <c r="Y1033" i="33"/>
  <c r="Y1034" i="33"/>
  <c r="Y1035" i="33"/>
  <c r="Y1036" i="33"/>
  <c r="Y1037" i="33"/>
  <c r="Y1038" i="33"/>
  <c r="Y1039" i="33"/>
  <c r="Y1040" i="33"/>
  <c r="Y1041" i="33"/>
  <c r="Y1042" i="33"/>
  <c r="Y1043" i="33"/>
  <c r="Y1013" i="33"/>
  <c r="Y1387" i="33"/>
  <c r="Y482" i="33" l="1"/>
  <c r="Y669" i="33"/>
  <c r="AB624" i="33" l="1"/>
  <c r="B49" i="54"/>
  <c r="W64" i="32"/>
  <c r="BR92" i="63" l="1"/>
  <c r="BO92" i="63"/>
  <c r="BQ92" i="63" s="1"/>
  <c r="BP97" i="63"/>
  <c r="BR91" i="63"/>
  <c r="E85" i="33"/>
  <c r="E87" i="33" s="1"/>
  <c r="BT92" i="63" l="1"/>
  <c r="BQ18" i="49"/>
  <c r="Y1414" i="33"/>
  <c r="Y1448" i="33" l="1"/>
  <c r="Y1412" i="33"/>
  <c r="Y9" i="33"/>
  <c r="Y10" i="33"/>
  <c r="Y11" i="33"/>
  <c r="Y12" i="33"/>
  <c r="Y13" i="33"/>
  <c r="Y14" i="33"/>
  <c r="Y15" i="33"/>
  <c r="Y16" i="33"/>
  <c r="Y17" i="33"/>
  <c r="Y18" i="33"/>
  <c r="Y19" i="33"/>
  <c r="Y20" i="33"/>
  <c r="Y21" i="33"/>
  <c r="Y22" i="33"/>
  <c r="Y23" i="33"/>
  <c r="Y24" i="33"/>
  <c r="Y25" i="33"/>
  <c r="Y26" i="33"/>
  <c r="Y27" i="33"/>
  <c r="Y28" i="33"/>
  <c r="Y29" i="33"/>
  <c r="Y30" i="33"/>
  <c r="Y31" i="33"/>
  <c r="Y32" i="33"/>
  <c r="Y33" i="33"/>
  <c r="Y34" i="33"/>
  <c r="Y35" i="33"/>
  <c r="Y36" i="33"/>
  <c r="Y37" i="33"/>
  <c r="Y38" i="33"/>
  <c r="Y8" i="33"/>
  <c r="BB97" i="63"/>
  <c r="Y1447" i="33"/>
  <c r="Y1411" i="33"/>
  <c r="BO91" i="63" l="1"/>
  <c r="BQ91" i="63" s="1"/>
  <c r="BT91" i="63" s="1"/>
  <c r="C3" i="59" l="1"/>
  <c r="Y210" i="33" l="1"/>
  <c r="Y211" i="33"/>
  <c r="Y212" i="33"/>
  <c r="Y213" i="33"/>
  <c r="Y214" i="33"/>
  <c r="Y215" i="33"/>
  <c r="Y216" i="33"/>
  <c r="Y217" i="33"/>
  <c r="Y218" i="33"/>
  <c r="Y219" i="33"/>
  <c r="Y220" i="33"/>
  <c r="Y221" i="33"/>
  <c r="Y222" i="33"/>
  <c r="Y223" i="33"/>
  <c r="Y224" i="33"/>
  <c r="Y225" i="33"/>
  <c r="Y226" i="33"/>
  <c r="Y227" i="33"/>
  <c r="Y228" i="33"/>
  <c r="Y229" i="33"/>
  <c r="Y230" i="33"/>
  <c r="Y231" i="33"/>
  <c r="Y232" i="33"/>
  <c r="Y233" i="33"/>
  <c r="Y234" i="33"/>
  <c r="Y235" i="33"/>
  <c r="Y236" i="33"/>
  <c r="Y237" i="33"/>
  <c r="Y238" i="33"/>
  <c r="Y239" i="33"/>
  <c r="Y209" i="33"/>
  <c r="AP97" i="63" l="1"/>
  <c r="AL100" i="63"/>
  <c r="AN100" i="63"/>
  <c r="BL100" i="63"/>
  <c r="BJ100" i="63"/>
  <c r="BH100" i="63"/>
  <c r="BF100" i="63"/>
  <c r="BD100" i="63"/>
  <c r="BB100" i="63"/>
  <c r="AZ100" i="63"/>
  <c r="AX100" i="63"/>
  <c r="AV100" i="63"/>
  <c r="AT100" i="63"/>
  <c r="AR100" i="63"/>
  <c r="AP100" i="63"/>
  <c r="Y1402" i="33"/>
  <c r="AJ100" i="63" l="1"/>
  <c r="AF100" i="63"/>
  <c r="AH100" i="63"/>
  <c r="Y370" i="33" l="1"/>
  <c r="Y371" i="33"/>
  <c r="Y372" i="33"/>
  <c r="Y373" i="33"/>
  <c r="Y374" i="33"/>
  <c r="Y375" i="33"/>
  <c r="Y376" i="33"/>
  <c r="Y377" i="33"/>
  <c r="Y378" i="33"/>
  <c r="Y379" i="33"/>
  <c r="Y380" i="33"/>
  <c r="Y381" i="33"/>
  <c r="Y382" i="33"/>
  <c r="Y383" i="33"/>
  <c r="Y384" i="33"/>
  <c r="Y385" i="33"/>
  <c r="Y386" i="33"/>
  <c r="Y387" i="33"/>
  <c r="Y388" i="33"/>
  <c r="Y389" i="33"/>
  <c r="Y390" i="33"/>
  <c r="Y391" i="33"/>
  <c r="Y392" i="33"/>
  <c r="Y393" i="33"/>
  <c r="Y394" i="33"/>
  <c r="Y395" i="33"/>
  <c r="Y396" i="33"/>
  <c r="Y397" i="33"/>
  <c r="Y398" i="33"/>
  <c r="Y399" i="33"/>
  <c r="Y369" i="33"/>
  <c r="Y558" i="33" l="1"/>
  <c r="Y559" i="33"/>
  <c r="Y560" i="33"/>
  <c r="Y561" i="33"/>
  <c r="Y562" i="33"/>
  <c r="Y563" i="33"/>
  <c r="Y564" i="33"/>
  <c r="Y565" i="33"/>
  <c r="Y566" i="33"/>
  <c r="Y567" i="33"/>
  <c r="Y568" i="33"/>
  <c r="Y569" i="33"/>
  <c r="Y570" i="33"/>
  <c r="Y571" i="33"/>
  <c r="Y572" i="33"/>
  <c r="Y573" i="33"/>
  <c r="Y574" i="33"/>
  <c r="Y575" i="33"/>
  <c r="Y576" i="33"/>
  <c r="Y577" i="33"/>
  <c r="Y578" i="33"/>
  <c r="Y579" i="33"/>
  <c r="Y580" i="33"/>
  <c r="Y581" i="33"/>
  <c r="Y582" i="33"/>
  <c r="Y583" i="33"/>
  <c r="Y584" i="33"/>
  <c r="Y585" i="33"/>
  <c r="Y586" i="33"/>
  <c r="Y587" i="33"/>
  <c r="Y557" i="33"/>
  <c r="AB97" i="63"/>
  <c r="Y1433" i="33"/>
  <c r="Y1397" i="33"/>
  <c r="V32" i="59"/>
  <c r="V31" i="59"/>
  <c r="V30" i="59"/>
  <c r="BR15" i="63" l="1"/>
  <c r="Y1396" i="33" l="1"/>
  <c r="Y1239" i="33" l="1"/>
  <c r="Y1240" i="33"/>
  <c r="Y1241" i="33"/>
  <c r="Y1242" i="33"/>
  <c r="Y1243" i="33"/>
  <c r="Y1244" i="33"/>
  <c r="Y1245" i="33"/>
  <c r="Y1246" i="33"/>
  <c r="Y1247" i="33"/>
  <c r="Y1248" i="33"/>
  <c r="Y1249" i="33"/>
  <c r="Y1250" i="33"/>
  <c r="Y1251" i="33"/>
  <c r="Y1252" i="33"/>
  <c r="Y1253" i="33"/>
  <c r="Y1254" i="33"/>
  <c r="Y1255" i="33"/>
  <c r="Y1256" i="33"/>
  <c r="Y1257" i="33"/>
  <c r="Y1258" i="33"/>
  <c r="Y1259" i="33"/>
  <c r="Y1260" i="33"/>
  <c r="Y1261" i="33"/>
  <c r="Y1262" i="33"/>
  <c r="Y1263" i="33"/>
  <c r="Y1264" i="33"/>
  <c r="Y1265" i="33"/>
  <c r="Y1266" i="33"/>
  <c r="Y1267" i="33"/>
  <c r="Y1268" i="33"/>
  <c r="Y1238" i="33"/>
  <c r="B22" i="8" l="1"/>
  <c r="Y1391" i="33"/>
  <c r="Y1422" i="33" l="1"/>
  <c r="Y1386" i="33"/>
  <c r="Y631" i="33"/>
  <c r="Y746" i="33"/>
  <c r="Y747" i="33"/>
  <c r="Y748" i="33"/>
  <c r="Y749" i="33"/>
  <c r="Y750" i="33"/>
  <c r="Y751" i="33"/>
  <c r="Y752" i="33"/>
  <c r="Y753" i="33"/>
  <c r="Y754" i="33"/>
  <c r="Y755" i="33"/>
  <c r="Y756" i="33"/>
  <c r="Y757" i="33"/>
  <c r="Y758" i="33"/>
  <c r="Y759" i="33"/>
  <c r="Y760" i="33"/>
  <c r="Y761" i="33"/>
  <c r="Y762" i="33"/>
  <c r="Y763" i="33"/>
  <c r="Y764" i="33"/>
  <c r="Y765" i="33"/>
  <c r="Y766" i="33"/>
  <c r="Y767" i="33"/>
  <c r="Y768" i="33"/>
  <c r="Y769" i="33"/>
  <c r="Y770" i="33"/>
  <c r="Y771" i="33"/>
  <c r="Y772" i="33"/>
  <c r="Y773" i="33"/>
  <c r="Y774" i="33"/>
  <c r="Y775" i="33"/>
  <c r="Y745" i="33"/>
  <c r="A1419" i="33" l="1"/>
  <c r="A1383" i="33"/>
  <c r="A1346" i="33"/>
  <c r="A1309" i="33"/>
  <c r="A1272" i="33"/>
  <c r="A1198" i="33"/>
  <c r="A1161" i="33"/>
  <c r="A1124" i="33"/>
  <c r="A1086" i="33"/>
  <c r="A1048" i="33"/>
  <c r="A1010" i="33"/>
  <c r="A972" i="33"/>
  <c r="A934" i="33"/>
  <c r="A895" i="33"/>
  <c r="A856" i="33"/>
  <c r="A818" i="33"/>
  <c r="A780" i="33"/>
  <c r="A742" i="33"/>
  <c r="A704" i="33"/>
  <c r="A666" i="33"/>
  <c r="A628" i="33"/>
  <c r="A590" i="33"/>
  <c r="A554" i="33"/>
  <c r="A516" i="33"/>
  <c r="A479" i="33"/>
  <c r="A443" i="33"/>
  <c r="A405" i="33"/>
  <c r="A366" i="33"/>
  <c r="A324" i="33"/>
  <c r="A283" i="33"/>
  <c r="A243" i="33"/>
  <c r="A206" i="33"/>
  <c r="A128" i="33"/>
  <c r="A89" i="33"/>
  <c r="A51" i="33"/>
  <c r="BQ17" i="49" l="1"/>
  <c r="Y1415" i="33" l="1"/>
  <c r="BJ97" i="63"/>
  <c r="Y999" i="33" l="1"/>
  <c r="AK54" i="20"/>
  <c r="AJ54" i="20"/>
  <c r="AI54" i="20"/>
  <c r="AH54" i="20"/>
  <c r="AG54" i="20"/>
  <c r="AF54" i="20"/>
  <c r="AE54" i="20"/>
  <c r="AD54" i="20"/>
  <c r="AC54" i="20"/>
  <c r="AB54" i="20"/>
  <c r="AA54" i="20"/>
  <c r="Z54" i="20"/>
  <c r="Y54" i="20"/>
  <c r="X54" i="20"/>
  <c r="W54" i="20"/>
  <c r="V54" i="20"/>
  <c r="U54" i="20"/>
  <c r="T54" i="20"/>
  <c r="Y1001" i="33" l="1"/>
  <c r="Y1410" i="33" l="1"/>
  <c r="Y1440" i="33" l="1"/>
  <c r="Y1404" i="33" l="1"/>
  <c r="N5" i="59" l="1"/>
  <c r="Y1429" i="33" l="1"/>
  <c r="Y1428" i="33" l="1"/>
  <c r="K58" i="37" l="1"/>
  <c r="M57" i="8" l="1"/>
  <c r="M56" i="8"/>
  <c r="M52" i="8"/>
  <c r="Y1390" i="33"/>
  <c r="J31" i="6" l="1"/>
  <c r="K58" i="2" l="1"/>
  <c r="K58" i="32" l="1"/>
  <c r="Y1450" i="33" l="1"/>
  <c r="Y1413" i="33" l="1"/>
  <c r="BD97" i="63" l="1"/>
  <c r="B26" i="28" s="1"/>
  <c r="U54" i="23" l="1"/>
  <c r="V54" i="23"/>
  <c r="W54" i="23"/>
  <c r="X54" i="23"/>
  <c r="Y54" i="23"/>
  <c r="Z54" i="23"/>
  <c r="AA54" i="23"/>
  <c r="AB54" i="23"/>
  <c r="AC54" i="23"/>
  <c r="AD54" i="23"/>
  <c r="AE54" i="23"/>
  <c r="AF54" i="23"/>
  <c r="AG54" i="23"/>
  <c r="AH54" i="23"/>
  <c r="AI54" i="23"/>
  <c r="AJ54" i="23"/>
  <c r="AK54" i="23"/>
  <c r="T54" i="23"/>
  <c r="Y1405" i="33" l="1"/>
  <c r="Y1408" i="33" l="1"/>
  <c r="Y1407" i="33" l="1"/>
  <c r="Y1403" i="33" l="1"/>
  <c r="DA6" i="63" l="1"/>
  <c r="DA8" i="63"/>
  <c r="DA17" i="63"/>
  <c r="DA18" i="63"/>
  <c r="DA19" i="63"/>
  <c r="DA91" i="63"/>
  <c r="DA92" i="63"/>
  <c r="DA93" i="63"/>
  <c r="DA94" i="63"/>
  <c r="DA95" i="63"/>
  <c r="DA96" i="63"/>
  <c r="Y1399" i="33" l="1"/>
  <c r="X97" i="63" l="1"/>
  <c r="B26" i="12" s="1"/>
  <c r="AK54" i="11" l="1"/>
  <c r="Y1395" i="33" l="1"/>
  <c r="Y1389" i="33" l="1"/>
  <c r="M5" i="59" l="1"/>
  <c r="Y1392" i="33" l="1"/>
  <c r="Y1394" i="33"/>
  <c r="Y1398" i="33"/>
  <c r="Y1406" i="33"/>
  <c r="Y1416" i="33"/>
  <c r="BL101" i="63" l="1"/>
  <c r="B102" i="63" l="1"/>
  <c r="BM101" i="63"/>
  <c r="AD100" i="63"/>
  <c r="AB100" i="63"/>
  <c r="Z100" i="63"/>
  <c r="X100" i="63"/>
  <c r="V100" i="63"/>
  <c r="T100" i="63"/>
  <c r="R100" i="63"/>
  <c r="P100" i="63"/>
  <c r="N100" i="63"/>
  <c r="L100" i="63"/>
  <c r="J100" i="63"/>
  <c r="H100" i="63"/>
  <c r="F100" i="63"/>
  <c r="D100" i="63"/>
  <c r="BV97" i="63"/>
  <c r="BU97" i="63"/>
  <c r="BL97" i="63"/>
  <c r="B26" i="31"/>
  <c r="BH97" i="63"/>
  <c r="B26" i="30" s="1"/>
  <c r="BF97" i="63"/>
  <c r="B26" i="29" s="1"/>
  <c r="B26" i="27"/>
  <c r="AZ97" i="63"/>
  <c r="B26" i="26" s="1"/>
  <c r="AX97" i="63"/>
  <c r="B26" i="25" s="1"/>
  <c r="AV97" i="63"/>
  <c r="B26" i="24" s="1"/>
  <c r="AT97" i="63"/>
  <c r="B26" i="23" s="1"/>
  <c r="AR97" i="63"/>
  <c r="B26" i="22" s="1"/>
  <c r="B26" i="21"/>
  <c r="AN97" i="63"/>
  <c r="B26" i="20" s="1"/>
  <c r="AL97" i="63"/>
  <c r="B26" i="19" s="1"/>
  <c r="AJ97" i="63"/>
  <c r="B26" i="18" s="1"/>
  <c r="AH97" i="63"/>
  <c r="B26" i="17" s="1"/>
  <c r="AF97" i="63"/>
  <c r="B26" i="16" s="1"/>
  <c r="B26" i="14"/>
  <c r="Z97" i="63"/>
  <c r="B26" i="13" s="1"/>
  <c r="V97" i="63"/>
  <c r="T97" i="63"/>
  <c r="B26" i="37" s="1"/>
  <c r="R97" i="63"/>
  <c r="P97" i="63"/>
  <c r="N97" i="63"/>
  <c r="B26" i="7" s="1"/>
  <c r="L97" i="63"/>
  <c r="B26" i="6" s="1"/>
  <c r="J97" i="63"/>
  <c r="B26" i="5" s="1"/>
  <c r="H97" i="63"/>
  <c r="F97" i="63"/>
  <c r="B26" i="3" s="1"/>
  <c r="D97" i="63"/>
  <c r="CZ96" i="63"/>
  <c r="CY96" i="63"/>
  <c r="CX96" i="63"/>
  <c r="CW96" i="63"/>
  <c r="CV96" i="63"/>
  <c r="CU96" i="63"/>
  <c r="CT96" i="63"/>
  <c r="CS96" i="63"/>
  <c r="CR96" i="63"/>
  <c r="CQ96" i="63"/>
  <c r="CP96" i="63"/>
  <c r="CO96" i="63"/>
  <c r="CN96" i="63"/>
  <c r="CM96" i="63"/>
  <c r="CL96" i="63"/>
  <c r="CK96" i="63"/>
  <c r="CJ96" i="63"/>
  <c r="CI96" i="63"/>
  <c r="CH96" i="63"/>
  <c r="CG96" i="63"/>
  <c r="CF96" i="63"/>
  <c r="CE96" i="63"/>
  <c r="CD96" i="63"/>
  <c r="CC96" i="63"/>
  <c r="CB96" i="63"/>
  <c r="CA96" i="63"/>
  <c r="BZ96" i="63"/>
  <c r="BY96" i="63"/>
  <c r="BX96" i="63"/>
  <c r="BW96" i="63"/>
  <c r="CZ95" i="63"/>
  <c r="CY95" i="63"/>
  <c r="CX95" i="63"/>
  <c r="CW95" i="63"/>
  <c r="CV95" i="63"/>
  <c r="CU95" i="63"/>
  <c r="CT95" i="63"/>
  <c r="CS95" i="63"/>
  <c r="CR95" i="63"/>
  <c r="CQ95" i="63"/>
  <c r="CP95" i="63"/>
  <c r="CO95" i="63"/>
  <c r="CN95" i="63"/>
  <c r="CM95" i="63"/>
  <c r="CL95" i="63"/>
  <c r="CK95" i="63"/>
  <c r="CJ95" i="63"/>
  <c r="CI95" i="63"/>
  <c r="CH95" i="63"/>
  <c r="CG95" i="63"/>
  <c r="CF95" i="63"/>
  <c r="CE95" i="63"/>
  <c r="CD95" i="63"/>
  <c r="CC95" i="63"/>
  <c r="CB95" i="63"/>
  <c r="CA95" i="63"/>
  <c r="BZ95" i="63"/>
  <c r="BY95" i="63"/>
  <c r="BX95" i="63"/>
  <c r="BW95" i="63"/>
  <c r="CZ94" i="63"/>
  <c r="CY94" i="63"/>
  <c r="CX94" i="63"/>
  <c r="CW94" i="63"/>
  <c r="CV94" i="63"/>
  <c r="CU94" i="63"/>
  <c r="CT94" i="63"/>
  <c r="CS94" i="63"/>
  <c r="CR94" i="63"/>
  <c r="CQ94" i="63"/>
  <c r="CP94" i="63"/>
  <c r="CO94" i="63"/>
  <c r="CN94" i="63"/>
  <c r="CM94" i="63"/>
  <c r="CL94" i="63"/>
  <c r="CK94" i="63"/>
  <c r="CJ94" i="63"/>
  <c r="CI94" i="63"/>
  <c r="CH94" i="63"/>
  <c r="CG94" i="63"/>
  <c r="CF94" i="63"/>
  <c r="CE94" i="63"/>
  <c r="CD94" i="63"/>
  <c r="CC94" i="63"/>
  <c r="CB94" i="63"/>
  <c r="CA94" i="63"/>
  <c r="BZ94" i="63"/>
  <c r="BY94" i="63"/>
  <c r="BX94" i="63"/>
  <c r="BW94" i="63"/>
  <c r="CZ93" i="63"/>
  <c r="CY93" i="63"/>
  <c r="CX93" i="63"/>
  <c r="CW93" i="63"/>
  <c r="CV93" i="63"/>
  <c r="CU93" i="63"/>
  <c r="CT93" i="63"/>
  <c r="CS93" i="63"/>
  <c r="CR93" i="63"/>
  <c r="CQ93" i="63"/>
  <c r="CP93" i="63"/>
  <c r="CO93" i="63"/>
  <c r="CN93" i="63"/>
  <c r="CM93" i="63"/>
  <c r="CL93" i="63"/>
  <c r="CK93" i="63"/>
  <c r="CJ93" i="63"/>
  <c r="CI93" i="63"/>
  <c r="CH93" i="63"/>
  <c r="CG93" i="63"/>
  <c r="CF93" i="63"/>
  <c r="CE93" i="63"/>
  <c r="CD93" i="63"/>
  <c r="CC93" i="63"/>
  <c r="CB93" i="63"/>
  <c r="CA93" i="63"/>
  <c r="BZ93" i="63"/>
  <c r="BY93" i="63"/>
  <c r="BX93" i="63"/>
  <c r="BW93" i="63"/>
  <c r="CZ92" i="63"/>
  <c r="CY92" i="63"/>
  <c r="CX92" i="63"/>
  <c r="CW92" i="63"/>
  <c r="CV92" i="63"/>
  <c r="CU92" i="63"/>
  <c r="CT92" i="63"/>
  <c r="CS92" i="63"/>
  <c r="CR92" i="63"/>
  <c r="CQ92" i="63"/>
  <c r="CP92" i="63"/>
  <c r="CO92" i="63"/>
  <c r="CN92" i="63"/>
  <c r="CM92" i="63"/>
  <c r="CL92" i="63"/>
  <c r="CK92" i="63"/>
  <c r="CJ92" i="63"/>
  <c r="CI92" i="63"/>
  <c r="CH92" i="63"/>
  <c r="CG92" i="63"/>
  <c r="CF92" i="63"/>
  <c r="CE92" i="63"/>
  <c r="CD92" i="63"/>
  <c r="CC92" i="63"/>
  <c r="CB92" i="63"/>
  <c r="CA92" i="63"/>
  <c r="BZ92" i="63"/>
  <c r="BY92" i="63"/>
  <c r="BX92" i="63"/>
  <c r="BW92" i="63"/>
  <c r="CZ91" i="63"/>
  <c r="CY91" i="63"/>
  <c r="CX91" i="63"/>
  <c r="CW91" i="63"/>
  <c r="CV91" i="63"/>
  <c r="CU91" i="63"/>
  <c r="CT91" i="63"/>
  <c r="CS91" i="63"/>
  <c r="CR91" i="63"/>
  <c r="CQ91" i="63"/>
  <c r="CP91" i="63"/>
  <c r="CO91" i="63"/>
  <c r="CN91" i="63"/>
  <c r="CM91" i="63"/>
  <c r="CL91" i="63"/>
  <c r="CK91" i="63"/>
  <c r="CJ91" i="63"/>
  <c r="CI91" i="63"/>
  <c r="CH91" i="63"/>
  <c r="CG91" i="63"/>
  <c r="CF91" i="63"/>
  <c r="CE91" i="63"/>
  <c r="CD91" i="63"/>
  <c r="CC91" i="63"/>
  <c r="CB91" i="63"/>
  <c r="CA91" i="63"/>
  <c r="BZ91" i="63"/>
  <c r="BY91" i="63"/>
  <c r="BX91" i="63"/>
  <c r="BW91" i="63"/>
  <c r="BR90" i="63"/>
  <c r="BO90" i="63"/>
  <c r="BQ90" i="63" s="1"/>
  <c r="BN90" i="63"/>
  <c r="CE90" i="63" s="1"/>
  <c r="BR89" i="63"/>
  <c r="BO89" i="63"/>
  <c r="BQ89" i="63" s="1"/>
  <c r="BN89" i="63"/>
  <c r="CK89" i="63" s="1"/>
  <c r="BR88" i="63"/>
  <c r="BO88" i="63"/>
  <c r="BQ88" i="63" s="1"/>
  <c r="BN88" i="63"/>
  <c r="CU88" i="63" s="1"/>
  <c r="BR87" i="63"/>
  <c r="BO87" i="63"/>
  <c r="BQ87" i="63" s="1"/>
  <c r="BN87" i="63"/>
  <c r="CU87" i="63" s="1"/>
  <c r="BR86" i="63"/>
  <c r="BO86" i="63"/>
  <c r="BQ86" i="63" s="1"/>
  <c r="BN86" i="63"/>
  <c r="CS86" i="63" s="1"/>
  <c r="BR85" i="63"/>
  <c r="BO85" i="63"/>
  <c r="BQ85" i="63" s="1"/>
  <c r="BN85" i="63"/>
  <c r="DA85" i="63" s="1"/>
  <c r="BR84" i="63"/>
  <c r="BO84" i="63"/>
  <c r="BQ84" i="63" s="1"/>
  <c r="BN84" i="63"/>
  <c r="CU84" i="63" s="1"/>
  <c r="BR83" i="63"/>
  <c r="BO83" i="63"/>
  <c r="BQ83" i="63" s="1"/>
  <c r="BN83" i="63"/>
  <c r="CU83" i="63" s="1"/>
  <c r="BR82" i="63"/>
  <c r="BO82" i="63"/>
  <c r="BQ82" i="63" s="1"/>
  <c r="BN82" i="63"/>
  <c r="BR81" i="63"/>
  <c r="BO81" i="63"/>
  <c r="BQ81" i="63" s="1"/>
  <c r="BN81" i="63"/>
  <c r="CU81" i="63" s="1"/>
  <c r="BR80" i="63"/>
  <c r="BO80" i="63"/>
  <c r="BQ80" i="63" s="1"/>
  <c r="BN80" i="63"/>
  <c r="CU80" i="63" s="1"/>
  <c r="BR79" i="63"/>
  <c r="BO79" i="63"/>
  <c r="BQ79" i="63" s="1"/>
  <c r="BN79" i="63"/>
  <c r="BW79" i="63" s="1"/>
  <c r="BR78" i="63"/>
  <c r="BO78" i="63"/>
  <c r="BQ78" i="63" s="1"/>
  <c r="BN78" i="63"/>
  <c r="DA78" i="63" s="1"/>
  <c r="BR77" i="63"/>
  <c r="BO77" i="63"/>
  <c r="BQ77" i="63" s="1"/>
  <c r="BN77" i="63"/>
  <c r="DA77" i="63" s="1"/>
  <c r="BR76" i="63"/>
  <c r="BO76" i="63"/>
  <c r="BQ76" i="63" s="1"/>
  <c r="BN76" i="63"/>
  <c r="CH76" i="63" s="1"/>
  <c r="BR75" i="63"/>
  <c r="BO75" i="63"/>
  <c r="BQ75" i="63" s="1"/>
  <c r="BN75" i="63"/>
  <c r="CI75" i="63" s="1"/>
  <c r="BR74" i="63"/>
  <c r="BO74" i="63"/>
  <c r="BQ74" i="63" s="1"/>
  <c r="BN74" i="63"/>
  <c r="CM74" i="63" s="1"/>
  <c r="BR73" i="63"/>
  <c r="BO73" i="63"/>
  <c r="BQ73" i="63" s="1"/>
  <c r="BN73" i="63"/>
  <c r="BR72" i="63"/>
  <c r="BO72" i="63"/>
  <c r="BQ72" i="63" s="1"/>
  <c r="BN72" i="63"/>
  <c r="CT72" i="63" s="1"/>
  <c r="BR71" i="63"/>
  <c r="BO71" i="63"/>
  <c r="BQ71" i="63" s="1"/>
  <c r="BN71" i="63"/>
  <c r="CS71" i="63" s="1"/>
  <c r="BR70" i="63"/>
  <c r="BO70" i="63"/>
  <c r="BQ70" i="63" s="1"/>
  <c r="BN70" i="63"/>
  <c r="BR69" i="63"/>
  <c r="BO69" i="63"/>
  <c r="BQ69" i="63" s="1"/>
  <c r="BN69" i="63"/>
  <c r="BR68" i="63"/>
  <c r="BO68" i="63"/>
  <c r="BQ68" i="63" s="1"/>
  <c r="BN68" i="63"/>
  <c r="BR67" i="63"/>
  <c r="BO67" i="63"/>
  <c r="BQ67" i="63" s="1"/>
  <c r="BN67" i="63"/>
  <c r="BR66" i="63"/>
  <c r="BO66" i="63"/>
  <c r="BQ66" i="63" s="1"/>
  <c r="BN66" i="63"/>
  <c r="BR65" i="63"/>
  <c r="BO65" i="63"/>
  <c r="BQ65" i="63" s="1"/>
  <c r="BN65" i="63"/>
  <c r="CS65" i="63" s="1"/>
  <c r="BR64" i="63"/>
  <c r="BO64" i="63"/>
  <c r="BQ64" i="63" s="1"/>
  <c r="BN64" i="63"/>
  <c r="CN64" i="63" s="1"/>
  <c r="BR63" i="63"/>
  <c r="BO63" i="63"/>
  <c r="BQ63" i="63" s="1"/>
  <c r="BN63" i="63"/>
  <c r="BR62" i="63"/>
  <c r="BO62" i="63"/>
  <c r="BQ62" i="63" s="1"/>
  <c r="BN62" i="63"/>
  <c r="BR61" i="63"/>
  <c r="BO61" i="63"/>
  <c r="BQ61" i="63" s="1"/>
  <c r="BN61" i="63"/>
  <c r="BR60" i="63"/>
  <c r="BO60" i="63"/>
  <c r="BQ60" i="63" s="1"/>
  <c r="BN60" i="63"/>
  <c r="CM60" i="63" s="1"/>
  <c r="BR59" i="63"/>
  <c r="BO59" i="63"/>
  <c r="BQ59" i="63" s="1"/>
  <c r="BN59" i="63"/>
  <c r="CB59" i="63" s="1"/>
  <c r="BR58" i="63"/>
  <c r="BO58" i="63"/>
  <c r="BQ58" i="63" s="1"/>
  <c r="BN58" i="63"/>
  <c r="BR57" i="63"/>
  <c r="BO57" i="63"/>
  <c r="BQ57" i="63" s="1"/>
  <c r="BN57" i="63"/>
  <c r="DA57" i="63" s="1"/>
  <c r="BR56" i="63"/>
  <c r="BO56" i="63"/>
  <c r="BQ56" i="63" s="1"/>
  <c r="BN56" i="63"/>
  <c r="CV56" i="63" s="1"/>
  <c r="BR55" i="63"/>
  <c r="BO55" i="63"/>
  <c r="BQ55" i="63" s="1"/>
  <c r="BN55" i="63"/>
  <c r="CP55" i="63" s="1"/>
  <c r="BR54" i="63"/>
  <c r="BO54" i="63"/>
  <c r="BQ54" i="63" s="1"/>
  <c r="BN54" i="63"/>
  <c r="CL54" i="63" s="1"/>
  <c r="BR53" i="63"/>
  <c r="BO53" i="63"/>
  <c r="BQ53" i="63" s="1"/>
  <c r="BN53" i="63"/>
  <c r="BY53" i="63" s="1"/>
  <c r="CF52" i="63"/>
  <c r="BR52" i="63"/>
  <c r="BO52" i="63"/>
  <c r="BQ52" i="63" s="1"/>
  <c r="BN52" i="63"/>
  <c r="CN52" i="63" s="1"/>
  <c r="BR51" i="63"/>
  <c r="BO51" i="63"/>
  <c r="BQ51" i="63" s="1"/>
  <c r="BN51" i="63"/>
  <c r="CR51" i="63" s="1"/>
  <c r="BR50" i="63"/>
  <c r="BO50" i="63"/>
  <c r="BQ50" i="63" s="1"/>
  <c r="BN50" i="63"/>
  <c r="CA50" i="63" s="1"/>
  <c r="BR49" i="63"/>
  <c r="BO49" i="63"/>
  <c r="BQ49" i="63" s="1"/>
  <c r="BN49" i="63"/>
  <c r="BR48" i="63"/>
  <c r="BO48" i="63"/>
  <c r="BQ48" i="63" s="1"/>
  <c r="BN48" i="63"/>
  <c r="CN48" i="63" s="1"/>
  <c r="BO47" i="63"/>
  <c r="BQ47" i="63" s="1"/>
  <c r="BN47" i="63"/>
  <c r="AD97" i="63"/>
  <c r="B26" i="15" s="1"/>
  <c r="BR46" i="63"/>
  <c r="BO46" i="63"/>
  <c r="BQ46" i="63" s="1"/>
  <c r="BN46" i="63"/>
  <c r="DA46" i="63" s="1"/>
  <c r="BR45" i="63"/>
  <c r="BO45" i="63"/>
  <c r="BQ45" i="63" s="1"/>
  <c r="BN45" i="63"/>
  <c r="BR44" i="63"/>
  <c r="BO44" i="63"/>
  <c r="BQ44" i="63" s="1"/>
  <c r="BN44" i="63"/>
  <c r="DA44" i="63" s="1"/>
  <c r="BR43" i="63"/>
  <c r="BO43" i="63"/>
  <c r="BQ43" i="63" s="1"/>
  <c r="BN43" i="63"/>
  <c r="DA43" i="63" s="1"/>
  <c r="BR42" i="63"/>
  <c r="BO42" i="63"/>
  <c r="BQ42" i="63" s="1"/>
  <c r="BN42" i="63"/>
  <c r="DA42" i="63" s="1"/>
  <c r="BR41" i="63"/>
  <c r="BO41" i="63"/>
  <c r="BQ41" i="63" s="1"/>
  <c r="BN41" i="63"/>
  <c r="CU41" i="63" s="1"/>
  <c r="BR40" i="63"/>
  <c r="BO40" i="63"/>
  <c r="BQ40" i="63" s="1"/>
  <c r="BN40" i="63"/>
  <c r="BR39" i="63"/>
  <c r="BO39" i="63"/>
  <c r="BQ39" i="63" s="1"/>
  <c r="BN39" i="63"/>
  <c r="CR39" i="63" s="1"/>
  <c r="BR38" i="63"/>
  <c r="BT38" i="63" s="1"/>
  <c r="BO38" i="63"/>
  <c r="BQ38" i="63" s="1"/>
  <c r="BN38" i="63"/>
  <c r="CF38" i="63" s="1"/>
  <c r="BS97" i="63"/>
  <c r="BR37" i="63"/>
  <c r="BO37" i="63"/>
  <c r="BQ37" i="63" s="1"/>
  <c r="BN37" i="63"/>
  <c r="BR36" i="63"/>
  <c r="BO36" i="63"/>
  <c r="BQ36" i="63" s="1"/>
  <c r="BN36" i="63"/>
  <c r="BX36" i="63" s="1"/>
  <c r="BR35" i="63"/>
  <c r="BO35" i="63"/>
  <c r="BQ35" i="63" s="1"/>
  <c r="BN35" i="63"/>
  <c r="CU35" i="63" s="1"/>
  <c r="BR34" i="63"/>
  <c r="BO34" i="63"/>
  <c r="BQ34" i="63" s="1"/>
  <c r="BN34" i="63"/>
  <c r="BR33" i="63"/>
  <c r="BO33" i="63"/>
  <c r="BQ33" i="63" s="1"/>
  <c r="BN33" i="63"/>
  <c r="CS33" i="63" s="1"/>
  <c r="BR32" i="63"/>
  <c r="BO32" i="63"/>
  <c r="BQ32" i="63" s="1"/>
  <c r="BN32" i="63"/>
  <c r="BX32" i="63" s="1"/>
  <c r="BR31" i="63"/>
  <c r="BO31" i="63"/>
  <c r="BQ31" i="63" s="1"/>
  <c r="BN31" i="63"/>
  <c r="CM31" i="63" s="1"/>
  <c r="BR30" i="63"/>
  <c r="BO30" i="63"/>
  <c r="BQ30" i="63" s="1"/>
  <c r="BN30" i="63"/>
  <c r="BR29" i="63"/>
  <c r="BO29" i="63"/>
  <c r="BQ29" i="63" s="1"/>
  <c r="BN29" i="63"/>
  <c r="BZ29" i="63" s="1"/>
  <c r="CV28" i="63"/>
  <c r="BR28" i="63"/>
  <c r="BO28" i="63"/>
  <c r="BQ28" i="63" s="1"/>
  <c r="BN28" i="63"/>
  <c r="BX28" i="63" s="1"/>
  <c r="BR27" i="63"/>
  <c r="BO27" i="63"/>
  <c r="BQ27" i="63" s="1"/>
  <c r="BN27" i="63"/>
  <c r="CM27" i="63" s="1"/>
  <c r="CW26" i="63"/>
  <c r="CQ26" i="63"/>
  <c r="CJ26" i="63"/>
  <c r="CB26" i="63"/>
  <c r="BR26" i="63"/>
  <c r="BO26" i="63"/>
  <c r="BQ26" i="63" s="1"/>
  <c r="BN26" i="63"/>
  <c r="CZ26" i="63" s="1"/>
  <c r="BR25" i="63"/>
  <c r="BO25" i="63"/>
  <c r="BQ25" i="63" s="1"/>
  <c r="BN25" i="63"/>
  <c r="CV25" i="63" s="1"/>
  <c r="BR24" i="63"/>
  <c r="BO24" i="63"/>
  <c r="BQ24" i="63" s="1"/>
  <c r="BN24" i="63"/>
  <c r="CW24" i="63" s="1"/>
  <c r="BR23" i="63"/>
  <c r="BO23" i="63"/>
  <c r="BQ23" i="63" s="1"/>
  <c r="BN23" i="63"/>
  <c r="CZ23" i="63" s="1"/>
  <c r="CR22" i="63"/>
  <c r="BW22" i="63"/>
  <c r="BR22" i="63"/>
  <c r="BO22" i="63"/>
  <c r="BQ22" i="63" s="1"/>
  <c r="BN22" i="63"/>
  <c r="BR21" i="63"/>
  <c r="BO21" i="63"/>
  <c r="BQ21" i="63" s="1"/>
  <c r="BN21" i="63"/>
  <c r="CQ21" i="63" s="1"/>
  <c r="BR20" i="63"/>
  <c r="BO20" i="63"/>
  <c r="BQ20" i="63" s="1"/>
  <c r="BN20" i="63"/>
  <c r="CZ19" i="63"/>
  <c r="CY19" i="63"/>
  <c r="CW19" i="63"/>
  <c r="CV19" i="63"/>
  <c r="CU19" i="63"/>
  <c r="CS19" i="63"/>
  <c r="CR19" i="63"/>
  <c r="CQ19" i="63"/>
  <c r="CO19" i="63"/>
  <c r="CN19" i="63"/>
  <c r="CM19" i="63"/>
  <c r="CK19" i="63"/>
  <c r="CJ19" i="63"/>
  <c r="CI19" i="63"/>
  <c r="CG19" i="63"/>
  <c r="CF19" i="63"/>
  <c r="CE19" i="63"/>
  <c r="CC19" i="63"/>
  <c r="CB19" i="63"/>
  <c r="CA19" i="63"/>
  <c r="BY19" i="63"/>
  <c r="BX19" i="63"/>
  <c r="BW19" i="63"/>
  <c r="BR19" i="63"/>
  <c r="BO19" i="63"/>
  <c r="BQ19" i="63" s="1"/>
  <c r="BN19" i="63"/>
  <c r="CX19" i="63" s="1"/>
  <c r="CZ18" i="63"/>
  <c r="CY18" i="63"/>
  <c r="CW18" i="63"/>
  <c r="CV18" i="63"/>
  <c r="CU18" i="63"/>
  <c r="CS18" i="63"/>
  <c r="CR18" i="63"/>
  <c r="CQ18" i="63"/>
  <c r="CO18" i="63"/>
  <c r="CN18" i="63"/>
  <c r="CM18" i="63"/>
  <c r="CK18" i="63"/>
  <c r="CJ18" i="63"/>
  <c r="CI18" i="63"/>
  <c r="CG18" i="63"/>
  <c r="CF18" i="63"/>
  <c r="CE18" i="63"/>
  <c r="CC18" i="63"/>
  <c r="CB18" i="63"/>
  <c r="CA18" i="63"/>
  <c r="BY18" i="63"/>
  <c r="BX18" i="63"/>
  <c r="BW18" i="63"/>
  <c r="BR18" i="63"/>
  <c r="BO18" i="63"/>
  <c r="BQ18" i="63" s="1"/>
  <c r="BN18" i="63"/>
  <c r="CX18" i="63" s="1"/>
  <c r="CZ17" i="63"/>
  <c r="CY17" i="63"/>
  <c r="CX17" i="63"/>
  <c r="CW17" i="63"/>
  <c r="CV17" i="63"/>
  <c r="CU17" i="63"/>
  <c r="CT17" i="63"/>
  <c r="CS17" i="63"/>
  <c r="CR17" i="63"/>
  <c r="CQ17" i="63"/>
  <c r="CP17" i="63"/>
  <c r="CO17" i="63"/>
  <c r="CN17" i="63"/>
  <c r="CM17" i="63"/>
  <c r="CL17" i="63"/>
  <c r="CK17" i="63"/>
  <c r="CJ17" i="63"/>
  <c r="CI17" i="63"/>
  <c r="CH17" i="63"/>
  <c r="CG17" i="63"/>
  <c r="CF17" i="63"/>
  <c r="CE17" i="63"/>
  <c r="CD17" i="63"/>
  <c r="CC17" i="63"/>
  <c r="CB17" i="63"/>
  <c r="CA17" i="63"/>
  <c r="BZ17" i="63"/>
  <c r="BY17" i="63"/>
  <c r="BX17" i="63"/>
  <c r="BW17" i="63"/>
  <c r="BR17" i="63"/>
  <c r="BQ17" i="63"/>
  <c r="BR16" i="63"/>
  <c r="BO16" i="63"/>
  <c r="BQ16" i="63" s="1"/>
  <c r="BN16" i="63"/>
  <c r="CC16" i="63" s="1"/>
  <c r="BO15" i="63"/>
  <c r="BQ15" i="63" s="1"/>
  <c r="BT15" i="63" s="1"/>
  <c r="BN15" i="63"/>
  <c r="DA15" i="63" s="1"/>
  <c r="BR14" i="63"/>
  <c r="BO14" i="63"/>
  <c r="BQ14" i="63" s="1"/>
  <c r="BN14" i="63"/>
  <c r="BR13" i="63"/>
  <c r="BO13" i="63"/>
  <c r="BQ13" i="63" s="1"/>
  <c r="BN13" i="63"/>
  <c r="DA13" i="63" s="1"/>
  <c r="BR12" i="63"/>
  <c r="BO12" i="63"/>
  <c r="BQ12" i="63" s="1"/>
  <c r="BN12" i="63"/>
  <c r="CC12" i="63" s="1"/>
  <c r="BR11" i="63"/>
  <c r="BO11" i="63"/>
  <c r="BQ11" i="63" s="1"/>
  <c r="BN11" i="63"/>
  <c r="BR10" i="63"/>
  <c r="BO10" i="63"/>
  <c r="BQ10" i="63" s="1"/>
  <c r="BN10" i="63"/>
  <c r="BZ10" i="63" s="1"/>
  <c r="BR9" i="63"/>
  <c r="BO9" i="63"/>
  <c r="BQ9" i="63" s="1"/>
  <c r="BN9" i="63"/>
  <c r="DA9" i="63" s="1"/>
  <c r="BR8" i="63"/>
  <c r="BO8" i="63"/>
  <c r="BQ8" i="63" s="1"/>
  <c r="BN8" i="63"/>
  <c r="CU8" i="63" s="1"/>
  <c r="BY7" i="63"/>
  <c r="BR7" i="63"/>
  <c r="BO7" i="63"/>
  <c r="BQ7" i="63" s="1"/>
  <c r="BN7" i="63"/>
  <c r="CU6" i="63"/>
  <c r="CP6" i="63"/>
  <c r="CK6" i="63"/>
  <c r="CE6" i="63"/>
  <c r="BZ6" i="63"/>
  <c r="BR6" i="63"/>
  <c r="BO6" i="63"/>
  <c r="BQ6" i="63" s="1"/>
  <c r="BN6" i="63"/>
  <c r="CW6" i="63" s="1"/>
  <c r="CY5" i="63"/>
  <c r="CW5" i="63"/>
  <c r="CT5" i="63"/>
  <c r="CQ5" i="63"/>
  <c r="CO5" i="63"/>
  <c r="CL5" i="63"/>
  <c r="CI5" i="63"/>
  <c r="CG5" i="63"/>
  <c r="CD5" i="63"/>
  <c r="CA5" i="63"/>
  <c r="BY5" i="63"/>
  <c r="BO5" i="63"/>
  <c r="BQ5" i="63" s="1"/>
  <c r="BN5" i="63"/>
  <c r="DA5" i="63" s="1"/>
  <c r="BW89" i="63" l="1"/>
  <c r="CM89" i="63"/>
  <c r="CM90" i="63"/>
  <c r="CU90" i="63"/>
  <c r="BW90" i="63"/>
  <c r="CS89" i="63"/>
  <c r="CE89" i="63"/>
  <c r="CU89" i="63"/>
  <c r="CC89" i="63"/>
  <c r="CA87" i="63"/>
  <c r="CQ87" i="63"/>
  <c r="CU86" i="63"/>
  <c r="BW86" i="63"/>
  <c r="CE86" i="63"/>
  <c r="CM86" i="63"/>
  <c r="CQ83" i="63"/>
  <c r="CQ84" i="63"/>
  <c r="CY84" i="63"/>
  <c r="CK52" i="63"/>
  <c r="CV52" i="63"/>
  <c r="CA35" i="63"/>
  <c r="CI35" i="63"/>
  <c r="CQ35" i="63"/>
  <c r="CY35" i="63"/>
  <c r="CD33" i="63"/>
  <c r="CV23" i="63"/>
  <c r="CA23" i="63"/>
  <c r="CO23" i="63"/>
  <c r="BT70" i="63"/>
  <c r="CX90" i="63"/>
  <c r="DA90" i="63"/>
  <c r="BY90" i="63"/>
  <c r="CG90" i="63"/>
  <c r="CO90" i="63"/>
  <c r="CW90" i="63"/>
  <c r="CA90" i="63"/>
  <c r="CI90" i="63"/>
  <c r="CQ90" i="63"/>
  <c r="CY90" i="63"/>
  <c r="CC90" i="63"/>
  <c r="CK90" i="63"/>
  <c r="CS90" i="63"/>
  <c r="BT82" i="63"/>
  <c r="BY9" i="63"/>
  <c r="CI9" i="63"/>
  <c r="CT9" i="63"/>
  <c r="CX89" i="63"/>
  <c r="DA89" i="63"/>
  <c r="BY89" i="63"/>
  <c r="CG89" i="63"/>
  <c r="CO89" i="63"/>
  <c r="CW89" i="63"/>
  <c r="CA89" i="63"/>
  <c r="CI89" i="63"/>
  <c r="CQ89" i="63"/>
  <c r="CY89" i="63"/>
  <c r="CK88" i="63"/>
  <c r="CS88" i="63"/>
  <c r="CC88" i="63"/>
  <c r="CI87" i="63"/>
  <c r="CY87" i="63"/>
  <c r="CK86" i="63"/>
  <c r="CC86" i="63"/>
  <c r="CK81" i="63"/>
  <c r="CA84" i="63"/>
  <c r="CI84" i="63"/>
  <c r="BT16" i="63"/>
  <c r="BW88" i="63"/>
  <c r="CE88" i="63"/>
  <c r="CM88" i="63"/>
  <c r="CX88" i="63"/>
  <c r="DA88" i="63"/>
  <c r="BY88" i="63"/>
  <c r="CG88" i="63"/>
  <c r="CO88" i="63"/>
  <c r="CW88" i="63"/>
  <c r="CA88" i="63"/>
  <c r="CI88" i="63"/>
  <c r="CQ88" i="63"/>
  <c r="CY88" i="63"/>
  <c r="CC87" i="63"/>
  <c r="CK87" i="63"/>
  <c r="CS87" i="63"/>
  <c r="BW87" i="63"/>
  <c r="CE87" i="63"/>
  <c r="CM87" i="63"/>
  <c r="CX87" i="63"/>
  <c r="DA87" i="63"/>
  <c r="BY87" i="63"/>
  <c r="CG87" i="63"/>
  <c r="CO87" i="63"/>
  <c r="CW87" i="63"/>
  <c r="CX86" i="63"/>
  <c r="DA86" i="63"/>
  <c r="BY86" i="63"/>
  <c r="CG86" i="63"/>
  <c r="CO86" i="63"/>
  <c r="CW86" i="63"/>
  <c r="CA86" i="63"/>
  <c r="CI86" i="63"/>
  <c r="CQ86" i="63"/>
  <c r="CY86" i="63"/>
  <c r="CW85" i="63"/>
  <c r="CA85" i="63"/>
  <c r="CK85" i="63"/>
  <c r="CH85" i="63"/>
  <c r="CC85" i="63"/>
  <c r="CO85" i="63"/>
  <c r="BY85" i="63"/>
  <c r="BW85" i="63"/>
  <c r="CE85" i="63"/>
  <c r="CS85" i="63"/>
  <c r="CC84" i="63"/>
  <c r="CK84" i="63"/>
  <c r="CS84" i="63"/>
  <c r="BW84" i="63"/>
  <c r="CE84" i="63"/>
  <c r="CM84" i="63"/>
  <c r="CZ84" i="63"/>
  <c r="DA84" i="63"/>
  <c r="BY84" i="63"/>
  <c r="CG84" i="63"/>
  <c r="CO84" i="63"/>
  <c r="CW84" i="63"/>
  <c r="CY83" i="63"/>
  <c r="CA83" i="63"/>
  <c r="CI83" i="63"/>
  <c r="BW81" i="63"/>
  <c r="CM81" i="63"/>
  <c r="CC81" i="63"/>
  <c r="CS81" i="63"/>
  <c r="CE81" i="63"/>
  <c r="CQ77" i="63"/>
  <c r="BY72" i="63"/>
  <c r="BZ68" i="63"/>
  <c r="DA68" i="63"/>
  <c r="CL67" i="63"/>
  <c r="DA67" i="63"/>
  <c r="CZ66" i="63"/>
  <c r="DA66" i="63"/>
  <c r="CF56" i="63"/>
  <c r="CA56" i="63"/>
  <c r="CG56" i="63"/>
  <c r="CO56" i="63"/>
  <c r="CX56" i="63"/>
  <c r="DA56" i="63"/>
  <c r="CM56" i="63"/>
  <c r="CB56" i="63"/>
  <c r="CJ56" i="63"/>
  <c r="CQ56" i="63"/>
  <c r="CW56" i="63"/>
  <c r="BY56" i="63"/>
  <c r="CU56" i="63"/>
  <c r="BW56" i="63"/>
  <c r="CE56" i="63"/>
  <c r="CK56" i="63"/>
  <c r="CR56" i="63"/>
  <c r="CZ56" i="63"/>
  <c r="CH55" i="63"/>
  <c r="CJ55" i="63"/>
  <c r="CB55" i="63"/>
  <c r="BW55" i="63"/>
  <c r="BX52" i="63"/>
  <c r="CY52" i="63"/>
  <c r="DA52" i="63"/>
  <c r="CC52" i="63"/>
  <c r="CS52" i="63"/>
  <c r="CL46" i="63"/>
  <c r="CP41" i="63"/>
  <c r="CP37" i="63"/>
  <c r="DA37" i="63"/>
  <c r="CB37" i="63"/>
  <c r="CF37" i="63"/>
  <c r="CU37" i="63"/>
  <c r="CB35" i="63"/>
  <c r="CJ35" i="63"/>
  <c r="CR35" i="63"/>
  <c r="CZ35" i="63"/>
  <c r="BW35" i="63"/>
  <c r="CE35" i="63"/>
  <c r="CM35" i="63"/>
  <c r="CX35" i="63"/>
  <c r="DA35" i="63"/>
  <c r="BX35" i="63"/>
  <c r="CF35" i="63"/>
  <c r="CN35" i="63"/>
  <c r="CV35" i="63"/>
  <c r="CX33" i="63"/>
  <c r="DA33" i="63"/>
  <c r="CH33" i="63"/>
  <c r="CP33" i="63"/>
  <c r="BW26" i="63"/>
  <c r="CE26" i="63"/>
  <c r="CK26" i="63"/>
  <c r="CR26" i="63"/>
  <c r="CX26" i="63"/>
  <c r="DA26" i="63"/>
  <c r="BY26" i="63"/>
  <c r="CF26" i="63"/>
  <c r="CM26" i="63"/>
  <c r="CU26" i="63"/>
  <c r="CA26" i="63"/>
  <c r="CG26" i="63"/>
  <c r="CO26" i="63"/>
  <c r="CV26" i="63"/>
  <c r="BX25" i="63"/>
  <c r="CI25" i="63"/>
  <c r="CY25" i="63"/>
  <c r="CA25" i="63"/>
  <c r="CF25" i="63"/>
  <c r="CK25" i="63"/>
  <c r="CQ25" i="63"/>
  <c r="CX25" i="63"/>
  <c r="DA25" i="63"/>
  <c r="CC25" i="63"/>
  <c r="CN25" i="63"/>
  <c r="CS25" i="63"/>
  <c r="BY25" i="63"/>
  <c r="CE25" i="63"/>
  <c r="CJ25" i="63"/>
  <c r="CO25" i="63"/>
  <c r="CU25" i="63"/>
  <c r="CZ25" i="63"/>
  <c r="BW25" i="63"/>
  <c r="CB25" i="63"/>
  <c r="CG25" i="63"/>
  <c r="CM25" i="63"/>
  <c r="CR25" i="63"/>
  <c r="CW25" i="63"/>
  <c r="CG23" i="63"/>
  <c r="CX22" i="63"/>
  <c r="DA22" i="63"/>
  <c r="CB22" i="63"/>
  <c r="CW22" i="63"/>
  <c r="CG22" i="63"/>
  <c r="CM22" i="63"/>
  <c r="CX20" i="63"/>
  <c r="DA20" i="63"/>
  <c r="CI20" i="63"/>
  <c r="CS20" i="63"/>
  <c r="BY20" i="63"/>
  <c r="CE20" i="63"/>
  <c r="CJ20" i="63"/>
  <c r="CO20" i="63"/>
  <c r="CU20" i="63"/>
  <c r="CZ20" i="63"/>
  <c r="BX20" i="63"/>
  <c r="CN20" i="63"/>
  <c r="CA20" i="63"/>
  <c r="CF20" i="63"/>
  <c r="CK20" i="63"/>
  <c r="CQ20" i="63"/>
  <c r="CV20" i="63"/>
  <c r="CC20" i="63"/>
  <c r="CY20" i="63"/>
  <c r="BW20" i="63"/>
  <c r="CB20" i="63"/>
  <c r="CG20" i="63"/>
  <c r="CM20" i="63"/>
  <c r="CR20" i="63"/>
  <c r="CW20" i="63"/>
  <c r="CT16" i="63"/>
  <c r="DA16" i="63"/>
  <c r="CL9" i="63"/>
  <c r="CD9" i="63"/>
  <c r="CO9" i="63"/>
  <c r="CY9" i="63"/>
  <c r="CA9" i="63"/>
  <c r="CW9" i="63"/>
  <c r="CG9" i="63"/>
  <c r="CQ9" i="63"/>
  <c r="CY7" i="63"/>
  <c r="DA7" i="63"/>
  <c r="BT17" i="63"/>
  <c r="BT83" i="63"/>
  <c r="BT89" i="63"/>
  <c r="CZ65" i="63"/>
  <c r="DA65" i="63"/>
  <c r="CX63" i="63"/>
  <c r="DA63" i="63"/>
  <c r="CY64" i="63"/>
  <c r="DA64" i="63"/>
  <c r="CX62" i="63"/>
  <c r="DA62" i="63"/>
  <c r="CK61" i="63"/>
  <c r="DA61" i="63"/>
  <c r="CX60" i="63"/>
  <c r="DA60" i="63"/>
  <c r="CX59" i="63"/>
  <c r="DA59" i="63"/>
  <c r="CJ59" i="63"/>
  <c r="CD58" i="63"/>
  <c r="DA58" i="63"/>
  <c r="CC57" i="63"/>
  <c r="CS57" i="63"/>
  <c r="CH57" i="63"/>
  <c r="CX57" i="63"/>
  <c r="CK57" i="63"/>
  <c r="BZ57" i="63"/>
  <c r="CP57" i="63"/>
  <c r="CZ55" i="63"/>
  <c r="DA55" i="63"/>
  <c r="BZ55" i="63"/>
  <c r="CI55" i="63"/>
  <c r="CR55" i="63"/>
  <c r="CU55" i="63"/>
  <c r="CD55" i="63"/>
  <c r="CN55" i="63"/>
  <c r="CX55" i="63"/>
  <c r="CG54" i="63"/>
  <c r="DA54" i="63"/>
  <c r="CQ54" i="63"/>
  <c r="CW54" i="63"/>
  <c r="CA54" i="63"/>
  <c r="CG51" i="63"/>
  <c r="CM51" i="63"/>
  <c r="BW51" i="63"/>
  <c r="CX51" i="63"/>
  <c r="DA51" i="63"/>
  <c r="CB51" i="63"/>
  <c r="CW51" i="63"/>
  <c r="BY49" i="63"/>
  <c r="DA49" i="63"/>
  <c r="CK48" i="63"/>
  <c r="BX48" i="63"/>
  <c r="CY48" i="63"/>
  <c r="DA48" i="63"/>
  <c r="CC48" i="63"/>
  <c r="CS48" i="63"/>
  <c r="CF48" i="63"/>
  <c r="CV48" i="63"/>
  <c r="CY47" i="63"/>
  <c r="DA47" i="63"/>
  <c r="CF47" i="63"/>
  <c r="CV47" i="63"/>
  <c r="CG47" i="63"/>
  <c r="CW47" i="63"/>
  <c r="BX47" i="63"/>
  <c r="CN47" i="63"/>
  <c r="BY47" i="63"/>
  <c r="CO47" i="63"/>
  <c r="CT45" i="63"/>
  <c r="DA45" i="63"/>
  <c r="BZ44" i="63"/>
  <c r="CL44" i="63"/>
  <c r="CP44" i="63"/>
  <c r="CO43" i="63"/>
  <c r="CW43" i="63"/>
  <c r="BY43" i="63"/>
  <c r="CL42" i="63"/>
  <c r="BZ42" i="63"/>
  <c r="CP42" i="63"/>
  <c r="CD42" i="63"/>
  <c r="CT42" i="63"/>
  <c r="CH42" i="63"/>
  <c r="CX42" i="63"/>
  <c r="BZ41" i="63"/>
  <c r="CW41" i="63"/>
  <c r="DA41" i="63"/>
  <c r="CE41" i="63"/>
  <c r="CK41" i="63"/>
  <c r="CV40" i="63"/>
  <c r="DA40" i="63"/>
  <c r="CG39" i="63"/>
  <c r="CQ39" i="63"/>
  <c r="BW39" i="63"/>
  <c r="CX39" i="63"/>
  <c r="DA39" i="63"/>
  <c r="CF39" i="63"/>
  <c r="CQ38" i="63"/>
  <c r="DA38" i="63"/>
  <c r="CY36" i="63"/>
  <c r="DA36" i="63"/>
  <c r="CF36" i="63"/>
  <c r="CN36" i="63"/>
  <c r="CV36" i="63"/>
  <c r="CY32" i="63"/>
  <c r="DA32" i="63"/>
  <c r="CF32" i="63"/>
  <c r="CN32" i="63"/>
  <c r="CV32" i="63"/>
  <c r="CJ31" i="63"/>
  <c r="CZ31" i="63"/>
  <c r="BW31" i="63"/>
  <c r="CX31" i="63"/>
  <c r="DA31" i="63"/>
  <c r="CB31" i="63"/>
  <c r="CR31" i="63"/>
  <c r="CE31" i="63"/>
  <c r="CU31" i="63"/>
  <c r="CP30" i="63"/>
  <c r="DA30" i="63"/>
  <c r="CS29" i="63"/>
  <c r="DA29" i="63"/>
  <c r="CK29" i="63"/>
  <c r="CT29" i="63"/>
  <c r="CY28" i="63"/>
  <c r="DA28" i="63"/>
  <c r="CF28" i="63"/>
  <c r="CN28" i="63"/>
  <c r="BY24" i="63"/>
  <c r="CE24" i="63"/>
  <c r="CJ24" i="63"/>
  <c r="CO24" i="63"/>
  <c r="CU24" i="63"/>
  <c r="CZ24" i="63"/>
  <c r="CA24" i="63"/>
  <c r="CF24" i="63"/>
  <c r="CK24" i="63"/>
  <c r="CQ24" i="63"/>
  <c r="CV24" i="63"/>
  <c r="BW24" i="63"/>
  <c r="CB24" i="63"/>
  <c r="CG24" i="63"/>
  <c r="CM24" i="63"/>
  <c r="CR24" i="63"/>
  <c r="CX24" i="63"/>
  <c r="DA24" i="63"/>
  <c r="BX24" i="63"/>
  <c r="CC24" i="63"/>
  <c r="CI24" i="63"/>
  <c r="CN24" i="63"/>
  <c r="CS24" i="63"/>
  <c r="CY24" i="63"/>
  <c r="CB23" i="63"/>
  <c r="CJ23" i="63"/>
  <c r="CQ23" i="63"/>
  <c r="CW23" i="63"/>
  <c r="BW23" i="63"/>
  <c r="CE23" i="63"/>
  <c r="CK23" i="63"/>
  <c r="CR23" i="63"/>
  <c r="CX23" i="63"/>
  <c r="DA23" i="63"/>
  <c r="BY23" i="63"/>
  <c r="CF23" i="63"/>
  <c r="CM23" i="63"/>
  <c r="CU23" i="63"/>
  <c r="CA21" i="63"/>
  <c r="CV21" i="63"/>
  <c r="CB21" i="63"/>
  <c r="CM21" i="63"/>
  <c r="CW21" i="63"/>
  <c r="CF21" i="63"/>
  <c r="CX21" i="63"/>
  <c r="DA21" i="63"/>
  <c r="CK21" i="63"/>
  <c r="BW21" i="63"/>
  <c r="CG21" i="63"/>
  <c r="CR21" i="63"/>
  <c r="CL15" i="63"/>
  <c r="CX15" i="63"/>
  <c r="CH15" i="63"/>
  <c r="CX14" i="63"/>
  <c r="DA14" i="63"/>
  <c r="CH13" i="63"/>
  <c r="CS13" i="63"/>
  <c r="CT11" i="63"/>
  <c r="DA11" i="63"/>
  <c r="CD11" i="63"/>
  <c r="CX11" i="63"/>
  <c r="CL11" i="63"/>
  <c r="CO11" i="63"/>
  <c r="CA11" i="63"/>
  <c r="CW11" i="63"/>
  <c r="CX10" i="63"/>
  <c r="DA10" i="63"/>
  <c r="CE10" i="63"/>
  <c r="CP10" i="63"/>
  <c r="CU10" i="63"/>
  <c r="CK53" i="63"/>
  <c r="DA53" i="63"/>
  <c r="CO53" i="63"/>
  <c r="CT50" i="63"/>
  <c r="DA50" i="63"/>
  <c r="CY50" i="63"/>
  <c r="BT64" i="63"/>
  <c r="BT50" i="63"/>
  <c r="BT29" i="63"/>
  <c r="CT12" i="63"/>
  <c r="DA12" i="63"/>
  <c r="BZ46" i="63"/>
  <c r="CP46" i="63"/>
  <c r="CD46" i="63"/>
  <c r="CT46" i="63"/>
  <c r="CH46" i="63"/>
  <c r="CX46" i="63"/>
  <c r="CP34" i="63"/>
  <c r="DA34" i="63"/>
  <c r="BT22" i="63"/>
  <c r="BT60" i="63"/>
  <c r="BT67" i="63"/>
  <c r="BT72" i="63"/>
  <c r="BT56" i="63"/>
  <c r="BT63" i="63"/>
  <c r="BT86" i="63"/>
  <c r="BT88" i="63"/>
  <c r="BT90" i="63"/>
  <c r="BT21" i="63"/>
  <c r="BT18" i="63"/>
  <c r="BT62" i="63"/>
  <c r="BT79" i="63"/>
  <c r="BT78" i="63"/>
  <c r="CC83" i="63"/>
  <c r="CK83" i="63"/>
  <c r="CS83" i="63"/>
  <c r="BW83" i="63"/>
  <c r="CE83" i="63"/>
  <c r="CM83" i="63"/>
  <c r="CZ83" i="63"/>
  <c r="DA83" i="63"/>
  <c r="BY83" i="63"/>
  <c r="CG83" i="63"/>
  <c r="CO83" i="63"/>
  <c r="CW83" i="63"/>
  <c r="CM79" i="63"/>
  <c r="CE79" i="63"/>
  <c r="CU79" i="63"/>
  <c r="CS78" i="63"/>
  <c r="CL70" i="63"/>
  <c r="DA70" i="63"/>
  <c r="CP69" i="63"/>
  <c r="DA69" i="63"/>
  <c r="BT13" i="63"/>
  <c r="BT35" i="63"/>
  <c r="CZ82" i="63"/>
  <c r="DA82" i="63"/>
  <c r="BY82" i="63"/>
  <c r="CG82" i="63"/>
  <c r="CW82" i="63"/>
  <c r="CA82" i="63"/>
  <c r="CI82" i="63"/>
  <c r="CY82" i="63"/>
  <c r="CC82" i="63"/>
  <c r="CK82" i="63"/>
  <c r="CS82" i="63"/>
  <c r="CO82" i="63"/>
  <c r="CQ82" i="63"/>
  <c r="BW82" i="63"/>
  <c r="CE82" i="63"/>
  <c r="CM82" i="63"/>
  <c r="CU82" i="63"/>
  <c r="CZ81" i="63"/>
  <c r="DA81" i="63"/>
  <c r="BY81" i="63"/>
  <c r="CG81" i="63"/>
  <c r="CO81" i="63"/>
  <c r="CW81" i="63"/>
  <c r="CA81" i="63"/>
  <c r="CI81" i="63"/>
  <c r="CQ81" i="63"/>
  <c r="CY81" i="63"/>
  <c r="CC80" i="63"/>
  <c r="CS80" i="63"/>
  <c r="CI80" i="63"/>
  <c r="CK80" i="63"/>
  <c r="CY80" i="63"/>
  <c r="CA80" i="63"/>
  <c r="CQ80" i="63"/>
  <c r="BT20" i="63"/>
  <c r="BW80" i="63"/>
  <c r="CE80" i="63"/>
  <c r="CM80" i="63"/>
  <c r="CZ80" i="63"/>
  <c r="DA80" i="63"/>
  <c r="BY80" i="63"/>
  <c r="CG80" i="63"/>
  <c r="CO80" i="63"/>
  <c r="CW80" i="63"/>
  <c r="CZ79" i="63"/>
  <c r="DA79" i="63"/>
  <c r="BY79" i="63"/>
  <c r="CG79" i="63"/>
  <c r="CO79" i="63"/>
  <c r="CW79" i="63"/>
  <c r="CA79" i="63"/>
  <c r="CI79" i="63"/>
  <c r="CQ79" i="63"/>
  <c r="CY79" i="63"/>
  <c r="CC79" i="63"/>
  <c r="CK79" i="63"/>
  <c r="CS79" i="63"/>
  <c r="BW78" i="63"/>
  <c r="CM78" i="63"/>
  <c r="CL76" i="63"/>
  <c r="DA76" i="63"/>
  <c r="CX76" i="63"/>
  <c r="CT75" i="63"/>
  <c r="DA75" i="63"/>
  <c r="CY75" i="63"/>
  <c r="BW74" i="63"/>
  <c r="DA74" i="63"/>
  <c r="BT73" i="63"/>
  <c r="CU73" i="63"/>
  <c r="DA73" i="63"/>
  <c r="CW72" i="63"/>
  <c r="DA72" i="63"/>
  <c r="CD72" i="63"/>
  <c r="CY72" i="63"/>
  <c r="CI72" i="63"/>
  <c r="CO72" i="63"/>
  <c r="BT74" i="63"/>
  <c r="BT46" i="63"/>
  <c r="CJ27" i="63"/>
  <c r="CZ27" i="63"/>
  <c r="BW27" i="63"/>
  <c r="CX27" i="63"/>
  <c r="DA27" i="63"/>
  <c r="CB27" i="63"/>
  <c r="CR27" i="63"/>
  <c r="CE27" i="63"/>
  <c r="CU27" i="63"/>
  <c r="CM71" i="63"/>
  <c r="DA71" i="63"/>
  <c r="CQ70" i="63"/>
  <c r="CE69" i="63"/>
  <c r="CC66" i="63"/>
  <c r="CK66" i="63"/>
  <c r="CS66" i="63"/>
  <c r="CC65" i="63"/>
  <c r="CK65" i="63"/>
  <c r="BX64" i="63"/>
  <c r="CS64" i="63"/>
  <c r="CC64" i="63"/>
  <c r="CZ64" i="63"/>
  <c r="CI64" i="63"/>
  <c r="CC61" i="63"/>
  <c r="CS61" i="63"/>
  <c r="BT9" i="63"/>
  <c r="BT69" i="63"/>
  <c r="BT58" i="63"/>
  <c r="BT36" i="63"/>
  <c r="BT32" i="63"/>
  <c r="BW60" i="63"/>
  <c r="CR60" i="63"/>
  <c r="CB60" i="63"/>
  <c r="CW60" i="63"/>
  <c r="CG60" i="63"/>
  <c r="BT30" i="63"/>
  <c r="CR59" i="63"/>
  <c r="CZ59" i="63"/>
  <c r="BT31" i="63"/>
  <c r="BT54" i="63"/>
  <c r="BT42" i="63"/>
  <c r="BT37" i="63"/>
  <c r="BT11" i="63"/>
  <c r="BT10" i="63"/>
  <c r="CW49" i="63"/>
  <c r="BT23" i="63"/>
  <c r="BT28" i="63"/>
  <c r="BT34" i="63"/>
  <c r="BT52" i="63"/>
  <c r="BT53" i="63"/>
  <c r="CA39" i="63"/>
  <c r="CK39" i="63"/>
  <c r="CV39" i="63"/>
  <c r="CB39" i="63"/>
  <c r="CM39" i="63"/>
  <c r="CW39" i="63"/>
  <c r="BT19" i="63"/>
  <c r="BT7" i="63"/>
  <c r="BT76" i="63"/>
  <c r="BZ75" i="63"/>
  <c r="CP75" i="63"/>
  <c r="CA75" i="63"/>
  <c r="CQ75" i="63"/>
  <c r="CH75" i="63"/>
  <c r="CX75" i="63"/>
  <c r="CU74" i="63"/>
  <c r="CA73" i="63"/>
  <c r="CE73" i="63"/>
  <c r="CP73" i="63"/>
  <c r="CW73" i="63"/>
  <c r="CG73" i="63"/>
  <c r="CQ73" i="63"/>
  <c r="CL73" i="63"/>
  <c r="BZ73" i="63"/>
  <c r="CK73" i="63"/>
  <c r="BZ72" i="63"/>
  <c r="CK72" i="63"/>
  <c r="CU72" i="63"/>
  <c r="CE72" i="63"/>
  <c r="CP72" i="63"/>
  <c r="BW71" i="63"/>
  <c r="CH71" i="63"/>
  <c r="CA70" i="63"/>
  <c r="CW70" i="63"/>
  <c r="CG70" i="63"/>
  <c r="CK69" i="63"/>
  <c r="BY66" i="63"/>
  <c r="CO66" i="63"/>
  <c r="CG66" i="63"/>
  <c r="CW66" i="63"/>
  <c r="BY65" i="63"/>
  <c r="CO65" i="63"/>
  <c r="CG65" i="63"/>
  <c r="CW65" i="63"/>
  <c r="BY64" i="63"/>
  <c r="CE64" i="63"/>
  <c r="CJ64" i="63"/>
  <c r="CO64" i="63"/>
  <c r="CU64" i="63"/>
  <c r="CA64" i="63"/>
  <c r="CF64" i="63"/>
  <c r="CK64" i="63"/>
  <c r="CQ64" i="63"/>
  <c r="CV64" i="63"/>
  <c r="BW64" i="63"/>
  <c r="CB64" i="63"/>
  <c r="CG64" i="63"/>
  <c r="CM64" i="63"/>
  <c r="CR64" i="63"/>
  <c r="CW64" i="63"/>
  <c r="CN63" i="63"/>
  <c r="CA63" i="63"/>
  <c r="CI63" i="63"/>
  <c r="CQ63" i="63"/>
  <c r="CY63" i="63"/>
  <c r="BX63" i="63"/>
  <c r="CV63" i="63"/>
  <c r="CB63" i="63"/>
  <c r="CJ63" i="63"/>
  <c r="CR63" i="63"/>
  <c r="CZ63" i="63"/>
  <c r="CF63" i="63"/>
  <c r="BW63" i="63"/>
  <c r="CE63" i="63"/>
  <c r="CM63" i="63"/>
  <c r="CU63" i="63"/>
  <c r="CH62" i="63"/>
  <c r="CL62" i="63"/>
  <c r="CG61" i="63"/>
  <c r="CW61" i="63"/>
  <c r="BY61" i="63"/>
  <c r="CH61" i="63"/>
  <c r="BZ61" i="63"/>
  <c r="BX60" i="63"/>
  <c r="CI60" i="63"/>
  <c r="CY60" i="63"/>
  <c r="BY60" i="63"/>
  <c r="CE60" i="63"/>
  <c r="CJ60" i="63"/>
  <c r="CO60" i="63"/>
  <c r="CU60" i="63"/>
  <c r="CZ60" i="63"/>
  <c r="CC60" i="63"/>
  <c r="CN60" i="63"/>
  <c r="CS60" i="63"/>
  <c r="CA60" i="63"/>
  <c r="CF60" i="63"/>
  <c r="CK60" i="63"/>
  <c r="CQ60" i="63"/>
  <c r="CV60" i="63"/>
  <c r="BW59" i="63"/>
  <c r="CE59" i="63"/>
  <c r="CM59" i="63"/>
  <c r="CU59" i="63"/>
  <c r="BX59" i="63"/>
  <c r="CF59" i="63"/>
  <c r="CN59" i="63"/>
  <c r="CV59" i="63"/>
  <c r="CA59" i="63"/>
  <c r="CI59" i="63"/>
  <c r="CQ59" i="63"/>
  <c r="CY59" i="63"/>
  <c r="CT58" i="63"/>
  <c r="CL58" i="63"/>
  <c r="BX56" i="63"/>
  <c r="CC56" i="63"/>
  <c r="CI56" i="63"/>
  <c r="CN56" i="63"/>
  <c r="CS56" i="63"/>
  <c r="CY56" i="63"/>
  <c r="CY55" i="63"/>
  <c r="BX55" i="63"/>
  <c r="CE55" i="63"/>
  <c r="CM55" i="63"/>
  <c r="CT55" i="63"/>
  <c r="CC53" i="63"/>
  <c r="CT53" i="63"/>
  <c r="CG53" i="63"/>
  <c r="CZ53" i="63"/>
  <c r="CB52" i="63"/>
  <c r="CJ52" i="63"/>
  <c r="CR52" i="63"/>
  <c r="CZ52" i="63"/>
  <c r="BY52" i="63"/>
  <c r="CG52" i="63"/>
  <c r="CO52" i="63"/>
  <c r="CW52" i="63"/>
  <c r="BX51" i="63"/>
  <c r="CI51" i="63"/>
  <c r="CY51" i="63"/>
  <c r="BY51" i="63"/>
  <c r="CE51" i="63"/>
  <c r="CJ51" i="63"/>
  <c r="CO51" i="63"/>
  <c r="CU51" i="63"/>
  <c r="CZ51" i="63"/>
  <c r="CC51" i="63"/>
  <c r="CN51" i="63"/>
  <c r="CS51" i="63"/>
  <c r="CA51" i="63"/>
  <c r="CF51" i="63"/>
  <c r="CK51" i="63"/>
  <c r="CQ51" i="63"/>
  <c r="CV51" i="63"/>
  <c r="CI50" i="63"/>
  <c r="CQ50" i="63"/>
  <c r="BY48" i="63"/>
  <c r="CG48" i="63"/>
  <c r="CO48" i="63"/>
  <c r="CW48" i="63"/>
  <c r="CB48" i="63"/>
  <c r="CJ48" i="63"/>
  <c r="CR48" i="63"/>
  <c r="CZ48" i="63"/>
  <c r="CB47" i="63"/>
  <c r="CJ47" i="63"/>
  <c r="CR47" i="63"/>
  <c r="CZ47" i="63"/>
  <c r="CC47" i="63"/>
  <c r="CK47" i="63"/>
  <c r="CS47" i="63"/>
  <c r="CK45" i="63"/>
  <c r="CS45" i="63"/>
  <c r="CC45" i="63"/>
  <c r="CD44" i="63"/>
  <c r="CT44" i="63"/>
  <c r="CH44" i="63"/>
  <c r="CX44" i="63"/>
  <c r="CX40" i="63"/>
  <c r="CH40" i="63"/>
  <c r="CN40" i="63"/>
  <c r="CC40" i="63"/>
  <c r="BX40" i="63"/>
  <c r="CS40" i="63"/>
  <c r="BX39" i="63"/>
  <c r="CC39" i="63"/>
  <c r="CI39" i="63"/>
  <c r="CN39" i="63"/>
  <c r="CS39" i="63"/>
  <c r="CY39" i="63"/>
  <c r="BY39" i="63"/>
  <c r="CE39" i="63"/>
  <c r="CJ39" i="63"/>
  <c r="CO39" i="63"/>
  <c r="CU39" i="63"/>
  <c r="CZ39" i="63"/>
  <c r="CK37" i="63"/>
  <c r="BX37" i="63"/>
  <c r="BY36" i="63"/>
  <c r="CW36" i="63"/>
  <c r="CB36" i="63"/>
  <c r="CJ36" i="63"/>
  <c r="CR36" i="63"/>
  <c r="CZ36" i="63"/>
  <c r="CG36" i="63"/>
  <c r="CO36" i="63"/>
  <c r="CC36" i="63"/>
  <c r="CK36" i="63"/>
  <c r="CS36" i="63"/>
  <c r="CD34" i="63"/>
  <c r="CX34" i="63"/>
  <c r="CL34" i="63"/>
  <c r="CT34" i="63"/>
  <c r="CH34" i="63"/>
  <c r="BZ34" i="63"/>
  <c r="BZ33" i="63"/>
  <c r="CK33" i="63"/>
  <c r="CT33" i="63"/>
  <c r="CC33" i="63"/>
  <c r="CL33" i="63"/>
  <c r="BY32" i="63"/>
  <c r="CW32" i="63"/>
  <c r="CB32" i="63"/>
  <c r="CJ32" i="63"/>
  <c r="CR32" i="63"/>
  <c r="CZ32" i="63"/>
  <c r="CG32" i="63"/>
  <c r="CO32" i="63"/>
  <c r="CC32" i="63"/>
  <c r="CK32" i="63"/>
  <c r="CS32" i="63"/>
  <c r="BX31" i="63"/>
  <c r="CF31" i="63"/>
  <c r="CN31" i="63"/>
  <c r="CV31" i="63"/>
  <c r="CA31" i="63"/>
  <c r="CI31" i="63"/>
  <c r="CQ31" i="63"/>
  <c r="CY31" i="63"/>
  <c r="CT30" i="63"/>
  <c r="CX30" i="63"/>
  <c r="CL30" i="63"/>
  <c r="CD30" i="63"/>
  <c r="CH30" i="63"/>
  <c r="BZ30" i="63"/>
  <c r="CC29" i="63"/>
  <c r="CL29" i="63"/>
  <c r="CX29" i="63"/>
  <c r="CD29" i="63"/>
  <c r="CP29" i="63"/>
  <c r="CH29" i="63"/>
  <c r="BY28" i="63"/>
  <c r="CW28" i="63"/>
  <c r="CB28" i="63"/>
  <c r="CJ28" i="63"/>
  <c r="CR28" i="63"/>
  <c r="CZ28" i="63"/>
  <c r="CG28" i="63"/>
  <c r="CO28" i="63"/>
  <c r="CC28" i="63"/>
  <c r="CK28" i="63"/>
  <c r="CS28" i="63"/>
  <c r="BX27" i="63"/>
  <c r="CF27" i="63"/>
  <c r="CN27" i="63"/>
  <c r="CV27" i="63"/>
  <c r="CA27" i="63"/>
  <c r="CI27" i="63"/>
  <c r="CQ27" i="63"/>
  <c r="CY27" i="63"/>
  <c r="BX26" i="63"/>
  <c r="CC26" i="63"/>
  <c r="CI26" i="63"/>
  <c r="CN26" i="63"/>
  <c r="CS26" i="63"/>
  <c r="CY26" i="63"/>
  <c r="BX23" i="63"/>
  <c r="CC23" i="63"/>
  <c r="CI23" i="63"/>
  <c r="CN23" i="63"/>
  <c r="CS23" i="63"/>
  <c r="CY23" i="63"/>
  <c r="BX22" i="63"/>
  <c r="CC22" i="63"/>
  <c r="CI22" i="63"/>
  <c r="CN22" i="63"/>
  <c r="CS22" i="63"/>
  <c r="CY22" i="63"/>
  <c r="BY22" i="63"/>
  <c r="CE22" i="63"/>
  <c r="CJ22" i="63"/>
  <c r="CO22" i="63"/>
  <c r="CU22" i="63"/>
  <c r="CZ22" i="63"/>
  <c r="CA22" i="63"/>
  <c r="CF22" i="63"/>
  <c r="CK22" i="63"/>
  <c r="CQ22" i="63"/>
  <c r="CV22" i="63"/>
  <c r="BX21" i="63"/>
  <c r="CC21" i="63"/>
  <c r="CI21" i="63"/>
  <c r="CN21" i="63"/>
  <c r="CS21" i="63"/>
  <c r="CY21" i="63"/>
  <c r="BY21" i="63"/>
  <c r="CE21" i="63"/>
  <c r="CJ21" i="63"/>
  <c r="CO21" i="63"/>
  <c r="CU21" i="63"/>
  <c r="CZ21" i="63"/>
  <c r="CK16" i="63"/>
  <c r="CS16" i="63"/>
  <c r="BZ15" i="63"/>
  <c r="CP15" i="63"/>
  <c r="CD15" i="63"/>
  <c r="CT15" i="63"/>
  <c r="BZ13" i="63"/>
  <c r="CK13" i="63"/>
  <c r="CC13" i="63"/>
  <c r="CL13" i="63"/>
  <c r="CX13" i="63"/>
  <c r="CT13" i="63"/>
  <c r="CD13" i="63"/>
  <c r="CP13" i="63"/>
  <c r="CK12" i="63"/>
  <c r="CS12" i="63"/>
  <c r="BY11" i="63"/>
  <c r="CG11" i="63"/>
  <c r="CP11" i="63"/>
  <c r="BZ11" i="63"/>
  <c r="CH11" i="63"/>
  <c r="CK10" i="63"/>
  <c r="CE7" i="63"/>
  <c r="CL7" i="63"/>
  <c r="CT7" i="63"/>
  <c r="CG7" i="63"/>
  <c r="CU7" i="63"/>
  <c r="CA7" i="63"/>
  <c r="CI7" i="63"/>
  <c r="CP7" i="63"/>
  <c r="CW7" i="63"/>
  <c r="BZ7" i="63"/>
  <c r="CO7" i="63"/>
  <c r="CD7" i="63"/>
  <c r="CK7" i="63"/>
  <c r="CQ7" i="63"/>
  <c r="BT14" i="63"/>
  <c r="BT8" i="63"/>
  <c r="BT25" i="63"/>
  <c r="BT49" i="63"/>
  <c r="BT27" i="63"/>
  <c r="BT24" i="63"/>
  <c r="BT77" i="63"/>
  <c r="BT26" i="63"/>
  <c r="BT33" i="63"/>
  <c r="BT40" i="63"/>
  <c r="BT41" i="63"/>
  <c r="BT43" i="63"/>
  <c r="BT51" i="63"/>
  <c r="BT55" i="63"/>
  <c r="BT68" i="63"/>
  <c r="BT6" i="63"/>
  <c r="BT12" i="63"/>
  <c r="BT44" i="63"/>
  <c r="BT57" i="63"/>
  <c r="BT59" i="63"/>
  <c r="BT61" i="63"/>
  <c r="BT65" i="63"/>
  <c r="BT66" i="63"/>
  <c r="BT71" i="63"/>
  <c r="BT75" i="63"/>
  <c r="BQ97" i="63"/>
  <c r="BT5" i="63"/>
  <c r="BZ5" i="63"/>
  <c r="CE5" i="63"/>
  <c r="CK5" i="63"/>
  <c r="CP5" i="63"/>
  <c r="CU5" i="63"/>
  <c r="CA6" i="63"/>
  <c r="CG6" i="63"/>
  <c r="CL6" i="63"/>
  <c r="CQ6" i="63"/>
  <c r="CZ7" i="63"/>
  <c r="CV7" i="63"/>
  <c r="CR7" i="63"/>
  <c r="CN7" i="63"/>
  <c r="CJ7" i="63"/>
  <c r="CF7" i="63"/>
  <c r="CB7" i="63"/>
  <c r="BX7" i="63"/>
  <c r="BW7" i="63"/>
  <c r="CC7" i="63"/>
  <c r="CH7" i="63"/>
  <c r="CM7" i="63"/>
  <c r="CS7" i="63"/>
  <c r="CX7" i="63"/>
  <c r="BY8" i="63"/>
  <c r="CD8" i="63"/>
  <c r="CI8" i="63"/>
  <c r="CO8" i="63"/>
  <c r="CT8" i="63"/>
  <c r="CY8" i="63"/>
  <c r="BZ9" i="63"/>
  <c r="CE9" i="63"/>
  <c r="CK9" i="63"/>
  <c r="CP9" i="63"/>
  <c r="CU9" i="63"/>
  <c r="CA10" i="63"/>
  <c r="CG10" i="63"/>
  <c r="CL10" i="63"/>
  <c r="CQ10" i="63"/>
  <c r="CW10" i="63"/>
  <c r="CZ11" i="63"/>
  <c r="CV11" i="63"/>
  <c r="CR11" i="63"/>
  <c r="CN11" i="63"/>
  <c r="CJ11" i="63"/>
  <c r="CF11" i="63"/>
  <c r="CB11" i="63"/>
  <c r="BX11" i="63"/>
  <c r="CY11" i="63"/>
  <c r="CU11" i="63"/>
  <c r="CQ11" i="63"/>
  <c r="CM11" i="63"/>
  <c r="CI11" i="63"/>
  <c r="CE11" i="63"/>
  <c r="BW11" i="63"/>
  <c r="CC11" i="63"/>
  <c r="CK11" i="63"/>
  <c r="CS11" i="63"/>
  <c r="CD12" i="63"/>
  <c r="CL12" i="63"/>
  <c r="CZ13" i="63"/>
  <c r="CV13" i="63"/>
  <c r="CR13" i="63"/>
  <c r="CN13" i="63"/>
  <c r="CJ13" i="63"/>
  <c r="CF13" i="63"/>
  <c r="CB13" i="63"/>
  <c r="BX13" i="63"/>
  <c r="CY13" i="63"/>
  <c r="CU13" i="63"/>
  <c r="CQ13" i="63"/>
  <c r="CM13" i="63"/>
  <c r="CI13" i="63"/>
  <c r="CE13" i="63"/>
  <c r="CA13" i="63"/>
  <c r="BW13" i="63"/>
  <c r="BY13" i="63"/>
  <c r="CG13" i="63"/>
  <c r="CO13" i="63"/>
  <c r="CW13" i="63"/>
  <c r="BZ14" i="63"/>
  <c r="CH14" i="63"/>
  <c r="CP14" i="63"/>
  <c r="CC15" i="63"/>
  <c r="CK15" i="63"/>
  <c r="CS15" i="63"/>
  <c r="CD16" i="63"/>
  <c r="CL16" i="63"/>
  <c r="CW30" i="63"/>
  <c r="CS30" i="63"/>
  <c r="CO30" i="63"/>
  <c r="CK30" i="63"/>
  <c r="CG30" i="63"/>
  <c r="CC30" i="63"/>
  <c r="BY30" i="63"/>
  <c r="CZ30" i="63"/>
  <c r="CV30" i="63"/>
  <c r="CR30" i="63"/>
  <c r="CN30" i="63"/>
  <c r="CJ30" i="63"/>
  <c r="CF30" i="63"/>
  <c r="CB30" i="63"/>
  <c r="BX30" i="63"/>
  <c r="BW30" i="63"/>
  <c r="CE30" i="63"/>
  <c r="CM30" i="63"/>
  <c r="CU30" i="63"/>
  <c r="CW34" i="63"/>
  <c r="CS34" i="63"/>
  <c r="CO34" i="63"/>
  <c r="CK34" i="63"/>
  <c r="CG34" i="63"/>
  <c r="CC34" i="63"/>
  <c r="BY34" i="63"/>
  <c r="CZ34" i="63"/>
  <c r="CV34" i="63"/>
  <c r="CR34" i="63"/>
  <c r="CN34" i="63"/>
  <c r="CJ34" i="63"/>
  <c r="CF34" i="63"/>
  <c r="CB34" i="63"/>
  <c r="BX34" i="63"/>
  <c r="BW34" i="63"/>
  <c r="CE34" i="63"/>
  <c r="CM34" i="63"/>
  <c r="CU34" i="63"/>
  <c r="CW38" i="63"/>
  <c r="CS38" i="63"/>
  <c r="CO38" i="63"/>
  <c r="CK38" i="63"/>
  <c r="CG38" i="63"/>
  <c r="CC38" i="63"/>
  <c r="BY38" i="63"/>
  <c r="CZ38" i="63"/>
  <c r="CU38" i="63"/>
  <c r="CP38" i="63"/>
  <c r="CJ38" i="63"/>
  <c r="CE38" i="63"/>
  <c r="BZ38" i="63"/>
  <c r="CY38" i="63"/>
  <c r="CT38" i="63"/>
  <c r="CN38" i="63"/>
  <c r="CI38" i="63"/>
  <c r="CD38" i="63"/>
  <c r="BX38" i="63"/>
  <c r="CX38" i="63"/>
  <c r="CR38" i="63"/>
  <c r="CM38" i="63"/>
  <c r="CH38" i="63"/>
  <c r="CB38" i="63"/>
  <c r="BW38" i="63"/>
  <c r="CA38" i="63"/>
  <c r="CV38" i="63"/>
  <c r="BT45" i="63"/>
  <c r="BZ8" i="63"/>
  <c r="CK8" i="63"/>
  <c r="BW10" i="63"/>
  <c r="CH10" i="63"/>
  <c r="CM10" i="63"/>
  <c r="CS10" i="63"/>
  <c r="BR47" i="63"/>
  <c r="BR97" i="63" s="1"/>
  <c r="CZ49" i="63"/>
  <c r="CV49" i="63"/>
  <c r="CR49" i="63"/>
  <c r="CN49" i="63"/>
  <c r="CJ49" i="63"/>
  <c r="CF49" i="63"/>
  <c r="CB49" i="63"/>
  <c r="BX49" i="63"/>
  <c r="CY49" i="63"/>
  <c r="CU49" i="63"/>
  <c r="CQ49" i="63"/>
  <c r="CM49" i="63"/>
  <c r="CI49" i="63"/>
  <c r="CE49" i="63"/>
  <c r="CA49" i="63"/>
  <c r="BW49" i="63"/>
  <c r="CT49" i="63"/>
  <c r="CL49" i="63"/>
  <c r="CD49" i="63"/>
  <c r="CS49" i="63"/>
  <c r="CK49" i="63"/>
  <c r="CC49" i="63"/>
  <c r="CX49" i="63"/>
  <c r="CP49" i="63"/>
  <c r="CH49" i="63"/>
  <c r="BZ49" i="63"/>
  <c r="CG49" i="63"/>
  <c r="CZ8" i="63"/>
  <c r="CV8" i="63"/>
  <c r="CR8" i="63"/>
  <c r="CN8" i="63"/>
  <c r="CJ8" i="63"/>
  <c r="CF8" i="63"/>
  <c r="CB8" i="63"/>
  <c r="BX8" i="63"/>
  <c r="BW8" i="63"/>
  <c r="CC8" i="63"/>
  <c r="CH8" i="63"/>
  <c r="CM8" i="63"/>
  <c r="CS8" i="63"/>
  <c r="CX8" i="63"/>
  <c r="CZ14" i="63"/>
  <c r="CV14" i="63"/>
  <c r="CR14" i="63"/>
  <c r="CN14" i="63"/>
  <c r="CJ14" i="63"/>
  <c r="CF14" i="63"/>
  <c r="CB14" i="63"/>
  <c r="BX14" i="63"/>
  <c r="CY14" i="63"/>
  <c r="CU14" i="63"/>
  <c r="CQ14" i="63"/>
  <c r="CM14" i="63"/>
  <c r="CI14" i="63"/>
  <c r="CE14" i="63"/>
  <c r="CA14" i="63"/>
  <c r="BW14" i="63"/>
  <c r="BY14" i="63"/>
  <c r="CG14" i="63"/>
  <c r="CO14" i="63"/>
  <c r="CW14" i="63"/>
  <c r="CZ6" i="63"/>
  <c r="CV6" i="63"/>
  <c r="CR6" i="63"/>
  <c r="CN6" i="63"/>
  <c r="CJ6" i="63"/>
  <c r="CF6" i="63"/>
  <c r="CB6" i="63"/>
  <c r="BX6" i="63"/>
  <c r="BW6" i="63"/>
  <c r="CC6" i="63"/>
  <c r="CH6" i="63"/>
  <c r="CM6" i="63"/>
  <c r="CS6" i="63"/>
  <c r="CX6" i="63"/>
  <c r="CE8" i="63"/>
  <c r="CP8" i="63"/>
  <c r="CZ10" i="63"/>
  <c r="CV10" i="63"/>
  <c r="CR10" i="63"/>
  <c r="CN10" i="63"/>
  <c r="CJ10" i="63"/>
  <c r="CF10" i="63"/>
  <c r="CB10" i="63"/>
  <c r="BX10" i="63"/>
  <c r="CC10" i="63"/>
  <c r="CZ12" i="63"/>
  <c r="CV12" i="63"/>
  <c r="CR12" i="63"/>
  <c r="CN12" i="63"/>
  <c r="CJ12" i="63"/>
  <c r="CF12" i="63"/>
  <c r="CB12" i="63"/>
  <c r="BX12" i="63"/>
  <c r="CY12" i="63"/>
  <c r="CU12" i="63"/>
  <c r="CQ12" i="63"/>
  <c r="CM12" i="63"/>
  <c r="CI12" i="63"/>
  <c r="CE12" i="63"/>
  <c r="CA12" i="63"/>
  <c r="BW12" i="63"/>
  <c r="BY12" i="63"/>
  <c r="CG12" i="63"/>
  <c r="CO12" i="63"/>
  <c r="CW12" i="63"/>
  <c r="CC14" i="63"/>
  <c r="CK14" i="63"/>
  <c r="CS14" i="63"/>
  <c r="CZ16" i="63"/>
  <c r="CV16" i="63"/>
  <c r="CR16" i="63"/>
  <c r="CN16" i="63"/>
  <c r="CJ16" i="63"/>
  <c r="CF16" i="63"/>
  <c r="CB16" i="63"/>
  <c r="BX16" i="63"/>
  <c r="CY16" i="63"/>
  <c r="CU16" i="63"/>
  <c r="CQ16" i="63"/>
  <c r="CM16" i="63"/>
  <c r="CI16" i="63"/>
  <c r="CE16" i="63"/>
  <c r="CA16" i="63"/>
  <c r="BW16" i="63"/>
  <c r="BY16" i="63"/>
  <c r="CG16" i="63"/>
  <c r="CO16" i="63"/>
  <c r="CW16" i="63"/>
  <c r="BN97" i="63"/>
  <c r="CZ5" i="63"/>
  <c r="CV5" i="63"/>
  <c r="CR5" i="63"/>
  <c r="CN5" i="63"/>
  <c r="CJ5" i="63"/>
  <c r="CF5" i="63"/>
  <c r="CB5" i="63"/>
  <c r="BX5" i="63"/>
  <c r="BW5" i="63"/>
  <c r="CC5" i="63"/>
  <c r="CH5" i="63"/>
  <c r="CM5" i="63"/>
  <c r="CS5" i="63"/>
  <c r="CX5" i="63"/>
  <c r="BY6" i="63"/>
  <c r="CD6" i="63"/>
  <c r="CI6" i="63"/>
  <c r="CO6" i="63"/>
  <c r="CT6" i="63"/>
  <c r="CY6" i="63"/>
  <c r="CA8" i="63"/>
  <c r="CG8" i="63"/>
  <c r="CL8" i="63"/>
  <c r="CQ8" i="63"/>
  <c r="CW8" i="63"/>
  <c r="CZ9" i="63"/>
  <c r="CV9" i="63"/>
  <c r="CR9" i="63"/>
  <c r="CN9" i="63"/>
  <c r="CJ9" i="63"/>
  <c r="CF9" i="63"/>
  <c r="CB9" i="63"/>
  <c r="BX9" i="63"/>
  <c r="BW9" i="63"/>
  <c r="CC9" i="63"/>
  <c r="CH9" i="63"/>
  <c r="CM9" i="63"/>
  <c r="CS9" i="63"/>
  <c r="CX9" i="63"/>
  <c r="BY10" i="63"/>
  <c r="CD10" i="63"/>
  <c r="CI10" i="63"/>
  <c r="CO10" i="63"/>
  <c r="CT10" i="63"/>
  <c r="CY10" i="63"/>
  <c r="BZ12" i="63"/>
  <c r="CH12" i="63"/>
  <c r="CP12" i="63"/>
  <c r="CX12" i="63"/>
  <c r="CD14" i="63"/>
  <c r="CL14" i="63"/>
  <c r="CT14" i="63"/>
  <c r="CZ15" i="63"/>
  <c r="CV15" i="63"/>
  <c r="CR15" i="63"/>
  <c r="CN15" i="63"/>
  <c r="CJ15" i="63"/>
  <c r="CF15" i="63"/>
  <c r="CB15" i="63"/>
  <c r="BX15" i="63"/>
  <c r="CY15" i="63"/>
  <c r="CU15" i="63"/>
  <c r="CQ15" i="63"/>
  <c r="CM15" i="63"/>
  <c r="CI15" i="63"/>
  <c r="CE15" i="63"/>
  <c r="CA15" i="63"/>
  <c r="BW15" i="63"/>
  <c r="BY15" i="63"/>
  <c r="CG15" i="63"/>
  <c r="CO15" i="63"/>
  <c r="CW15" i="63"/>
  <c r="BZ16" i="63"/>
  <c r="CH16" i="63"/>
  <c r="CP16" i="63"/>
  <c r="CX16" i="63"/>
  <c r="CZ29" i="63"/>
  <c r="CV29" i="63"/>
  <c r="CR29" i="63"/>
  <c r="CN29" i="63"/>
  <c r="CJ29" i="63"/>
  <c r="CF29" i="63"/>
  <c r="CB29" i="63"/>
  <c r="BX29" i="63"/>
  <c r="CY29" i="63"/>
  <c r="CU29" i="63"/>
  <c r="CQ29" i="63"/>
  <c r="CM29" i="63"/>
  <c r="CI29" i="63"/>
  <c r="CE29" i="63"/>
  <c r="CA29" i="63"/>
  <c r="BW29" i="63"/>
  <c r="BY29" i="63"/>
  <c r="CG29" i="63"/>
  <c r="CO29" i="63"/>
  <c r="CW29" i="63"/>
  <c r="CA30" i="63"/>
  <c r="CI30" i="63"/>
  <c r="CQ30" i="63"/>
  <c r="CY30" i="63"/>
  <c r="CZ33" i="63"/>
  <c r="CV33" i="63"/>
  <c r="CR33" i="63"/>
  <c r="CN33" i="63"/>
  <c r="CJ33" i="63"/>
  <c r="CF33" i="63"/>
  <c r="CB33" i="63"/>
  <c r="BX33" i="63"/>
  <c r="CY33" i="63"/>
  <c r="CU33" i="63"/>
  <c r="CQ33" i="63"/>
  <c r="CM33" i="63"/>
  <c r="CI33" i="63"/>
  <c r="CE33" i="63"/>
  <c r="CA33" i="63"/>
  <c r="BW33" i="63"/>
  <c r="BY33" i="63"/>
  <c r="CG33" i="63"/>
  <c r="CO33" i="63"/>
  <c r="CW33" i="63"/>
  <c r="CA34" i="63"/>
  <c r="CI34" i="63"/>
  <c r="CQ34" i="63"/>
  <c r="CY34" i="63"/>
  <c r="CL38" i="63"/>
  <c r="CZ43" i="63"/>
  <c r="CV43" i="63"/>
  <c r="CR43" i="63"/>
  <c r="CN43" i="63"/>
  <c r="CJ43" i="63"/>
  <c r="CF43" i="63"/>
  <c r="CB43" i="63"/>
  <c r="BX43" i="63"/>
  <c r="CY43" i="63"/>
  <c r="CU43" i="63"/>
  <c r="CQ43" i="63"/>
  <c r="CM43" i="63"/>
  <c r="CI43" i="63"/>
  <c r="CE43" i="63"/>
  <c r="CA43" i="63"/>
  <c r="BW43" i="63"/>
  <c r="CT43" i="63"/>
  <c r="CL43" i="63"/>
  <c r="CD43" i="63"/>
  <c r="CS43" i="63"/>
  <c r="CK43" i="63"/>
  <c r="CC43" i="63"/>
  <c r="CX43" i="63"/>
  <c r="CP43" i="63"/>
  <c r="CH43" i="63"/>
  <c r="BZ43" i="63"/>
  <c r="CG43" i="63"/>
  <c r="CO49" i="63"/>
  <c r="CZ37" i="63"/>
  <c r="CV37" i="63"/>
  <c r="CR37" i="63"/>
  <c r="CN37" i="63"/>
  <c r="CJ37" i="63"/>
  <c r="BY37" i="63"/>
  <c r="CC37" i="63"/>
  <c r="CG37" i="63"/>
  <c r="CL37" i="63"/>
  <c r="CQ37" i="63"/>
  <c r="CW37" i="63"/>
  <c r="BY40" i="63"/>
  <c r="CD40" i="63"/>
  <c r="CJ40" i="63"/>
  <c r="CO40" i="63"/>
  <c r="CT40" i="63"/>
  <c r="CZ40" i="63"/>
  <c r="CA41" i="63"/>
  <c r="CG41" i="63"/>
  <c r="CL41" i="63"/>
  <c r="CQ41" i="63"/>
  <c r="CZ42" i="63"/>
  <c r="CV42" i="63"/>
  <c r="CR42" i="63"/>
  <c r="CN42" i="63"/>
  <c r="CJ42" i="63"/>
  <c r="CF42" i="63"/>
  <c r="CB42" i="63"/>
  <c r="BX42" i="63"/>
  <c r="CY42" i="63"/>
  <c r="CU42" i="63"/>
  <c r="CQ42" i="63"/>
  <c r="CM42" i="63"/>
  <c r="CI42" i="63"/>
  <c r="CE42" i="63"/>
  <c r="CA42" i="63"/>
  <c r="BW42" i="63"/>
  <c r="BY42" i="63"/>
  <c r="CG42" i="63"/>
  <c r="CO42" i="63"/>
  <c r="CW42" i="63"/>
  <c r="CC44" i="63"/>
  <c r="CK44" i="63"/>
  <c r="CS44" i="63"/>
  <c r="CD45" i="63"/>
  <c r="CL45" i="63"/>
  <c r="CZ46" i="63"/>
  <c r="CV46" i="63"/>
  <c r="CR46" i="63"/>
  <c r="CN46" i="63"/>
  <c r="CJ46" i="63"/>
  <c r="CF46" i="63"/>
  <c r="CB46" i="63"/>
  <c r="BX46" i="63"/>
  <c r="CY46" i="63"/>
  <c r="CU46" i="63"/>
  <c r="CQ46" i="63"/>
  <c r="CM46" i="63"/>
  <c r="CI46" i="63"/>
  <c r="CE46" i="63"/>
  <c r="CA46" i="63"/>
  <c r="BW46" i="63"/>
  <c r="BY46" i="63"/>
  <c r="CG46" i="63"/>
  <c r="CO46" i="63"/>
  <c r="CW46" i="63"/>
  <c r="CD50" i="63"/>
  <c r="CL50" i="63"/>
  <c r="BY27" i="63"/>
  <c r="CC27" i="63"/>
  <c r="CG27" i="63"/>
  <c r="CK27" i="63"/>
  <c r="CO27" i="63"/>
  <c r="CS27" i="63"/>
  <c r="CW27" i="63"/>
  <c r="BZ28" i="63"/>
  <c r="CD28" i="63"/>
  <c r="CH28" i="63"/>
  <c r="CL28" i="63"/>
  <c r="CP28" i="63"/>
  <c r="CT28" i="63"/>
  <c r="CX28" i="63"/>
  <c r="BY31" i="63"/>
  <c r="CC31" i="63"/>
  <c r="CG31" i="63"/>
  <c r="CK31" i="63"/>
  <c r="CO31" i="63"/>
  <c r="CS31" i="63"/>
  <c r="CW31" i="63"/>
  <c r="BZ32" i="63"/>
  <c r="CD32" i="63"/>
  <c r="CH32" i="63"/>
  <c r="CL32" i="63"/>
  <c r="CP32" i="63"/>
  <c r="CT32" i="63"/>
  <c r="CX32" i="63"/>
  <c r="BY35" i="63"/>
  <c r="CC35" i="63"/>
  <c r="CG35" i="63"/>
  <c r="CK35" i="63"/>
  <c r="CO35" i="63"/>
  <c r="CS35" i="63"/>
  <c r="CW35" i="63"/>
  <c r="BZ36" i="63"/>
  <c r="CD36" i="63"/>
  <c r="CH36" i="63"/>
  <c r="CL36" i="63"/>
  <c r="CP36" i="63"/>
  <c r="CT36" i="63"/>
  <c r="CX36" i="63"/>
  <c r="BZ37" i="63"/>
  <c r="CD37" i="63"/>
  <c r="CH37" i="63"/>
  <c r="CM37" i="63"/>
  <c r="CS37" i="63"/>
  <c r="CX37" i="63"/>
  <c r="BT39" i="63"/>
  <c r="BZ40" i="63"/>
  <c r="CF40" i="63"/>
  <c r="CK40" i="63"/>
  <c r="CP40" i="63"/>
  <c r="CZ41" i="63"/>
  <c r="CV41" i="63"/>
  <c r="CR41" i="63"/>
  <c r="CN41" i="63"/>
  <c r="CJ41" i="63"/>
  <c r="CF41" i="63"/>
  <c r="CB41" i="63"/>
  <c r="BX41" i="63"/>
  <c r="BW41" i="63"/>
  <c r="CC41" i="63"/>
  <c r="CH41" i="63"/>
  <c r="CM41" i="63"/>
  <c r="CS41" i="63"/>
  <c r="CX41" i="63"/>
  <c r="CZ45" i="63"/>
  <c r="CV45" i="63"/>
  <c r="CR45" i="63"/>
  <c r="CN45" i="63"/>
  <c r="CJ45" i="63"/>
  <c r="CF45" i="63"/>
  <c r="CB45" i="63"/>
  <c r="BX45" i="63"/>
  <c r="CY45" i="63"/>
  <c r="CU45" i="63"/>
  <c r="CQ45" i="63"/>
  <c r="CM45" i="63"/>
  <c r="CI45" i="63"/>
  <c r="CE45" i="63"/>
  <c r="CA45" i="63"/>
  <c r="BW45" i="63"/>
  <c r="BY45" i="63"/>
  <c r="CG45" i="63"/>
  <c r="CO45" i="63"/>
  <c r="CW45" i="63"/>
  <c r="CW50" i="63"/>
  <c r="CS50" i="63"/>
  <c r="CO50" i="63"/>
  <c r="CK50" i="63"/>
  <c r="CG50" i="63"/>
  <c r="CC50" i="63"/>
  <c r="BY50" i="63"/>
  <c r="CZ50" i="63"/>
  <c r="CV50" i="63"/>
  <c r="CR50" i="63"/>
  <c r="CN50" i="63"/>
  <c r="CJ50" i="63"/>
  <c r="CF50" i="63"/>
  <c r="CB50" i="63"/>
  <c r="BX50" i="63"/>
  <c r="BW50" i="63"/>
  <c r="CE50" i="63"/>
  <c r="CM50" i="63"/>
  <c r="CU50" i="63"/>
  <c r="CW68" i="63"/>
  <c r="CS68" i="63"/>
  <c r="CO68" i="63"/>
  <c r="CK68" i="63"/>
  <c r="CG68" i="63"/>
  <c r="CC68" i="63"/>
  <c r="BY68" i="63"/>
  <c r="CZ68" i="63"/>
  <c r="CV68" i="63"/>
  <c r="CR68" i="63"/>
  <c r="CN68" i="63"/>
  <c r="CJ68" i="63"/>
  <c r="CF68" i="63"/>
  <c r="CB68" i="63"/>
  <c r="BX68" i="63"/>
  <c r="CY68" i="63"/>
  <c r="CU68" i="63"/>
  <c r="CQ68" i="63"/>
  <c r="CM68" i="63"/>
  <c r="CI68" i="63"/>
  <c r="CE68" i="63"/>
  <c r="CA68" i="63"/>
  <c r="BW68" i="63"/>
  <c r="CL68" i="63"/>
  <c r="CX68" i="63"/>
  <c r="CH68" i="63"/>
  <c r="CT68" i="63"/>
  <c r="CD68" i="63"/>
  <c r="CP68" i="63"/>
  <c r="BZ18" i="63"/>
  <c r="CD18" i="63"/>
  <c r="CH18" i="63"/>
  <c r="CL18" i="63"/>
  <c r="CP18" i="63"/>
  <c r="CT18" i="63"/>
  <c r="BZ19" i="63"/>
  <c r="CD19" i="63"/>
  <c r="CH19" i="63"/>
  <c r="CL19" i="63"/>
  <c r="CP19" i="63"/>
  <c r="CT19" i="63"/>
  <c r="BZ20" i="63"/>
  <c r="CD20" i="63"/>
  <c r="CH20" i="63"/>
  <c r="CL20" i="63"/>
  <c r="CP20" i="63"/>
  <c r="CT20" i="63"/>
  <c r="BZ21" i="63"/>
  <c r="CD21" i="63"/>
  <c r="CH21" i="63"/>
  <c r="CL21" i="63"/>
  <c r="CP21" i="63"/>
  <c r="CT21" i="63"/>
  <c r="BZ22" i="63"/>
  <c r="CD22" i="63"/>
  <c r="CH22" i="63"/>
  <c r="CL22" i="63"/>
  <c r="CP22" i="63"/>
  <c r="CT22" i="63"/>
  <c r="BZ23" i="63"/>
  <c r="CD23" i="63"/>
  <c r="CH23" i="63"/>
  <c r="CL23" i="63"/>
  <c r="CP23" i="63"/>
  <c r="CT23" i="63"/>
  <c r="BZ24" i="63"/>
  <c r="CD24" i="63"/>
  <c r="CH24" i="63"/>
  <c r="CL24" i="63"/>
  <c r="CP24" i="63"/>
  <c r="CT24" i="63"/>
  <c r="BZ25" i="63"/>
  <c r="CD25" i="63"/>
  <c r="CH25" i="63"/>
  <c r="CL25" i="63"/>
  <c r="CP25" i="63"/>
  <c r="CT25" i="63"/>
  <c r="BZ26" i="63"/>
  <c r="CD26" i="63"/>
  <c r="CH26" i="63"/>
  <c r="CL26" i="63"/>
  <c r="CP26" i="63"/>
  <c r="CT26" i="63"/>
  <c r="BZ27" i="63"/>
  <c r="CD27" i="63"/>
  <c r="CH27" i="63"/>
  <c r="CL27" i="63"/>
  <c r="CP27" i="63"/>
  <c r="CT27" i="63"/>
  <c r="BW28" i="63"/>
  <c r="CA28" i="63"/>
  <c r="CE28" i="63"/>
  <c r="CI28" i="63"/>
  <c r="CM28" i="63"/>
  <c r="CQ28" i="63"/>
  <c r="CU28" i="63"/>
  <c r="BZ31" i="63"/>
  <c r="CD31" i="63"/>
  <c r="CH31" i="63"/>
  <c r="CL31" i="63"/>
  <c r="CP31" i="63"/>
  <c r="CT31" i="63"/>
  <c r="BW32" i="63"/>
  <c r="CA32" i="63"/>
  <c r="CE32" i="63"/>
  <c r="CI32" i="63"/>
  <c r="CM32" i="63"/>
  <c r="CQ32" i="63"/>
  <c r="CU32" i="63"/>
  <c r="BZ35" i="63"/>
  <c r="CD35" i="63"/>
  <c r="CH35" i="63"/>
  <c r="CL35" i="63"/>
  <c r="CP35" i="63"/>
  <c r="CT35" i="63"/>
  <c r="BW36" i="63"/>
  <c r="CA36" i="63"/>
  <c r="CE36" i="63"/>
  <c r="CI36" i="63"/>
  <c r="CM36" i="63"/>
  <c r="CQ36" i="63"/>
  <c r="CU36" i="63"/>
  <c r="BW37" i="63"/>
  <c r="CA37" i="63"/>
  <c r="CE37" i="63"/>
  <c r="CI37" i="63"/>
  <c r="CO37" i="63"/>
  <c r="CT37" i="63"/>
  <c r="CY37" i="63"/>
  <c r="CY40" i="63"/>
  <c r="CU40" i="63"/>
  <c r="CQ40" i="63"/>
  <c r="CM40" i="63"/>
  <c r="CI40" i="63"/>
  <c r="CE40" i="63"/>
  <c r="CA40" i="63"/>
  <c r="BW40" i="63"/>
  <c r="CB40" i="63"/>
  <c r="CG40" i="63"/>
  <c r="CL40" i="63"/>
  <c r="CR40" i="63"/>
  <c r="CW40" i="63"/>
  <c r="BY41" i="63"/>
  <c r="CD41" i="63"/>
  <c r="CI41" i="63"/>
  <c r="CO41" i="63"/>
  <c r="CT41" i="63"/>
  <c r="CY41" i="63"/>
  <c r="CC42" i="63"/>
  <c r="CK42" i="63"/>
  <c r="CS42" i="63"/>
  <c r="CZ44" i="63"/>
  <c r="CV44" i="63"/>
  <c r="CR44" i="63"/>
  <c r="CN44" i="63"/>
  <c r="CJ44" i="63"/>
  <c r="CF44" i="63"/>
  <c r="CB44" i="63"/>
  <c r="BX44" i="63"/>
  <c r="CY44" i="63"/>
  <c r="CU44" i="63"/>
  <c r="CQ44" i="63"/>
  <c r="CM44" i="63"/>
  <c r="CI44" i="63"/>
  <c r="CE44" i="63"/>
  <c r="CA44" i="63"/>
  <c r="BW44" i="63"/>
  <c r="BY44" i="63"/>
  <c r="CG44" i="63"/>
  <c r="CO44" i="63"/>
  <c r="CW44" i="63"/>
  <c r="BZ45" i="63"/>
  <c r="CH45" i="63"/>
  <c r="CP45" i="63"/>
  <c r="CX45" i="63"/>
  <c r="CC46" i="63"/>
  <c r="CK46" i="63"/>
  <c r="CS46" i="63"/>
  <c r="BT48" i="63"/>
  <c r="BZ50" i="63"/>
  <c r="CH50" i="63"/>
  <c r="CP50" i="63"/>
  <c r="CX50" i="63"/>
  <c r="CY53" i="63"/>
  <c r="CU53" i="63"/>
  <c r="CQ53" i="63"/>
  <c r="BZ53" i="63"/>
  <c r="CD53" i="63"/>
  <c r="CH53" i="63"/>
  <c r="CL53" i="63"/>
  <c r="CP53" i="63"/>
  <c r="CV53" i="63"/>
  <c r="CZ54" i="63"/>
  <c r="CV54" i="63"/>
  <c r="CR54" i="63"/>
  <c r="CN54" i="63"/>
  <c r="CJ54" i="63"/>
  <c r="CF54" i="63"/>
  <c r="CB54" i="63"/>
  <c r="BX54" i="63"/>
  <c r="BW54" i="63"/>
  <c r="CC54" i="63"/>
  <c r="CH54" i="63"/>
  <c r="CM54" i="63"/>
  <c r="CS54" i="63"/>
  <c r="CX54" i="63"/>
  <c r="CW58" i="63"/>
  <c r="CS58" i="63"/>
  <c r="CO58" i="63"/>
  <c r="CK58" i="63"/>
  <c r="CG58" i="63"/>
  <c r="CC58" i="63"/>
  <c r="BY58" i="63"/>
  <c r="CZ58" i="63"/>
  <c r="CV58" i="63"/>
  <c r="CR58" i="63"/>
  <c r="CN58" i="63"/>
  <c r="CJ58" i="63"/>
  <c r="CF58" i="63"/>
  <c r="CB58" i="63"/>
  <c r="BX58" i="63"/>
  <c r="BW58" i="63"/>
  <c r="CE58" i="63"/>
  <c r="CM58" i="63"/>
  <c r="CU58" i="63"/>
  <c r="CW67" i="63"/>
  <c r="CS67" i="63"/>
  <c r="CO67" i="63"/>
  <c r="CK67" i="63"/>
  <c r="CG67" i="63"/>
  <c r="CC67" i="63"/>
  <c r="BY67" i="63"/>
  <c r="CZ67" i="63"/>
  <c r="CV67" i="63"/>
  <c r="CR67" i="63"/>
  <c r="CN67" i="63"/>
  <c r="CJ67" i="63"/>
  <c r="CF67" i="63"/>
  <c r="CB67" i="63"/>
  <c r="BX67" i="63"/>
  <c r="CY67" i="63"/>
  <c r="CU67" i="63"/>
  <c r="CQ67" i="63"/>
  <c r="CM67" i="63"/>
  <c r="CI67" i="63"/>
  <c r="CE67" i="63"/>
  <c r="CA67" i="63"/>
  <c r="BW67" i="63"/>
  <c r="BZ67" i="63"/>
  <c r="CP67" i="63"/>
  <c r="BZ47" i="63"/>
  <c r="CD47" i="63"/>
  <c r="CH47" i="63"/>
  <c r="CL47" i="63"/>
  <c r="CP47" i="63"/>
  <c r="CT47" i="63"/>
  <c r="CX47" i="63"/>
  <c r="BZ48" i="63"/>
  <c r="CD48" i="63"/>
  <c r="CH48" i="63"/>
  <c r="CL48" i="63"/>
  <c r="CP48" i="63"/>
  <c r="CT48" i="63"/>
  <c r="CX48" i="63"/>
  <c r="BZ52" i="63"/>
  <c r="CD52" i="63"/>
  <c r="CH52" i="63"/>
  <c r="CL52" i="63"/>
  <c r="CP52" i="63"/>
  <c r="CT52" i="63"/>
  <c r="CX52" i="63"/>
  <c r="BW53" i="63"/>
  <c r="CA53" i="63"/>
  <c r="CE53" i="63"/>
  <c r="CI53" i="63"/>
  <c r="CM53" i="63"/>
  <c r="CR53" i="63"/>
  <c r="CW53" i="63"/>
  <c r="BY54" i="63"/>
  <c r="CD54" i="63"/>
  <c r="CI54" i="63"/>
  <c r="CO54" i="63"/>
  <c r="CT54" i="63"/>
  <c r="CY54" i="63"/>
  <c r="CZ57" i="63"/>
  <c r="CV57" i="63"/>
  <c r="CR57" i="63"/>
  <c r="CN57" i="63"/>
  <c r="CJ57" i="63"/>
  <c r="CF57" i="63"/>
  <c r="CB57" i="63"/>
  <c r="BX57" i="63"/>
  <c r="CY57" i="63"/>
  <c r="CU57" i="63"/>
  <c r="CQ57" i="63"/>
  <c r="CM57" i="63"/>
  <c r="CI57" i="63"/>
  <c r="CE57" i="63"/>
  <c r="CA57" i="63"/>
  <c r="BW57" i="63"/>
  <c r="CD57" i="63"/>
  <c r="CL57" i="63"/>
  <c r="CT57" i="63"/>
  <c r="BZ58" i="63"/>
  <c r="CH58" i="63"/>
  <c r="CP58" i="63"/>
  <c r="CX58" i="63"/>
  <c r="CW62" i="63"/>
  <c r="CS62" i="63"/>
  <c r="CO62" i="63"/>
  <c r="CK62" i="63"/>
  <c r="CG62" i="63"/>
  <c r="CC62" i="63"/>
  <c r="BY62" i="63"/>
  <c r="CZ62" i="63"/>
  <c r="CV62" i="63"/>
  <c r="CR62" i="63"/>
  <c r="CN62" i="63"/>
  <c r="CJ62" i="63"/>
  <c r="CF62" i="63"/>
  <c r="CB62" i="63"/>
  <c r="BX62" i="63"/>
  <c r="CY62" i="63"/>
  <c r="CU62" i="63"/>
  <c r="CQ62" i="63"/>
  <c r="CM62" i="63"/>
  <c r="CI62" i="63"/>
  <c r="CE62" i="63"/>
  <c r="CA62" i="63"/>
  <c r="BW62" i="63"/>
  <c r="BZ62" i="63"/>
  <c r="CP62" i="63"/>
  <c r="CD67" i="63"/>
  <c r="CT67" i="63"/>
  <c r="CZ71" i="63"/>
  <c r="CV71" i="63"/>
  <c r="CR71" i="63"/>
  <c r="CN71" i="63"/>
  <c r="CJ71" i="63"/>
  <c r="CF71" i="63"/>
  <c r="CB71" i="63"/>
  <c r="BX71" i="63"/>
  <c r="CW71" i="63"/>
  <c r="CQ71" i="63"/>
  <c r="CL71" i="63"/>
  <c r="CG71" i="63"/>
  <c r="CA71" i="63"/>
  <c r="CU71" i="63"/>
  <c r="CP71" i="63"/>
  <c r="CK71" i="63"/>
  <c r="CE71" i="63"/>
  <c r="BZ71" i="63"/>
  <c r="CY71" i="63"/>
  <c r="CT71" i="63"/>
  <c r="CO71" i="63"/>
  <c r="CI71" i="63"/>
  <c r="CD71" i="63"/>
  <c r="BY71" i="63"/>
  <c r="CC71" i="63"/>
  <c r="CX71" i="63"/>
  <c r="BZ39" i="63"/>
  <c r="CD39" i="63"/>
  <c r="CH39" i="63"/>
  <c r="CL39" i="63"/>
  <c r="CP39" i="63"/>
  <c r="CT39" i="63"/>
  <c r="BW47" i="63"/>
  <c r="CA47" i="63"/>
  <c r="CE47" i="63"/>
  <c r="CI47" i="63"/>
  <c r="CM47" i="63"/>
  <c r="CQ47" i="63"/>
  <c r="CU47" i="63"/>
  <c r="BW48" i="63"/>
  <c r="CA48" i="63"/>
  <c r="CE48" i="63"/>
  <c r="CI48" i="63"/>
  <c r="CM48" i="63"/>
  <c r="CQ48" i="63"/>
  <c r="CU48" i="63"/>
  <c r="BZ51" i="63"/>
  <c r="CD51" i="63"/>
  <c r="CH51" i="63"/>
  <c r="CL51" i="63"/>
  <c r="CP51" i="63"/>
  <c r="CT51" i="63"/>
  <c r="BW52" i="63"/>
  <c r="CA52" i="63"/>
  <c r="CE52" i="63"/>
  <c r="CI52" i="63"/>
  <c r="CM52" i="63"/>
  <c r="CQ52" i="63"/>
  <c r="CU52" i="63"/>
  <c r="BX53" i="63"/>
  <c r="CB53" i="63"/>
  <c r="CF53" i="63"/>
  <c r="CJ53" i="63"/>
  <c r="CN53" i="63"/>
  <c r="CS53" i="63"/>
  <c r="CX53" i="63"/>
  <c r="BZ54" i="63"/>
  <c r="CE54" i="63"/>
  <c r="CK54" i="63"/>
  <c r="CP54" i="63"/>
  <c r="CU54" i="63"/>
  <c r="CW55" i="63"/>
  <c r="CS55" i="63"/>
  <c r="CO55" i="63"/>
  <c r="CK55" i="63"/>
  <c r="CG55" i="63"/>
  <c r="CC55" i="63"/>
  <c r="BY55" i="63"/>
  <c r="CA55" i="63"/>
  <c r="CF55" i="63"/>
  <c r="CL55" i="63"/>
  <c r="CQ55" i="63"/>
  <c r="CV55" i="63"/>
  <c r="BY57" i="63"/>
  <c r="CG57" i="63"/>
  <c r="CO57" i="63"/>
  <c r="CW57" i="63"/>
  <c r="CA58" i="63"/>
  <c r="CI58" i="63"/>
  <c r="CQ58" i="63"/>
  <c r="CY58" i="63"/>
  <c r="CZ61" i="63"/>
  <c r="CV61" i="63"/>
  <c r="CR61" i="63"/>
  <c r="CN61" i="63"/>
  <c r="CJ61" i="63"/>
  <c r="CF61" i="63"/>
  <c r="CB61" i="63"/>
  <c r="BX61" i="63"/>
  <c r="CY61" i="63"/>
  <c r="CU61" i="63"/>
  <c r="CQ61" i="63"/>
  <c r="CM61" i="63"/>
  <c r="CI61" i="63"/>
  <c r="CE61" i="63"/>
  <c r="CA61" i="63"/>
  <c r="BW61" i="63"/>
  <c r="CX61" i="63"/>
  <c r="CT61" i="63"/>
  <c r="CP61" i="63"/>
  <c r="CL61" i="63"/>
  <c r="CD61" i="63"/>
  <c r="CO61" i="63"/>
  <c r="CD62" i="63"/>
  <c r="CT62" i="63"/>
  <c r="CH67" i="63"/>
  <c r="CX67" i="63"/>
  <c r="CZ69" i="63"/>
  <c r="CV69" i="63"/>
  <c r="CR69" i="63"/>
  <c r="CN69" i="63"/>
  <c r="CJ69" i="63"/>
  <c r="CF69" i="63"/>
  <c r="CB69" i="63"/>
  <c r="CY69" i="63"/>
  <c r="CT69" i="63"/>
  <c r="CO69" i="63"/>
  <c r="CI69" i="63"/>
  <c r="CD69" i="63"/>
  <c r="BY69" i="63"/>
  <c r="CX69" i="63"/>
  <c r="CS69" i="63"/>
  <c r="CM69" i="63"/>
  <c r="CH69" i="63"/>
  <c r="CC69" i="63"/>
  <c r="BX69" i="63"/>
  <c r="CW69" i="63"/>
  <c r="CQ69" i="63"/>
  <c r="CL69" i="63"/>
  <c r="CG69" i="63"/>
  <c r="CA69" i="63"/>
  <c r="BW69" i="63"/>
  <c r="BZ69" i="63"/>
  <c r="CU69" i="63"/>
  <c r="CW74" i="63"/>
  <c r="CS74" i="63"/>
  <c r="CO74" i="63"/>
  <c r="CK74" i="63"/>
  <c r="CG74" i="63"/>
  <c r="CC74" i="63"/>
  <c r="BY74" i="63"/>
  <c r="CZ74" i="63"/>
  <c r="CV74" i="63"/>
  <c r="CR74" i="63"/>
  <c r="CN74" i="63"/>
  <c r="CJ74" i="63"/>
  <c r="CF74" i="63"/>
  <c r="CB74" i="63"/>
  <c r="BX74" i="63"/>
  <c r="CT74" i="63"/>
  <c r="CL74" i="63"/>
  <c r="CD74" i="63"/>
  <c r="CY74" i="63"/>
  <c r="CQ74" i="63"/>
  <c r="CI74" i="63"/>
  <c r="CA74" i="63"/>
  <c r="CX74" i="63"/>
  <c r="CP74" i="63"/>
  <c r="CH74" i="63"/>
  <c r="BZ74" i="63"/>
  <c r="CE74" i="63"/>
  <c r="BZ65" i="63"/>
  <c r="CD65" i="63"/>
  <c r="CH65" i="63"/>
  <c r="CL65" i="63"/>
  <c r="CP65" i="63"/>
  <c r="CT65" i="63"/>
  <c r="CX65" i="63"/>
  <c r="BZ66" i="63"/>
  <c r="CD66" i="63"/>
  <c r="CH66" i="63"/>
  <c r="CL66" i="63"/>
  <c r="CP66" i="63"/>
  <c r="CT66" i="63"/>
  <c r="CX66" i="63"/>
  <c r="CZ70" i="63"/>
  <c r="CV70" i="63"/>
  <c r="CR70" i="63"/>
  <c r="CN70" i="63"/>
  <c r="CJ70" i="63"/>
  <c r="CF70" i="63"/>
  <c r="CB70" i="63"/>
  <c r="BX70" i="63"/>
  <c r="BW70" i="63"/>
  <c r="CC70" i="63"/>
  <c r="CH70" i="63"/>
  <c r="CM70" i="63"/>
  <c r="CS70" i="63"/>
  <c r="CX70" i="63"/>
  <c r="CZ77" i="63"/>
  <c r="CV77" i="63"/>
  <c r="CR77" i="63"/>
  <c r="CN77" i="63"/>
  <c r="CJ77" i="63"/>
  <c r="CF77" i="63"/>
  <c r="CB77" i="63"/>
  <c r="BX77" i="63"/>
  <c r="CU77" i="63"/>
  <c r="CP77" i="63"/>
  <c r="CK77" i="63"/>
  <c r="CE77" i="63"/>
  <c r="BZ77" i="63"/>
  <c r="CY77" i="63"/>
  <c r="CT77" i="63"/>
  <c r="CO77" i="63"/>
  <c r="CI77" i="63"/>
  <c r="CD77" i="63"/>
  <c r="BY77" i="63"/>
  <c r="CX77" i="63"/>
  <c r="CS77" i="63"/>
  <c r="CM77" i="63"/>
  <c r="CH77" i="63"/>
  <c r="CC77" i="63"/>
  <c r="BW77" i="63"/>
  <c r="CA77" i="63"/>
  <c r="CW77" i="63"/>
  <c r="BZ56" i="63"/>
  <c r="CD56" i="63"/>
  <c r="CH56" i="63"/>
  <c r="CL56" i="63"/>
  <c r="CP56" i="63"/>
  <c r="CT56" i="63"/>
  <c r="BY59" i="63"/>
  <c r="CC59" i="63"/>
  <c r="CG59" i="63"/>
  <c r="CK59" i="63"/>
  <c r="CO59" i="63"/>
  <c r="CS59" i="63"/>
  <c r="CW59" i="63"/>
  <c r="BZ60" i="63"/>
  <c r="CD60" i="63"/>
  <c r="CH60" i="63"/>
  <c r="CL60" i="63"/>
  <c r="CP60" i="63"/>
  <c r="CT60" i="63"/>
  <c r="BY63" i="63"/>
  <c r="CC63" i="63"/>
  <c r="CG63" i="63"/>
  <c r="CK63" i="63"/>
  <c r="CO63" i="63"/>
  <c r="CS63" i="63"/>
  <c r="CW63" i="63"/>
  <c r="BZ64" i="63"/>
  <c r="CD64" i="63"/>
  <c r="CH64" i="63"/>
  <c r="CL64" i="63"/>
  <c r="CP64" i="63"/>
  <c r="CT64" i="63"/>
  <c r="CX64" i="63"/>
  <c r="BW65" i="63"/>
  <c r="CA65" i="63"/>
  <c r="CE65" i="63"/>
  <c r="CI65" i="63"/>
  <c r="CM65" i="63"/>
  <c r="CQ65" i="63"/>
  <c r="CU65" i="63"/>
  <c r="CY65" i="63"/>
  <c r="BW66" i="63"/>
  <c r="CA66" i="63"/>
  <c r="CE66" i="63"/>
  <c r="CI66" i="63"/>
  <c r="CM66" i="63"/>
  <c r="CQ66" i="63"/>
  <c r="CU66" i="63"/>
  <c r="CY66" i="63"/>
  <c r="BY70" i="63"/>
  <c r="CD70" i="63"/>
  <c r="CI70" i="63"/>
  <c r="CO70" i="63"/>
  <c r="CT70" i="63"/>
  <c r="CY70" i="63"/>
  <c r="CA72" i="63"/>
  <c r="CG72" i="63"/>
  <c r="CL72" i="63"/>
  <c r="CQ72" i="63"/>
  <c r="CZ73" i="63"/>
  <c r="CV73" i="63"/>
  <c r="CR73" i="63"/>
  <c r="CN73" i="63"/>
  <c r="CJ73" i="63"/>
  <c r="CF73" i="63"/>
  <c r="CB73" i="63"/>
  <c r="BX73" i="63"/>
  <c r="BW73" i="63"/>
  <c r="CC73" i="63"/>
  <c r="CH73" i="63"/>
  <c r="CM73" i="63"/>
  <c r="CS73" i="63"/>
  <c r="CX73" i="63"/>
  <c r="CD75" i="63"/>
  <c r="CL75" i="63"/>
  <c r="CW76" i="63"/>
  <c r="CS76" i="63"/>
  <c r="CO76" i="63"/>
  <c r="CK76" i="63"/>
  <c r="CG76" i="63"/>
  <c r="CC76" i="63"/>
  <c r="BY76" i="63"/>
  <c r="CZ76" i="63"/>
  <c r="CV76" i="63"/>
  <c r="CR76" i="63"/>
  <c r="CN76" i="63"/>
  <c r="CJ76" i="63"/>
  <c r="CF76" i="63"/>
  <c r="CB76" i="63"/>
  <c r="BX76" i="63"/>
  <c r="CY76" i="63"/>
  <c r="CU76" i="63"/>
  <c r="CQ76" i="63"/>
  <c r="CM76" i="63"/>
  <c r="CI76" i="63"/>
  <c r="CE76" i="63"/>
  <c r="CA76" i="63"/>
  <c r="BW76" i="63"/>
  <c r="BZ76" i="63"/>
  <c r="CP76" i="63"/>
  <c r="CG77" i="63"/>
  <c r="CZ78" i="63"/>
  <c r="CV78" i="63"/>
  <c r="CR78" i="63"/>
  <c r="CN78" i="63"/>
  <c r="CJ78" i="63"/>
  <c r="CF78" i="63"/>
  <c r="CB78" i="63"/>
  <c r="BX78" i="63"/>
  <c r="CW78" i="63"/>
  <c r="CQ78" i="63"/>
  <c r="CL78" i="63"/>
  <c r="CG78" i="63"/>
  <c r="CA78" i="63"/>
  <c r="CU78" i="63"/>
  <c r="CP78" i="63"/>
  <c r="CK78" i="63"/>
  <c r="CE78" i="63"/>
  <c r="BZ78" i="63"/>
  <c r="CY78" i="63"/>
  <c r="CT78" i="63"/>
  <c r="CO78" i="63"/>
  <c r="CI78" i="63"/>
  <c r="CD78" i="63"/>
  <c r="BY78" i="63"/>
  <c r="CC78" i="63"/>
  <c r="CX78" i="63"/>
  <c r="BZ59" i="63"/>
  <c r="CD59" i="63"/>
  <c r="CH59" i="63"/>
  <c r="CL59" i="63"/>
  <c r="CP59" i="63"/>
  <c r="CT59" i="63"/>
  <c r="BZ63" i="63"/>
  <c r="CD63" i="63"/>
  <c r="CH63" i="63"/>
  <c r="CL63" i="63"/>
  <c r="CP63" i="63"/>
  <c r="CT63" i="63"/>
  <c r="BX65" i="63"/>
  <c r="CB65" i="63"/>
  <c r="CF65" i="63"/>
  <c r="CJ65" i="63"/>
  <c r="CN65" i="63"/>
  <c r="CR65" i="63"/>
  <c r="CV65" i="63"/>
  <c r="BX66" i="63"/>
  <c r="CB66" i="63"/>
  <c r="CF66" i="63"/>
  <c r="CJ66" i="63"/>
  <c r="CN66" i="63"/>
  <c r="CR66" i="63"/>
  <c r="CV66" i="63"/>
  <c r="BZ70" i="63"/>
  <c r="CE70" i="63"/>
  <c r="CK70" i="63"/>
  <c r="CP70" i="63"/>
  <c r="CU70" i="63"/>
  <c r="CZ72" i="63"/>
  <c r="CV72" i="63"/>
  <c r="CR72" i="63"/>
  <c r="CN72" i="63"/>
  <c r="CJ72" i="63"/>
  <c r="CF72" i="63"/>
  <c r="CB72" i="63"/>
  <c r="BX72" i="63"/>
  <c r="BW72" i="63"/>
  <c r="CC72" i="63"/>
  <c r="CH72" i="63"/>
  <c r="CM72" i="63"/>
  <c r="CS72" i="63"/>
  <c r="CX72" i="63"/>
  <c r="BY73" i="63"/>
  <c r="CD73" i="63"/>
  <c r="CI73" i="63"/>
  <c r="CO73" i="63"/>
  <c r="CT73" i="63"/>
  <c r="CY73" i="63"/>
  <c r="CW75" i="63"/>
  <c r="CS75" i="63"/>
  <c r="CO75" i="63"/>
  <c r="CK75" i="63"/>
  <c r="CG75" i="63"/>
  <c r="CC75" i="63"/>
  <c r="BY75" i="63"/>
  <c r="CZ75" i="63"/>
  <c r="CV75" i="63"/>
  <c r="CR75" i="63"/>
  <c r="CN75" i="63"/>
  <c r="CJ75" i="63"/>
  <c r="CF75" i="63"/>
  <c r="CB75" i="63"/>
  <c r="BX75" i="63"/>
  <c r="BW75" i="63"/>
  <c r="CE75" i="63"/>
  <c r="CM75" i="63"/>
  <c r="CU75" i="63"/>
  <c r="CD76" i="63"/>
  <c r="CT76" i="63"/>
  <c r="CL77" i="63"/>
  <c r="CH78" i="63"/>
  <c r="BT81" i="63"/>
  <c r="BT85" i="63"/>
  <c r="BT80" i="63"/>
  <c r="BT84" i="63"/>
  <c r="BZ79" i="63"/>
  <c r="CD79" i="63"/>
  <c r="CH79" i="63"/>
  <c r="CL79" i="63"/>
  <c r="CP79" i="63"/>
  <c r="CT79" i="63"/>
  <c r="CX79" i="63"/>
  <c r="BZ80" i="63"/>
  <c r="CD80" i="63"/>
  <c r="CH80" i="63"/>
  <c r="CL80" i="63"/>
  <c r="CP80" i="63"/>
  <c r="CT80" i="63"/>
  <c r="CX80" i="63"/>
  <c r="BZ81" i="63"/>
  <c r="CD81" i="63"/>
  <c r="CH81" i="63"/>
  <c r="CL81" i="63"/>
  <c r="CP81" i="63"/>
  <c r="CT81" i="63"/>
  <c r="CX81" i="63"/>
  <c r="BZ82" i="63"/>
  <c r="CD82" i="63"/>
  <c r="CH82" i="63"/>
  <c r="CL82" i="63"/>
  <c r="CP82" i="63"/>
  <c r="CT82" i="63"/>
  <c r="CX82" i="63"/>
  <c r="BZ83" i="63"/>
  <c r="CD83" i="63"/>
  <c r="CH83" i="63"/>
  <c r="CL83" i="63"/>
  <c r="CP83" i="63"/>
  <c r="CT83" i="63"/>
  <c r="CX83" i="63"/>
  <c r="BZ84" i="63"/>
  <c r="CD84" i="63"/>
  <c r="CH84" i="63"/>
  <c r="CL84" i="63"/>
  <c r="CP84" i="63"/>
  <c r="CT84" i="63"/>
  <c r="CX84" i="63"/>
  <c r="CX85" i="63"/>
  <c r="CT85" i="63"/>
  <c r="CP85" i="63"/>
  <c r="CL85" i="63"/>
  <c r="CZ85" i="63"/>
  <c r="CV85" i="63"/>
  <c r="CR85" i="63"/>
  <c r="CN85" i="63"/>
  <c r="CJ85" i="63"/>
  <c r="CF85" i="63"/>
  <c r="BZ85" i="63"/>
  <c r="CD85" i="63"/>
  <c r="CI85" i="63"/>
  <c r="CQ85" i="63"/>
  <c r="CY85" i="63"/>
  <c r="BP99" i="63"/>
  <c r="BX79" i="63"/>
  <c r="CB79" i="63"/>
  <c r="CF79" i="63"/>
  <c r="CJ79" i="63"/>
  <c r="CN79" i="63"/>
  <c r="CR79" i="63"/>
  <c r="CV79" i="63"/>
  <c r="BX80" i="63"/>
  <c r="CB80" i="63"/>
  <c r="CF80" i="63"/>
  <c r="CJ80" i="63"/>
  <c r="CN80" i="63"/>
  <c r="CR80" i="63"/>
  <c r="CV80" i="63"/>
  <c r="BX81" i="63"/>
  <c r="CB81" i="63"/>
  <c r="CF81" i="63"/>
  <c r="CJ81" i="63"/>
  <c r="CN81" i="63"/>
  <c r="CR81" i="63"/>
  <c r="CV81" i="63"/>
  <c r="BX82" i="63"/>
  <c r="CB82" i="63"/>
  <c r="CF82" i="63"/>
  <c r="CJ82" i="63"/>
  <c r="CN82" i="63"/>
  <c r="CR82" i="63"/>
  <c r="CV82" i="63"/>
  <c r="BX83" i="63"/>
  <c r="CB83" i="63"/>
  <c r="CF83" i="63"/>
  <c r="CJ83" i="63"/>
  <c r="CN83" i="63"/>
  <c r="CR83" i="63"/>
  <c r="CV83" i="63"/>
  <c r="BX84" i="63"/>
  <c r="CB84" i="63"/>
  <c r="CF84" i="63"/>
  <c r="CJ84" i="63"/>
  <c r="CN84" i="63"/>
  <c r="CR84" i="63"/>
  <c r="CV84" i="63"/>
  <c r="BX85" i="63"/>
  <c r="CB85" i="63"/>
  <c r="CG85" i="63"/>
  <c r="CM85" i="63"/>
  <c r="CU85" i="63"/>
  <c r="BT87" i="63"/>
  <c r="BX86" i="63"/>
  <c r="CB86" i="63"/>
  <c r="CF86" i="63"/>
  <c r="CJ86" i="63"/>
  <c r="CN86" i="63"/>
  <c r="CR86" i="63"/>
  <c r="CV86" i="63"/>
  <c r="CZ86" i="63"/>
  <c r="BX87" i="63"/>
  <c r="CB87" i="63"/>
  <c r="CF87" i="63"/>
  <c r="CJ87" i="63"/>
  <c r="CN87" i="63"/>
  <c r="CR87" i="63"/>
  <c r="CV87" i="63"/>
  <c r="CZ87" i="63"/>
  <c r="BX88" i="63"/>
  <c r="CB88" i="63"/>
  <c r="CF88" i="63"/>
  <c r="CJ88" i="63"/>
  <c r="CN88" i="63"/>
  <c r="CR88" i="63"/>
  <c r="CV88" i="63"/>
  <c r="CZ88" i="63"/>
  <c r="BX89" i="63"/>
  <c r="CB89" i="63"/>
  <c r="CF89" i="63"/>
  <c r="CJ89" i="63"/>
  <c r="CN89" i="63"/>
  <c r="CR89" i="63"/>
  <c r="CV89" i="63"/>
  <c r="CZ89" i="63"/>
  <c r="BX90" i="63"/>
  <c r="CB90" i="63"/>
  <c r="CF90" i="63"/>
  <c r="CJ90" i="63"/>
  <c r="CN90" i="63"/>
  <c r="CR90" i="63"/>
  <c r="CV90" i="63"/>
  <c r="CZ90" i="63"/>
  <c r="BZ86" i="63"/>
  <c r="CD86" i="63"/>
  <c r="CH86" i="63"/>
  <c r="CL86" i="63"/>
  <c r="CP86" i="63"/>
  <c r="CT86" i="63"/>
  <c r="BZ87" i="63"/>
  <c r="CD87" i="63"/>
  <c r="CH87" i="63"/>
  <c r="CL87" i="63"/>
  <c r="CP87" i="63"/>
  <c r="CT87" i="63"/>
  <c r="BZ88" i="63"/>
  <c r="CD88" i="63"/>
  <c r="CH88" i="63"/>
  <c r="CL88" i="63"/>
  <c r="CP88" i="63"/>
  <c r="CT88" i="63"/>
  <c r="BZ89" i="63"/>
  <c r="CD89" i="63"/>
  <c r="CH89" i="63"/>
  <c r="CL89" i="63"/>
  <c r="CP89" i="63"/>
  <c r="CT89" i="63"/>
  <c r="BZ90" i="63"/>
  <c r="CD90" i="63"/>
  <c r="CH90" i="63"/>
  <c r="CL90" i="63"/>
  <c r="CP90" i="63"/>
  <c r="CT90" i="63"/>
  <c r="BT47" i="63" l="1"/>
  <c r="BT97" i="63" s="1"/>
  <c r="BY97" i="63"/>
  <c r="I100" i="63" s="1"/>
  <c r="CG97" i="63"/>
  <c r="Y100" i="63" s="1"/>
  <c r="CO97" i="63"/>
  <c r="AO100" i="63" s="1"/>
  <c r="DA97" i="63"/>
  <c r="BM100" i="63" s="1"/>
  <c r="BM105" i="63" s="1"/>
  <c r="CL97" i="63"/>
  <c r="AI100" i="63" s="1"/>
  <c r="CW97" i="63"/>
  <c r="BE100" i="63" s="1"/>
  <c r="CA97" i="63"/>
  <c r="M100" i="63" s="1"/>
  <c r="CI97" i="63"/>
  <c r="AC100" i="63" s="1"/>
  <c r="CT97" i="63"/>
  <c r="AY100" i="63" s="1"/>
  <c r="CQ97" i="63"/>
  <c r="AS100" i="63" s="1"/>
  <c r="CY97" i="63"/>
  <c r="BI100" i="63" s="1"/>
  <c r="CD97" i="63"/>
  <c r="S100" i="63" s="1"/>
  <c r="CS97" i="63"/>
  <c r="AW100" i="63" s="1"/>
  <c r="BW97" i="63"/>
  <c r="CJ97" i="63"/>
  <c r="AE100" i="63" s="1"/>
  <c r="CZ97" i="63"/>
  <c r="BK100" i="63" s="1"/>
  <c r="CK97" i="63"/>
  <c r="AG100" i="63" s="1"/>
  <c r="CM97" i="63"/>
  <c r="AK100" i="63" s="1"/>
  <c r="BX97" i="63"/>
  <c r="G100" i="63" s="1"/>
  <c r="CN97" i="63"/>
  <c r="AM100" i="63" s="1"/>
  <c r="CE97" i="63"/>
  <c r="U100" i="63" s="1"/>
  <c r="CH97" i="63"/>
  <c r="AA100" i="63" s="1"/>
  <c r="CB97" i="63"/>
  <c r="O100" i="63" s="1"/>
  <c r="CR97" i="63"/>
  <c r="AU100" i="63" s="1"/>
  <c r="CU97" i="63"/>
  <c r="BA100" i="63" s="1"/>
  <c r="BZ97" i="63"/>
  <c r="K100" i="63" s="1"/>
  <c r="CX97" i="63"/>
  <c r="BG100" i="63" s="1"/>
  <c r="CC97" i="63"/>
  <c r="Q100" i="63" s="1"/>
  <c r="CF97" i="63"/>
  <c r="W100" i="63" s="1"/>
  <c r="CV97" i="63"/>
  <c r="BC100" i="63" s="1"/>
  <c r="CP97" i="63"/>
  <c r="AQ100" i="63" s="1"/>
  <c r="B107" i="63" l="1"/>
  <c r="E100" i="63"/>
  <c r="AC57" i="26" l="1"/>
  <c r="Q5" i="59" l="1"/>
  <c r="U54" i="31" l="1"/>
  <c r="V54" i="31"/>
  <c r="W54" i="31"/>
  <c r="X54" i="31"/>
  <c r="Y54" i="31"/>
  <c r="Z54" i="31"/>
  <c r="AA54" i="31"/>
  <c r="AB54" i="31"/>
  <c r="AC54" i="31"/>
  <c r="AD54" i="31"/>
  <c r="AE54" i="31"/>
  <c r="AF54" i="31"/>
  <c r="AG54" i="31"/>
  <c r="AH54" i="31"/>
  <c r="AI54" i="31"/>
  <c r="AJ54" i="31"/>
  <c r="AK54" i="31"/>
  <c r="T54" i="31"/>
  <c r="AC54" i="25" l="1"/>
  <c r="AF54" i="25"/>
  <c r="T54" i="25"/>
  <c r="U54" i="25"/>
  <c r="V54" i="25"/>
  <c r="W54" i="25"/>
  <c r="X54" i="25"/>
  <c r="Y54" i="25"/>
  <c r="Z54" i="25"/>
  <c r="AA54" i="25"/>
  <c r="AB54" i="25"/>
  <c r="AD54" i="25"/>
  <c r="AE54" i="25"/>
  <c r="AG54" i="25"/>
  <c r="AH54" i="25"/>
  <c r="AI54" i="25"/>
  <c r="AJ54" i="25"/>
  <c r="AK54" i="25"/>
  <c r="U54" i="28" l="1"/>
  <c r="V54" i="28"/>
  <c r="W54" i="28"/>
  <c r="X54" i="28"/>
  <c r="Y54" i="28"/>
  <c r="Z54" i="28"/>
  <c r="AA54" i="28"/>
  <c r="AB54" i="28"/>
  <c r="AC54" i="28"/>
  <c r="AD54" i="28"/>
  <c r="AE54" i="28"/>
  <c r="AF54" i="28"/>
  <c r="AG54" i="28"/>
  <c r="AH54" i="28"/>
  <c r="AI54" i="28"/>
  <c r="AJ54" i="28"/>
  <c r="AK54" i="28"/>
  <c r="T54" i="28"/>
  <c r="Y789" i="33" l="1"/>
  <c r="B26" i="32" l="1"/>
  <c r="Y1423" i="33" l="1"/>
  <c r="Y483" i="33"/>
  <c r="Y484" i="33"/>
  <c r="Y485" i="33"/>
  <c r="Y486" i="33"/>
  <c r="Y487" i="33"/>
  <c r="Y488" i="33"/>
  <c r="Y489" i="33"/>
  <c r="Y490" i="33"/>
  <c r="Y491" i="33"/>
  <c r="Y492" i="33"/>
  <c r="Y493" i="33"/>
  <c r="Y494" i="33"/>
  <c r="Y495" i="33"/>
  <c r="Y496" i="33"/>
  <c r="Y497" i="33"/>
  <c r="Y498" i="33"/>
  <c r="Y499" i="33"/>
  <c r="Y500" i="33"/>
  <c r="Y501" i="33"/>
  <c r="Y502" i="33"/>
  <c r="Y503" i="33"/>
  <c r="Y504" i="33"/>
  <c r="Y505" i="33"/>
  <c r="Y506" i="33"/>
  <c r="Y507" i="33"/>
  <c r="Y508" i="33"/>
  <c r="Y509" i="33"/>
  <c r="Y510" i="33"/>
  <c r="Y511" i="33"/>
  <c r="Y512" i="33"/>
  <c r="Y1449" i="33" l="1"/>
  <c r="K81" i="60" l="1"/>
  <c r="M81" i="60" s="1"/>
  <c r="M80" i="60"/>
  <c r="K80" i="60"/>
  <c r="U54" i="12" l="1"/>
  <c r="V54" i="12"/>
  <c r="W54" i="12"/>
  <c r="X54" i="12"/>
  <c r="Y54" i="12"/>
  <c r="Z54" i="12"/>
  <c r="AA54" i="12"/>
  <c r="AB54" i="12"/>
  <c r="AC54" i="12"/>
  <c r="AD54" i="12"/>
  <c r="AE54" i="12"/>
  <c r="AF54" i="12"/>
  <c r="AG54" i="12"/>
  <c r="AH54" i="12"/>
  <c r="AI54" i="12"/>
  <c r="AJ54" i="12"/>
  <c r="AK54" i="12"/>
  <c r="T54" i="12"/>
  <c r="AK54" i="18" l="1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Y333" i="33" l="1"/>
  <c r="Y328" i="33"/>
  <c r="Y329" i="33"/>
  <c r="Y330" i="33"/>
  <c r="Y331" i="33"/>
  <c r="Y332" i="33"/>
  <c r="Y334" i="33"/>
  <c r="Y335" i="33"/>
  <c r="Y336" i="33"/>
  <c r="Y337" i="33"/>
  <c r="Y338" i="33"/>
  <c r="Y339" i="33"/>
  <c r="Y340" i="33"/>
  <c r="Y341" i="33"/>
  <c r="Y342" i="33"/>
  <c r="Y343" i="33"/>
  <c r="Y344" i="33"/>
  <c r="Y345" i="33"/>
  <c r="Y346" i="33"/>
  <c r="Y347" i="33"/>
  <c r="Y348" i="33"/>
  <c r="Y349" i="33"/>
  <c r="Y350" i="33"/>
  <c r="Y351" i="33"/>
  <c r="Y352" i="33"/>
  <c r="Y353" i="33"/>
  <c r="Y354" i="33"/>
  <c r="Y355" i="33"/>
  <c r="Y356" i="33"/>
  <c r="Y357" i="33"/>
  <c r="Y327" i="33"/>
  <c r="AH11" i="18" l="1"/>
  <c r="AK54" i="5" l="1"/>
  <c r="AJ54" i="5"/>
  <c r="AI54" i="5"/>
  <c r="AH54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Y454" i="33"/>
  <c r="Y827" i="33" l="1"/>
  <c r="J5" i="59" l="1"/>
  <c r="P5" i="59"/>
  <c r="O5" i="59"/>
  <c r="U54" i="26" l="1"/>
  <c r="V54" i="26"/>
  <c r="W54" i="26"/>
  <c r="X54" i="26"/>
  <c r="Y54" i="26"/>
  <c r="Z54" i="26"/>
  <c r="AA54" i="26"/>
  <c r="AB54" i="26"/>
  <c r="AC54" i="26"/>
  <c r="AD54" i="26"/>
  <c r="AE54" i="26"/>
  <c r="AF54" i="26"/>
  <c r="AG54" i="26"/>
  <c r="AH54" i="26"/>
  <c r="AI54" i="26"/>
  <c r="AJ54" i="26"/>
  <c r="AK54" i="26"/>
  <c r="T54" i="26"/>
  <c r="M79" i="60" l="1"/>
  <c r="M78" i="60"/>
  <c r="M77" i="60"/>
  <c r="M76" i="60"/>
  <c r="M75" i="60"/>
  <c r="M74" i="60"/>
  <c r="M73" i="60"/>
  <c r="K79" i="60"/>
  <c r="K78" i="60"/>
  <c r="K77" i="60"/>
  <c r="K76" i="60"/>
  <c r="K75" i="60"/>
  <c r="K74" i="60"/>
  <c r="K73" i="60"/>
  <c r="M72" i="60"/>
  <c r="K72" i="60"/>
  <c r="Y938" i="33" l="1"/>
  <c r="Y939" i="33"/>
  <c r="Y940" i="33"/>
  <c r="Y941" i="33"/>
  <c r="Y942" i="33"/>
  <c r="Y943" i="33"/>
  <c r="Y944" i="33"/>
  <c r="Y945" i="33"/>
  <c r="Y946" i="33"/>
  <c r="Y947" i="33"/>
  <c r="Y948" i="33"/>
  <c r="Y949" i="33"/>
  <c r="Y950" i="33"/>
  <c r="Y951" i="33"/>
  <c r="Y952" i="33"/>
  <c r="Y953" i="33"/>
  <c r="Y954" i="33"/>
  <c r="Y955" i="33"/>
  <c r="Y956" i="33"/>
  <c r="Y957" i="33"/>
  <c r="Y958" i="33"/>
  <c r="Y959" i="33"/>
  <c r="Y960" i="33"/>
  <c r="Y961" i="33"/>
  <c r="Y962" i="33"/>
  <c r="Y963" i="33"/>
  <c r="Y964" i="33"/>
  <c r="Y965" i="33"/>
  <c r="Y966" i="33"/>
  <c r="Y967" i="33"/>
  <c r="Y937" i="33"/>
  <c r="AA57" i="12" l="1"/>
  <c r="Y448" i="33" l="1"/>
  <c r="Y449" i="33"/>
  <c r="Y450" i="33"/>
  <c r="Y451" i="33"/>
  <c r="Y452" i="33"/>
  <c r="Y453" i="33"/>
  <c r="Y455" i="33"/>
  <c r="Y456" i="33"/>
  <c r="Y457" i="33"/>
  <c r="Y458" i="33"/>
  <c r="Y459" i="33"/>
  <c r="Y460" i="33"/>
  <c r="Y461" i="33"/>
  <c r="Y462" i="33"/>
  <c r="Y463" i="33"/>
  <c r="Y464" i="33"/>
  <c r="Y465" i="33"/>
  <c r="Y466" i="33"/>
  <c r="Y467" i="33"/>
  <c r="Y468" i="33"/>
  <c r="Y469" i="33"/>
  <c r="Y470" i="33"/>
  <c r="Y471" i="33"/>
  <c r="Y472" i="33"/>
  <c r="Y473" i="33"/>
  <c r="Y474" i="33"/>
  <c r="Y475" i="33"/>
  <c r="Y476" i="33"/>
  <c r="Y447" i="33"/>
  <c r="Y247" i="33" l="1"/>
  <c r="Y248" i="33"/>
  <c r="Y249" i="33"/>
  <c r="Y250" i="33"/>
  <c r="Y251" i="33"/>
  <c r="Y252" i="33"/>
  <c r="Y253" i="33"/>
  <c r="Y254" i="33"/>
  <c r="Y255" i="33"/>
  <c r="Y256" i="33"/>
  <c r="Y257" i="33"/>
  <c r="Y258" i="33"/>
  <c r="Y259" i="33"/>
  <c r="Y260" i="33"/>
  <c r="Y261" i="33"/>
  <c r="Y262" i="33"/>
  <c r="Y263" i="33"/>
  <c r="Y264" i="33"/>
  <c r="Y265" i="33"/>
  <c r="Y266" i="33"/>
  <c r="Y267" i="33"/>
  <c r="Y268" i="33"/>
  <c r="Y269" i="33"/>
  <c r="Y270" i="33"/>
  <c r="Y271" i="33"/>
  <c r="Y272" i="33"/>
  <c r="Y273" i="33"/>
  <c r="Y274" i="33"/>
  <c r="Y275" i="33"/>
  <c r="Y276" i="33"/>
  <c r="Y246" i="33"/>
  <c r="K33" i="59" l="1"/>
  <c r="Y1427" i="33" l="1"/>
  <c r="AJ15" i="3" l="1"/>
  <c r="AJ16" i="3" s="1"/>
  <c r="Y1052" i="33"/>
  <c r="Y1053" i="33"/>
  <c r="Y1054" i="33"/>
  <c r="Y1055" i="33"/>
  <c r="Y1056" i="33"/>
  <c r="Y1057" i="33"/>
  <c r="Y1058" i="33"/>
  <c r="Y1059" i="33"/>
  <c r="Y1060" i="33"/>
  <c r="Y1061" i="33"/>
  <c r="Y1062" i="33"/>
  <c r="Y1063" i="33"/>
  <c r="Y1064" i="33"/>
  <c r="Y1065" i="33"/>
  <c r="Y1066" i="33"/>
  <c r="Y1067" i="33"/>
  <c r="Y1068" i="33"/>
  <c r="Y1069" i="33"/>
  <c r="Y1070" i="33"/>
  <c r="Y1071" i="33"/>
  <c r="Y1072" i="33"/>
  <c r="Y1073" i="33"/>
  <c r="Y1074" i="33"/>
  <c r="Y1075" i="33"/>
  <c r="Y1076" i="33"/>
  <c r="Y1077" i="33"/>
  <c r="Y1078" i="33"/>
  <c r="Y1079" i="33"/>
  <c r="Y1080" i="33"/>
  <c r="Y1081" i="33"/>
  <c r="Y1051" i="33"/>
  <c r="Y520" i="33" l="1"/>
  <c r="Y521" i="33"/>
  <c r="Y522" i="33"/>
  <c r="Y523" i="33"/>
  <c r="Y524" i="33"/>
  <c r="Y525" i="33"/>
  <c r="Y526" i="33"/>
  <c r="Y527" i="33"/>
  <c r="Y528" i="33"/>
  <c r="Y529" i="33"/>
  <c r="Y530" i="33"/>
  <c r="Y531" i="33"/>
  <c r="Y532" i="33"/>
  <c r="Y533" i="33"/>
  <c r="Y534" i="33"/>
  <c r="Y535" i="33"/>
  <c r="Y536" i="33"/>
  <c r="Y537" i="33"/>
  <c r="Y538" i="33"/>
  <c r="Y539" i="33"/>
  <c r="Y540" i="33"/>
  <c r="Y541" i="33"/>
  <c r="Y542" i="33"/>
  <c r="Y543" i="33"/>
  <c r="Y544" i="33"/>
  <c r="Y545" i="33"/>
  <c r="Y546" i="33"/>
  <c r="Y547" i="33"/>
  <c r="Y548" i="33"/>
  <c r="Y549" i="33"/>
  <c r="Y519" i="33"/>
  <c r="D5" i="59" l="1"/>
  <c r="H5" i="59"/>
  <c r="G5" i="59"/>
  <c r="E5" i="59"/>
  <c r="M70" i="60" l="1"/>
  <c r="K71" i="60"/>
  <c r="M71" i="60" s="1"/>
  <c r="K70" i="60"/>
  <c r="K69" i="60"/>
  <c r="K5" i="59" l="1"/>
  <c r="Y1119" i="33" l="1"/>
  <c r="Y1118" i="33"/>
  <c r="Y1117" i="33"/>
  <c r="Y1116" i="33"/>
  <c r="Y1115" i="33"/>
  <c r="Y1114" i="33"/>
  <c r="Y1113" i="33"/>
  <c r="Y1112" i="33"/>
  <c r="Y1111" i="33"/>
  <c r="Y1110" i="33"/>
  <c r="Y1109" i="33"/>
  <c r="Y1108" i="33"/>
  <c r="Y1107" i="33"/>
  <c r="Y1106" i="33"/>
  <c r="Y1105" i="33"/>
  <c r="Y1104" i="33"/>
  <c r="Y1103" i="33"/>
  <c r="Y1102" i="33"/>
  <c r="Y1101" i="33"/>
  <c r="Y1100" i="33"/>
  <c r="Y1099" i="33"/>
  <c r="Y1098" i="33"/>
  <c r="Y1097" i="33"/>
  <c r="Y1096" i="33"/>
  <c r="Y1095" i="33"/>
  <c r="Y1094" i="33"/>
  <c r="Y1093" i="33"/>
  <c r="Y1092" i="33"/>
  <c r="Y1091" i="33"/>
  <c r="Y1090" i="33"/>
  <c r="Y1089" i="33"/>
  <c r="Y39" i="33" l="1"/>
  <c r="M69" i="60"/>
  <c r="M68" i="60"/>
  <c r="M67" i="60"/>
  <c r="M66" i="60"/>
  <c r="K68" i="60"/>
  <c r="K67" i="60"/>
  <c r="K66" i="60"/>
  <c r="G20" i="2" l="1"/>
  <c r="Y984" i="33" l="1"/>
  <c r="AK54" i="2" l="1"/>
  <c r="AJ54" i="2"/>
  <c r="AI54" i="2"/>
  <c r="AH54" i="2"/>
  <c r="AG54" i="2"/>
  <c r="AF54" i="2"/>
  <c r="AE54" i="2"/>
  <c r="AD54" i="2"/>
  <c r="AC54" i="2"/>
  <c r="AB54" i="2"/>
  <c r="AA54" i="2"/>
  <c r="Z54" i="2"/>
  <c r="Y54" i="2"/>
  <c r="X54" i="2"/>
  <c r="W54" i="2"/>
  <c r="V54" i="2"/>
  <c r="U54" i="2"/>
  <c r="T54" i="2"/>
  <c r="K65" i="60" l="1"/>
  <c r="H19" i="2" l="1"/>
  <c r="H25" i="2"/>
  <c r="AB123" i="33" l="1"/>
  <c r="BP19" i="49"/>
  <c r="BS19" i="49" s="1"/>
  <c r="BP18" i="49"/>
  <c r="BS18" i="49" s="1"/>
  <c r="BP17" i="49"/>
  <c r="BS17" i="49" s="1"/>
  <c r="BP20" i="49"/>
  <c r="BQ20" i="49"/>
  <c r="BW20" i="49"/>
  <c r="BS20" i="49" l="1"/>
  <c r="L34" i="54"/>
  <c r="L35" i="54"/>
  <c r="L36" i="54"/>
  <c r="S44" i="32" l="1"/>
  <c r="S45" i="32"/>
  <c r="AK54" i="24" l="1"/>
  <c r="AJ54" i="24"/>
  <c r="AI54" i="24"/>
  <c r="AH54" i="24"/>
  <c r="AG54" i="24"/>
  <c r="AF54" i="24"/>
  <c r="AE54" i="24"/>
  <c r="AD54" i="24"/>
  <c r="AC54" i="24"/>
  <c r="AB54" i="24"/>
  <c r="AA54" i="24"/>
  <c r="Z54" i="24"/>
  <c r="Y54" i="24"/>
  <c r="X54" i="24"/>
  <c r="W54" i="24"/>
  <c r="V54" i="24"/>
  <c r="U54" i="24"/>
  <c r="T54" i="24"/>
  <c r="K64" i="60" l="1"/>
  <c r="M64" i="60"/>
  <c r="M65" i="60" s="1"/>
  <c r="AK54" i="19" l="1"/>
  <c r="AJ54" i="19"/>
  <c r="AI54" i="19"/>
  <c r="AH54" i="19"/>
  <c r="AG54" i="19"/>
  <c r="AF54" i="19"/>
  <c r="AE54" i="19"/>
  <c r="AD54" i="19"/>
  <c r="AC54" i="19"/>
  <c r="AB54" i="19"/>
  <c r="AA54" i="19"/>
  <c r="Z54" i="19"/>
  <c r="Y54" i="19"/>
  <c r="X54" i="19"/>
  <c r="W54" i="19"/>
  <c r="V54" i="19"/>
  <c r="U54" i="19"/>
  <c r="T54" i="19"/>
  <c r="AK54" i="17"/>
  <c r="AJ54" i="17"/>
  <c r="AI54" i="17"/>
  <c r="AH54" i="17"/>
  <c r="AG54" i="17"/>
  <c r="AF54" i="17"/>
  <c r="AE54" i="17"/>
  <c r="AD54" i="17"/>
  <c r="AC54" i="17"/>
  <c r="AB54" i="17"/>
  <c r="AA54" i="17"/>
  <c r="Z54" i="17"/>
  <c r="Y54" i="17"/>
  <c r="X54" i="17"/>
  <c r="W54" i="17"/>
  <c r="V54" i="17"/>
  <c r="U54" i="17"/>
  <c r="T54" i="17"/>
  <c r="Y1293" i="33"/>
  <c r="M63" i="60"/>
  <c r="K63" i="60"/>
  <c r="K84" i="60" s="1"/>
  <c r="D45" i="61" l="1"/>
  <c r="AK54" i="15" l="1"/>
  <c r="AJ54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AK54" i="14" l="1"/>
  <c r="AJ54" i="14"/>
  <c r="AI54" i="14"/>
  <c r="AH54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Y1139" i="33" l="1"/>
  <c r="Y794" i="33"/>
  <c r="AK54" i="9" l="1"/>
  <c r="AJ54" i="9"/>
  <c r="AI54" i="9"/>
  <c r="AH54" i="9"/>
  <c r="AG54" i="9"/>
  <c r="AF54" i="9"/>
  <c r="AE54" i="9"/>
  <c r="AD54" i="9"/>
  <c r="AC54" i="9"/>
  <c r="AB54" i="9"/>
  <c r="AA54" i="9"/>
  <c r="Z54" i="9"/>
  <c r="Y54" i="9"/>
  <c r="X54" i="9"/>
  <c r="W54" i="9"/>
  <c r="V54" i="9"/>
  <c r="U54" i="9"/>
  <c r="T54" i="9"/>
  <c r="AK54" i="8"/>
  <c r="AJ54" i="8"/>
  <c r="AI54" i="8"/>
  <c r="AH54" i="8"/>
  <c r="AG54" i="8"/>
  <c r="AF54" i="8"/>
  <c r="AE54" i="8"/>
  <c r="AD54" i="8"/>
  <c r="AC54" i="8"/>
  <c r="AB54" i="8"/>
  <c r="AA54" i="8"/>
  <c r="Z54" i="8"/>
  <c r="Y54" i="8"/>
  <c r="X54" i="8"/>
  <c r="W54" i="8"/>
  <c r="V54" i="8"/>
  <c r="U54" i="8"/>
  <c r="T54" i="8"/>
  <c r="V23" i="59"/>
  <c r="W23" i="59"/>
  <c r="AK54" i="6" l="1"/>
  <c r="AJ54" i="6"/>
  <c r="AI54" i="6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Y979" i="33" l="1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15" i="59"/>
  <c r="T15" i="59"/>
  <c r="S20" i="59"/>
  <c r="T20" i="59" s="1"/>
  <c r="E15" i="59" l="1"/>
  <c r="F15" i="59"/>
  <c r="G15" i="59" s="1"/>
  <c r="H15" i="59" s="1"/>
  <c r="I15" i="59" s="1"/>
  <c r="J15" i="59" s="1"/>
  <c r="K15" i="59" s="1"/>
  <c r="L15" i="59" s="1"/>
  <c r="M15" i="59" s="1"/>
  <c r="N15" i="59" s="1"/>
  <c r="O15" i="59" s="1"/>
  <c r="P15" i="59" s="1"/>
  <c r="Q15" i="59" s="1"/>
  <c r="R15" i="59" s="1"/>
  <c r="E20" i="59"/>
  <c r="F20" i="59" s="1"/>
  <c r="G20" i="59" s="1"/>
  <c r="H20" i="59" s="1"/>
  <c r="I20" i="59" s="1"/>
  <c r="J20" i="59" s="1"/>
  <c r="K20" i="59" s="1"/>
  <c r="L20" i="59" s="1"/>
  <c r="M20" i="59" s="1"/>
  <c r="N20" i="59" s="1"/>
  <c r="O20" i="59" s="1"/>
  <c r="P20" i="59" s="1"/>
  <c r="Q20" i="59" s="1"/>
  <c r="R20" i="59" s="1"/>
  <c r="D20" i="59"/>
  <c r="S18" i="59"/>
  <c r="T18" i="59" s="1"/>
  <c r="D16" i="59"/>
  <c r="D15" i="59"/>
  <c r="D14" i="59"/>
  <c r="E14" i="59" s="1"/>
  <c r="G14" i="59" s="1"/>
  <c r="H14" i="59" s="1"/>
  <c r="I14" i="59" s="1"/>
  <c r="J14" i="59" s="1"/>
  <c r="K14" i="59" s="1"/>
  <c r="L14" i="59" s="1"/>
  <c r="M14" i="59" s="1"/>
  <c r="N14" i="59" s="1"/>
  <c r="O14" i="59" s="1"/>
  <c r="P14" i="59" s="1"/>
  <c r="Q14" i="59" s="1"/>
  <c r="R14" i="59" s="1"/>
  <c r="S14" i="59" s="1"/>
  <c r="T14" i="59" s="1"/>
  <c r="D13" i="59"/>
  <c r="E13" i="59" s="1"/>
  <c r="F13" i="59" s="1"/>
  <c r="G13" i="59" s="1"/>
  <c r="H13" i="59" s="1"/>
  <c r="I13" i="59" s="1"/>
  <c r="J13" i="59" s="1"/>
  <c r="K13" i="59" s="1"/>
  <c r="L13" i="59" s="1"/>
  <c r="M13" i="59" s="1"/>
  <c r="N13" i="59" s="1"/>
  <c r="O13" i="59" s="1"/>
  <c r="P13" i="59" s="1"/>
  <c r="Q13" i="59" s="1"/>
  <c r="R13" i="59" s="1"/>
  <c r="S13" i="59" s="1"/>
  <c r="T13" i="59" s="1"/>
  <c r="D12" i="59"/>
  <c r="E12" i="59" s="1"/>
  <c r="F12" i="59" s="1"/>
  <c r="G12" i="59" s="1"/>
  <c r="H12" i="59" s="1"/>
  <c r="I12" i="59" s="1"/>
  <c r="J12" i="59" s="1"/>
  <c r="K12" i="59" s="1"/>
  <c r="M12" i="59" s="1"/>
  <c r="N12" i="59" s="1"/>
  <c r="O12" i="59" s="1"/>
  <c r="P12" i="59" s="1"/>
  <c r="S12" i="59" s="1"/>
  <c r="T12" i="59" s="1"/>
  <c r="D11" i="59"/>
  <c r="E11" i="59" s="1"/>
  <c r="G11" i="59" s="1"/>
  <c r="H11" i="59" s="1"/>
  <c r="K11" i="59" s="1"/>
  <c r="L11" i="59" s="1"/>
  <c r="M11" i="59" s="1"/>
  <c r="S11" i="59" s="1"/>
  <c r="T11" i="59" s="1"/>
  <c r="D9" i="59"/>
  <c r="E9" i="59" s="1"/>
  <c r="F9" i="59" s="1"/>
  <c r="G9" i="59" s="1"/>
  <c r="H9" i="59" s="1"/>
  <c r="I9" i="59" s="1"/>
  <c r="J9" i="59" s="1"/>
  <c r="K9" i="59" s="1"/>
  <c r="L9" i="59" s="1"/>
  <c r="M9" i="59" s="1"/>
  <c r="N9" i="59" s="1"/>
  <c r="O9" i="59" s="1"/>
  <c r="P9" i="59" s="1"/>
  <c r="Q9" i="59" s="1"/>
  <c r="R9" i="59" s="1"/>
  <c r="S9" i="59" s="1"/>
  <c r="T9" i="59" s="1"/>
  <c r="E8" i="59"/>
  <c r="F8" i="59" s="1"/>
  <c r="G8" i="59" s="1"/>
  <c r="H8" i="59" s="1"/>
  <c r="I8" i="59" s="1"/>
  <c r="J8" i="59" s="1"/>
  <c r="K8" i="59" s="1"/>
  <c r="L8" i="59" s="1"/>
  <c r="M8" i="59" s="1"/>
  <c r="N8" i="59" s="1"/>
  <c r="O8" i="59" s="1"/>
  <c r="P8" i="59" s="1"/>
  <c r="Q8" i="59" s="1"/>
  <c r="R8" i="59" s="1"/>
  <c r="S8" i="59" s="1"/>
  <c r="T8" i="59" s="1"/>
  <c r="D7" i="59"/>
  <c r="E7" i="59" s="1"/>
  <c r="F7" i="59" s="1"/>
  <c r="G7" i="59" s="1"/>
  <c r="H7" i="59" s="1"/>
  <c r="I7" i="59" s="1"/>
  <c r="J7" i="59" s="1"/>
  <c r="K7" i="59" s="1"/>
  <c r="L7" i="59" s="1"/>
  <c r="M7" i="59" s="1"/>
  <c r="N7" i="59" s="1"/>
  <c r="O7" i="59" s="1"/>
  <c r="P7" i="59" s="1"/>
  <c r="Q7" i="59" s="1"/>
  <c r="R7" i="59" s="1"/>
  <c r="S7" i="59" s="1"/>
  <c r="T7" i="59" s="1"/>
  <c r="D6" i="59"/>
  <c r="E6" i="59" s="1"/>
  <c r="F6" i="59" s="1"/>
  <c r="G6" i="59" s="1"/>
  <c r="H6" i="59" s="1"/>
  <c r="I6" i="59" s="1"/>
  <c r="J6" i="59" s="1"/>
  <c r="K6" i="59" s="1"/>
  <c r="L6" i="59" s="1"/>
  <c r="M6" i="59" s="1"/>
  <c r="N6" i="59" s="1"/>
  <c r="O6" i="59" s="1"/>
  <c r="P6" i="59" s="1"/>
  <c r="Q6" i="59" s="1"/>
  <c r="R6" i="59" s="1"/>
  <c r="S6" i="59" s="1"/>
  <c r="T6" i="59" s="1"/>
  <c r="D3" i="59"/>
  <c r="E3" i="59" s="1"/>
  <c r="F3" i="59" s="1"/>
  <c r="H3" i="59" s="1"/>
  <c r="I3" i="59" s="1"/>
  <c r="J3" i="59" l="1"/>
  <c r="K3" i="59" s="1"/>
  <c r="L3" i="59" s="1"/>
  <c r="M3" i="59" s="1"/>
  <c r="N3" i="59" s="1"/>
  <c r="O3" i="59" s="1"/>
  <c r="P3" i="59" s="1"/>
  <c r="S3" i="59" s="1"/>
  <c r="I23" i="59"/>
  <c r="D23" i="59"/>
  <c r="E16" i="59"/>
  <c r="T3" i="59"/>
  <c r="F16" i="59" l="1"/>
  <c r="E23" i="59"/>
  <c r="E25" i="59" s="1"/>
  <c r="E27" i="59" s="1"/>
  <c r="G16" i="59" l="1"/>
  <c r="F23" i="59"/>
  <c r="B36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B31" i="54"/>
  <c r="B32" i="54"/>
  <c r="B33" i="54"/>
  <c r="B34" i="54"/>
  <c r="B35" i="54"/>
  <c r="J11" i="32"/>
  <c r="J12" i="32"/>
  <c r="J13" i="32"/>
  <c r="J14" i="32"/>
  <c r="K14" i="32"/>
  <c r="J15" i="32"/>
  <c r="K15" i="32"/>
  <c r="J16" i="32"/>
  <c r="K16" i="32"/>
  <c r="J17" i="32"/>
  <c r="K17" i="32"/>
  <c r="J18" i="32"/>
  <c r="K18" i="32"/>
  <c r="J19" i="32"/>
  <c r="K19" i="32"/>
  <c r="J20" i="32"/>
  <c r="K20" i="32"/>
  <c r="J21" i="32"/>
  <c r="K21" i="32"/>
  <c r="J22" i="32"/>
  <c r="K22" i="32"/>
  <c r="J23" i="32"/>
  <c r="J24" i="32"/>
  <c r="K24" i="32"/>
  <c r="J25" i="32"/>
  <c r="K25" i="32"/>
  <c r="J26" i="32"/>
  <c r="K26" i="32"/>
  <c r="J27" i="32"/>
  <c r="J28" i="32"/>
  <c r="K28" i="32"/>
  <c r="J29" i="32"/>
  <c r="K29" i="32"/>
  <c r="J30" i="32"/>
  <c r="J31" i="32"/>
  <c r="K31" i="32"/>
  <c r="J32" i="32"/>
  <c r="K32" i="32"/>
  <c r="J33" i="32"/>
  <c r="K33" i="32"/>
  <c r="J34" i="32"/>
  <c r="K34" i="32"/>
  <c r="J35" i="32"/>
  <c r="K35" i="32"/>
  <c r="J36" i="32"/>
  <c r="K36" i="32"/>
  <c r="J37" i="32"/>
  <c r="J38" i="32"/>
  <c r="K38" i="32"/>
  <c r="J39" i="32"/>
  <c r="K39" i="32"/>
  <c r="J40" i="32"/>
  <c r="K40" i="32"/>
  <c r="J41" i="32"/>
  <c r="K41" i="32"/>
  <c r="J42" i="32"/>
  <c r="K42" i="32"/>
  <c r="J43" i="32"/>
  <c r="K43" i="32"/>
  <c r="J44" i="32"/>
  <c r="K44" i="32"/>
  <c r="J45" i="32"/>
  <c r="K45" i="32"/>
  <c r="H16" i="59" l="1"/>
  <c r="G23" i="59"/>
  <c r="AK54" i="30"/>
  <c r="AJ54" i="30"/>
  <c r="AI54" i="30"/>
  <c r="AH54" i="30"/>
  <c r="AG54" i="30"/>
  <c r="AF54" i="30"/>
  <c r="AE54" i="30"/>
  <c r="AD54" i="30"/>
  <c r="AC54" i="30"/>
  <c r="AB54" i="30"/>
  <c r="AA54" i="30"/>
  <c r="Z54" i="30"/>
  <c r="Y54" i="30"/>
  <c r="X54" i="30"/>
  <c r="W54" i="30"/>
  <c r="V54" i="30"/>
  <c r="U54" i="30"/>
  <c r="T54" i="30"/>
  <c r="AK54" i="29"/>
  <c r="AJ54" i="29"/>
  <c r="AI54" i="29"/>
  <c r="AH54" i="29"/>
  <c r="AG54" i="29"/>
  <c r="AF54" i="29"/>
  <c r="AE54" i="29"/>
  <c r="AD54" i="29"/>
  <c r="AC54" i="29"/>
  <c r="AB54" i="29"/>
  <c r="AA54" i="29"/>
  <c r="Z54" i="29"/>
  <c r="Y54" i="29"/>
  <c r="X54" i="29"/>
  <c r="W54" i="29"/>
  <c r="V54" i="29"/>
  <c r="U54" i="29"/>
  <c r="T54" i="29"/>
  <c r="G43" i="32"/>
  <c r="G42" i="32"/>
  <c r="G41" i="32"/>
  <c r="G40" i="32"/>
  <c r="G38" i="32"/>
  <c r="G37" i="32"/>
  <c r="G36" i="32"/>
  <c r="G35" i="32"/>
  <c r="G34" i="32"/>
  <c r="G33" i="32"/>
  <c r="G32" i="32"/>
  <c r="G31" i="32"/>
  <c r="G30" i="32"/>
  <c r="G29" i="32"/>
  <c r="G28" i="32"/>
  <c r="G27" i="32"/>
  <c r="G25" i="32"/>
  <c r="G24" i="32"/>
  <c r="G23" i="32"/>
  <c r="G21" i="32"/>
  <c r="G19" i="32"/>
  <c r="G18" i="32"/>
  <c r="G17" i="32"/>
  <c r="G16" i="32"/>
  <c r="G14" i="32"/>
  <c r="G13" i="32"/>
  <c r="G11" i="32"/>
  <c r="I16" i="59" l="1"/>
  <c r="H23" i="59"/>
  <c r="J16" i="59" l="1"/>
  <c r="J11" i="31"/>
  <c r="K11" i="31"/>
  <c r="J12" i="31"/>
  <c r="K12" i="31"/>
  <c r="J13" i="31"/>
  <c r="K13" i="31"/>
  <c r="J14" i="31"/>
  <c r="K14" i="31"/>
  <c r="J15" i="31"/>
  <c r="K15" i="31"/>
  <c r="J16" i="31"/>
  <c r="K16" i="31"/>
  <c r="J17" i="31"/>
  <c r="K17" i="31"/>
  <c r="J18" i="31"/>
  <c r="K18" i="31"/>
  <c r="J19" i="31"/>
  <c r="K19" i="31"/>
  <c r="J20" i="31"/>
  <c r="K20" i="31"/>
  <c r="J21" i="31"/>
  <c r="K21" i="31"/>
  <c r="J22" i="31"/>
  <c r="K22" i="31"/>
  <c r="J23" i="31"/>
  <c r="K23" i="31"/>
  <c r="J24" i="31"/>
  <c r="K24" i="31"/>
  <c r="J25" i="31"/>
  <c r="K25" i="31"/>
  <c r="J26" i="31"/>
  <c r="K26" i="31"/>
  <c r="J27" i="31"/>
  <c r="K27" i="31"/>
  <c r="J28" i="31"/>
  <c r="K28" i="31"/>
  <c r="J29" i="31"/>
  <c r="K29" i="31"/>
  <c r="J30" i="31"/>
  <c r="K30" i="31"/>
  <c r="J31" i="31"/>
  <c r="K31" i="31"/>
  <c r="J32" i="31"/>
  <c r="K32" i="31"/>
  <c r="J33" i="31"/>
  <c r="K33" i="31"/>
  <c r="J34" i="31"/>
  <c r="K34" i="31"/>
  <c r="J35" i="31"/>
  <c r="K35" i="31"/>
  <c r="J36" i="31"/>
  <c r="K36" i="31"/>
  <c r="J37" i="31"/>
  <c r="K37" i="31"/>
  <c r="J38" i="31"/>
  <c r="K38" i="31"/>
  <c r="J39" i="31"/>
  <c r="K39" i="31"/>
  <c r="J40" i="31"/>
  <c r="K40" i="31"/>
  <c r="J41" i="31"/>
  <c r="K41" i="31"/>
  <c r="J42" i="31"/>
  <c r="K42" i="31"/>
  <c r="J43" i="31"/>
  <c r="K43" i="31"/>
  <c r="J44" i="31"/>
  <c r="K44" i="31"/>
  <c r="J45" i="31"/>
  <c r="K45" i="31"/>
  <c r="G43" i="31"/>
  <c r="G40" i="31"/>
  <c r="G39" i="31"/>
  <c r="G38" i="31"/>
  <c r="G37" i="31"/>
  <c r="G36" i="31"/>
  <c r="G35" i="31"/>
  <c r="G34" i="31"/>
  <c r="G33" i="31"/>
  <c r="G32" i="31"/>
  <c r="G30" i="31"/>
  <c r="G29" i="31"/>
  <c r="G28" i="31"/>
  <c r="G27" i="31"/>
  <c r="G24" i="31"/>
  <c r="G21" i="31"/>
  <c r="G19" i="31"/>
  <c r="G18" i="31"/>
  <c r="G17" i="31"/>
  <c r="G13" i="31"/>
  <c r="G11" i="31"/>
  <c r="J11" i="30"/>
  <c r="K11" i="30"/>
  <c r="J12" i="30"/>
  <c r="K12" i="30"/>
  <c r="J13" i="30"/>
  <c r="K13" i="30"/>
  <c r="J14" i="30"/>
  <c r="K14" i="30"/>
  <c r="J15" i="30"/>
  <c r="K15" i="30"/>
  <c r="J16" i="30"/>
  <c r="K16" i="30"/>
  <c r="J17" i="30"/>
  <c r="K17" i="30"/>
  <c r="J18" i="30"/>
  <c r="K18" i="30"/>
  <c r="J19" i="30"/>
  <c r="K19" i="30"/>
  <c r="J20" i="30"/>
  <c r="K20" i="30"/>
  <c r="J21" i="30"/>
  <c r="K21" i="30"/>
  <c r="J22" i="30"/>
  <c r="K22" i="30"/>
  <c r="J23" i="30"/>
  <c r="K23" i="30"/>
  <c r="J24" i="30"/>
  <c r="K24" i="30"/>
  <c r="J25" i="30"/>
  <c r="K25" i="30"/>
  <c r="J26" i="30"/>
  <c r="K26" i="30"/>
  <c r="J27" i="30"/>
  <c r="K27" i="30"/>
  <c r="J28" i="30"/>
  <c r="K28" i="30"/>
  <c r="J29" i="30"/>
  <c r="K29" i="30"/>
  <c r="J30" i="30"/>
  <c r="K30" i="30"/>
  <c r="J31" i="30"/>
  <c r="K31" i="30"/>
  <c r="J32" i="30"/>
  <c r="K32" i="30"/>
  <c r="J33" i="30"/>
  <c r="K33" i="30"/>
  <c r="J34" i="30"/>
  <c r="K34" i="30"/>
  <c r="J35" i="30"/>
  <c r="K35" i="30"/>
  <c r="J36" i="30"/>
  <c r="K36" i="30"/>
  <c r="J37" i="30"/>
  <c r="K37" i="30"/>
  <c r="J38" i="30"/>
  <c r="K38" i="30"/>
  <c r="J39" i="30"/>
  <c r="K39" i="30"/>
  <c r="J40" i="30"/>
  <c r="K40" i="30"/>
  <c r="J41" i="30"/>
  <c r="K41" i="30"/>
  <c r="J42" i="30"/>
  <c r="K42" i="30"/>
  <c r="J43" i="30"/>
  <c r="K43" i="30"/>
  <c r="J44" i="30"/>
  <c r="K44" i="30"/>
  <c r="J45" i="30"/>
  <c r="K45" i="30"/>
  <c r="G43" i="30"/>
  <c r="G40" i="30"/>
  <c r="G39" i="30"/>
  <c r="G38" i="30"/>
  <c r="G37" i="30"/>
  <c r="G36" i="30"/>
  <c r="G35" i="30"/>
  <c r="G34" i="30"/>
  <c r="G33" i="30"/>
  <c r="G32" i="30"/>
  <c r="G30" i="30"/>
  <c r="G29" i="30"/>
  <c r="G28" i="30"/>
  <c r="G27" i="30"/>
  <c r="G24" i="30"/>
  <c r="G21" i="30"/>
  <c r="G19" i="30"/>
  <c r="G18" i="30"/>
  <c r="G17" i="30"/>
  <c r="G13" i="30"/>
  <c r="G11" i="30"/>
  <c r="J11" i="29"/>
  <c r="K11" i="29"/>
  <c r="J12" i="29"/>
  <c r="K12" i="29"/>
  <c r="J13" i="29"/>
  <c r="K13" i="29"/>
  <c r="J14" i="29"/>
  <c r="K14" i="29"/>
  <c r="J15" i="29"/>
  <c r="K15" i="29"/>
  <c r="J16" i="29"/>
  <c r="K16" i="29"/>
  <c r="J17" i="29"/>
  <c r="K17" i="29"/>
  <c r="J18" i="29"/>
  <c r="K18" i="29"/>
  <c r="J19" i="29"/>
  <c r="K19" i="29"/>
  <c r="J20" i="29"/>
  <c r="K20" i="29"/>
  <c r="J21" i="29"/>
  <c r="K21" i="29"/>
  <c r="J22" i="29"/>
  <c r="K22" i="29"/>
  <c r="J23" i="29"/>
  <c r="K23" i="29"/>
  <c r="J24" i="29"/>
  <c r="K24" i="29"/>
  <c r="J25" i="29"/>
  <c r="K25" i="29"/>
  <c r="J26" i="29"/>
  <c r="K26" i="29"/>
  <c r="J27" i="29"/>
  <c r="K27" i="29"/>
  <c r="J28" i="29"/>
  <c r="K28" i="29"/>
  <c r="J29" i="29"/>
  <c r="K29" i="29"/>
  <c r="J30" i="29"/>
  <c r="K30" i="29"/>
  <c r="J31" i="29"/>
  <c r="K31" i="29"/>
  <c r="J32" i="29"/>
  <c r="K32" i="29"/>
  <c r="J33" i="29"/>
  <c r="K33" i="29"/>
  <c r="J34" i="29"/>
  <c r="K34" i="29"/>
  <c r="J35" i="29"/>
  <c r="K35" i="29"/>
  <c r="J36" i="29"/>
  <c r="K36" i="29"/>
  <c r="J37" i="29"/>
  <c r="K37" i="29"/>
  <c r="J38" i="29"/>
  <c r="K38" i="29"/>
  <c r="J39" i="29"/>
  <c r="K39" i="29"/>
  <c r="J40" i="29"/>
  <c r="K40" i="29"/>
  <c r="J41" i="29"/>
  <c r="K41" i="29"/>
  <c r="J42" i="29"/>
  <c r="K42" i="29"/>
  <c r="J43" i="29"/>
  <c r="K43" i="29"/>
  <c r="J44" i="29"/>
  <c r="K44" i="29"/>
  <c r="J45" i="29"/>
  <c r="K45" i="29"/>
  <c r="Y848" i="33"/>
  <c r="AK54" i="27"/>
  <c r="AJ54" i="27"/>
  <c r="AI54" i="27"/>
  <c r="AH54" i="27"/>
  <c r="AG54" i="27"/>
  <c r="AF54" i="27"/>
  <c r="AE54" i="27"/>
  <c r="AD54" i="27"/>
  <c r="AC54" i="27"/>
  <c r="AB54" i="27"/>
  <c r="AA54" i="27"/>
  <c r="Z54" i="27"/>
  <c r="Y54" i="27"/>
  <c r="X54" i="27"/>
  <c r="W54" i="27"/>
  <c r="V54" i="27"/>
  <c r="U54" i="27"/>
  <c r="T54" i="27"/>
  <c r="G43" i="29"/>
  <c r="G40" i="29"/>
  <c r="G39" i="29"/>
  <c r="G38" i="29"/>
  <c r="G37" i="29"/>
  <c r="G36" i="29"/>
  <c r="G35" i="29"/>
  <c r="G34" i="29"/>
  <c r="G33" i="29"/>
  <c r="G32" i="29"/>
  <c r="G30" i="29"/>
  <c r="G28" i="29"/>
  <c r="G27" i="29"/>
  <c r="G24" i="29"/>
  <c r="G21" i="29"/>
  <c r="G19" i="29"/>
  <c r="G18" i="29"/>
  <c r="G17" i="29"/>
  <c r="J11" i="28"/>
  <c r="K11" i="28"/>
  <c r="J12" i="28"/>
  <c r="K12" i="28"/>
  <c r="J13" i="28"/>
  <c r="K13" i="28"/>
  <c r="J14" i="28"/>
  <c r="K14" i="28"/>
  <c r="J15" i="28"/>
  <c r="K15" i="28"/>
  <c r="J16" i="28"/>
  <c r="K16" i="28"/>
  <c r="J17" i="28"/>
  <c r="K17" i="28"/>
  <c r="J18" i="28"/>
  <c r="K18" i="28"/>
  <c r="J19" i="28"/>
  <c r="K19" i="28"/>
  <c r="J20" i="28"/>
  <c r="K20" i="28"/>
  <c r="J21" i="28"/>
  <c r="K21" i="28"/>
  <c r="J22" i="28"/>
  <c r="K22" i="28"/>
  <c r="J23" i="28"/>
  <c r="K23" i="28"/>
  <c r="J24" i="28"/>
  <c r="K24" i="28"/>
  <c r="J25" i="28"/>
  <c r="K25" i="28"/>
  <c r="J26" i="28"/>
  <c r="K26" i="28"/>
  <c r="J27" i="28"/>
  <c r="K27" i="28"/>
  <c r="J28" i="28"/>
  <c r="K28" i="28"/>
  <c r="J29" i="28"/>
  <c r="K29" i="28"/>
  <c r="J30" i="28"/>
  <c r="K30" i="28"/>
  <c r="J31" i="28"/>
  <c r="K31" i="28"/>
  <c r="J32" i="28"/>
  <c r="K32" i="28"/>
  <c r="J33" i="28"/>
  <c r="K33" i="28"/>
  <c r="J34" i="28"/>
  <c r="K34" i="28"/>
  <c r="J35" i="28"/>
  <c r="K35" i="28"/>
  <c r="J36" i="28"/>
  <c r="K36" i="28"/>
  <c r="J37" i="28"/>
  <c r="K37" i="28"/>
  <c r="J38" i="28"/>
  <c r="K38" i="28"/>
  <c r="J39" i="28"/>
  <c r="K39" i="28"/>
  <c r="J40" i="28"/>
  <c r="K40" i="28"/>
  <c r="J41" i="28"/>
  <c r="K41" i="28"/>
  <c r="J42" i="28"/>
  <c r="K42" i="28"/>
  <c r="J43" i="28"/>
  <c r="K43" i="28"/>
  <c r="J44" i="28"/>
  <c r="K44" i="28"/>
  <c r="J45" i="28"/>
  <c r="K45" i="28"/>
  <c r="G43" i="28"/>
  <c r="G40" i="28"/>
  <c r="G39" i="28"/>
  <c r="G38" i="28"/>
  <c r="G37" i="28"/>
  <c r="G36" i="28"/>
  <c r="G35" i="28"/>
  <c r="G34" i="28"/>
  <c r="G32" i="28"/>
  <c r="G31" i="28"/>
  <c r="G30" i="28"/>
  <c r="G28" i="28"/>
  <c r="G27" i="28"/>
  <c r="G19" i="28"/>
  <c r="G18" i="28"/>
  <c r="G17" i="28"/>
  <c r="J11" i="27"/>
  <c r="K11" i="27"/>
  <c r="J12" i="27"/>
  <c r="K12" i="27"/>
  <c r="J13" i="27"/>
  <c r="K13" i="27"/>
  <c r="J14" i="27"/>
  <c r="K14" i="27"/>
  <c r="J15" i="27"/>
  <c r="K15" i="27"/>
  <c r="J16" i="27"/>
  <c r="K16" i="27"/>
  <c r="J17" i="27"/>
  <c r="K17" i="27"/>
  <c r="J18" i="27"/>
  <c r="K18" i="27"/>
  <c r="J19" i="27"/>
  <c r="K19" i="27"/>
  <c r="J20" i="27"/>
  <c r="K20" i="27"/>
  <c r="J21" i="27"/>
  <c r="K21" i="27"/>
  <c r="J22" i="27"/>
  <c r="K22" i="27"/>
  <c r="J23" i="27"/>
  <c r="K23" i="27"/>
  <c r="J24" i="27"/>
  <c r="K24" i="27"/>
  <c r="J25" i="27"/>
  <c r="K25" i="27"/>
  <c r="J26" i="27"/>
  <c r="K26" i="27"/>
  <c r="J27" i="27"/>
  <c r="K27" i="27"/>
  <c r="J28" i="27"/>
  <c r="K28" i="27"/>
  <c r="J29" i="27"/>
  <c r="K29" i="27"/>
  <c r="J30" i="27"/>
  <c r="K30" i="27"/>
  <c r="J31" i="27"/>
  <c r="K31" i="27"/>
  <c r="J32" i="27"/>
  <c r="K32" i="27"/>
  <c r="J33" i="27"/>
  <c r="K33" i="27"/>
  <c r="J34" i="27"/>
  <c r="K34" i="27"/>
  <c r="J35" i="27"/>
  <c r="K35" i="27"/>
  <c r="J36" i="27"/>
  <c r="K36" i="27"/>
  <c r="J37" i="27"/>
  <c r="K37" i="27"/>
  <c r="J38" i="27"/>
  <c r="K38" i="27"/>
  <c r="J39" i="27"/>
  <c r="K39" i="27"/>
  <c r="J40" i="27"/>
  <c r="K40" i="27"/>
  <c r="J41" i="27"/>
  <c r="K41" i="27"/>
  <c r="J42" i="27"/>
  <c r="K42" i="27"/>
  <c r="J43" i="27"/>
  <c r="K43" i="27"/>
  <c r="J44" i="27"/>
  <c r="K44" i="27"/>
  <c r="J45" i="27"/>
  <c r="K45" i="27"/>
  <c r="G43" i="27"/>
  <c r="G40" i="27"/>
  <c r="G39" i="27"/>
  <c r="G38" i="27"/>
  <c r="G37" i="27"/>
  <c r="G36" i="27"/>
  <c r="G35" i="27"/>
  <c r="G34" i="27"/>
  <c r="G33" i="27"/>
  <c r="G32" i="27"/>
  <c r="G31" i="27"/>
  <c r="G30" i="27"/>
  <c r="G28" i="27"/>
  <c r="G27" i="27"/>
  <c r="G19" i="27"/>
  <c r="G18" i="27"/>
  <c r="G17" i="27"/>
  <c r="J11" i="26"/>
  <c r="K11" i="26"/>
  <c r="J12" i="26"/>
  <c r="K12" i="26"/>
  <c r="J13" i="26"/>
  <c r="K13" i="26"/>
  <c r="J14" i="26"/>
  <c r="K14" i="26"/>
  <c r="J15" i="26"/>
  <c r="K15" i="26"/>
  <c r="J16" i="26"/>
  <c r="K16" i="26"/>
  <c r="J17" i="26"/>
  <c r="K17" i="26"/>
  <c r="J18" i="26"/>
  <c r="K18" i="26"/>
  <c r="J19" i="26"/>
  <c r="K19" i="26"/>
  <c r="J20" i="26"/>
  <c r="K20" i="26"/>
  <c r="J21" i="26"/>
  <c r="K21" i="26"/>
  <c r="J22" i="26"/>
  <c r="K22" i="26"/>
  <c r="J23" i="26"/>
  <c r="K23" i="26"/>
  <c r="J24" i="26"/>
  <c r="K24" i="26"/>
  <c r="J25" i="26"/>
  <c r="K25" i="26"/>
  <c r="J26" i="26"/>
  <c r="K26" i="26"/>
  <c r="J27" i="26"/>
  <c r="K27" i="26"/>
  <c r="J28" i="26"/>
  <c r="K28" i="26"/>
  <c r="J29" i="26"/>
  <c r="K29" i="26"/>
  <c r="J30" i="26"/>
  <c r="K30" i="26"/>
  <c r="J31" i="26"/>
  <c r="K31" i="26"/>
  <c r="J32" i="26"/>
  <c r="K32" i="26"/>
  <c r="J33" i="26"/>
  <c r="K33" i="26"/>
  <c r="J34" i="26"/>
  <c r="K34" i="26"/>
  <c r="J35" i="26"/>
  <c r="K35" i="26"/>
  <c r="J36" i="26"/>
  <c r="K36" i="26"/>
  <c r="J37" i="26"/>
  <c r="K37" i="26"/>
  <c r="J38" i="26"/>
  <c r="K38" i="26"/>
  <c r="J39" i="26"/>
  <c r="K39" i="26"/>
  <c r="J40" i="26"/>
  <c r="K40" i="26"/>
  <c r="J41" i="26"/>
  <c r="K41" i="26"/>
  <c r="J42" i="26"/>
  <c r="K42" i="26"/>
  <c r="J43" i="26"/>
  <c r="K43" i="26"/>
  <c r="J44" i="26"/>
  <c r="K44" i="26"/>
  <c r="J45" i="26"/>
  <c r="K45" i="26"/>
  <c r="G43" i="26"/>
  <c r="G40" i="26"/>
  <c r="G39" i="26"/>
  <c r="G38" i="26"/>
  <c r="G37" i="26"/>
  <c r="G36" i="26"/>
  <c r="G32" i="26"/>
  <c r="G31" i="26"/>
  <c r="G30" i="26"/>
  <c r="G28" i="26"/>
  <c r="G27" i="26"/>
  <c r="G19" i="26"/>
  <c r="G18" i="26"/>
  <c r="G17" i="26"/>
  <c r="G16" i="26"/>
  <c r="K16" i="59" l="1"/>
  <c r="J23" i="59"/>
  <c r="J25" i="59" s="1"/>
  <c r="J27" i="59" s="1"/>
  <c r="AK54" i="21"/>
  <c r="AJ54" i="21"/>
  <c r="AI54" i="21"/>
  <c r="AH54" i="21"/>
  <c r="AG54" i="21"/>
  <c r="AF54" i="21"/>
  <c r="AE54" i="21"/>
  <c r="AD54" i="21"/>
  <c r="AC54" i="21"/>
  <c r="AB54" i="21"/>
  <c r="AA54" i="21"/>
  <c r="Z54" i="21"/>
  <c r="Y54" i="21"/>
  <c r="X54" i="21"/>
  <c r="W54" i="21"/>
  <c r="V54" i="21"/>
  <c r="U54" i="21"/>
  <c r="T54" i="21"/>
  <c r="AK54" i="22"/>
  <c r="AJ54" i="22"/>
  <c r="AI54" i="22"/>
  <c r="AH54" i="22"/>
  <c r="AG54" i="22"/>
  <c r="AF54" i="22"/>
  <c r="AE54" i="22"/>
  <c r="AD54" i="22"/>
  <c r="AC54" i="22"/>
  <c r="AB54" i="22"/>
  <c r="AA54" i="22"/>
  <c r="Z54" i="22"/>
  <c r="Y54" i="22"/>
  <c r="X54" i="22"/>
  <c r="W54" i="22"/>
  <c r="V54" i="22"/>
  <c r="U54" i="22"/>
  <c r="T54" i="22"/>
  <c r="L16" i="59" l="1"/>
  <c r="K23" i="59"/>
  <c r="Y998" i="33"/>
  <c r="J11" i="25"/>
  <c r="K11" i="25"/>
  <c r="J12" i="25"/>
  <c r="K12" i="25"/>
  <c r="J13" i="25"/>
  <c r="K13" i="25"/>
  <c r="J14" i="25"/>
  <c r="K14" i="25"/>
  <c r="J15" i="25"/>
  <c r="K15" i="25"/>
  <c r="J16" i="25"/>
  <c r="K16" i="25"/>
  <c r="J17" i="25"/>
  <c r="K17" i="25"/>
  <c r="J18" i="25"/>
  <c r="K18" i="25"/>
  <c r="J19" i="25"/>
  <c r="K19" i="25"/>
  <c r="J20" i="25"/>
  <c r="K20" i="25"/>
  <c r="J21" i="25"/>
  <c r="K21" i="25"/>
  <c r="J22" i="25"/>
  <c r="K22" i="25"/>
  <c r="J23" i="25"/>
  <c r="K23" i="25"/>
  <c r="J24" i="25"/>
  <c r="K24" i="25"/>
  <c r="J25" i="25"/>
  <c r="K25" i="25"/>
  <c r="J26" i="25"/>
  <c r="K26" i="25"/>
  <c r="J27" i="25"/>
  <c r="K27" i="25"/>
  <c r="J28" i="25"/>
  <c r="K28" i="25"/>
  <c r="J29" i="25"/>
  <c r="K29" i="25"/>
  <c r="J30" i="25"/>
  <c r="K30" i="25"/>
  <c r="J31" i="25"/>
  <c r="K31" i="25"/>
  <c r="J32" i="25"/>
  <c r="K32" i="25"/>
  <c r="J33" i="25"/>
  <c r="K33" i="25"/>
  <c r="J34" i="25"/>
  <c r="K34" i="25"/>
  <c r="J35" i="25"/>
  <c r="K35" i="25"/>
  <c r="J36" i="25"/>
  <c r="K36" i="25"/>
  <c r="J37" i="25"/>
  <c r="K37" i="25"/>
  <c r="J38" i="25"/>
  <c r="K38" i="25"/>
  <c r="J39" i="25"/>
  <c r="K39" i="25"/>
  <c r="J40" i="25"/>
  <c r="K40" i="25"/>
  <c r="J41" i="25"/>
  <c r="K41" i="25"/>
  <c r="J42" i="25"/>
  <c r="K42" i="25"/>
  <c r="J43" i="25"/>
  <c r="K43" i="25"/>
  <c r="J44" i="25"/>
  <c r="K44" i="25"/>
  <c r="J45" i="25"/>
  <c r="K45" i="25"/>
  <c r="G43" i="25"/>
  <c r="G40" i="25"/>
  <c r="G39" i="25"/>
  <c r="G38" i="25"/>
  <c r="G37" i="25"/>
  <c r="G36" i="25"/>
  <c r="G32" i="25"/>
  <c r="G31" i="25"/>
  <c r="G30" i="25"/>
  <c r="G28" i="25"/>
  <c r="G27" i="25"/>
  <c r="G19" i="25"/>
  <c r="G18" i="25"/>
  <c r="G17" i="25"/>
  <c r="G16" i="25"/>
  <c r="M16" i="59" l="1"/>
  <c r="J11" i="24"/>
  <c r="K11" i="24"/>
  <c r="J13" i="24"/>
  <c r="K13" i="24"/>
  <c r="J14" i="24"/>
  <c r="K14" i="24"/>
  <c r="J15" i="24"/>
  <c r="K15" i="24"/>
  <c r="J16" i="24"/>
  <c r="K16" i="24"/>
  <c r="J17" i="24"/>
  <c r="K17" i="24"/>
  <c r="J18" i="24"/>
  <c r="K18" i="24"/>
  <c r="J19" i="24"/>
  <c r="K19" i="24"/>
  <c r="J20" i="24"/>
  <c r="K20" i="24"/>
  <c r="J21" i="24"/>
  <c r="K21" i="24"/>
  <c r="J22" i="24"/>
  <c r="K22" i="24"/>
  <c r="J23" i="24"/>
  <c r="K23" i="24"/>
  <c r="J24" i="24"/>
  <c r="K24" i="24"/>
  <c r="J25" i="24"/>
  <c r="K25" i="24"/>
  <c r="J26" i="24"/>
  <c r="K26" i="24"/>
  <c r="J27" i="24"/>
  <c r="K27" i="24"/>
  <c r="J28" i="24"/>
  <c r="K28" i="24"/>
  <c r="J29" i="24"/>
  <c r="K29" i="24"/>
  <c r="J30" i="24"/>
  <c r="K30" i="24"/>
  <c r="J31" i="24"/>
  <c r="K31" i="24"/>
  <c r="J32" i="24"/>
  <c r="K32" i="24"/>
  <c r="J33" i="24"/>
  <c r="K33" i="24"/>
  <c r="J34" i="24"/>
  <c r="K34" i="24"/>
  <c r="J35" i="24"/>
  <c r="K35" i="24"/>
  <c r="J36" i="24"/>
  <c r="K36" i="24"/>
  <c r="J37" i="24"/>
  <c r="K37" i="24"/>
  <c r="J38" i="24"/>
  <c r="K38" i="24"/>
  <c r="J39" i="24"/>
  <c r="K39" i="24"/>
  <c r="J40" i="24"/>
  <c r="K40" i="24"/>
  <c r="J41" i="24"/>
  <c r="K41" i="24"/>
  <c r="J42" i="24"/>
  <c r="K42" i="24"/>
  <c r="J43" i="24"/>
  <c r="K43" i="24"/>
  <c r="J44" i="24"/>
  <c r="K44" i="24"/>
  <c r="J45" i="24"/>
  <c r="K45" i="24"/>
  <c r="G43" i="24"/>
  <c r="G42" i="24"/>
  <c r="G39" i="24"/>
  <c r="G38" i="24"/>
  <c r="G37" i="24"/>
  <c r="G36" i="24"/>
  <c r="G33" i="24"/>
  <c r="G32" i="24"/>
  <c r="G31" i="24"/>
  <c r="G30" i="24"/>
  <c r="G28" i="24"/>
  <c r="G27" i="24"/>
  <c r="N16" i="59" l="1"/>
  <c r="M23" i="59"/>
  <c r="M25" i="59" s="1"/>
  <c r="M27" i="59" s="1"/>
  <c r="G18" i="24"/>
  <c r="G16" i="24"/>
  <c r="G21" i="24"/>
  <c r="J11" i="23"/>
  <c r="K11" i="23"/>
  <c r="J12" i="23"/>
  <c r="K12" i="23"/>
  <c r="J13" i="23"/>
  <c r="K13" i="23"/>
  <c r="J14" i="23"/>
  <c r="K14" i="23"/>
  <c r="J15" i="23"/>
  <c r="K15" i="23"/>
  <c r="J16" i="23"/>
  <c r="K16" i="23"/>
  <c r="J17" i="23"/>
  <c r="K17" i="23"/>
  <c r="J18" i="23"/>
  <c r="K18" i="23"/>
  <c r="J19" i="23"/>
  <c r="K19" i="23"/>
  <c r="J20" i="23"/>
  <c r="K20" i="23"/>
  <c r="J21" i="23"/>
  <c r="K21" i="23"/>
  <c r="J22" i="23"/>
  <c r="K22" i="23"/>
  <c r="J23" i="23"/>
  <c r="K23" i="23"/>
  <c r="J24" i="23"/>
  <c r="K24" i="23"/>
  <c r="J25" i="23"/>
  <c r="K25" i="23"/>
  <c r="J26" i="23"/>
  <c r="K26" i="23"/>
  <c r="J27" i="23"/>
  <c r="K27" i="23"/>
  <c r="J28" i="23"/>
  <c r="K28" i="23"/>
  <c r="J29" i="23"/>
  <c r="K29" i="23"/>
  <c r="J30" i="23"/>
  <c r="K30" i="23"/>
  <c r="J31" i="23"/>
  <c r="K31" i="23"/>
  <c r="J32" i="23"/>
  <c r="K32" i="23"/>
  <c r="J33" i="23"/>
  <c r="K33" i="23"/>
  <c r="J34" i="23"/>
  <c r="K34" i="23"/>
  <c r="J35" i="23"/>
  <c r="K35" i="23"/>
  <c r="J36" i="23"/>
  <c r="K36" i="23"/>
  <c r="J37" i="23"/>
  <c r="K37" i="23"/>
  <c r="J38" i="23"/>
  <c r="K38" i="23"/>
  <c r="J39" i="23"/>
  <c r="K39" i="23"/>
  <c r="J40" i="23"/>
  <c r="K40" i="23"/>
  <c r="J41" i="23"/>
  <c r="K41" i="23"/>
  <c r="J42" i="23"/>
  <c r="K42" i="23"/>
  <c r="J43" i="23"/>
  <c r="K43" i="23"/>
  <c r="J44" i="23"/>
  <c r="K44" i="23"/>
  <c r="J45" i="23"/>
  <c r="K45" i="23"/>
  <c r="G43" i="23"/>
  <c r="G39" i="23"/>
  <c r="G38" i="23"/>
  <c r="G37" i="23"/>
  <c r="G36" i="23"/>
  <c r="G35" i="23"/>
  <c r="G33" i="23"/>
  <c r="G32" i="23"/>
  <c r="G30" i="23"/>
  <c r="G27" i="23"/>
  <c r="G24" i="23"/>
  <c r="G21" i="23"/>
  <c r="G19" i="23"/>
  <c r="G18" i="23"/>
  <c r="G16" i="23"/>
  <c r="J11" i="22"/>
  <c r="K11" i="22"/>
  <c r="J12" i="22"/>
  <c r="K12" i="22"/>
  <c r="J13" i="22"/>
  <c r="K13" i="22"/>
  <c r="J14" i="22"/>
  <c r="K14" i="22"/>
  <c r="J15" i="22"/>
  <c r="K15" i="22"/>
  <c r="J16" i="22"/>
  <c r="K16" i="22"/>
  <c r="J17" i="22"/>
  <c r="K17" i="22"/>
  <c r="J18" i="22"/>
  <c r="K18" i="22"/>
  <c r="J19" i="22"/>
  <c r="K19" i="22"/>
  <c r="J20" i="22"/>
  <c r="K20" i="22"/>
  <c r="J21" i="22"/>
  <c r="K21" i="22"/>
  <c r="J22" i="22"/>
  <c r="K22" i="22"/>
  <c r="J23" i="22"/>
  <c r="K23" i="22"/>
  <c r="J24" i="22"/>
  <c r="K24" i="22"/>
  <c r="J25" i="22"/>
  <c r="K25" i="22"/>
  <c r="J26" i="22"/>
  <c r="K26" i="22"/>
  <c r="J27" i="22"/>
  <c r="K27" i="22"/>
  <c r="J28" i="22"/>
  <c r="K28" i="22"/>
  <c r="J29" i="22"/>
  <c r="K29" i="22"/>
  <c r="J30" i="22"/>
  <c r="K30" i="22"/>
  <c r="J31" i="22"/>
  <c r="K31" i="22"/>
  <c r="J32" i="22"/>
  <c r="K32" i="22"/>
  <c r="J33" i="22"/>
  <c r="K33" i="22"/>
  <c r="J34" i="22"/>
  <c r="K34" i="22"/>
  <c r="J35" i="22"/>
  <c r="K35" i="22"/>
  <c r="J36" i="22"/>
  <c r="K36" i="22"/>
  <c r="J37" i="22"/>
  <c r="K37" i="22"/>
  <c r="J38" i="22"/>
  <c r="K38" i="22"/>
  <c r="J39" i="22"/>
  <c r="K39" i="22"/>
  <c r="J40" i="22"/>
  <c r="K40" i="22"/>
  <c r="J41" i="22"/>
  <c r="K41" i="22"/>
  <c r="J42" i="22"/>
  <c r="K42" i="22"/>
  <c r="J43" i="22"/>
  <c r="K43" i="22"/>
  <c r="J44" i="22"/>
  <c r="K44" i="22"/>
  <c r="J45" i="22"/>
  <c r="K45" i="22"/>
  <c r="G43" i="22"/>
  <c r="G42" i="22"/>
  <c r="G39" i="22"/>
  <c r="G38" i="22"/>
  <c r="G37" i="22"/>
  <c r="G36" i="22"/>
  <c r="G35" i="22"/>
  <c r="G33" i="22"/>
  <c r="G32" i="22"/>
  <c r="G30" i="22"/>
  <c r="G28" i="22"/>
  <c r="G27" i="22"/>
  <c r="G24" i="22"/>
  <c r="G21" i="22"/>
  <c r="G19" i="22"/>
  <c r="G18" i="22"/>
  <c r="G16" i="22"/>
  <c r="Y843" i="33"/>
  <c r="G29" i="24" s="1"/>
  <c r="O16" i="59" l="1"/>
  <c r="N23" i="59"/>
  <c r="N25" i="59" s="1"/>
  <c r="N27" i="59" s="1"/>
  <c r="J11" i="21"/>
  <c r="K11" i="21"/>
  <c r="J12" i="21"/>
  <c r="K12" i="21"/>
  <c r="J13" i="21"/>
  <c r="K13" i="21"/>
  <c r="J14" i="21"/>
  <c r="K14" i="21"/>
  <c r="J15" i="21"/>
  <c r="K15" i="21"/>
  <c r="J16" i="21"/>
  <c r="K16" i="21"/>
  <c r="J17" i="21"/>
  <c r="K17" i="21"/>
  <c r="J18" i="21"/>
  <c r="K18" i="21"/>
  <c r="J19" i="21"/>
  <c r="K19" i="21"/>
  <c r="J20" i="21"/>
  <c r="K20" i="21"/>
  <c r="J21" i="21"/>
  <c r="K21" i="21"/>
  <c r="J22" i="21"/>
  <c r="K22" i="21"/>
  <c r="J23" i="21"/>
  <c r="K23" i="21"/>
  <c r="J24" i="21"/>
  <c r="K24" i="21"/>
  <c r="J25" i="21"/>
  <c r="K25" i="21"/>
  <c r="J26" i="21"/>
  <c r="K26" i="21"/>
  <c r="J27" i="21"/>
  <c r="K27" i="21"/>
  <c r="J28" i="21"/>
  <c r="K28" i="21"/>
  <c r="J29" i="21"/>
  <c r="K29" i="21"/>
  <c r="J30" i="21"/>
  <c r="K30" i="21"/>
  <c r="J31" i="21"/>
  <c r="K31" i="21"/>
  <c r="J32" i="21"/>
  <c r="K32" i="21"/>
  <c r="J33" i="21"/>
  <c r="K33" i="21"/>
  <c r="J34" i="21"/>
  <c r="K34" i="21"/>
  <c r="J35" i="21"/>
  <c r="K35" i="21"/>
  <c r="J36" i="21"/>
  <c r="K36" i="21"/>
  <c r="J37" i="21"/>
  <c r="K37" i="21"/>
  <c r="J38" i="21"/>
  <c r="K38" i="21"/>
  <c r="J39" i="21"/>
  <c r="K39" i="21"/>
  <c r="J40" i="21"/>
  <c r="K40" i="21"/>
  <c r="J41" i="21"/>
  <c r="K41" i="21"/>
  <c r="J42" i="21"/>
  <c r="K42" i="21"/>
  <c r="J43" i="21"/>
  <c r="K43" i="21"/>
  <c r="J44" i="21"/>
  <c r="K44" i="21"/>
  <c r="J45" i="21"/>
  <c r="K45" i="21"/>
  <c r="G43" i="21"/>
  <c r="G42" i="21"/>
  <c r="G39" i="21"/>
  <c r="G38" i="21"/>
  <c r="G37" i="21"/>
  <c r="G36" i="21"/>
  <c r="G35" i="21"/>
  <c r="G33" i="21"/>
  <c r="G32" i="21"/>
  <c r="G29" i="21"/>
  <c r="G28" i="21"/>
  <c r="G27" i="21"/>
  <c r="G24" i="21"/>
  <c r="G21" i="21"/>
  <c r="G19" i="21"/>
  <c r="G18" i="21"/>
  <c r="G17" i="21"/>
  <c r="G16" i="21"/>
  <c r="G44" i="21"/>
  <c r="T44" i="19"/>
  <c r="T45" i="19"/>
  <c r="S44" i="20"/>
  <c r="S45" i="20"/>
  <c r="S44" i="19"/>
  <c r="S45" i="19"/>
  <c r="P16" i="59" l="1"/>
  <c r="O23" i="59"/>
  <c r="O25" i="59" s="1"/>
  <c r="O27" i="59" s="1"/>
  <c r="J31" i="62"/>
  <c r="F31" i="62"/>
  <c r="B31" i="62"/>
  <c r="Q16" i="59" l="1"/>
  <c r="P23" i="59"/>
  <c r="P25" i="59" s="1"/>
  <c r="P27" i="59" s="1"/>
  <c r="J11" i="20"/>
  <c r="K11" i="20"/>
  <c r="J12" i="20"/>
  <c r="K12" i="20"/>
  <c r="J13" i="20"/>
  <c r="K13" i="20"/>
  <c r="J14" i="20"/>
  <c r="K14" i="20"/>
  <c r="J15" i="20"/>
  <c r="K15" i="20"/>
  <c r="J16" i="20"/>
  <c r="K16" i="20"/>
  <c r="J17" i="20"/>
  <c r="K17" i="20"/>
  <c r="J18" i="20"/>
  <c r="K18" i="20"/>
  <c r="J19" i="20"/>
  <c r="K19" i="20"/>
  <c r="J20" i="20"/>
  <c r="K20" i="20"/>
  <c r="J21" i="20"/>
  <c r="K21" i="20"/>
  <c r="J22" i="20"/>
  <c r="K22" i="20"/>
  <c r="J23" i="20"/>
  <c r="K23" i="20"/>
  <c r="J24" i="20"/>
  <c r="K24" i="20"/>
  <c r="J25" i="20"/>
  <c r="K25" i="20"/>
  <c r="J26" i="20"/>
  <c r="K26" i="20"/>
  <c r="J27" i="20"/>
  <c r="K27" i="20"/>
  <c r="J28" i="20"/>
  <c r="K28" i="20"/>
  <c r="J29" i="20"/>
  <c r="K29" i="20"/>
  <c r="J30" i="20"/>
  <c r="K30" i="20"/>
  <c r="J31" i="20"/>
  <c r="K31" i="20"/>
  <c r="J32" i="20"/>
  <c r="K32" i="20"/>
  <c r="J33" i="20"/>
  <c r="K33" i="20"/>
  <c r="J34" i="20"/>
  <c r="K34" i="20"/>
  <c r="J35" i="20"/>
  <c r="K35" i="20"/>
  <c r="J36" i="20"/>
  <c r="K36" i="20"/>
  <c r="J37" i="20"/>
  <c r="K37" i="20"/>
  <c r="J38" i="20"/>
  <c r="K38" i="20"/>
  <c r="J39" i="20"/>
  <c r="K39" i="20"/>
  <c r="J40" i="20"/>
  <c r="K40" i="20"/>
  <c r="J41" i="20"/>
  <c r="K41" i="20"/>
  <c r="J42" i="20"/>
  <c r="K42" i="20"/>
  <c r="J43" i="20"/>
  <c r="K43" i="20"/>
  <c r="J44" i="20"/>
  <c r="K44" i="20"/>
  <c r="J45" i="20"/>
  <c r="K45" i="20"/>
  <c r="G43" i="20"/>
  <c r="G42" i="20"/>
  <c r="G40" i="20"/>
  <c r="G39" i="20"/>
  <c r="G38" i="20"/>
  <c r="G37" i="20"/>
  <c r="G36" i="20"/>
  <c r="G35" i="20"/>
  <c r="G33" i="20"/>
  <c r="G32" i="20"/>
  <c r="G30" i="20"/>
  <c r="G29" i="20"/>
  <c r="G27" i="20"/>
  <c r="G24" i="20"/>
  <c r="G21" i="20"/>
  <c r="G19" i="20"/>
  <c r="G18" i="20"/>
  <c r="G17" i="20"/>
  <c r="G16" i="20"/>
  <c r="J11" i="19"/>
  <c r="K11" i="19"/>
  <c r="J12" i="19"/>
  <c r="K12" i="19"/>
  <c r="J13" i="19"/>
  <c r="K13" i="19"/>
  <c r="J14" i="19"/>
  <c r="K14" i="19"/>
  <c r="J15" i="19"/>
  <c r="K15" i="19"/>
  <c r="J16" i="19"/>
  <c r="K16" i="19"/>
  <c r="J17" i="19"/>
  <c r="K17" i="19"/>
  <c r="J18" i="19"/>
  <c r="K18" i="19"/>
  <c r="J19" i="19"/>
  <c r="K19" i="19"/>
  <c r="J20" i="19"/>
  <c r="K20" i="19"/>
  <c r="J21" i="19"/>
  <c r="K21" i="19"/>
  <c r="J22" i="19"/>
  <c r="K22" i="19"/>
  <c r="J23" i="19"/>
  <c r="K23" i="19"/>
  <c r="J24" i="19"/>
  <c r="K24" i="19"/>
  <c r="J25" i="19"/>
  <c r="K25" i="19"/>
  <c r="J26" i="19"/>
  <c r="K26" i="19"/>
  <c r="J27" i="19"/>
  <c r="K27" i="19"/>
  <c r="J28" i="19"/>
  <c r="K28" i="19"/>
  <c r="J29" i="19"/>
  <c r="K29" i="19"/>
  <c r="J30" i="19"/>
  <c r="K30" i="19"/>
  <c r="J31" i="19"/>
  <c r="K31" i="19"/>
  <c r="J32" i="19"/>
  <c r="K32" i="19"/>
  <c r="J33" i="19"/>
  <c r="K33" i="19"/>
  <c r="J34" i="19"/>
  <c r="K34" i="19"/>
  <c r="J35" i="19"/>
  <c r="K35" i="19"/>
  <c r="J36" i="19"/>
  <c r="K36" i="19"/>
  <c r="J37" i="19"/>
  <c r="K37" i="19"/>
  <c r="J38" i="19"/>
  <c r="K38" i="19"/>
  <c r="J39" i="19"/>
  <c r="K39" i="19"/>
  <c r="J40" i="19"/>
  <c r="K40" i="19"/>
  <c r="J41" i="19"/>
  <c r="K41" i="19"/>
  <c r="J42" i="19"/>
  <c r="K42" i="19"/>
  <c r="J43" i="19"/>
  <c r="K43" i="19"/>
  <c r="J44" i="19"/>
  <c r="K44" i="19"/>
  <c r="J45" i="19"/>
  <c r="K45" i="19"/>
  <c r="G43" i="19"/>
  <c r="G42" i="19"/>
  <c r="G40" i="19"/>
  <c r="G39" i="19"/>
  <c r="G38" i="19"/>
  <c r="G37" i="19"/>
  <c r="G36" i="19"/>
  <c r="G35" i="19"/>
  <c r="G33" i="19"/>
  <c r="G32" i="19"/>
  <c r="G30" i="19"/>
  <c r="G29" i="19"/>
  <c r="G28" i="19"/>
  <c r="G27" i="19"/>
  <c r="G24" i="19"/>
  <c r="G21" i="19"/>
  <c r="G18" i="19"/>
  <c r="G17" i="19"/>
  <c r="G16" i="19"/>
  <c r="AK54" i="16"/>
  <c r="AJ54" i="16"/>
  <c r="AI54" i="16"/>
  <c r="AH54" i="16"/>
  <c r="AG54" i="16"/>
  <c r="AF54" i="16"/>
  <c r="AE54" i="16"/>
  <c r="AD54" i="16"/>
  <c r="AC54" i="16"/>
  <c r="AB54" i="16"/>
  <c r="AA54" i="16"/>
  <c r="Z54" i="16"/>
  <c r="Y54" i="16"/>
  <c r="X54" i="16"/>
  <c r="W54" i="16"/>
  <c r="V54" i="16"/>
  <c r="U54" i="16"/>
  <c r="T54" i="16"/>
  <c r="R16" i="59" l="1"/>
  <c r="Q23" i="59"/>
  <c r="J10" i="18"/>
  <c r="K10" i="18"/>
  <c r="J11" i="18"/>
  <c r="K11" i="18"/>
  <c r="J12" i="18"/>
  <c r="K12" i="18"/>
  <c r="J13" i="18"/>
  <c r="K13" i="18"/>
  <c r="J14" i="18"/>
  <c r="K14" i="18"/>
  <c r="J15" i="18"/>
  <c r="K15" i="18"/>
  <c r="J16" i="18"/>
  <c r="K16" i="18"/>
  <c r="J17" i="18"/>
  <c r="K17" i="18"/>
  <c r="J18" i="18"/>
  <c r="K18" i="18"/>
  <c r="J19" i="18"/>
  <c r="K19" i="18"/>
  <c r="J20" i="18"/>
  <c r="K20" i="18"/>
  <c r="J21" i="18"/>
  <c r="K21" i="18"/>
  <c r="J22" i="18"/>
  <c r="K22" i="18"/>
  <c r="J23" i="18"/>
  <c r="K23" i="18"/>
  <c r="J24" i="18"/>
  <c r="K24" i="18"/>
  <c r="J25" i="18"/>
  <c r="K25" i="18"/>
  <c r="J26" i="18"/>
  <c r="K26" i="18"/>
  <c r="J27" i="18"/>
  <c r="K27" i="18"/>
  <c r="J28" i="18"/>
  <c r="K28" i="18"/>
  <c r="J29" i="18"/>
  <c r="K29" i="18"/>
  <c r="J30" i="18"/>
  <c r="K30" i="18"/>
  <c r="J31" i="18"/>
  <c r="K31" i="18"/>
  <c r="J32" i="18"/>
  <c r="K32" i="18"/>
  <c r="J33" i="18"/>
  <c r="K33" i="18"/>
  <c r="J34" i="18"/>
  <c r="K34" i="18"/>
  <c r="J35" i="18"/>
  <c r="K35" i="18"/>
  <c r="J36" i="18"/>
  <c r="K36" i="18"/>
  <c r="J37" i="18"/>
  <c r="K37" i="18"/>
  <c r="J38" i="18"/>
  <c r="K38" i="18"/>
  <c r="J39" i="18"/>
  <c r="K39" i="18"/>
  <c r="J40" i="18"/>
  <c r="K40" i="18"/>
  <c r="J41" i="18"/>
  <c r="K41" i="18"/>
  <c r="J42" i="18"/>
  <c r="K42" i="18"/>
  <c r="J43" i="18"/>
  <c r="K43" i="18"/>
  <c r="J44" i="18"/>
  <c r="K44" i="18"/>
  <c r="J45" i="18"/>
  <c r="K45" i="18"/>
  <c r="G43" i="18"/>
  <c r="G42" i="18"/>
  <c r="G40" i="18"/>
  <c r="G39" i="18"/>
  <c r="G38" i="18"/>
  <c r="G37" i="18"/>
  <c r="G36" i="18"/>
  <c r="G33" i="18"/>
  <c r="G32" i="18"/>
  <c r="G29" i="18"/>
  <c r="G28" i="18"/>
  <c r="G27" i="18"/>
  <c r="G24" i="18"/>
  <c r="G21" i="18"/>
  <c r="G19" i="18"/>
  <c r="G18" i="18"/>
  <c r="G17" i="18"/>
  <c r="G16" i="18"/>
  <c r="R23" i="59" l="1"/>
  <c r="R25" i="59" s="1"/>
  <c r="S16" i="59"/>
  <c r="T16" i="59" l="1"/>
  <c r="S23" i="59"/>
  <c r="S25" i="59" s="1"/>
  <c r="S27" i="59" s="1"/>
  <c r="AJ54" i="11"/>
  <c r="AI54" i="11"/>
  <c r="AH54" i="11"/>
  <c r="AG54" i="11"/>
  <c r="AF54" i="11"/>
  <c r="AE54" i="11"/>
  <c r="AD54" i="11"/>
  <c r="AC54" i="11"/>
  <c r="AB54" i="11"/>
  <c r="AA54" i="11"/>
  <c r="Z54" i="11"/>
  <c r="Y54" i="11"/>
  <c r="X54" i="11"/>
  <c r="W54" i="11"/>
  <c r="V54" i="11"/>
  <c r="U54" i="11"/>
  <c r="T54" i="11"/>
  <c r="AK54" i="37"/>
  <c r="AJ54" i="37"/>
  <c r="AI54" i="37"/>
  <c r="AH54" i="37"/>
  <c r="AG54" i="37"/>
  <c r="AF54" i="37"/>
  <c r="AE54" i="37"/>
  <c r="AD54" i="37"/>
  <c r="AC54" i="37"/>
  <c r="AB54" i="37"/>
  <c r="AA54" i="37"/>
  <c r="Z54" i="37"/>
  <c r="Y54" i="37"/>
  <c r="X54" i="37"/>
  <c r="W54" i="37"/>
  <c r="V54" i="37"/>
  <c r="U54" i="37"/>
  <c r="T54" i="37"/>
  <c r="AK54" i="13"/>
  <c r="AJ54" i="13"/>
  <c r="AI54" i="13"/>
  <c r="AH54" i="13"/>
  <c r="AG54" i="13"/>
  <c r="AF54" i="13"/>
  <c r="AE54" i="13"/>
  <c r="AD54" i="13"/>
  <c r="AC54" i="13"/>
  <c r="AB54" i="13"/>
  <c r="AA54" i="13"/>
  <c r="Z54" i="13"/>
  <c r="Y54" i="13"/>
  <c r="X54" i="13"/>
  <c r="W54" i="13"/>
  <c r="V54" i="13"/>
  <c r="U54" i="13"/>
  <c r="T54" i="13"/>
  <c r="J11" i="17"/>
  <c r="K11" i="17"/>
  <c r="J12" i="17"/>
  <c r="K12" i="17"/>
  <c r="J13" i="17"/>
  <c r="K13" i="17"/>
  <c r="J14" i="17"/>
  <c r="K14" i="17"/>
  <c r="J15" i="17"/>
  <c r="K15" i="17"/>
  <c r="J16" i="17"/>
  <c r="K16" i="17"/>
  <c r="J17" i="17"/>
  <c r="K17" i="17"/>
  <c r="J18" i="17"/>
  <c r="K18" i="17"/>
  <c r="J19" i="17"/>
  <c r="K19" i="17"/>
  <c r="J20" i="17"/>
  <c r="K20" i="17"/>
  <c r="J21" i="17"/>
  <c r="K21" i="17"/>
  <c r="J22" i="17"/>
  <c r="K22" i="17"/>
  <c r="J23" i="17"/>
  <c r="K23" i="17"/>
  <c r="J24" i="17"/>
  <c r="K24" i="17"/>
  <c r="J25" i="17"/>
  <c r="K25" i="17"/>
  <c r="J26" i="17"/>
  <c r="K26" i="17"/>
  <c r="J27" i="17"/>
  <c r="K27" i="17"/>
  <c r="J28" i="17"/>
  <c r="K28" i="17"/>
  <c r="J29" i="17"/>
  <c r="K29" i="17"/>
  <c r="J30" i="17"/>
  <c r="K30" i="17"/>
  <c r="J31" i="17"/>
  <c r="K31" i="17"/>
  <c r="J32" i="17"/>
  <c r="K32" i="17"/>
  <c r="J33" i="17"/>
  <c r="K33" i="17"/>
  <c r="J34" i="17"/>
  <c r="K34" i="17"/>
  <c r="J35" i="17"/>
  <c r="K35" i="17"/>
  <c r="J36" i="17"/>
  <c r="K36" i="17"/>
  <c r="J37" i="17"/>
  <c r="K37" i="17"/>
  <c r="J38" i="17"/>
  <c r="K38" i="17"/>
  <c r="J39" i="17"/>
  <c r="K39" i="17"/>
  <c r="J40" i="17"/>
  <c r="K40" i="17"/>
  <c r="J41" i="17"/>
  <c r="K41" i="17"/>
  <c r="J42" i="17"/>
  <c r="K42" i="17"/>
  <c r="J43" i="17"/>
  <c r="K43" i="17"/>
  <c r="J44" i="17"/>
  <c r="K44" i="17"/>
  <c r="J45" i="17"/>
  <c r="K45" i="17"/>
  <c r="G43" i="17"/>
  <c r="G42" i="17"/>
  <c r="G40" i="17"/>
  <c r="G39" i="17"/>
  <c r="G38" i="17"/>
  <c r="G37" i="17"/>
  <c r="G36" i="17"/>
  <c r="G35" i="17"/>
  <c r="G33" i="17"/>
  <c r="G32" i="17"/>
  <c r="G29" i="17"/>
  <c r="G28" i="17"/>
  <c r="G27" i="17"/>
  <c r="G24" i="17"/>
  <c r="G21" i="17"/>
  <c r="G19" i="17"/>
  <c r="G18" i="17"/>
  <c r="G17" i="17"/>
  <c r="G16" i="17"/>
  <c r="J11" i="16"/>
  <c r="K11" i="16"/>
  <c r="J12" i="16"/>
  <c r="K12" i="16"/>
  <c r="J13" i="16"/>
  <c r="K13" i="16"/>
  <c r="J14" i="16"/>
  <c r="K14" i="16"/>
  <c r="J15" i="16"/>
  <c r="K15" i="16"/>
  <c r="J16" i="16"/>
  <c r="K16" i="16"/>
  <c r="J17" i="16"/>
  <c r="K17" i="16"/>
  <c r="J18" i="16"/>
  <c r="K18" i="16"/>
  <c r="J19" i="16"/>
  <c r="K19" i="16"/>
  <c r="J20" i="16"/>
  <c r="K20" i="16"/>
  <c r="J21" i="16"/>
  <c r="K21" i="16"/>
  <c r="J22" i="16"/>
  <c r="K22" i="16"/>
  <c r="J23" i="16"/>
  <c r="K23" i="16"/>
  <c r="J24" i="16"/>
  <c r="K24" i="16"/>
  <c r="J25" i="16"/>
  <c r="K25" i="16"/>
  <c r="J26" i="16"/>
  <c r="K26" i="16"/>
  <c r="J27" i="16"/>
  <c r="K27" i="16"/>
  <c r="J28" i="16"/>
  <c r="K28" i="16"/>
  <c r="J29" i="16"/>
  <c r="K29" i="16"/>
  <c r="J30" i="16"/>
  <c r="K30" i="16"/>
  <c r="J31" i="16"/>
  <c r="K31" i="16"/>
  <c r="J32" i="16"/>
  <c r="K32" i="16"/>
  <c r="J33" i="16"/>
  <c r="K33" i="16"/>
  <c r="J34" i="16"/>
  <c r="K34" i="16"/>
  <c r="J35" i="16"/>
  <c r="K35" i="16"/>
  <c r="J36" i="16"/>
  <c r="K36" i="16"/>
  <c r="J37" i="16"/>
  <c r="K37" i="16"/>
  <c r="J38" i="16"/>
  <c r="K38" i="16"/>
  <c r="J39" i="16"/>
  <c r="K39" i="16"/>
  <c r="J40" i="16"/>
  <c r="K40" i="16"/>
  <c r="J41" i="16"/>
  <c r="K41" i="16"/>
  <c r="J42" i="16"/>
  <c r="K42" i="16"/>
  <c r="J43" i="16"/>
  <c r="K43" i="16"/>
  <c r="J44" i="16"/>
  <c r="K44" i="16"/>
  <c r="J45" i="16"/>
  <c r="K45" i="16"/>
  <c r="G43" i="16"/>
  <c r="G42" i="16"/>
  <c r="G40" i="16"/>
  <c r="G38" i="16"/>
  <c r="G36" i="16"/>
  <c r="G35" i="16"/>
  <c r="G33" i="16"/>
  <c r="G32" i="16"/>
  <c r="G29" i="16"/>
  <c r="G28" i="16"/>
  <c r="G27" i="16"/>
  <c r="G24" i="16"/>
  <c r="G21" i="16"/>
  <c r="G19" i="16"/>
  <c r="G18" i="16"/>
  <c r="G17" i="16"/>
  <c r="G16" i="16"/>
  <c r="U23" i="59" l="1"/>
  <c r="T23" i="59"/>
  <c r="J11" i="15"/>
  <c r="K11" i="15"/>
  <c r="J12" i="15"/>
  <c r="K12" i="15"/>
  <c r="J13" i="15"/>
  <c r="K13" i="15"/>
  <c r="J14" i="15"/>
  <c r="K14" i="15"/>
  <c r="J15" i="15"/>
  <c r="K15" i="15"/>
  <c r="J16" i="15"/>
  <c r="K16" i="15"/>
  <c r="J17" i="15"/>
  <c r="K17" i="15"/>
  <c r="J18" i="15"/>
  <c r="K18" i="15"/>
  <c r="J19" i="15"/>
  <c r="K19" i="15"/>
  <c r="J20" i="15"/>
  <c r="K20" i="15"/>
  <c r="J21" i="15"/>
  <c r="K21" i="15"/>
  <c r="J22" i="15"/>
  <c r="K22" i="15"/>
  <c r="J23" i="15"/>
  <c r="K23" i="15"/>
  <c r="J24" i="15"/>
  <c r="K24" i="15"/>
  <c r="J25" i="15"/>
  <c r="K25" i="15"/>
  <c r="J26" i="15"/>
  <c r="K26" i="15"/>
  <c r="J27" i="15"/>
  <c r="K27" i="15"/>
  <c r="J28" i="15"/>
  <c r="K28" i="15"/>
  <c r="J29" i="15"/>
  <c r="K29" i="15"/>
  <c r="J30" i="15"/>
  <c r="K30" i="15"/>
  <c r="J31" i="15"/>
  <c r="K31" i="15"/>
  <c r="J32" i="15"/>
  <c r="K32" i="15"/>
  <c r="J33" i="15"/>
  <c r="K33" i="15"/>
  <c r="J34" i="15"/>
  <c r="K34" i="15"/>
  <c r="J35" i="15"/>
  <c r="K35" i="15"/>
  <c r="J36" i="15"/>
  <c r="K36" i="15"/>
  <c r="J37" i="15"/>
  <c r="K37" i="15"/>
  <c r="J38" i="15"/>
  <c r="K38" i="15"/>
  <c r="J39" i="15"/>
  <c r="K39" i="15"/>
  <c r="J40" i="15"/>
  <c r="K40" i="15"/>
  <c r="J41" i="15"/>
  <c r="K41" i="15"/>
  <c r="J42" i="15"/>
  <c r="K42" i="15"/>
  <c r="J43" i="15"/>
  <c r="K43" i="15"/>
  <c r="J44" i="15"/>
  <c r="K44" i="15"/>
  <c r="J45" i="15"/>
  <c r="K45" i="15"/>
  <c r="G43" i="15"/>
  <c r="G42" i="15"/>
  <c r="G40" i="15"/>
  <c r="G38" i="15"/>
  <c r="G36" i="15"/>
  <c r="G35" i="15"/>
  <c r="G33" i="15"/>
  <c r="G32" i="15"/>
  <c r="G29" i="15"/>
  <c r="G27" i="15"/>
  <c r="G24" i="15"/>
  <c r="G23" i="15"/>
  <c r="G21" i="15"/>
  <c r="G19" i="15"/>
  <c r="G18" i="15"/>
  <c r="G17" i="15"/>
  <c r="G16" i="15"/>
  <c r="J11" i="11"/>
  <c r="K11" i="11"/>
  <c r="J12" i="11"/>
  <c r="K12" i="11"/>
  <c r="J13" i="11"/>
  <c r="K13" i="11"/>
  <c r="J14" i="11"/>
  <c r="K14" i="11"/>
  <c r="J15" i="11"/>
  <c r="K15" i="11"/>
  <c r="J16" i="11"/>
  <c r="K16" i="11"/>
  <c r="J17" i="11"/>
  <c r="K17" i="11"/>
  <c r="J18" i="11"/>
  <c r="K18" i="11"/>
  <c r="J19" i="11"/>
  <c r="K19" i="11"/>
  <c r="J20" i="11"/>
  <c r="K20" i="11"/>
  <c r="J21" i="11"/>
  <c r="K21" i="11"/>
  <c r="J22" i="11"/>
  <c r="K22" i="11"/>
  <c r="J23" i="11"/>
  <c r="K23" i="11"/>
  <c r="J24" i="11"/>
  <c r="K24" i="11"/>
  <c r="J25" i="11"/>
  <c r="K25" i="11"/>
  <c r="J26" i="11"/>
  <c r="K26" i="11"/>
  <c r="J27" i="11"/>
  <c r="K27" i="11"/>
  <c r="J28" i="11"/>
  <c r="K28" i="11"/>
  <c r="J29" i="11"/>
  <c r="K29" i="11"/>
  <c r="J30" i="11"/>
  <c r="K30" i="11"/>
  <c r="J31" i="11"/>
  <c r="K31" i="11"/>
  <c r="J32" i="11"/>
  <c r="K32" i="11"/>
  <c r="J33" i="11"/>
  <c r="K33" i="11"/>
  <c r="J34" i="11"/>
  <c r="K34" i="11"/>
  <c r="J35" i="11"/>
  <c r="K35" i="11"/>
  <c r="J36" i="11"/>
  <c r="K36" i="11"/>
  <c r="J37" i="11"/>
  <c r="K37" i="11"/>
  <c r="J38" i="11"/>
  <c r="K38" i="11"/>
  <c r="J39" i="11"/>
  <c r="K39" i="11"/>
  <c r="J40" i="11"/>
  <c r="K40" i="11"/>
  <c r="J41" i="11"/>
  <c r="K41" i="11"/>
  <c r="J42" i="11"/>
  <c r="K42" i="11"/>
  <c r="J43" i="11"/>
  <c r="K43" i="11"/>
  <c r="J44" i="11"/>
  <c r="K44" i="11"/>
  <c r="J45" i="11"/>
  <c r="K45" i="11"/>
  <c r="G43" i="11"/>
  <c r="G42" i="11"/>
  <c r="G39" i="11"/>
  <c r="G38" i="11" l="1"/>
  <c r="G37" i="11"/>
  <c r="G36" i="11"/>
  <c r="G35" i="11"/>
  <c r="G32" i="11"/>
  <c r="G29" i="11"/>
  <c r="G28" i="11"/>
  <c r="G27" i="11"/>
  <c r="G24" i="11"/>
  <c r="G21" i="11"/>
  <c r="G19" i="11"/>
  <c r="G18" i="11"/>
  <c r="G17" i="11"/>
  <c r="G16" i="11"/>
  <c r="G11" i="11"/>
  <c r="J11" i="14" l="1"/>
  <c r="K11" i="14"/>
  <c r="J12" i="14"/>
  <c r="K12" i="14"/>
  <c r="J13" i="14"/>
  <c r="K13" i="14"/>
  <c r="J14" i="14"/>
  <c r="K14" i="14"/>
  <c r="J15" i="14"/>
  <c r="K15" i="14"/>
  <c r="J16" i="14"/>
  <c r="K16" i="14"/>
  <c r="J17" i="14"/>
  <c r="K17" i="14"/>
  <c r="J18" i="14"/>
  <c r="K18" i="14"/>
  <c r="J19" i="14"/>
  <c r="K19" i="14"/>
  <c r="J20" i="14"/>
  <c r="K20" i="14"/>
  <c r="J21" i="14"/>
  <c r="K21" i="14"/>
  <c r="J22" i="14"/>
  <c r="K22" i="14"/>
  <c r="J23" i="14"/>
  <c r="K23" i="14"/>
  <c r="J24" i="14"/>
  <c r="K24" i="14"/>
  <c r="J25" i="14"/>
  <c r="K25" i="14"/>
  <c r="J26" i="14"/>
  <c r="K26" i="14"/>
  <c r="J27" i="14"/>
  <c r="K27" i="14"/>
  <c r="J28" i="14"/>
  <c r="K28" i="14"/>
  <c r="J29" i="14"/>
  <c r="K29" i="14"/>
  <c r="J30" i="14"/>
  <c r="K30" i="14"/>
  <c r="J31" i="14"/>
  <c r="K31" i="14"/>
  <c r="J32" i="14"/>
  <c r="K32" i="14"/>
  <c r="J33" i="14"/>
  <c r="K33" i="14"/>
  <c r="J34" i="14"/>
  <c r="K34" i="14"/>
  <c r="J35" i="14"/>
  <c r="K35" i="14"/>
  <c r="J36" i="14"/>
  <c r="K36" i="14"/>
  <c r="J37" i="14"/>
  <c r="K37" i="14"/>
  <c r="J38" i="14"/>
  <c r="K38" i="14"/>
  <c r="J39" i="14"/>
  <c r="K39" i="14"/>
  <c r="J40" i="14"/>
  <c r="K40" i="14"/>
  <c r="J41" i="14"/>
  <c r="K41" i="14"/>
  <c r="J42" i="14"/>
  <c r="K42" i="14"/>
  <c r="J43" i="14"/>
  <c r="K43" i="14"/>
  <c r="J44" i="14"/>
  <c r="K44" i="14"/>
  <c r="J45" i="14"/>
  <c r="K45" i="14"/>
  <c r="G43" i="14"/>
  <c r="G42" i="14"/>
  <c r="G38" i="14"/>
  <c r="G36" i="14"/>
  <c r="G35" i="14"/>
  <c r="G33" i="14"/>
  <c r="G29" i="14"/>
  <c r="G27" i="14"/>
  <c r="G23" i="14"/>
  <c r="G21" i="14"/>
  <c r="G19" i="14"/>
  <c r="G18" i="14"/>
  <c r="G17" i="14"/>
  <c r="G16" i="14"/>
  <c r="J11" i="13"/>
  <c r="K11" i="13"/>
  <c r="J12" i="13"/>
  <c r="K12" i="13"/>
  <c r="J13" i="13"/>
  <c r="K13" i="13"/>
  <c r="J14" i="13"/>
  <c r="K14" i="13"/>
  <c r="J15" i="13"/>
  <c r="K15" i="13"/>
  <c r="J16" i="13"/>
  <c r="K16" i="13"/>
  <c r="J17" i="13"/>
  <c r="K17" i="13"/>
  <c r="J18" i="13"/>
  <c r="K18" i="13"/>
  <c r="J19" i="13"/>
  <c r="K19" i="13"/>
  <c r="J20" i="13"/>
  <c r="K20" i="13"/>
  <c r="J21" i="13"/>
  <c r="K21" i="13"/>
  <c r="J22" i="13"/>
  <c r="K22" i="13"/>
  <c r="J23" i="13"/>
  <c r="K23" i="13"/>
  <c r="J24" i="13"/>
  <c r="K24" i="13"/>
  <c r="J25" i="13"/>
  <c r="K25" i="13"/>
  <c r="J26" i="13"/>
  <c r="K26" i="13"/>
  <c r="J27" i="13"/>
  <c r="K27" i="13"/>
  <c r="J28" i="13"/>
  <c r="K28" i="13"/>
  <c r="J29" i="13"/>
  <c r="K29" i="13"/>
  <c r="J30" i="13"/>
  <c r="K30" i="13"/>
  <c r="J31" i="13"/>
  <c r="K31" i="13"/>
  <c r="J32" i="13"/>
  <c r="K32" i="13"/>
  <c r="J33" i="13"/>
  <c r="K33" i="13"/>
  <c r="J34" i="13"/>
  <c r="K34" i="13"/>
  <c r="J35" i="13"/>
  <c r="K35" i="13"/>
  <c r="J36" i="13"/>
  <c r="K36" i="13"/>
  <c r="J37" i="13"/>
  <c r="K37" i="13"/>
  <c r="J38" i="13"/>
  <c r="K38" i="13"/>
  <c r="J39" i="13"/>
  <c r="K39" i="13"/>
  <c r="J40" i="13"/>
  <c r="K40" i="13"/>
  <c r="J41" i="13"/>
  <c r="K41" i="13"/>
  <c r="J42" i="13"/>
  <c r="K42" i="13"/>
  <c r="J43" i="13"/>
  <c r="K43" i="13"/>
  <c r="J44" i="13"/>
  <c r="K44" i="13"/>
  <c r="J45" i="13"/>
  <c r="K45" i="13"/>
  <c r="G43" i="13"/>
  <c r="G42" i="13"/>
  <c r="G40" i="13"/>
  <c r="G39" i="13"/>
  <c r="G38" i="13"/>
  <c r="G36" i="13"/>
  <c r="G35" i="13"/>
  <c r="G33" i="13"/>
  <c r="G32" i="13"/>
  <c r="G29" i="13"/>
  <c r="G27" i="13"/>
  <c r="G24" i="13"/>
  <c r="G23" i="13"/>
  <c r="G21" i="13"/>
  <c r="G18" i="13"/>
  <c r="G17" i="13"/>
  <c r="G16" i="13"/>
  <c r="J11" i="12"/>
  <c r="K11" i="12"/>
  <c r="J12" i="12"/>
  <c r="K12" i="12"/>
  <c r="J13" i="12"/>
  <c r="K13" i="12"/>
  <c r="J14" i="12"/>
  <c r="K14" i="12"/>
  <c r="J15" i="12"/>
  <c r="K15" i="12"/>
  <c r="J16" i="12"/>
  <c r="K16" i="12"/>
  <c r="J17" i="12"/>
  <c r="K17" i="12"/>
  <c r="J18" i="12"/>
  <c r="K18" i="12"/>
  <c r="J19" i="12"/>
  <c r="K19" i="12"/>
  <c r="J20" i="12"/>
  <c r="K20" i="12"/>
  <c r="J21" i="12"/>
  <c r="K21" i="12"/>
  <c r="J22" i="12"/>
  <c r="K22" i="12"/>
  <c r="J23" i="12"/>
  <c r="K23" i="12"/>
  <c r="J24" i="12"/>
  <c r="K24" i="12"/>
  <c r="J25" i="12"/>
  <c r="K25" i="12"/>
  <c r="J26" i="12"/>
  <c r="K26" i="12"/>
  <c r="J27" i="12"/>
  <c r="K27" i="12"/>
  <c r="J28" i="12"/>
  <c r="K28" i="12"/>
  <c r="J29" i="12"/>
  <c r="K29" i="12"/>
  <c r="J30" i="12"/>
  <c r="K30" i="12"/>
  <c r="J31" i="12"/>
  <c r="K31" i="12"/>
  <c r="J32" i="12"/>
  <c r="K32" i="12"/>
  <c r="J33" i="12"/>
  <c r="K33" i="12"/>
  <c r="J34" i="12"/>
  <c r="K34" i="12"/>
  <c r="J35" i="12"/>
  <c r="K35" i="12"/>
  <c r="J36" i="12"/>
  <c r="K36" i="12"/>
  <c r="J37" i="12"/>
  <c r="K37" i="12"/>
  <c r="J38" i="12"/>
  <c r="K38" i="12"/>
  <c r="J39" i="12"/>
  <c r="K39" i="12"/>
  <c r="J40" i="12"/>
  <c r="K40" i="12"/>
  <c r="J41" i="12"/>
  <c r="K41" i="12"/>
  <c r="J42" i="12"/>
  <c r="K42" i="12"/>
  <c r="J43" i="12"/>
  <c r="K43" i="12"/>
  <c r="J44" i="12"/>
  <c r="K44" i="12"/>
  <c r="J45" i="12"/>
  <c r="K45" i="12"/>
  <c r="G43" i="12"/>
  <c r="G42" i="12"/>
  <c r="G40" i="12"/>
  <c r="G39" i="12"/>
  <c r="G38" i="12"/>
  <c r="G36" i="12"/>
  <c r="G35" i="12"/>
  <c r="G33" i="12"/>
  <c r="G32" i="12"/>
  <c r="G29" i="12"/>
  <c r="G28" i="12"/>
  <c r="G27" i="12"/>
  <c r="G23" i="12"/>
  <c r="G21" i="12"/>
  <c r="G19" i="12"/>
  <c r="G18" i="12"/>
  <c r="G17" i="12"/>
  <c r="G16" i="12"/>
  <c r="G11" i="12"/>
  <c r="J11" i="37" l="1"/>
  <c r="K11" i="37"/>
  <c r="J12" i="37"/>
  <c r="K12" i="37"/>
  <c r="J13" i="37"/>
  <c r="K13" i="37"/>
  <c r="J14" i="37"/>
  <c r="K14" i="37"/>
  <c r="J15" i="37"/>
  <c r="K15" i="37"/>
  <c r="J16" i="37"/>
  <c r="K16" i="37"/>
  <c r="J17" i="37"/>
  <c r="K17" i="37"/>
  <c r="J18" i="37"/>
  <c r="K18" i="37"/>
  <c r="J19" i="37"/>
  <c r="K19" i="37"/>
  <c r="J20" i="37"/>
  <c r="K20" i="37"/>
  <c r="J21" i="37"/>
  <c r="K21" i="37"/>
  <c r="J22" i="37"/>
  <c r="K22" i="37"/>
  <c r="J23" i="37"/>
  <c r="K23" i="37"/>
  <c r="J24" i="37"/>
  <c r="K24" i="37"/>
  <c r="J25" i="37"/>
  <c r="K25" i="37"/>
  <c r="J26" i="37"/>
  <c r="K26" i="37"/>
  <c r="J27" i="37"/>
  <c r="K27" i="37"/>
  <c r="J28" i="37"/>
  <c r="K28" i="37"/>
  <c r="J29" i="37"/>
  <c r="K29" i="37"/>
  <c r="J30" i="37"/>
  <c r="K30" i="37"/>
  <c r="J31" i="37"/>
  <c r="K31" i="37"/>
  <c r="J32" i="37"/>
  <c r="K32" i="37"/>
  <c r="J33" i="37"/>
  <c r="K33" i="37"/>
  <c r="J34" i="37"/>
  <c r="K34" i="37"/>
  <c r="J35" i="37"/>
  <c r="K35" i="37"/>
  <c r="J36" i="37"/>
  <c r="K36" i="37"/>
  <c r="J37" i="37"/>
  <c r="K37" i="37"/>
  <c r="J38" i="37"/>
  <c r="K38" i="37"/>
  <c r="J39" i="37"/>
  <c r="K39" i="37"/>
  <c r="J40" i="37"/>
  <c r="K40" i="37"/>
  <c r="J41" i="37"/>
  <c r="K41" i="37"/>
  <c r="J42" i="37"/>
  <c r="K42" i="37"/>
  <c r="J43" i="37"/>
  <c r="K43" i="37"/>
  <c r="J44" i="37"/>
  <c r="K44" i="37"/>
  <c r="J45" i="37"/>
  <c r="K45" i="37"/>
  <c r="G43" i="37"/>
  <c r="G42" i="37"/>
  <c r="G40" i="37"/>
  <c r="G39" i="37"/>
  <c r="G38" i="37"/>
  <c r="G37" i="37"/>
  <c r="G36" i="37"/>
  <c r="G33" i="37"/>
  <c r="G32" i="37"/>
  <c r="G29" i="37"/>
  <c r="G28" i="37"/>
  <c r="G27" i="37"/>
  <c r="G24" i="37"/>
  <c r="G21" i="37"/>
  <c r="G19" i="37"/>
  <c r="G18" i="37"/>
  <c r="G17" i="37"/>
  <c r="G16" i="37"/>
  <c r="G11" i="37"/>
  <c r="J11" i="9" l="1"/>
  <c r="K11" i="9"/>
  <c r="J12" i="9"/>
  <c r="K12" i="9"/>
  <c r="J13" i="9"/>
  <c r="K13" i="9"/>
  <c r="J14" i="9"/>
  <c r="K14" i="9"/>
  <c r="J15" i="9"/>
  <c r="K15" i="9"/>
  <c r="J16" i="9"/>
  <c r="K16" i="9"/>
  <c r="J17" i="9"/>
  <c r="K17" i="9"/>
  <c r="J18" i="9"/>
  <c r="K18" i="9"/>
  <c r="J19" i="9"/>
  <c r="K19" i="9"/>
  <c r="J20" i="9"/>
  <c r="K20" i="9"/>
  <c r="J21" i="9"/>
  <c r="K21" i="9"/>
  <c r="J22" i="9"/>
  <c r="K22" i="9"/>
  <c r="J23" i="9"/>
  <c r="K23" i="9"/>
  <c r="J24" i="9"/>
  <c r="K24" i="9"/>
  <c r="J25" i="9"/>
  <c r="K25" i="9"/>
  <c r="J26" i="9"/>
  <c r="K26" i="9"/>
  <c r="J27" i="9"/>
  <c r="K27" i="9"/>
  <c r="J28" i="9"/>
  <c r="K28" i="9"/>
  <c r="J29" i="9"/>
  <c r="K29" i="9"/>
  <c r="J30" i="9"/>
  <c r="K30" i="9"/>
  <c r="J31" i="9"/>
  <c r="K31" i="9"/>
  <c r="J32" i="9"/>
  <c r="K32" i="9"/>
  <c r="J33" i="9"/>
  <c r="K33" i="9"/>
  <c r="J34" i="9"/>
  <c r="K34" i="9"/>
  <c r="J35" i="9"/>
  <c r="K35" i="9"/>
  <c r="J36" i="9"/>
  <c r="K36" i="9"/>
  <c r="J37" i="9"/>
  <c r="K37" i="9"/>
  <c r="J38" i="9"/>
  <c r="K38" i="9"/>
  <c r="J39" i="9"/>
  <c r="K39" i="9"/>
  <c r="J40" i="9"/>
  <c r="K40" i="9"/>
  <c r="J41" i="9"/>
  <c r="K41" i="9"/>
  <c r="J42" i="9"/>
  <c r="K42" i="9"/>
  <c r="J43" i="9"/>
  <c r="K43" i="9"/>
  <c r="J44" i="9"/>
  <c r="K44" i="9"/>
  <c r="J45" i="9"/>
  <c r="K45" i="9"/>
  <c r="G42" i="9"/>
  <c r="G40" i="9"/>
  <c r="G39" i="9"/>
  <c r="G38" i="9"/>
  <c r="G37" i="9"/>
  <c r="G33" i="9"/>
  <c r="G32" i="9"/>
  <c r="G28" i="9"/>
  <c r="G27" i="9"/>
  <c r="G24" i="9"/>
  <c r="G21" i="9"/>
  <c r="G19" i="9"/>
  <c r="G18" i="9"/>
  <c r="G17" i="9"/>
  <c r="G16" i="9"/>
  <c r="G11" i="9"/>
  <c r="J11" i="7"/>
  <c r="K11" i="7"/>
  <c r="J12" i="7"/>
  <c r="K12" i="7"/>
  <c r="J13" i="7"/>
  <c r="K13" i="7"/>
  <c r="J14" i="7"/>
  <c r="K14" i="7"/>
  <c r="J15" i="7"/>
  <c r="K15" i="7"/>
  <c r="J16" i="7"/>
  <c r="K16" i="7"/>
  <c r="J17" i="7"/>
  <c r="K17" i="7"/>
  <c r="J18" i="7"/>
  <c r="K18" i="7"/>
  <c r="J19" i="7"/>
  <c r="K19" i="7"/>
  <c r="J20" i="7"/>
  <c r="K20" i="7"/>
  <c r="J21" i="7"/>
  <c r="K21" i="7"/>
  <c r="J22" i="7"/>
  <c r="K22" i="7"/>
  <c r="J23" i="7"/>
  <c r="K23" i="7"/>
  <c r="J24" i="7"/>
  <c r="K24" i="7"/>
  <c r="J25" i="7"/>
  <c r="K25" i="7"/>
  <c r="J26" i="7"/>
  <c r="K26" i="7"/>
  <c r="J27" i="7"/>
  <c r="K27" i="7"/>
  <c r="J28" i="7"/>
  <c r="K28" i="7"/>
  <c r="J29" i="7"/>
  <c r="K29" i="7"/>
  <c r="J30" i="7"/>
  <c r="K30" i="7"/>
  <c r="J31" i="7"/>
  <c r="K31" i="7"/>
  <c r="J32" i="7"/>
  <c r="K32" i="7"/>
  <c r="J33" i="7"/>
  <c r="K33" i="7"/>
  <c r="J34" i="7"/>
  <c r="K34" i="7"/>
  <c r="J35" i="7"/>
  <c r="K35" i="7"/>
  <c r="J36" i="7"/>
  <c r="K36" i="7"/>
  <c r="J37" i="7"/>
  <c r="K37" i="7"/>
  <c r="J38" i="7"/>
  <c r="K38" i="7"/>
  <c r="J39" i="7"/>
  <c r="K39" i="7"/>
  <c r="J40" i="7"/>
  <c r="K40" i="7"/>
  <c r="J41" i="7"/>
  <c r="K41" i="7"/>
  <c r="J42" i="7"/>
  <c r="K42" i="7"/>
  <c r="J43" i="7"/>
  <c r="K43" i="7"/>
  <c r="J44" i="7"/>
  <c r="K44" i="7"/>
  <c r="J45" i="7"/>
  <c r="K45" i="7"/>
  <c r="G43" i="7"/>
  <c r="G42" i="7"/>
  <c r="G40" i="7"/>
  <c r="G39" i="7"/>
  <c r="G38" i="7"/>
  <c r="G37" i="7"/>
  <c r="G36" i="7"/>
  <c r="G32" i="7"/>
  <c r="G29" i="7"/>
  <c r="G28" i="7"/>
  <c r="G27" i="7"/>
  <c r="G24" i="7"/>
  <c r="G21" i="7"/>
  <c r="G19" i="7"/>
  <c r="G18" i="7"/>
  <c r="G17" i="7"/>
  <c r="G16" i="7"/>
  <c r="G11" i="7"/>
  <c r="J11" i="8"/>
  <c r="K11" i="8"/>
  <c r="J12" i="8"/>
  <c r="K12" i="8"/>
  <c r="J13" i="8"/>
  <c r="K13" i="8"/>
  <c r="J14" i="8"/>
  <c r="K14" i="8"/>
  <c r="J15" i="8"/>
  <c r="K15" i="8"/>
  <c r="J16" i="8"/>
  <c r="K16" i="8"/>
  <c r="J17" i="8"/>
  <c r="K17" i="8"/>
  <c r="J18" i="8"/>
  <c r="K18" i="8"/>
  <c r="J19" i="8"/>
  <c r="K19" i="8"/>
  <c r="J20" i="8"/>
  <c r="K20" i="8"/>
  <c r="J21" i="8"/>
  <c r="K21" i="8"/>
  <c r="J22" i="8"/>
  <c r="K22" i="8"/>
  <c r="J23" i="8"/>
  <c r="K23" i="8"/>
  <c r="J24" i="8"/>
  <c r="K24" i="8"/>
  <c r="J25" i="8"/>
  <c r="K25" i="8"/>
  <c r="J26" i="8"/>
  <c r="K26" i="8"/>
  <c r="J27" i="8"/>
  <c r="K27" i="8"/>
  <c r="J28" i="8"/>
  <c r="K28" i="8"/>
  <c r="J29" i="8"/>
  <c r="K29" i="8"/>
  <c r="J30" i="8"/>
  <c r="K30" i="8"/>
  <c r="J31" i="8"/>
  <c r="K31" i="8"/>
  <c r="J32" i="8"/>
  <c r="K32" i="8"/>
  <c r="J33" i="8"/>
  <c r="K33" i="8"/>
  <c r="J34" i="8"/>
  <c r="K34" i="8"/>
  <c r="J35" i="8"/>
  <c r="K35" i="8"/>
  <c r="J36" i="8"/>
  <c r="K36" i="8"/>
  <c r="J37" i="8"/>
  <c r="K37" i="8"/>
  <c r="J38" i="8"/>
  <c r="K38" i="8"/>
  <c r="J39" i="8"/>
  <c r="K39" i="8"/>
  <c r="J40" i="8"/>
  <c r="K40" i="8"/>
  <c r="J41" i="8"/>
  <c r="K41" i="8"/>
  <c r="J42" i="8"/>
  <c r="K42" i="8"/>
  <c r="J43" i="8"/>
  <c r="K43" i="8"/>
  <c r="J44" i="8"/>
  <c r="K44" i="8"/>
  <c r="J45" i="8"/>
  <c r="K45" i="8"/>
  <c r="G43" i="8"/>
  <c r="G39" i="8"/>
  <c r="G37" i="8"/>
  <c r="G36" i="8"/>
  <c r="G35" i="8"/>
  <c r="G32" i="8"/>
  <c r="G27" i="8"/>
  <c r="G24" i="8"/>
  <c r="G21" i="8"/>
  <c r="G19" i="8"/>
  <c r="G18" i="8"/>
  <c r="G17" i="8"/>
  <c r="G16" i="8"/>
  <c r="G11" i="8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T54" i="7"/>
  <c r="J11" i="6" l="1"/>
  <c r="K11" i="6"/>
  <c r="J12" i="6"/>
  <c r="K12" i="6"/>
  <c r="J13" i="6"/>
  <c r="K13" i="6"/>
  <c r="J14" i="6"/>
  <c r="K14" i="6"/>
  <c r="J15" i="6"/>
  <c r="K15" i="6"/>
  <c r="J16" i="6"/>
  <c r="K16" i="6"/>
  <c r="J17" i="6"/>
  <c r="K17" i="6"/>
  <c r="J18" i="6"/>
  <c r="K18" i="6"/>
  <c r="J19" i="6"/>
  <c r="K19" i="6"/>
  <c r="J20" i="6"/>
  <c r="K20" i="6"/>
  <c r="J21" i="6"/>
  <c r="K21" i="6"/>
  <c r="J22" i="6"/>
  <c r="K22" i="6"/>
  <c r="J23" i="6"/>
  <c r="K23" i="6"/>
  <c r="J24" i="6"/>
  <c r="K24" i="6"/>
  <c r="J25" i="6"/>
  <c r="K25" i="6"/>
  <c r="J26" i="6"/>
  <c r="K26" i="6"/>
  <c r="J27" i="6"/>
  <c r="K27" i="6"/>
  <c r="J28" i="6"/>
  <c r="K28" i="6"/>
  <c r="J29" i="6"/>
  <c r="K29" i="6"/>
  <c r="J30" i="6"/>
  <c r="K30" i="6"/>
  <c r="K31" i="6"/>
  <c r="J32" i="6"/>
  <c r="K32" i="6"/>
  <c r="J33" i="6"/>
  <c r="K33" i="6"/>
  <c r="J34" i="6"/>
  <c r="K34" i="6"/>
  <c r="J35" i="6"/>
  <c r="K35" i="6"/>
  <c r="J36" i="6"/>
  <c r="K36" i="6"/>
  <c r="J37" i="6"/>
  <c r="K37" i="6"/>
  <c r="J38" i="6"/>
  <c r="K38" i="6"/>
  <c r="J39" i="6"/>
  <c r="K39" i="6"/>
  <c r="J40" i="6"/>
  <c r="K40" i="6"/>
  <c r="J41" i="6"/>
  <c r="K41" i="6"/>
  <c r="J42" i="6"/>
  <c r="K42" i="6"/>
  <c r="J43" i="6"/>
  <c r="K43" i="6"/>
  <c r="J44" i="6"/>
  <c r="K44" i="6"/>
  <c r="J45" i="6"/>
  <c r="K45" i="6"/>
  <c r="G17" i="6"/>
  <c r="G19" i="6"/>
  <c r="G21" i="6"/>
  <c r="G43" i="6"/>
  <c r="G42" i="6"/>
  <c r="G39" i="6"/>
  <c r="G38" i="6"/>
  <c r="G37" i="6"/>
  <c r="G36" i="6"/>
  <c r="G32" i="6"/>
  <c r="G29" i="6"/>
  <c r="G28" i="6"/>
  <c r="G27" i="6"/>
  <c r="G24" i="6"/>
  <c r="G11" i="6" l="1"/>
  <c r="C45" i="61"/>
  <c r="G34" i="6"/>
  <c r="G22" i="6"/>
  <c r="G33" i="6"/>
  <c r="J19" i="5"/>
  <c r="K19" i="5"/>
  <c r="J20" i="5"/>
  <c r="K20" i="5"/>
  <c r="J21" i="5"/>
  <c r="K21" i="5"/>
  <c r="J22" i="5"/>
  <c r="K22" i="5"/>
  <c r="J23" i="5"/>
  <c r="K23" i="5"/>
  <c r="J24" i="5"/>
  <c r="K24" i="5"/>
  <c r="J25" i="5"/>
  <c r="K25" i="5"/>
  <c r="J26" i="5"/>
  <c r="K26" i="5"/>
  <c r="J27" i="5"/>
  <c r="K27" i="5"/>
  <c r="J28" i="5"/>
  <c r="K28" i="5"/>
  <c r="J29" i="5"/>
  <c r="K29" i="5"/>
  <c r="J30" i="5"/>
  <c r="K30" i="5"/>
  <c r="J31" i="5"/>
  <c r="K31" i="5"/>
  <c r="J32" i="5"/>
  <c r="K32" i="5"/>
  <c r="J33" i="5"/>
  <c r="K33" i="5"/>
  <c r="J34" i="5"/>
  <c r="K34" i="5"/>
  <c r="J35" i="5"/>
  <c r="K35" i="5"/>
  <c r="J36" i="5"/>
  <c r="K36" i="5"/>
  <c r="J37" i="5"/>
  <c r="K37" i="5"/>
  <c r="J38" i="5"/>
  <c r="K38" i="5"/>
  <c r="J39" i="5"/>
  <c r="K39" i="5"/>
  <c r="J40" i="5"/>
  <c r="K40" i="5"/>
  <c r="J41" i="5"/>
  <c r="K41" i="5"/>
  <c r="J42" i="5"/>
  <c r="K42" i="5"/>
  <c r="J43" i="5"/>
  <c r="K43" i="5"/>
  <c r="J44" i="5"/>
  <c r="K44" i="5"/>
  <c r="J45" i="5"/>
  <c r="K45" i="5"/>
  <c r="G43" i="5"/>
  <c r="G42" i="5"/>
  <c r="G40" i="5"/>
  <c r="G39" i="5"/>
  <c r="G38" i="5"/>
  <c r="G37" i="5"/>
  <c r="G36" i="5"/>
  <c r="G32" i="5"/>
  <c r="G29" i="5"/>
  <c r="G28" i="5"/>
  <c r="G24" i="5"/>
  <c r="G23" i="5"/>
  <c r="G19" i="5"/>
  <c r="J12" i="5"/>
  <c r="K12" i="5"/>
  <c r="J13" i="5"/>
  <c r="K13" i="5"/>
  <c r="J14" i="5"/>
  <c r="K14" i="5"/>
  <c r="J15" i="5"/>
  <c r="K15" i="5"/>
  <c r="J16" i="5"/>
  <c r="K16" i="5"/>
  <c r="J17" i="5"/>
  <c r="K17" i="5"/>
  <c r="J18" i="5"/>
  <c r="K18" i="5"/>
  <c r="G18" i="5"/>
  <c r="G17" i="5"/>
  <c r="J11" i="5"/>
  <c r="K11" i="5"/>
  <c r="G11" i="5"/>
  <c r="J13" i="4" l="1"/>
  <c r="K13" i="4"/>
  <c r="J14" i="4"/>
  <c r="K14" i="4"/>
  <c r="J15" i="4"/>
  <c r="K15" i="4"/>
  <c r="J16" i="4"/>
  <c r="K16" i="4"/>
  <c r="J17" i="4"/>
  <c r="K17" i="4"/>
  <c r="J18" i="4"/>
  <c r="K18" i="4"/>
  <c r="J19" i="4"/>
  <c r="K19" i="4"/>
  <c r="J20" i="4"/>
  <c r="K20" i="4"/>
  <c r="J21" i="4"/>
  <c r="K21" i="4"/>
  <c r="J22" i="4"/>
  <c r="K22" i="4"/>
  <c r="J23" i="4"/>
  <c r="K23" i="4"/>
  <c r="J24" i="4"/>
  <c r="K24" i="4"/>
  <c r="J25" i="4"/>
  <c r="K25" i="4"/>
  <c r="J26" i="4"/>
  <c r="K26" i="4"/>
  <c r="J27" i="4"/>
  <c r="K27" i="4"/>
  <c r="J28" i="4"/>
  <c r="K28" i="4"/>
  <c r="J29" i="4"/>
  <c r="K29" i="4"/>
  <c r="J30" i="4"/>
  <c r="K30" i="4"/>
  <c r="J31" i="4"/>
  <c r="K31" i="4"/>
  <c r="J32" i="4"/>
  <c r="K32" i="4"/>
  <c r="J33" i="4"/>
  <c r="K33" i="4"/>
  <c r="J34" i="4"/>
  <c r="K34" i="4"/>
  <c r="J35" i="4"/>
  <c r="K35" i="4"/>
  <c r="J36" i="4"/>
  <c r="K36" i="4"/>
  <c r="J37" i="4"/>
  <c r="K37" i="4"/>
  <c r="J38" i="4"/>
  <c r="K38" i="4"/>
  <c r="J39" i="4"/>
  <c r="K39" i="4"/>
  <c r="J40" i="4"/>
  <c r="K40" i="4"/>
  <c r="J41" i="4"/>
  <c r="K41" i="4"/>
  <c r="J42" i="4"/>
  <c r="K42" i="4"/>
  <c r="J43" i="4"/>
  <c r="K43" i="4"/>
  <c r="J44" i="4"/>
  <c r="K44" i="4"/>
  <c r="J45" i="4"/>
  <c r="K45" i="4"/>
  <c r="J12" i="4"/>
  <c r="K12" i="4"/>
  <c r="G43" i="4"/>
  <c r="G42" i="4"/>
  <c r="G40" i="4"/>
  <c r="G38" i="4"/>
  <c r="G37" i="4"/>
  <c r="G36" i="4"/>
  <c r="G34" i="4"/>
  <c r="G33" i="4"/>
  <c r="G32" i="4"/>
  <c r="G29" i="4"/>
  <c r="G28" i="4"/>
  <c r="G27" i="4"/>
  <c r="G24" i="4"/>
  <c r="G19" i="4"/>
  <c r="G18" i="4"/>
  <c r="G16" i="4"/>
  <c r="N62" i="3" l="1"/>
  <c r="J11" i="4"/>
  <c r="K11" i="4"/>
  <c r="G11" i="4"/>
  <c r="S1460" i="33"/>
  <c r="S1461" i="33"/>
  <c r="S1462" i="33"/>
  <c r="S1463" i="33"/>
  <c r="S1464" i="33"/>
  <c r="S1465" i="33"/>
  <c r="S1466" i="33"/>
  <c r="S1467" i="33"/>
  <c r="S1468" i="33"/>
  <c r="S1469" i="33"/>
  <c r="S1470" i="33"/>
  <c r="S1471" i="33"/>
  <c r="S1472" i="33"/>
  <c r="S1473" i="33"/>
  <c r="S1474" i="33"/>
  <c r="S1475" i="33"/>
  <c r="J45" i="3"/>
  <c r="K45" i="3"/>
  <c r="J44" i="3"/>
  <c r="K44" i="3"/>
  <c r="J43" i="3"/>
  <c r="K43" i="3"/>
  <c r="G43" i="3"/>
  <c r="J42" i="3"/>
  <c r="K42" i="3"/>
  <c r="G42" i="3"/>
  <c r="J41" i="3"/>
  <c r="K41" i="3"/>
  <c r="G41" i="3"/>
  <c r="J40" i="3"/>
  <c r="K40" i="3"/>
  <c r="G40" i="3"/>
  <c r="J39" i="3"/>
  <c r="K39" i="3"/>
  <c r="J38" i="3"/>
  <c r="K38" i="3"/>
  <c r="G38" i="3"/>
  <c r="J37" i="3"/>
  <c r="K37" i="3"/>
  <c r="G37" i="3"/>
  <c r="J36" i="3"/>
  <c r="K36" i="3"/>
  <c r="J35" i="3"/>
  <c r="K35" i="3"/>
  <c r="G35" i="3"/>
  <c r="S11" i="3"/>
  <c r="S11" i="4" s="1"/>
  <c r="S11" i="5" s="1"/>
  <c r="S11" i="6" s="1"/>
  <c r="S11" i="7" s="1"/>
  <c r="S11" i="8" s="1"/>
  <c r="S11" i="9" s="1"/>
  <c r="S11" i="37" s="1"/>
  <c r="S11" i="11" s="1"/>
  <c r="S11" i="12" s="1"/>
  <c r="S11" i="13" s="1"/>
  <c r="S11" i="14" s="1"/>
  <c r="S11" i="15" s="1"/>
  <c r="S11" i="16" s="1"/>
  <c r="S11" i="17" s="1"/>
  <c r="S11" i="18" s="1"/>
  <c r="S11" i="19" s="1"/>
  <c r="S11" i="20" s="1"/>
  <c r="S11" i="21" s="1"/>
  <c r="S11" i="22" s="1"/>
  <c r="S11" i="23" s="1"/>
  <c r="S11" i="24" s="1"/>
  <c r="S11" i="25" s="1"/>
  <c r="S11" i="26" s="1"/>
  <c r="S11" i="27" s="1"/>
  <c r="S11" i="28" s="1"/>
  <c r="S11" i="29" s="1"/>
  <c r="S11" i="30" s="1"/>
  <c r="S11" i="31" s="1"/>
  <c r="S11" i="32" s="1"/>
  <c r="S12" i="3"/>
  <c r="S12" i="4" s="1"/>
  <c r="S12" i="5" s="1"/>
  <c r="S12" i="6" s="1"/>
  <c r="S12" i="7" s="1"/>
  <c r="S12" i="8" s="1"/>
  <c r="S12" i="9" s="1"/>
  <c r="S12" i="37" s="1"/>
  <c r="S12" i="11" s="1"/>
  <c r="S12" i="12" s="1"/>
  <c r="S12" i="13" s="1"/>
  <c r="S12" i="14" s="1"/>
  <c r="S12" i="15" s="1"/>
  <c r="S12" i="16" s="1"/>
  <c r="S12" i="17" s="1"/>
  <c r="S12" i="18" s="1"/>
  <c r="S12" i="19" s="1"/>
  <c r="S12" i="20" s="1"/>
  <c r="S12" i="21" s="1"/>
  <c r="S12" i="22" s="1"/>
  <c r="S12" i="23" s="1"/>
  <c r="S12" i="24" s="1"/>
  <c r="S12" i="25" s="1"/>
  <c r="S12" i="26" s="1"/>
  <c r="S12" i="27" s="1"/>
  <c r="S12" i="28" s="1"/>
  <c r="S12" i="29" s="1"/>
  <c r="S12" i="30" s="1"/>
  <c r="S12" i="31" s="1"/>
  <c r="S12" i="32" s="1"/>
  <c r="S13" i="3"/>
  <c r="S13" i="4" s="1"/>
  <c r="S13" i="5" s="1"/>
  <c r="S13" i="6" s="1"/>
  <c r="S13" i="7" s="1"/>
  <c r="S13" i="8" s="1"/>
  <c r="S13" i="9" s="1"/>
  <c r="S13" i="37" s="1"/>
  <c r="S13" i="11" s="1"/>
  <c r="S13" i="12" s="1"/>
  <c r="S13" i="13" s="1"/>
  <c r="S13" i="14" s="1"/>
  <c r="S13" i="15" s="1"/>
  <c r="S13" i="16" s="1"/>
  <c r="S13" i="17" s="1"/>
  <c r="S13" i="18" s="1"/>
  <c r="S13" i="19" s="1"/>
  <c r="S13" i="20" s="1"/>
  <c r="S13" i="21" s="1"/>
  <c r="S13" i="22" s="1"/>
  <c r="S13" i="23" s="1"/>
  <c r="S13" i="24" s="1"/>
  <c r="S13" i="25" s="1"/>
  <c r="S13" i="26" s="1"/>
  <c r="S13" i="27" s="1"/>
  <c r="S13" i="28" s="1"/>
  <c r="S13" i="29" s="1"/>
  <c r="S13" i="30" s="1"/>
  <c r="S13" i="31" s="1"/>
  <c r="S13" i="32" s="1"/>
  <c r="S14" i="3"/>
  <c r="S14" i="4" s="1"/>
  <c r="S14" i="5" s="1"/>
  <c r="S14" i="6" s="1"/>
  <c r="S14" i="7" s="1"/>
  <c r="S14" i="8" s="1"/>
  <c r="S14" i="9" s="1"/>
  <c r="S14" i="37" s="1"/>
  <c r="S14" i="11" s="1"/>
  <c r="S14" i="12" s="1"/>
  <c r="S14" i="13" s="1"/>
  <c r="S14" i="14" s="1"/>
  <c r="S14" i="15" s="1"/>
  <c r="S14" i="16" s="1"/>
  <c r="S14" i="17" s="1"/>
  <c r="S14" i="18" s="1"/>
  <c r="S14" i="19" s="1"/>
  <c r="S14" i="20" s="1"/>
  <c r="S14" i="21" s="1"/>
  <c r="S14" i="22" s="1"/>
  <c r="S14" i="23" s="1"/>
  <c r="S14" i="24" s="1"/>
  <c r="S14" i="25" s="1"/>
  <c r="S14" i="26" s="1"/>
  <c r="S14" i="27" s="1"/>
  <c r="S14" i="28" s="1"/>
  <c r="S14" i="29" s="1"/>
  <c r="S14" i="30" s="1"/>
  <c r="S14" i="31" s="1"/>
  <c r="S14" i="32" s="1"/>
  <c r="S15" i="3"/>
  <c r="S15" i="4" s="1"/>
  <c r="S15" i="5" s="1"/>
  <c r="S15" i="6" s="1"/>
  <c r="S15" i="7" s="1"/>
  <c r="S15" i="8" s="1"/>
  <c r="S15" i="9" s="1"/>
  <c r="S15" i="37" s="1"/>
  <c r="S15" i="11" s="1"/>
  <c r="S15" i="12" s="1"/>
  <c r="S15" i="13" s="1"/>
  <c r="S15" i="14" s="1"/>
  <c r="S15" i="15" s="1"/>
  <c r="S15" i="16" s="1"/>
  <c r="S15" i="17" s="1"/>
  <c r="S15" i="18" s="1"/>
  <c r="S15" i="19" s="1"/>
  <c r="S15" i="20" s="1"/>
  <c r="S15" i="21" s="1"/>
  <c r="S15" i="22" s="1"/>
  <c r="S15" i="23" s="1"/>
  <c r="S15" i="24" s="1"/>
  <c r="S15" i="25" s="1"/>
  <c r="S15" i="26" s="1"/>
  <c r="S15" i="27" s="1"/>
  <c r="S15" i="28" s="1"/>
  <c r="S15" i="29" s="1"/>
  <c r="S15" i="30" s="1"/>
  <c r="S15" i="31" s="1"/>
  <c r="S15" i="32" s="1"/>
  <c r="S16" i="3"/>
  <c r="S16" i="4" s="1"/>
  <c r="S16" i="5" s="1"/>
  <c r="S16" i="6" s="1"/>
  <c r="S16" i="7" s="1"/>
  <c r="S16" i="8" s="1"/>
  <c r="S16" i="9" s="1"/>
  <c r="S16" i="37" s="1"/>
  <c r="S16" i="11" s="1"/>
  <c r="S16" i="12" s="1"/>
  <c r="S16" i="13" s="1"/>
  <c r="S16" i="14" s="1"/>
  <c r="S16" i="15" s="1"/>
  <c r="S16" i="16" s="1"/>
  <c r="S16" i="17" s="1"/>
  <c r="S16" i="18" s="1"/>
  <c r="S16" i="19" s="1"/>
  <c r="S16" i="20" s="1"/>
  <c r="S16" i="21" s="1"/>
  <c r="S16" i="22" s="1"/>
  <c r="S16" i="23" s="1"/>
  <c r="S16" i="24" s="1"/>
  <c r="S16" i="25" s="1"/>
  <c r="S16" i="26" s="1"/>
  <c r="S16" i="27" s="1"/>
  <c r="S16" i="28" s="1"/>
  <c r="S16" i="29" s="1"/>
  <c r="S16" i="30" s="1"/>
  <c r="S16" i="31" s="1"/>
  <c r="S16" i="32" s="1"/>
  <c r="S17" i="3"/>
  <c r="S17" i="4" s="1"/>
  <c r="S17" i="5" s="1"/>
  <c r="S17" i="6" s="1"/>
  <c r="S17" i="7" s="1"/>
  <c r="S17" i="8" s="1"/>
  <c r="S17" i="9" s="1"/>
  <c r="S17" i="37" s="1"/>
  <c r="S17" i="11" s="1"/>
  <c r="S17" i="12" s="1"/>
  <c r="S17" i="13" s="1"/>
  <c r="S17" i="14" s="1"/>
  <c r="S17" i="15" s="1"/>
  <c r="S17" i="16" s="1"/>
  <c r="S17" i="17" s="1"/>
  <c r="S17" i="18" s="1"/>
  <c r="S17" i="19" s="1"/>
  <c r="S17" i="20" s="1"/>
  <c r="S17" i="21" s="1"/>
  <c r="S17" i="22" s="1"/>
  <c r="S17" i="23" s="1"/>
  <c r="S17" i="24" s="1"/>
  <c r="S17" i="25" s="1"/>
  <c r="S17" i="26" s="1"/>
  <c r="S17" i="27" s="1"/>
  <c r="S17" i="28" s="1"/>
  <c r="S17" i="29" s="1"/>
  <c r="S17" i="30" s="1"/>
  <c r="S17" i="31" s="1"/>
  <c r="S17" i="32" s="1"/>
  <c r="S18" i="3"/>
  <c r="S18" i="4" s="1"/>
  <c r="S18" i="5" s="1"/>
  <c r="S18" i="6" s="1"/>
  <c r="S18" i="7" s="1"/>
  <c r="S18" i="8" s="1"/>
  <c r="S18" i="9" s="1"/>
  <c r="S18" i="37" s="1"/>
  <c r="S18" i="11" s="1"/>
  <c r="S18" i="12" s="1"/>
  <c r="S18" i="13" s="1"/>
  <c r="S18" i="14" s="1"/>
  <c r="S18" i="15" s="1"/>
  <c r="S18" i="16" s="1"/>
  <c r="S18" i="17" s="1"/>
  <c r="S18" i="18" s="1"/>
  <c r="J34" i="3"/>
  <c r="K34" i="3"/>
  <c r="J33" i="3"/>
  <c r="K33" i="3"/>
  <c r="G33" i="3"/>
  <c r="J32" i="3"/>
  <c r="K32" i="3"/>
  <c r="G32" i="3"/>
  <c r="J31" i="3"/>
  <c r="K31" i="3"/>
  <c r="G31" i="3"/>
  <c r="J30" i="3"/>
  <c r="K30" i="3"/>
  <c r="G30" i="3"/>
  <c r="J29" i="3"/>
  <c r="K29" i="3"/>
  <c r="G29" i="3"/>
  <c r="J28" i="3"/>
  <c r="K28" i="3"/>
  <c r="G28" i="3"/>
  <c r="J27" i="3"/>
  <c r="K27" i="3"/>
  <c r="G27" i="3"/>
  <c r="J26" i="3"/>
  <c r="K26" i="3"/>
  <c r="J25" i="3"/>
  <c r="K25" i="3"/>
  <c r="J24" i="3"/>
  <c r="K24" i="3"/>
  <c r="G24" i="3"/>
  <c r="J23" i="3"/>
  <c r="K23" i="3"/>
  <c r="G23" i="3"/>
  <c r="J22" i="3"/>
  <c r="K22" i="3"/>
  <c r="J21" i="3"/>
  <c r="K21" i="3"/>
  <c r="G21" i="3"/>
  <c r="J20" i="3"/>
  <c r="K20" i="3"/>
  <c r="J19" i="3"/>
  <c r="K19" i="3"/>
  <c r="G19" i="3"/>
  <c r="J18" i="3"/>
  <c r="K18" i="3"/>
  <c r="G18" i="3"/>
  <c r="J17" i="3"/>
  <c r="K17" i="3"/>
  <c r="J16" i="3"/>
  <c r="K16" i="3"/>
  <c r="G16" i="3"/>
  <c r="J15" i="3"/>
  <c r="K15" i="3"/>
  <c r="J14" i="3"/>
  <c r="K14" i="3"/>
  <c r="J13" i="3"/>
  <c r="K13" i="3"/>
  <c r="J12" i="3"/>
  <c r="K12" i="3"/>
  <c r="J11" i="3"/>
  <c r="K11" i="3"/>
  <c r="G11" i="3"/>
  <c r="C1459" i="33"/>
  <c r="D1459" i="33"/>
  <c r="E1459" i="33"/>
  <c r="F1459" i="33"/>
  <c r="G1459" i="33"/>
  <c r="H1459" i="33"/>
  <c r="I1459" i="33"/>
  <c r="J1459" i="33"/>
  <c r="K1459" i="33"/>
  <c r="L1459" i="33"/>
  <c r="M1459" i="33"/>
  <c r="N1459" i="33"/>
  <c r="O1459" i="33"/>
  <c r="P1459" i="33"/>
  <c r="Q1459" i="33"/>
  <c r="R1459" i="33"/>
  <c r="S1459" i="33"/>
  <c r="C1460" i="33"/>
  <c r="D1460" i="33"/>
  <c r="E1460" i="33"/>
  <c r="F1460" i="33"/>
  <c r="G1460" i="33"/>
  <c r="H1460" i="33"/>
  <c r="I1460" i="33"/>
  <c r="J1460" i="33"/>
  <c r="K1460" i="33"/>
  <c r="L1460" i="33"/>
  <c r="M1460" i="33"/>
  <c r="N1460" i="33"/>
  <c r="O1460" i="33"/>
  <c r="P1460" i="33"/>
  <c r="Q1460" i="33"/>
  <c r="R1460" i="33"/>
  <c r="C1461" i="33"/>
  <c r="D1461" i="33"/>
  <c r="E1461" i="33"/>
  <c r="F1461" i="33"/>
  <c r="G1461" i="33"/>
  <c r="H1461" i="33"/>
  <c r="I1461" i="33"/>
  <c r="J1461" i="33"/>
  <c r="K1461" i="33"/>
  <c r="L1461" i="33"/>
  <c r="M1461" i="33"/>
  <c r="N1461" i="33"/>
  <c r="O1461" i="33"/>
  <c r="P1461" i="33"/>
  <c r="Q1461" i="33"/>
  <c r="R1461" i="33"/>
  <c r="C1462" i="33"/>
  <c r="D1462" i="33"/>
  <c r="E1462" i="33"/>
  <c r="F1462" i="33"/>
  <c r="G1462" i="33"/>
  <c r="H1462" i="33"/>
  <c r="I1462" i="33"/>
  <c r="J1462" i="33"/>
  <c r="K1462" i="33"/>
  <c r="L1462" i="33"/>
  <c r="M1462" i="33"/>
  <c r="N1462" i="33"/>
  <c r="O1462" i="33"/>
  <c r="P1462" i="33"/>
  <c r="Q1462" i="33"/>
  <c r="R1462" i="33"/>
  <c r="C1463" i="33"/>
  <c r="D1463" i="33"/>
  <c r="E1463" i="33"/>
  <c r="F1463" i="33"/>
  <c r="G1463" i="33"/>
  <c r="H1463" i="33"/>
  <c r="I1463" i="33"/>
  <c r="J1463" i="33"/>
  <c r="K1463" i="33"/>
  <c r="L1463" i="33"/>
  <c r="M1463" i="33"/>
  <c r="N1463" i="33"/>
  <c r="O1463" i="33"/>
  <c r="P1463" i="33"/>
  <c r="Q1463" i="33"/>
  <c r="R1463" i="33"/>
  <c r="C1464" i="33"/>
  <c r="D1464" i="33"/>
  <c r="E1464" i="33"/>
  <c r="F1464" i="33"/>
  <c r="G1464" i="33"/>
  <c r="H1464" i="33"/>
  <c r="I1464" i="33"/>
  <c r="J1464" i="33"/>
  <c r="K1464" i="33"/>
  <c r="L1464" i="33"/>
  <c r="M1464" i="33"/>
  <c r="N1464" i="33"/>
  <c r="O1464" i="33"/>
  <c r="P1464" i="33"/>
  <c r="Q1464" i="33"/>
  <c r="R1464" i="33"/>
  <c r="C1465" i="33"/>
  <c r="D1465" i="33"/>
  <c r="E1465" i="33"/>
  <c r="F1465" i="33"/>
  <c r="G1465" i="33"/>
  <c r="H1465" i="33"/>
  <c r="I1465" i="33"/>
  <c r="J1465" i="33"/>
  <c r="K1465" i="33"/>
  <c r="L1465" i="33"/>
  <c r="M1465" i="33"/>
  <c r="N1465" i="33"/>
  <c r="O1465" i="33"/>
  <c r="P1465" i="33"/>
  <c r="Q1465" i="33"/>
  <c r="R1465" i="33"/>
  <c r="C1466" i="33"/>
  <c r="D1466" i="33"/>
  <c r="E1466" i="33"/>
  <c r="F1466" i="33"/>
  <c r="G1466" i="33"/>
  <c r="H1466" i="33"/>
  <c r="I1466" i="33"/>
  <c r="J1466" i="33"/>
  <c r="K1466" i="33"/>
  <c r="L1466" i="33"/>
  <c r="M1466" i="33"/>
  <c r="N1466" i="33"/>
  <c r="O1466" i="33"/>
  <c r="P1466" i="33"/>
  <c r="Q1466" i="33"/>
  <c r="R1466" i="33"/>
  <c r="C1467" i="33"/>
  <c r="D1467" i="33"/>
  <c r="E1467" i="33"/>
  <c r="F1467" i="33"/>
  <c r="G1467" i="33"/>
  <c r="H1467" i="33"/>
  <c r="I1467" i="33"/>
  <c r="J1467" i="33"/>
  <c r="K1467" i="33"/>
  <c r="L1467" i="33"/>
  <c r="M1467" i="33"/>
  <c r="N1467" i="33"/>
  <c r="O1467" i="33"/>
  <c r="P1467" i="33"/>
  <c r="Q1467" i="33"/>
  <c r="R1467" i="33"/>
  <c r="C1468" i="33"/>
  <c r="D1468" i="33"/>
  <c r="E1468" i="33"/>
  <c r="F1468" i="33"/>
  <c r="G1468" i="33"/>
  <c r="H1468" i="33"/>
  <c r="I1468" i="33"/>
  <c r="J1468" i="33"/>
  <c r="K1468" i="33"/>
  <c r="L1468" i="33"/>
  <c r="M1468" i="33"/>
  <c r="N1468" i="33"/>
  <c r="O1468" i="33"/>
  <c r="P1468" i="33"/>
  <c r="Q1468" i="33"/>
  <c r="R1468" i="33"/>
  <c r="C1469" i="33"/>
  <c r="D1469" i="33"/>
  <c r="E1469" i="33"/>
  <c r="F1469" i="33"/>
  <c r="G1469" i="33"/>
  <c r="H1469" i="33"/>
  <c r="I1469" i="33"/>
  <c r="J1469" i="33"/>
  <c r="K1469" i="33"/>
  <c r="L1469" i="33"/>
  <c r="M1469" i="33"/>
  <c r="N1469" i="33"/>
  <c r="O1469" i="33"/>
  <c r="P1469" i="33"/>
  <c r="Q1469" i="33"/>
  <c r="R1469" i="33"/>
  <c r="C1470" i="33"/>
  <c r="D1470" i="33"/>
  <c r="E1470" i="33"/>
  <c r="F1470" i="33"/>
  <c r="G1470" i="33"/>
  <c r="H1470" i="33"/>
  <c r="I1470" i="33"/>
  <c r="J1470" i="33"/>
  <c r="K1470" i="33"/>
  <c r="L1470" i="33"/>
  <c r="M1470" i="33"/>
  <c r="N1470" i="33"/>
  <c r="O1470" i="33"/>
  <c r="P1470" i="33"/>
  <c r="Q1470" i="33"/>
  <c r="R1470" i="33"/>
  <c r="C1471" i="33"/>
  <c r="D1471" i="33"/>
  <c r="E1471" i="33"/>
  <c r="F1471" i="33"/>
  <c r="G1471" i="33"/>
  <c r="H1471" i="33"/>
  <c r="I1471" i="33"/>
  <c r="J1471" i="33"/>
  <c r="K1471" i="33"/>
  <c r="L1471" i="33"/>
  <c r="M1471" i="33"/>
  <c r="N1471" i="33"/>
  <c r="O1471" i="33"/>
  <c r="P1471" i="33"/>
  <c r="Q1471" i="33"/>
  <c r="R1471" i="33"/>
  <c r="C1472" i="33"/>
  <c r="D1472" i="33"/>
  <c r="E1472" i="33"/>
  <c r="F1472" i="33"/>
  <c r="G1472" i="33"/>
  <c r="H1472" i="33"/>
  <c r="I1472" i="33"/>
  <c r="J1472" i="33"/>
  <c r="K1472" i="33"/>
  <c r="L1472" i="33"/>
  <c r="M1472" i="33"/>
  <c r="N1472" i="33"/>
  <c r="O1472" i="33"/>
  <c r="P1472" i="33"/>
  <c r="Q1472" i="33"/>
  <c r="R1472" i="33"/>
  <c r="C1473" i="33"/>
  <c r="D1473" i="33"/>
  <c r="E1473" i="33"/>
  <c r="F1473" i="33"/>
  <c r="G1473" i="33"/>
  <c r="H1473" i="33"/>
  <c r="I1473" i="33"/>
  <c r="J1473" i="33"/>
  <c r="K1473" i="33"/>
  <c r="L1473" i="33"/>
  <c r="M1473" i="33"/>
  <c r="N1473" i="33"/>
  <c r="O1473" i="33"/>
  <c r="P1473" i="33"/>
  <c r="Q1473" i="33"/>
  <c r="R1473" i="33"/>
  <c r="C1474" i="33"/>
  <c r="D1474" i="33"/>
  <c r="E1474" i="33"/>
  <c r="F1474" i="33"/>
  <c r="G1474" i="33"/>
  <c r="H1474" i="33"/>
  <c r="I1474" i="33"/>
  <c r="J1474" i="33"/>
  <c r="K1474" i="33"/>
  <c r="L1474" i="33"/>
  <c r="M1474" i="33"/>
  <c r="N1474" i="33"/>
  <c r="O1474" i="33"/>
  <c r="P1474" i="33"/>
  <c r="Q1474" i="33"/>
  <c r="R1474" i="33"/>
  <c r="C1475" i="33"/>
  <c r="D1475" i="33"/>
  <c r="E1475" i="33"/>
  <c r="F1475" i="33"/>
  <c r="G1475" i="33"/>
  <c r="H1475" i="33"/>
  <c r="I1475" i="33"/>
  <c r="J1475" i="33"/>
  <c r="K1475" i="33"/>
  <c r="L1475" i="33"/>
  <c r="M1475" i="33"/>
  <c r="N1475" i="33"/>
  <c r="O1475" i="33"/>
  <c r="P1475" i="33"/>
  <c r="Q1475" i="33"/>
  <c r="R1475" i="33"/>
  <c r="C1476" i="33"/>
  <c r="D1476" i="33"/>
  <c r="E1476" i="33"/>
  <c r="F1476" i="33"/>
  <c r="G1476" i="33"/>
  <c r="H1476" i="33"/>
  <c r="I1476" i="33"/>
  <c r="J1476" i="33"/>
  <c r="K1476" i="33"/>
  <c r="L1476" i="33"/>
  <c r="M1476" i="33"/>
  <c r="N1476" i="33"/>
  <c r="O1476" i="33"/>
  <c r="P1476" i="33"/>
  <c r="Q1476" i="33"/>
  <c r="R1476" i="33"/>
  <c r="S1476" i="33"/>
  <c r="C1477" i="33"/>
  <c r="D1477" i="33"/>
  <c r="E1477" i="33"/>
  <c r="F1477" i="33"/>
  <c r="G1477" i="33"/>
  <c r="H1477" i="33"/>
  <c r="I1477" i="33"/>
  <c r="J1477" i="33"/>
  <c r="K1477" i="33"/>
  <c r="L1477" i="33"/>
  <c r="M1477" i="33"/>
  <c r="N1477" i="33"/>
  <c r="O1477" i="33"/>
  <c r="P1477" i="33"/>
  <c r="Q1477" i="33"/>
  <c r="R1477" i="33"/>
  <c r="S1477" i="33"/>
  <c r="C1478" i="33"/>
  <c r="D1478" i="33"/>
  <c r="E1478" i="33"/>
  <c r="F1478" i="33"/>
  <c r="G1478" i="33"/>
  <c r="H1478" i="33"/>
  <c r="I1478" i="33"/>
  <c r="J1478" i="33"/>
  <c r="K1478" i="33"/>
  <c r="L1478" i="33"/>
  <c r="M1478" i="33"/>
  <c r="N1478" i="33"/>
  <c r="O1478" i="33"/>
  <c r="P1478" i="33"/>
  <c r="Q1478" i="33"/>
  <c r="R1478" i="33"/>
  <c r="S1478" i="33"/>
  <c r="C1479" i="33"/>
  <c r="D1479" i="33"/>
  <c r="E1479" i="33"/>
  <c r="F1479" i="33"/>
  <c r="G1479" i="33"/>
  <c r="H1479" i="33"/>
  <c r="I1479" i="33"/>
  <c r="J1479" i="33"/>
  <c r="K1479" i="33"/>
  <c r="L1479" i="33"/>
  <c r="M1479" i="33"/>
  <c r="N1479" i="33"/>
  <c r="O1479" i="33"/>
  <c r="P1479" i="33"/>
  <c r="Q1479" i="33"/>
  <c r="R1479" i="33"/>
  <c r="S1479" i="33"/>
  <c r="C1480" i="33"/>
  <c r="D1480" i="33"/>
  <c r="E1480" i="33"/>
  <c r="F1480" i="33"/>
  <c r="G1480" i="33"/>
  <c r="H1480" i="33"/>
  <c r="I1480" i="33"/>
  <c r="J1480" i="33"/>
  <c r="K1480" i="33"/>
  <c r="L1480" i="33"/>
  <c r="M1480" i="33"/>
  <c r="N1480" i="33"/>
  <c r="O1480" i="33"/>
  <c r="P1480" i="33"/>
  <c r="Q1480" i="33"/>
  <c r="R1480" i="33"/>
  <c r="S1480" i="33"/>
  <c r="C1481" i="33"/>
  <c r="D1481" i="33"/>
  <c r="E1481" i="33"/>
  <c r="F1481" i="33"/>
  <c r="G1481" i="33"/>
  <c r="H1481" i="33"/>
  <c r="I1481" i="33"/>
  <c r="J1481" i="33"/>
  <c r="K1481" i="33"/>
  <c r="L1481" i="33"/>
  <c r="M1481" i="33"/>
  <c r="N1481" i="33"/>
  <c r="O1481" i="33"/>
  <c r="P1481" i="33"/>
  <c r="Q1481" i="33"/>
  <c r="R1481" i="33"/>
  <c r="S1481" i="33"/>
  <c r="C1482" i="33"/>
  <c r="D1482" i="33"/>
  <c r="E1482" i="33"/>
  <c r="F1482" i="33"/>
  <c r="G1482" i="33"/>
  <c r="H1482" i="33"/>
  <c r="I1482" i="33"/>
  <c r="J1482" i="33"/>
  <c r="K1482" i="33"/>
  <c r="L1482" i="33"/>
  <c r="M1482" i="33"/>
  <c r="N1482" i="33"/>
  <c r="O1482" i="33"/>
  <c r="P1482" i="33"/>
  <c r="Q1482" i="33"/>
  <c r="R1482" i="33"/>
  <c r="S1482" i="33"/>
  <c r="C1483" i="33"/>
  <c r="D1483" i="33"/>
  <c r="E1483" i="33"/>
  <c r="F1483" i="33"/>
  <c r="G1483" i="33"/>
  <c r="H1483" i="33"/>
  <c r="I1483" i="33"/>
  <c r="J1483" i="33"/>
  <c r="K1483" i="33"/>
  <c r="L1483" i="33"/>
  <c r="M1483" i="33"/>
  <c r="N1483" i="33"/>
  <c r="O1483" i="33"/>
  <c r="P1483" i="33"/>
  <c r="Q1483" i="33"/>
  <c r="R1483" i="33"/>
  <c r="S1483" i="33"/>
  <c r="C1484" i="33"/>
  <c r="D1484" i="33"/>
  <c r="E1484" i="33"/>
  <c r="F1484" i="33"/>
  <c r="G1484" i="33"/>
  <c r="H1484" i="33"/>
  <c r="I1484" i="33"/>
  <c r="J1484" i="33"/>
  <c r="K1484" i="33"/>
  <c r="L1484" i="33"/>
  <c r="M1484" i="33"/>
  <c r="N1484" i="33"/>
  <c r="O1484" i="33"/>
  <c r="P1484" i="33"/>
  <c r="Q1484" i="33"/>
  <c r="R1484" i="33"/>
  <c r="S1484" i="33"/>
  <c r="C1485" i="33"/>
  <c r="D1485" i="33"/>
  <c r="E1485" i="33"/>
  <c r="F1485" i="33"/>
  <c r="G1485" i="33"/>
  <c r="H1485" i="33"/>
  <c r="I1485" i="33"/>
  <c r="J1485" i="33"/>
  <c r="K1485" i="33"/>
  <c r="L1485" i="33"/>
  <c r="M1485" i="33"/>
  <c r="N1485" i="33"/>
  <c r="O1485" i="33"/>
  <c r="P1485" i="33"/>
  <c r="Q1485" i="33"/>
  <c r="R1485" i="33"/>
  <c r="S1485" i="33"/>
  <c r="C1486" i="33"/>
  <c r="D1486" i="33"/>
  <c r="E1486" i="33"/>
  <c r="F1486" i="33"/>
  <c r="G1486" i="33"/>
  <c r="H1486" i="33"/>
  <c r="I1486" i="33"/>
  <c r="J1486" i="33"/>
  <c r="K1486" i="33"/>
  <c r="L1486" i="33"/>
  <c r="M1486" i="33"/>
  <c r="N1486" i="33"/>
  <c r="O1486" i="33"/>
  <c r="P1486" i="33"/>
  <c r="Q1486" i="33"/>
  <c r="R1486" i="33"/>
  <c r="S1486" i="33"/>
  <c r="C1487" i="33"/>
  <c r="D1487" i="33"/>
  <c r="E1487" i="33"/>
  <c r="F1487" i="33"/>
  <c r="G1487" i="33"/>
  <c r="H1487" i="33"/>
  <c r="I1487" i="33"/>
  <c r="J1487" i="33"/>
  <c r="K1487" i="33"/>
  <c r="L1487" i="33"/>
  <c r="M1487" i="33"/>
  <c r="N1487" i="33"/>
  <c r="O1487" i="33"/>
  <c r="P1487" i="33"/>
  <c r="Q1487" i="33"/>
  <c r="R1487" i="33"/>
  <c r="S1487" i="33"/>
  <c r="C1488" i="33"/>
  <c r="D1488" i="33"/>
  <c r="E1488" i="33"/>
  <c r="F1488" i="33"/>
  <c r="G1488" i="33"/>
  <c r="H1488" i="33"/>
  <c r="I1488" i="33"/>
  <c r="J1488" i="33"/>
  <c r="K1488" i="33"/>
  <c r="L1488" i="33"/>
  <c r="M1488" i="33"/>
  <c r="N1488" i="33"/>
  <c r="O1488" i="33"/>
  <c r="P1488" i="33"/>
  <c r="Q1488" i="33"/>
  <c r="R1488" i="33"/>
  <c r="S1488" i="33"/>
  <c r="C1489" i="33"/>
  <c r="D1489" i="33"/>
  <c r="E1489" i="33"/>
  <c r="F1489" i="33"/>
  <c r="G1489" i="33"/>
  <c r="H1489" i="33"/>
  <c r="I1489" i="33"/>
  <c r="J1489" i="33"/>
  <c r="K1489" i="33"/>
  <c r="L1489" i="33"/>
  <c r="M1489" i="33"/>
  <c r="N1489" i="33"/>
  <c r="O1489" i="33"/>
  <c r="P1489" i="33"/>
  <c r="Q1489" i="33"/>
  <c r="R1489" i="33"/>
  <c r="S1489" i="33"/>
  <c r="B1460" i="33"/>
  <c r="B1461" i="33"/>
  <c r="B1462" i="33"/>
  <c r="B1463" i="33"/>
  <c r="B1464" i="33"/>
  <c r="B1465" i="33"/>
  <c r="B1466" i="33"/>
  <c r="B1467" i="33"/>
  <c r="B1468" i="33"/>
  <c r="B1469" i="33"/>
  <c r="B1470" i="33"/>
  <c r="B1471" i="33"/>
  <c r="B1472" i="33"/>
  <c r="B1473" i="33"/>
  <c r="B1474" i="33"/>
  <c r="B1475" i="33"/>
  <c r="B1476" i="33"/>
  <c r="B1477" i="33"/>
  <c r="B1478" i="33"/>
  <c r="B1479" i="33"/>
  <c r="B1480" i="33"/>
  <c r="B1481" i="33"/>
  <c r="B1482" i="33"/>
  <c r="B1483" i="33"/>
  <c r="B1484" i="33"/>
  <c r="B1485" i="33"/>
  <c r="B1486" i="33"/>
  <c r="B1487" i="33"/>
  <c r="B1488" i="33"/>
  <c r="B1489" i="33"/>
  <c r="B1459" i="33"/>
  <c r="G45" i="3"/>
  <c r="Y1424" i="33"/>
  <c r="G45" i="4" s="1"/>
  <c r="Y1425" i="33"/>
  <c r="G45" i="5" s="1"/>
  <c r="G45" i="6"/>
  <c r="G45" i="7"/>
  <c r="G45" i="8"/>
  <c r="Y1430" i="33"/>
  <c r="G45" i="9" s="1"/>
  <c r="Y1431" i="33"/>
  <c r="Y1432" i="33"/>
  <c r="G45" i="14"/>
  <c r="Y1436" i="33"/>
  <c r="Y1437" i="33"/>
  <c r="G45" i="17" s="1"/>
  <c r="Y1438" i="33"/>
  <c r="G45" i="18" s="1"/>
  <c r="Y1439" i="33"/>
  <c r="G45" i="19" s="1"/>
  <c r="G45" i="20"/>
  <c r="Y1441" i="33"/>
  <c r="G45" i="21" s="1"/>
  <c r="G45" i="22"/>
  <c r="Y1443" i="33"/>
  <c r="G45" i="23" s="1"/>
  <c r="G45" i="24"/>
  <c r="Y1445" i="33"/>
  <c r="G45" i="25" s="1"/>
  <c r="Y1446" i="33"/>
  <c r="G45" i="26" s="1"/>
  <c r="G45" i="27"/>
  <c r="G45" i="28"/>
  <c r="G45" i="30"/>
  <c r="Y1451" i="33"/>
  <c r="Y1452" i="33"/>
  <c r="G45" i="2"/>
  <c r="M45" i="2" s="1"/>
  <c r="G44" i="3"/>
  <c r="G44" i="4"/>
  <c r="G44" i="5"/>
  <c r="G44" i="7"/>
  <c r="G44" i="8"/>
  <c r="G44" i="9"/>
  <c r="G44" i="37"/>
  <c r="G44" i="11"/>
  <c r="G44" i="12"/>
  <c r="G44" i="13"/>
  <c r="G44" i="14"/>
  <c r="G44" i="15"/>
  <c r="G44" i="16"/>
  <c r="G44" i="17"/>
  <c r="G44" i="18"/>
  <c r="G44" i="19"/>
  <c r="G44" i="20"/>
  <c r="G44" i="22"/>
  <c r="G44" i="23"/>
  <c r="G44" i="24"/>
  <c r="G44" i="25"/>
  <c r="G44" i="26"/>
  <c r="G44" i="27"/>
  <c r="G44" i="28"/>
  <c r="G44" i="29"/>
  <c r="G44" i="30"/>
  <c r="G44" i="31"/>
  <c r="G44" i="32"/>
  <c r="G44" i="2"/>
  <c r="M44" i="2" s="1"/>
  <c r="G43" i="9"/>
  <c r="G42" i="8"/>
  <c r="G42" i="23"/>
  <c r="G42" i="25"/>
  <c r="G42" i="26"/>
  <c r="G42" i="27"/>
  <c r="G42" i="28"/>
  <c r="G42" i="29"/>
  <c r="G42" i="30"/>
  <c r="G42" i="31"/>
  <c r="Y1276" i="33"/>
  <c r="G41" i="4"/>
  <c r="Y1278" i="33"/>
  <c r="G41" i="5" s="1"/>
  <c r="Y1279" i="33"/>
  <c r="G41" i="6" s="1"/>
  <c r="Y1280" i="33"/>
  <c r="G41" i="7" s="1"/>
  <c r="Y1281" i="33"/>
  <c r="G41" i="8" s="1"/>
  <c r="Y1282" i="33"/>
  <c r="G41" i="9" s="1"/>
  <c r="Y1283" i="33"/>
  <c r="G41" i="37" s="1"/>
  <c r="Y1284" i="33"/>
  <c r="G41" i="11" s="1"/>
  <c r="Y1285" i="33"/>
  <c r="G41" i="12" s="1"/>
  <c r="Y1286" i="33"/>
  <c r="G41" i="13" s="1"/>
  <c r="Y1287" i="33"/>
  <c r="G41" i="14" s="1"/>
  <c r="Y1288" i="33"/>
  <c r="G41" i="15" s="1"/>
  <c r="Y1289" i="33"/>
  <c r="G41" i="16" s="1"/>
  <c r="Y1290" i="33"/>
  <c r="G41" i="17" s="1"/>
  <c r="Y1291" i="33"/>
  <c r="G41" i="18" s="1"/>
  <c r="Y1292" i="33"/>
  <c r="G41" i="19" s="1"/>
  <c r="G41" i="20"/>
  <c r="Y1294" i="33"/>
  <c r="G41" i="21" s="1"/>
  <c r="Y1295" i="33"/>
  <c r="G41" i="22" s="1"/>
  <c r="Y1296" i="33"/>
  <c r="G41" i="23" s="1"/>
  <c r="Y1297" i="33"/>
  <c r="G41" i="24" s="1"/>
  <c r="Y1298" i="33"/>
  <c r="G41" i="25" s="1"/>
  <c r="Y1299" i="33"/>
  <c r="G41" i="26" s="1"/>
  <c r="Y1300" i="33"/>
  <c r="G41" i="27" s="1"/>
  <c r="Y1301" i="33"/>
  <c r="G41" i="28" s="1"/>
  <c r="Y1302" i="33"/>
  <c r="G41" i="29" s="1"/>
  <c r="Y1303" i="33"/>
  <c r="G41" i="30" s="1"/>
  <c r="Y1304" i="33"/>
  <c r="G41" i="31" s="1"/>
  <c r="Y1305" i="33"/>
  <c r="Y1275" i="33"/>
  <c r="G40" i="6"/>
  <c r="G40" i="8"/>
  <c r="G40" i="11"/>
  <c r="G40" i="14"/>
  <c r="G40" i="21"/>
  <c r="G40" i="22"/>
  <c r="G40" i="23"/>
  <c r="G40" i="24"/>
  <c r="G39" i="32"/>
  <c r="G39" i="16"/>
  <c r="G39" i="15"/>
  <c r="G39" i="14"/>
  <c r="G39" i="4"/>
  <c r="G39" i="3"/>
  <c r="Y1194" i="33"/>
  <c r="Y1193" i="33"/>
  <c r="Y1192" i="33"/>
  <c r="Y1191" i="33"/>
  <c r="Y1190" i="33"/>
  <c r="Y1189" i="33"/>
  <c r="Y1188" i="33"/>
  <c r="Y1187" i="33"/>
  <c r="Y1186" i="33"/>
  <c r="Y1185" i="33"/>
  <c r="Y1184" i="33"/>
  <c r="Y1183" i="33"/>
  <c r="Y1182" i="33"/>
  <c r="Y1181" i="33"/>
  <c r="Y1180" i="33"/>
  <c r="Y1179" i="33"/>
  <c r="Y1178" i="33"/>
  <c r="Y1177" i="33"/>
  <c r="Y1176" i="33"/>
  <c r="Y1175" i="33"/>
  <c r="Y1174" i="33"/>
  <c r="Y1173" i="33"/>
  <c r="Y1172" i="33"/>
  <c r="Y1171" i="33"/>
  <c r="G38" i="8"/>
  <c r="Y1169" i="33"/>
  <c r="Y1168" i="33"/>
  <c r="Y1167" i="33"/>
  <c r="Y1166" i="33"/>
  <c r="Y1165" i="33"/>
  <c r="Y1164" i="33"/>
  <c r="Y1157" i="33"/>
  <c r="Y1156" i="33"/>
  <c r="Y1155" i="33"/>
  <c r="Y1154" i="33"/>
  <c r="Y1153" i="33"/>
  <c r="Y1152" i="33"/>
  <c r="Y1151" i="33"/>
  <c r="Y1150" i="33"/>
  <c r="Y1149" i="33"/>
  <c r="Y1148" i="33"/>
  <c r="Y1147" i="33"/>
  <c r="Y1146" i="33"/>
  <c r="Y1145" i="33"/>
  <c r="Y1144" i="33"/>
  <c r="Y1143" i="33"/>
  <c r="Y1142" i="33"/>
  <c r="Y1141" i="33"/>
  <c r="G37" i="16" s="1"/>
  <c r="Y1140" i="33"/>
  <c r="G37" i="15" s="1"/>
  <c r="G37" i="14"/>
  <c r="Y1138" i="33"/>
  <c r="G37" i="13" s="1"/>
  <c r="Y1137" i="33"/>
  <c r="G37" i="12" s="1"/>
  <c r="Y1136" i="33"/>
  <c r="Y1135" i="33"/>
  <c r="Y1134" i="33"/>
  <c r="Y1133" i="33"/>
  <c r="Y1132" i="33"/>
  <c r="Y1131" i="33"/>
  <c r="Y1130" i="33"/>
  <c r="Y1129" i="33"/>
  <c r="Y1128" i="33"/>
  <c r="Y1127" i="33"/>
  <c r="G36" i="9"/>
  <c r="G36" i="3"/>
  <c r="G36" i="2"/>
  <c r="M36" i="2" s="1"/>
  <c r="G35" i="26"/>
  <c r="G35" i="25"/>
  <c r="G35" i="24"/>
  <c r="G35" i="18"/>
  <c r="G35" i="37"/>
  <c r="G35" i="9"/>
  <c r="G35" i="7"/>
  <c r="G35" i="6"/>
  <c r="G35" i="5"/>
  <c r="G35" i="4"/>
  <c r="G35" i="2"/>
  <c r="M35" i="2" s="1"/>
  <c r="M35" i="3" s="1"/>
  <c r="G34" i="26"/>
  <c r="G34" i="25"/>
  <c r="G34" i="24"/>
  <c r="G34" i="23"/>
  <c r="G34" i="22"/>
  <c r="G34" i="21"/>
  <c r="G34" i="20"/>
  <c r="G34" i="19"/>
  <c r="G34" i="18"/>
  <c r="G34" i="17"/>
  <c r="G34" i="16"/>
  <c r="G34" i="15"/>
  <c r="G34" i="14"/>
  <c r="G34" i="13"/>
  <c r="G34" i="12"/>
  <c r="G34" i="11"/>
  <c r="G34" i="37"/>
  <c r="G34" i="9"/>
  <c r="G34" i="8"/>
  <c r="G34" i="7"/>
  <c r="G34" i="5"/>
  <c r="G34" i="3"/>
  <c r="Y1005" i="33"/>
  <c r="Y1004" i="33"/>
  <c r="Y1003" i="33"/>
  <c r="Y1002" i="33"/>
  <c r="G33" i="28"/>
  <c r="Y1000" i="33"/>
  <c r="G33" i="26"/>
  <c r="G33" i="25"/>
  <c r="Y997" i="33"/>
  <c r="Y996" i="33"/>
  <c r="Y995" i="33"/>
  <c r="Y994" i="33"/>
  <c r="Y993" i="33"/>
  <c r="Y992" i="33"/>
  <c r="Y991" i="33"/>
  <c r="Y990" i="33"/>
  <c r="Y989" i="33"/>
  <c r="Y988" i="33"/>
  <c r="Y987" i="33"/>
  <c r="Y986" i="33"/>
  <c r="Y985" i="33"/>
  <c r="G33" i="11"/>
  <c r="Y983" i="33"/>
  <c r="Y982" i="33"/>
  <c r="Y981" i="33"/>
  <c r="G33" i="8" s="1"/>
  <c r="Y980" i="33"/>
  <c r="G33" i="7" s="1"/>
  <c r="Y978" i="33"/>
  <c r="G33" i="5" s="1"/>
  <c r="Y977" i="33"/>
  <c r="Y976" i="33"/>
  <c r="Y975" i="33"/>
  <c r="G32" i="14"/>
  <c r="G31" i="31"/>
  <c r="G31" i="30"/>
  <c r="G31" i="29"/>
  <c r="G31" i="23"/>
  <c r="G31" i="22"/>
  <c r="G31" i="21"/>
  <c r="G31" i="20"/>
  <c r="G31" i="19"/>
  <c r="G31" i="18"/>
  <c r="G31" i="17"/>
  <c r="G31" i="16"/>
  <c r="G31" i="15"/>
  <c r="G31" i="14"/>
  <c r="G31" i="13"/>
  <c r="G31" i="12"/>
  <c r="G31" i="11"/>
  <c r="G31" i="37"/>
  <c r="G31" i="9"/>
  <c r="G31" i="8"/>
  <c r="G31" i="7"/>
  <c r="G31" i="6"/>
  <c r="G31" i="5"/>
  <c r="G31" i="4"/>
  <c r="AG11" i="3"/>
  <c r="AG11" i="4" s="1"/>
  <c r="AG11" i="5" s="1"/>
  <c r="AG11" i="6" s="1"/>
  <c r="AG11" i="7" s="1"/>
  <c r="AG11" i="8" s="1"/>
  <c r="AG11" i="9" s="1"/>
  <c r="AG11" i="37" s="1"/>
  <c r="AG11" i="11" s="1"/>
  <c r="AG11" i="12" s="1"/>
  <c r="AG11" i="13" s="1"/>
  <c r="AG11" i="14" s="1"/>
  <c r="AG11" i="15" s="1"/>
  <c r="AG11" i="16" s="1"/>
  <c r="AG11" i="17" s="1"/>
  <c r="AG11" i="18" s="1"/>
  <c r="AG11" i="19" s="1"/>
  <c r="AG11" i="20" s="1"/>
  <c r="AG11" i="21" s="1"/>
  <c r="AG11" i="22" s="1"/>
  <c r="AG11" i="23" s="1"/>
  <c r="AG11" i="24" s="1"/>
  <c r="AG11" i="25" s="1"/>
  <c r="AG11" i="26" s="1"/>
  <c r="AG11" i="27" s="1"/>
  <c r="AG11" i="28" s="1"/>
  <c r="AG11" i="29" s="1"/>
  <c r="AG11" i="30" s="1"/>
  <c r="AG11" i="31" s="1"/>
  <c r="AG11" i="32" s="1"/>
  <c r="AG12" i="3"/>
  <c r="AG12" i="4" s="1"/>
  <c r="AG12" i="5" s="1"/>
  <c r="AG12" i="6" s="1"/>
  <c r="AG12" i="7" s="1"/>
  <c r="AG12" i="8" s="1"/>
  <c r="AG12" i="9" s="1"/>
  <c r="AG12" i="37" s="1"/>
  <c r="AG12" i="11" s="1"/>
  <c r="AG12" i="12" s="1"/>
  <c r="AG12" i="13" s="1"/>
  <c r="AG12" i="14" s="1"/>
  <c r="AG12" i="15" s="1"/>
  <c r="AG12" i="16" s="1"/>
  <c r="AG12" i="17" s="1"/>
  <c r="AG12" i="18" s="1"/>
  <c r="AG12" i="19" s="1"/>
  <c r="AG12" i="20" s="1"/>
  <c r="AG12" i="21" s="1"/>
  <c r="AG12" i="22" s="1"/>
  <c r="AG12" i="23" s="1"/>
  <c r="AG12" i="24" s="1"/>
  <c r="AG12" i="25" s="1"/>
  <c r="AG12" i="26" s="1"/>
  <c r="AG12" i="27" s="1"/>
  <c r="AG12" i="28" s="1"/>
  <c r="AG12" i="29" s="1"/>
  <c r="AG12" i="30" s="1"/>
  <c r="AG12" i="31" s="1"/>
  <c r="AG12" i="32" s="1"/>
  <c r="AG13" i="3"/>
  <c r="AG13" i="4" s="1"/>
  <c r="AG13" i="5" s="1"/>
  <c r="AG13" i="6" s="1"/>
  <c r="AG13" i="7" s="1"/>
  <c r="AG13" i="8" s="1"/>
  <c r="AG13" i="9" s="1"/>
  <c r="AG13" i="37" s="1"/>
  <c r="AG13" i="11" s="1"/>
  <c r="AG13" i="12" s="1"/>
  <c r="AG13" i="13" s="1"/>
  <c r="AG13" i="14" s="1"/>
  <c r="AG13" i="15" s="1"/>
  <c r="AG13" i="16" s="1"/>
  <c r="AG13" i="17" s="1"/>
  <c r="AG13" i="18" s="1"/>
  <c r="AG13" i="19" s="1"/>
  <c r="AG13" i="20" s="1"/>
  <c r="AG13" i="21" s="1"/>
  <c r="AG13" i="22" s="1"/>
  <c r="AG13" i="23" s="1"/>
  <c r="AG13" i="24" s="1"/>
  <c r="AG13" i="25" s="1"/>
  <c r="AG13" i="26" s="1"/>
  <c r="AG13" i="27" s="1"/>
  <c r="AG13" i="28" s="1"/>
  <c r="AG13" i="29" s="1"/>
  <c r="AG13" i="30" s="1"/>
  <c r="AG13" i="31" s="1"/>
  <c r="AG13" i="32" s="1"/>
  <c r="AG14" i="3"/>
  <c r="AG14" i="4" s="1"/>
  <c r="AG14" i="5" s="1"/>
  <c r="AG14" i="6" s="1"/>
  <c r="AG14" i="7" s="1"/>
  <c r="AG14" i="8" s="1"/>
  <c r="AG14" i="9" s="1"/>
  <c r="AG14" i="37" s="1"/>
  <c r="AG14" i="11" s="1"/>
  <c r="AG14" i="12" s="1"/>
  <c r="AG14" i="13" s="1"/>
  <c r="AG14" i="14" s="1"/>
  <c r="AG14" i="15" s="1"/>
  <c r="AG14" i="16" s="1"/>
  <c r="AG14" i="17" s="1"/>
  <c r="AG14" i="18" s="1"/>
  <c r="AG14" i="19" s="1"/>
  <c r="AG14" i="20" s="1"/>
  <c r="AG14" i="21" s="1"/>
  <c r="AG14" i="22" s="1"/>
  <c r="AG14" i="23" s="1"/>
  <c r="AG14" i="24" s="1"/>
  <c r="AG14" i="25" s="1"/>
  <c r="AG14" i="26" s="1"/>
  <c r="AG14" i="27" s="1"/>
  <c r="AG14" i="28" s="1"/>
  <c r="AG14" i="29" s="1"/>
  <c r="AG14" i="30" s="1"/>
  <c r="AG14" i="31" s="1"/>
  <c r="AG14" i="32" s="1"/>
  <c r="AG15" i="3"/>
  <c r="AG15" i="4" s="1"/>
  <c r="AG15" i="5" s="1"/>
  <c r="AG15" i="6" s="1"/>
  <c r="AG15" i="7" s="1"/>
  <c r="AG15" i="8" s="1"/>
  <c r="AG15" i="9" s="1"/>
  <c r="AG15" i="37" s="1"/>
  <c r="AG15" i="11" s="1"/>
  <c r="AG15" i="12" s="1"/>
  <c r="AG15" i="13" s="1"/>
  <c r="AG15" i="14" s="1"/>
  <c r="AG15" i="15" s="1"/>
  <c r="AG15" i="16" s="1"/>
  <c r="AG15" i="17" s="1"/>
  <c r="AG15" i="18" s="1"/>
  <c r="AG15" i="19" s="1"/>
  <c r="AG15" i="20" s="1"/>
  <c r="AG15" i="21" s="1"/>
  <c r="AG15" i="22" s="1"/>
  <c r="AG15" i="23" s="1"/>
  <c r="AG15" i="24" s="1"/>
  <c r="AG15" i="25" s="1"/>
  <c r="AG15" i="26" s="1"/>
  <c r="AG15" i="27" s="1"/>
  <c r="AG15" i="28" s="1"/>
  <c r="AG15" i="29" s="1"/>
  <c r="AG15" i="30" s="1"/>
  <c r="AG15" i="31" s="1"/>
  <c r="AG15" i="32" s="1"/>
  <c r="AG16" i="3"/>
  <c r="AG16" i="4" s="1"/>
  <c r="AG16" i="5" s="1"/>
  <c r="AG16" i="6" s="1"/>
  <c r="AG16" i="7" s="1"/>
  <c r="AG16" i="8" s="1"/>
  <c r="AG16" i="9" s="1"/>
  <c r="AG16" i="37" s="1"/>
  <c r="AG16" i="11" s="1"/>
  <c r="AG16" i="12" s="1"/>
  <c r="AG16" i="13" s="1"/>
  <c r="AG16" i="14" s="1"/>
  <c r="AG16" i="15" s="1"/>
  <c r="AG16" i="16" s="1"/>
  <c r="AG16" i="17" s="1"/>
  <c r="AG16" i="18" s="1"/>
  <c r="AG16" i="19" s="1"/>
  <c r="AG16" i="20" s="1"/>
  <c r="AG16" i="21" s="1"/>
  <c r="AG16" i="22" s="1"/>
  <c r="AG16" i="23" s="1"/>
  <c r="AG16" i="24" s="1"/>
  <c r="AG16" i="25" s="1"/>
  <c r="AG16" i="26" s="1"/>
  <c r="AG16" i="27" s="1"/>
  <c r="AG16" i="28" s="1"/>
  <c r="AG16" i="29" s="1"/>
  <c r="AG16" i="30" s="1"/>
  <c r="AG16" i="31" s="1"/>
  <c r="AG16" i="32" s="1"/>
  <c r="AG17" i="3"/>
  <c r="AG17" i="4" s="1"/>
  <c r="AG17" i="5" s="1"/>
  <c r="AG17" i="6" s="1"/>
  <c r="AG17" i="7" s="1"/>
  <c r="AG17" i="8" s="1"/>
  <c r="AG17" i="9" s="1"/>
  <c r="AG17" i="37" s="1"/>
  <c r="AG17" i="11" s="1"/>
  <c r="AG17" i="12" s="1"/>
  <c r="AG17" i="13" s="1"/>
  <c r="AG17" i="14" s="1"/>
  <c r="AG17" i="15" s="1"/>
  <c r="AG17" i="16" s="1"/>
  <c r="AG17" i="17" s="1"/>
  <c r="AG17" i="18" s="1"/>
  <c r="AG17" i="19" s="1"/>
  <c r="AG17" i="20" s="1"/>
  <c r="AG17" i="21" s="1"/>
  <c r="AG17" i="22" s="1"/>
  <c r="AG17" i="23" s="1"/>
  <c r="AG17" i="24" s="1"/>
  <c r="AG17" i="25" s="1"/>
  <c r="AG17" i="26" s="1"/>
  <c r="AG17" i="27" s="1"/>
  <c r="AG17" i="28" s="1"/>
  <c r="AG17" i="29" s="1"/>
  <c r="AG17" i="30" s="1"/>
  <c r="AG17" i="31" s="1"/>
  <c r="AG17" i="32" s="1"/>
  <c r="AG18" i="3"/>
  <c r="AG18" i="4" s="1"/>
  <c r="AG18" i="5" s="1"/>
  <c r="AG18" i="6" s="1"/>
  <c r="AG18" i="7" s="1"/>
  <c r="AG18" i="8" s="1"/>
  <c r="AG18" i="9" s="1"/>
  <c r="AG18" i="37" s="1"/>
  <c r="AG18" i="11" s="1"/>
  <c r="AG18" i="12" s="1"/>
  <c r="AG18" i="13" s="1"/>
  <c r="AG18" i="14" s="1"/>
  <c r="AG18" i="15" s="1"/>
  <c r="AG18" i="16" s="1"/>
  <c r="AG18" i="17" s="1"/>
  <c r="AG18" i="18" s="1"/>
  <c r="AG18" i="19" s="1"/>
  <c r="AG18" i="20" s="1"/>
  <c r="AG18" i="21" s="1"/>
  <c r="AG18" i="22" s="1"/>
  <c r="AG18" i="23" s="1"/>
  <c r="AG18" i="24" s="1"/>
  <c r="AG18" i="25" s="1"/>
  <c r="AG18" i="26" s="1"/>
  <c r="AG18" i="27" s="1"/>
  <c r="AG18" i="28" s="1"/>
  <c r="AG18" i="29" s="1"/>
  <c r="AG18" i="30" s="1"/>
  <c r="AG18" i="31" s="1"/>
  <c r="AG18" i="32" s="1"/>
  <c r="AF11" i="3"/>
  <c r="AF11" i="4" s="1"/>
  <c r="AF11" i="5" s="1"/>
  <c r="AF11" i="6" s="1"/>
  <c r="AF11" i="7" s="1"/>
  <c r="AF11" i="8" s="1"/>
  <c r="AF11" i="9" s="1"/>
  <c r="AF11" i="37" s="1"/>
  <c r="AF11" i="11" s="1"/>
  <c r="AF11" i="12" s="1"/>
  <c r="AF11" i="13" s="1"/>
  <c r="AF11" i="14" s="1"/>
  <c r="AF11" i="15" s="1"/>
  <c r="AF11" i="16" s="1"/>
  <c r="AF11" i="17" s="1"/>
  <c r="AF11" i="18" s="1"/>
  <c r="AF11" i="19" s="1"/>
  <c r="AF11" i="20" s="1"/>
  <c r="AF11" i="21" s="1"/>
  <c r="AF11" i="22" s="1"/>
  <c r="AF11" i="23" s="1"/>
  <c r="AF11" i="24" s="1"/>
  <c r="AF11" i="25" s="1"/>
  <c r="AF11" i="26" s="1"/>
  <c r="AF11" i="27" s="1"/>
  <c r="AF11" i="28" s="1"/>
  <c r="AF11" i="29" s="1"/>
  <c r="AF11" i="30" s="1"/>
  <c r="AF11" i="31" s="1"/>
  <c r="AF11" i="32" s="1"/>
  <c r="AF12" i="3"/>
  <c r="AF12" i="4" s="1"/>
  <c r="AF12" i="5" s="1"/>
  <c r="AF12" i="6" s="1"/>
  <c r="AF12" i="7" s="1"/>
  <c r="AF12" i="8" s="1"/>
  <c r="AF12" i="9" s="1"/>
  <c r="AF12" i="37" s="1"/>
  <c r="AF12" i="11" s="1"/>
  <c r="AF12" i="12" s="1"/>
  <c r="AF12" i="13" s="1"/>
  <c r="AF12" i="14" s="1"/>
  <c r="AF12" i="15" s="1"/>
  <c r="AF12" i="16" s="1"/>
  <c r="AF12" i="17" s="1"/>
  <c r="AF12" i="18" s="1"/>
  <c r="AF12" i="19" s="1"/>
  <c r="AF12" i="20" s="1"/>
  <c r="AF12" i="21" s="1"/>
  <c r="AF12" i="22" s="1"/>
  <c r="AF12" i="23" s="1"/>
  <c r="AF12" i="24" s="1"/>
  <c r="AF12" i="25" s="1"/>
  <c r="AF12" i="26" s="1"/>
  <c r="AF12" i="27" s="1"/>
  <c r="AF12" i="28" s="1"/>
  <c r="AF12" i="29" s="1"/>
  <c r="AF12" i="30" s="1"/>
  <c r="AF12" i="31" s="1"/>
  <c r="AF12" i="32" s="1"/>
  <c r="AF13" i="3"/>
  <c r="AF13" i="4" s="1"/>
  <c r="AF13" i="5" s="1"/>
  <c r="AF13" i="6" s="1"/>
  <c r="AF13" i="7" s="1"/>
  <c r="AF13" i="8" s="1"/>
  <c r="AF13" i="9" s="1"/>
  <c r="AF13" i="37" s="1"/>
  <c r="AF13" i="11" s="1"/>
  <c r="AF13" i="12" s="1"/>
  <c r="AF13" i="13" s="1"/>
  <c r="AF13" i="14" s="1"/>
  <c r="AF13" i="15" s="1"/>
  <c r="AF13" i="16" s="1"/>
  <c r="AF13" i="17" s="1"/>
  <c r="AF13" i="18" s="1"/>
  <c r="AF13" i="19" s="1"/>
  <c r="AF13" i="20" s="1"/>
  <c r="AF13" i="21" s="1"/>
  <c r="AF13" i="22" s="1"/>
  <c r="AF13" i="23" s="1"/>
  <c r="AF13" i="24" s="1"/>
  <c r="AF13" i="25" s="1"/>
  <c r="AF13" i="26" s="1"/>
  <c r="AF13" i="27" s="1"/>
  <c r="AF13" i="28" s="1"/>
  <c r="AF13" i="29" s="1"/>
  <c r="AF13" i="30" s="1"/>
  <c r="AF13" i="31" s="1"/>
  <c r="AF13" i="32" s="1"/>
  <c r="AF14" i="3"/>
  <c r="AF14" i="4" s="1"/>
  <c r="AF14" i="5" s="1"/>
  <c r="AF14" i="6" s="1"/>
  <c r="AF14" i="7" s="1"/>
  <c r="AF14" i="8" s="1"/>
  <c r="AF14" i="9" s="1"/>
  <c r="AF14" i="37" s="1"/>
  <c r="AF14" i="11" s="1"/>
  <c r="AF14" i="12" s="1"/>
  <c r="AF14" i="13" s="1"/>
  <c r="AF14" i="14" s="1"/>
  <c r="AF14" i="15" s="1"/>
  <c r="AF14" i="16" s="1"/>
  <c r="AF14" i="17" s="1"/>
  <c r="AF14" i="18" s="1"/>
  <c r="AF14" i="19" s="1"/>
  <c r="AF14" i="20" s="1"/>
  <c r="AF14" i="21" s="1"/>
  <c r="AF14" i="22" s="1"/>
  <c r="AF14" i="23" s="1"/>
  <c r="AF14" i="24" s="1"/>
  <c r="AF14" i="25" s="1"/>
  <c r="AF14" i="26" s="1"/>
  <c r="AF14" i="27" s="1"/>
  <c r="AF14" i="28" s="1"/>
  <c r="AF14" i="29" s="1"/>
  <c r="AF14" i="30" s="1"/>
  <c r="AF14" i="31" s="1"/>
  <c r="AF14" i="32" s="1"/>
  <c r="AF15" i="3"/>
  <c r="AF15" i="4" s="1"/>
  <c r="AF15" i="5" s="1"/>
  <c r="AF15" i="6" s="1"/>
  <c r="AF15" i="7" s="1"/>
  <c r="AF15" i="8" s="1"/>
  <c r="AF15" i="9" s="1"/>
  <c r="AF15" i="37" s="1"/>
  <c r="AF15" i="11" s="1"/>
  <c r="AF15" i="12" s="1"/>
  <c r="AF15" i="13" s="1"/>
  <c r="AF15" i="14" s="1"/>
  <c r="AF15" i="15" s="1"/>
  <c r="AF15" i="16" s="1"/>
  <c r="AF15" i="17" s="1"/>
  <c r="AF15" i="18" s="1"/>
  <c r="AF15" i="19" s="1"/>
  <c r="AF15" i="20" s="1"/>
  <c r="AF15" i="21" s="1"/>
  <c r="AF15" i="22" s="1"/>
  <c r="AF15" i="23" s="1"/>
  <c r="AF15" i="24" s="1"/>
  <c r="AF15" i="25" s="1"/>
  <c r="AF15" i="26" s="1"/>
  <c r="AF15" i="27" s="1"/>
  <c r="AF15" i="28" s="1"/>
  <c r="AF15" i="29" s="1"/>
  <c r="AF15" i="30" s="1"/>
  <c r="AF15" i="31" s="1"/>
  <c r="AF15" i="32" s="1"/>
  <c r="AF16" i="3"/>
  <c r="AF16" i="4" s="1"/>
  <c r="AF16" i="5" s="1"/>
  <c r="AF16" i="6" s="1"/>
  <c r="AF16" i="7" s="1"/>
  <c r="AF16" i="8" s="1"/>
  <c r="AF16" i="9" s="1"/>
  <c r="AF16" i="37" s="1"/>
  <c r="AF16" i="11" s="1"/>
  <c r="AF16" i="12" s="1"/>
  <c r="AF16" i="13" s="1"/>
  <c r="AF16" i="14" s="1"/>
  <c r="AF16" i="15" s="1"/>
  <c r="AF16" i="16" s="1"/>
  <c r="AF16" i="17" s="1"/>
  <c r="AF16" i="18" s="1"/>
  <c r="AF16" i="19" s="1"/>
  <c r="AF16" i="20" s="1"/>
  <c r="AF16" i="21" s="1"/>
  <c r="AF16" i="22" s="1"/>
  <c r="AF16" i="23" s="1"/>
  <c r="AF16" i="24" s="1"/>
  <c r="AF16" i="25" s="1"/>
  <c r="AF16" i="26" s="1"/>
  <c r="AF16" i="27" s="1"/>
  <c r="AF16" i="28" s="1"/>
  <c r="AF16" i="29" s="1"/>
  <c r="AF16" i="30" s="1"/>
  <c r="AF16" i="31" s="1"/>
  <c r="AF16" i="32" s="1"/>
  <c r="AF17" i="3"/>
  <c r="AF17" i="4" s="1"/>
  <c r="AF17" i="5" s="1"/>
  <c r="AF17" i="6" s="1"/>
  <c r="AF17" i="7" s="1"/>
  <c r="AF17" i="8" s="1"/>
  <c r="AF17" i="9" s="1"/>
  <c r="AF17" i="37" s="1"/>
  <c r="AF17" i="11" s="1"/>
  <c r="AF17" i="12" s="1"/>
  <c r="AF17" i="13" s="1"/>
  <c r="AF17" i="14" s="1"/>
  <c r="AF17" i="15" s="1"/>
  <c r="AF17" i="16" s="1"/>
  <c r="AF17" i="17" s="1"/>
  <c r="AF17" i="18" s="1"/>
  <c r="AF17" i="19" s="1"/>
  <c r="AF17" i="20" s="1"/>
  <c r="AF17" i="21" s="1"/>
  <c r="AF17" i="22" s="1"/>
  <c r="AF17" i="23" s="1"/>
  <c r="AF17" i="24" s="1"/>
  <c r="AF17" i="25" s="1"/>
  <c r="AF17" i="26" s="1"/>
  <c r="AF17" i="27" s="1"/>
  <c r="AF17" i="28" s="1"/>
  <c r="AF17" i="29" s="1"/>
  <c r="AF17" i="30" s="1"/>
  <c r="AF17" i="31" s="1"/>
  <c r="AF17" i="32" s="1"/>
  <c r="AF18" i="3"/>
  <c r="AF18" i="4" s="1"/>
  <c r="AF18" i="5" s="1"/>
  <c r="AF18" i="6" s="1"/>
  <c r="AF18" i="7" s="1"/>
  <c r="AF18" i="8" s="1"/>
  <c r="AF18" i="9" s="1"/>
  <c r="AF18" i="37" s="1"/>
  <c r="AF18" i="11" s="1"/>
  <c r="AF18" i="12" s="1"/>
  <c r="AF18" i="13" s="1"/>
  <c r="AF18" i="14" s="1"/>
  <c r="AF18" i="15" s="1"/>
  <c r="AF18" i="16" s="1"/>
  <c r="AF18" i="17" s="1"/>
  <c r="AF18" i="18" s="1"/>
  <c r="AF18" i="19" s="1"/>
  <c r="AF18" i="20" s="1"/>
  <c r="AF18" i="21" s="1"/>
  <c r="AF18" i="22" s="1"/>
  <c r="AF18" i="23" s="1"/>
  <c r="AF18" i="24" s="1"/>
  <c r="AF18" i="25" s="1"/>
  <c r="AF18" i="26" s="1"/>
  <c r="AF18" i="27" s="1"/>
  <c r="AF18" i="28" s="1"/>
  <c r="AF18" i="29" s="1"/>
  <c r="AF18" i="30" s="1"/>
  <c r="AF18" i="31" s="1"/>
  <c r="AF18" i="32" s="1"/>
  <c r="Z18" i="3"/>
  <c r="Z18" i="4" s="1"/>
  <c r="Z18" i="5" s="1"/>
  <c r="Z18" i="6" s="1"/>
  <c r="Z18" i="7" s="1"/>
  <c r="Z18" i="8" s="1"/>
  <c r="Z18" i="9" s="1"/>
  <c r="Z18" i="37" s="1"/>
  <c r="Z18" i="11" s="1"/>
  <c r="Z18" i="12" s="1"/>
  <c r="Z18" i="13" s="1"/>
  <c r="Z18" i="14" s="1"/>
  <c r="Z18" i="15" s="1"/>
  <c r="Z18" i="16" s="1"/>
  <c r="Z18" i="17" s="1"/>
  <c r="Z18" i="18" s="1"/>
  <c r="Z18" i="19" s="1"/>
  <c r="Z18" i="20" s="1"/>
  <c r="Z18" i="21" s="1"/>
  <c r="Z18" i="22" s="1"/>
  <c r="Z18" i="23" s="1"/>
  <c r="Z18" i="24" s="1"/>
  <c r="Z18" i="25" s="1"/>
  <c r="Z18" i="26" s="1"/>
  <c r="Z18" i="27" s="1"/>
  <c r="Z18" i="28" s="1"/>
  <c r="Z18" i="29" s="1"/>
  <c r="Z18" i="30" s="1"/>
  <c r="Z18" i="31" s="1"/>
  <c r="Z18" i="32" s="1"/>
  <c r="Z17" i="3"/>
  <c r="Z17" i="4" s="1"/>
  <c r="Z17" i="5" s="1"/>
  <c r="Z17" i="6" s="1"/>
  <c r="Z17" i="7" s="1"/>
  <c r="Z17" i="8" s="1"/>
  <c r="Z17" i="9" s="1"/>
  <c r="Z17" i="37" s="1"/>
  <c r="Z17" i="11" s="1"/>
  <c r="Z17" i="12" s="1"/>
  <c r="Z17" i="13" s="1"/>
  <c r="Z17" i="14" s="1"/>
  <c r="Z17" i="15" s="1"/>
  <c r="Z17" i="16" s="1"/>
  <c r="Z17" i="17" s="1"/>
  <c r="Z17" i="18" s="1"/>
  <c r="Z17" i="19" s="1"/>
  <c r="Z17" i="20" s="1"/>
  <c r="Z17" i="21" s="1"/>
  <c r="Z17" i="22" s="1"/>
  <c r="Z17" i="23" s="1"/>
  <c r="Z17" i="24" s="1"/>
  <c r="Z17" i="25" s="1"/>
  <c r="Z17" i="26" s="1"/>
  <c r="Z17" i="27" s="1"/>
  <c r="Z17" i="28" s="1"/>
  <c r="Z17" i="29" s="1"/>
  <c r="Z17" i="30" s="1"/>
  <c r="Z17" i="31" s="1"/>
  <c r="Z17" i="32" s="1"/>
  <c r="Z16" i="3"/>
  <c r="Z16" i="4" s="1"/>
  <c r="Z16" i="5" s="1"/>
  <c r="Z16" i="6" s="1"/>
  <c r="Z16" i="7" s="1"/>
  <c r="Z16" i="8" s="1"/>
  <c r="Z16" i="9" s="1"/>
  <c r="Z16" i="37" s="1"/>
  <c r="Z16" i="11" s="1"/>
  <c r="Z16" i="12" s="1"/>
  <c r="Z16" i="13" s="1"/>
  <c r="Z16" i="14" s="1"/>
  <c r="Z16" i="15" s="1"/>
  <c r="Z16" i="16" s="1"/>
  <c r="Z16" i="17" s="1"/>
  <c r="Z16" i="18" s="1"/>
  <c r="Z16" i="19" s="1"/>
  <c r="Z16" i="20" s="1"/>
  <c r="Z16" i="21" s="1"/>
  <c r="Z16" i="22" s="1"/>
  <c r="Z16" i="23" s="1"/>
  <c r="Z16" i="24" s="1"/>
  <c r="Z16" i="25" s="1"/>
  <c r="Z16" i="26" s="1"/>
  <c r="Z16" i="27" s="1"/>
  <c r="Z16" i="28" s="1"/>
  <c r="Z16" i="29" s="1"/>
  <c r="Z16" i="30" s="1"/>
  <c r="Z16" i="31" s="1"/>
  <c r="Z16" i="32" s="1"/>
  <c r="Z15" i="3"/>
  <c r="Z15" i="4" s="1"/>
  <c r="Z15" i="5" s="1"/>
  <c r="Z15" i="6" s="1"/>
  <c r="Z15" i="7" s="1"/>
  <c r="Z15" i="8" s="1"/>
  <c r="Z15" i="9" s="1"/>
  <c r="Z15" i="37" s="1"/>
  <c r="Z15" i="11" s="1"/>
  <c r="Z15" i="12" s="1"/>
  <c r="Z15" i="13" s="1"/>
  <c r="Z15" i="14" s="1"/>
  <c r="Z15" i="15" s="1"/>
  <c r="Z15" i="16" s="1"/>
  <c r="Z15" i="17" s="1"/>
  <c r="Z15" i="18" s="1"/>
  <c r="Z15" i="19" s="1"/>
  <c r="Z15" i="20" s="1"/>
  <c r="Z15" i="21" s="1"/>
  <c r="Z15" i="22" s="1"/>
  <c r="Z15" i="23" s="1"/>
  <c r="Z15" i="24" s="1"/>
  <c r="Z15" i="25" s="1"/>
  <c r="Z15" i="26" s="1"/>
  <c r="Z15" i="27" s="1"/>
  <c r="Z15" i="28" s="1"/>
  <c r="Z15" i="29" s="1"/>
  <c r="Z15" i="30" s="1"/>
  <c r="Z15" i="31" s="1"/>
  <c r="Z15" i="32" s="1"/>
  <c r="Z14" i="3"/>
  <c r="Z14" i="4" s="1"/>
  <c r="Z14" i="5" s="1"/>
  <c r="Z14" i="6" s="1"/>
  <c r="Z14" i="7" s="1"/>
  <c r="Z14" i="8" s="1"/>
  <c r="Z14" i="9" s="1"/>
  <c r="Z14" i="37" s="1"/>
  <c r="Z14" i="11" s="1"/>
  <c r="Z14" i="12" s="1"/>
  <c r="Z14" i="13" s="1"/>
  <c r="Z14" i="14" s="1"/>
  <c r="Z14" i="15" s="1"/>
  <c r="Z14" i="16" s="1"/>
  <c r="Z14" i="17" s="1"/>
  <c r="Z14" i="18" s="1"/>
  <c r="Z14" i="19" s="1"/>
  <c r="Z14" i="20" s="1"/>
  <c r="Z14" i="21" s="1"/>
  <c r="Z14" i="22" s="1"/>
  <c r="Z14" i="23" s="1"/>
  <c r="Z14" i="24" s="1"/>
  <c r="Z14" i="25" s="1"/>
  <c r="Z14" i="26" s="1"/>
  <c r="Z14" i="27" s="1"/>
  <c r="Z14" i="28" s="1"/>
  <c r="Z14" i="29" s="1"/>
  <c r="Z14" i="30" s="1"/>
  <c r="Z14" i="31" s="1"/>
  <c r="Z14" i="32" s="1"/>
  <c r="Z13" i="3"/>
  <c r="Z13" i="4" s="1"/>
  <c r="Z13" i="5" s="1"/>
  <c r="Z13" i="6" s="1"/>
  <c r="Z13" i="7" s="1"/>
  <c r="Z13" i="8" s="1"/>
  <c r="Z13" i="9" s="1"/>
  <c r="Z13" i="37" s="1"/>
  <c r="Z13" i="11" s="1"/>
  <c r="Z13" i="12" s="1"/>
  <c r="Z13" i="13" s="1"/>
  <c r="Z13" i="14" s="1"/>
  <c r="Z13" i="15" s="1"/>
  <c r="Z13" i="16" s="1"/>
  <c r="Z13" i="17" s="1"/>
  <c r="Z13" i="18" s="1"/>
  <c r="Z13" i="19" s="1"/>
  <c r="Z13" i="20" s="1"/>
  <c r="Z13" i="21" s="1"/>
  <c r="Z13" i="22" s="1"/>
  <c r="Z13" i="23" s="1"/>
  <c r="Z13" i="24" s="1"/>
  <c r="Z13" i="25" s="1"/>
  <c r="Z13" i="26" s="1"/>
  <c r="Z13" i="27" s="1"/>
  <c r="Z13" i="28" s="1"/>
  <c r="Z13" i="29" s="1"/>
  <c r="Z13" i="30" s="1"/>
  <c r="Z13" i="31" s="1"/>
  <c r="Z13" i="32" s="1"/>
  <c r="Z12" i="3"/>
  <c r="Z12" i="4" s="1"/>
  <c r="Z12" i="5" s="1"/>
  <c r="Z12" i="6" s="1"/>
  <c r="Z12" i="7" s="1"/>
  <c r="Z12" i="8" s="1"/>
  <c r="Z12" i="9" s="1"/>
  <c r="Z12" i="37" s="1"/>
  <c r="Z12" i="11" s="1"/>
  <c r="Z12" i="12" s="1"/>
  <c r="Z12" i="13" s="1"/>
  <c r="Z12" i="14" s="1"/>
  <c r="Z12" i="15" s="1"/>
  <c r="Z12" i="16" s="1"/>
  <c r="Z12" i="17" s="1"/>
  <c r="Z12" i="18" s="1"/>
  <c r="Z12" i="19" s="1"/>
  <c r="Z12" i="20" s="1"/>
  <c r="Z12" i="21" s="1"/>
  <c r="Z12" i="22" s="1"/>
  <c r="Z12" i="23" s="1"/>
  <c r="Z12" i="24" s="1"/>
  <c r="Z12" i="25" s="1"/>
  <c r="Z12" i="26" s="1"/>
  <c r="Z12" i="27" s="1"/>
  <c r="Z12" i="28" s="1"/>
  <c r="Z12" i="29" s="1"/>
  <c r="Z12" i="30" s="1"/>
  <c r="Z12" i="31" s="1"/>
  <c r="Z12" i="32" s="1"/>
  <c r="Z11" i="3"/>
  <c r="Z11" i="4" s="1"/>
  <c r="Z11" i="5" s="1"/>
  <c r="Z11" i="6" s="1"/>
  <c r="Z11" i="7" s="1"/>
  <c r="Z11" i="8" s="1"/>
  <c r="Z11" i="9" s="1"/>
  <c r="Z11" i="37" s="1"/>
  <c r="Z11" i="11" s="1"/>
  <c r="Z11" i="12" s="1"/>
  <c r="Z11" i="13" s="1"/>
  <c r="Z11" i="14" s="1"/>
  <c r="Z11" i="15" s="1"/>
  <c r="Z11" i="16" s="1"/>
  <c r="Z11" i="17" s="1"/>
  <c r="Z11" i="18" s="1"/>
  <c r="Z11" i="19" s="1"/>
  <c r="Z11" i="20" s="1"/>
  <c r="Z11" i="21" s="1"/>
  <c r="Z11" i="22" s="1"/>
  <c r="Z11" i="23" s="1"/>
  <c r="Z11" i="24" s="1"/>
  <c r="Z11" i="25" s="1"/>
  <c r="Z11" i="26" s="1"/>
  <c r="Z11" i="27" s="1"/>
  <c r="Z11" i="28" s="1"/>
  <c r="Z11" i="29" s="1"/>
  <c r="Z11" i="30" s="1"/>
  <c r="Z11" i="31" s="1"/>
  <c r="Z11" i="32" s="1"/>
  <c r="AC18" i="2"/>
  <c r="AE18" i="2" s="1"/>
  <c r="AA18" i="3" s="1"/>
  <c r="AC18" i="3" s="1"/>
  <c r="AE18" i="3" s="1"/>
  <c r="AA18" i="4" s="1"/>
  <c r="AC18" i="4" s="1"/>
  <c r="AE18" i="4" s="1"/>
  <c r="AA18" i="5" s="1"/>
  <c r="AC18" i="5" s="1"/>
  <c r="AE18" i="5" s="1"/>
  <c r="AA18" i="6" s="1"/>
  <c r="AC18" i="6" s="1"/>
  <c r="AE18" i="6" s="1"/>
  <c r="AA18" i="7" s="1"/>
  <c r="AC18" i="7" s="1"/>
  <c r="AE18" i="7" s="1"/>
  <c r="AA18" i="8" s="1"/>
  <c r="AC18" i="8" s="1"/>
  <c r="AE18" i="8" s="1"/>
  <c r="AA18" i="9" s="1"/>
  <c r="AC18" i="9" s="1"/>
  <c r="AE18" i="9" s="1"/>
  <c r="AA18" i="37" s="1"/>
  <c r="AC18" i="37" s="1"/>
  <c r="AE18" i="37" s="1"/>
  <c r="AA18" i="11" s="1"/>
  <c r="AC18" i="11" s="1"/>
  <c r="AE18" i="11" s="1"/>
  <c r="AA18" i="12" s="1"/>
  <c r="AC18" i="12" s="1"/>
  <c r="AE18" i="12" s="1"/>
  <c r="AA18" i="13" s="1"/>
  <c r="AC18" i="13" s="1"/>
  <c r="AE18" i="13" s="1"/>
  <c r="AA18" i="14" s="1"/>
  <c r="AC18" i="14" s="1"/>
  <c r="AE18" i="14" s="1"/>
  <c r="AA18" i="15" s="1"/>
  <c r="AC18" i="15" s="1"/>
  <c r="AE18" i="15" s="1"/>
  <c r="AA18" i="16" s="1"/>
  <c r="AC18" i="16" s="1"/>
  <c r="AE18" i="16" s="1"/>
  <c r="AA18" i="17" s="1"/>
  <c r="AC18" i="17" s="1"/>
  <c r="AE18" i="17" s="1"/>
  <c r="AA18" i="18" s="1"/>
  <c r="AC18" i="18" s="1"/>
  <c r="AE18" i="18" s="1"/>
  <c r="AA18" i="19" s="1"/>
  <c r="AC18" i="19" s="1"/>
  <c r="AE18" i="19" s="1"/>
  <c r="AA18" i="20" s="1"/>
  <c r="AC18" i="20" s="1"/>
  <c r="AE18" i="20" s="1"/>
  <c r="AA18" i="21" s="1"/>
  <c r="AC18" i="21" s="1"/>
  <c r="AE18" i="21" s="1"/>
  <c r="AA18" i="22" s="1"/>
  <c r="AC18" i="22" s="1"/>
  <c r="AE18" i="22" s="1"/>
  <c r="AA18" i="23" s="1"/>
  <c r="AC18" i="23" s="1"/>
  <c r="AE18" i="23" s="1"/>
  <c r="AA18" i="24" s="1"/>
  <c r="AC18" i="24" s="1"/>
  <c r="AE18" i="24" s="1"/>
  <c r="AA18" i="25" s="1"/>
  <c r="AC18" i="25" s="1"/>
  <c r="AE18" i="25" s="1"/>
  <c r="AA18" i="26" s="1"/>
  <c r="AC18" i="26" s="1"/>
  <c r="AE18" i="26" s="1"/>
  <c r="AA18" i="27" s="1"/>
  <c r="AC18" i="27" s="1"/>
  <c r="AE18" i="27" s="1"/>
  <c r="AA18" i="28" s="1"/>
  <c r="AC18" i="28" s="1"/>
  <c r="AE18" i="28" s="1"/>
  <c r="AA18" i="29" s="1"/>
  <c r="AC18" i="29" s="1"/>
  <c r="AE18" i="29" s="1"/>
  <c r="AA18" i="30" s="1"/>
  <c r="AC18" i="30" s="1"/>
  <c r="AE18" i="30" s="1"/>
  <c r="AA18" i="31" s="1"/>
  <c r="AC18" i="31" s="1"/>
  <c r="AE18" i="31" s="1"/>
  <c r="AA18" i="32" s="1"/>
  <c r="AC18" i="32" s="1"/>
  <c r="AE18" i="32" s="1"/>
  <c r="AC17" i="2"/>
  <c r="AE17" i="2" s="1"/>
  <c r="AA17" i="3" s="1"/>
  <c r="AC17" i="3" s="1"/>
  <c r="AE17" i="3" s="1"/>
  <c r="AA17" i="4" s="1"/>
  <c r="AC17" i="4" s="1"/>
  <c r="AE17" i="4" s="1"/>
  <c r="AA17" i="5" s="1"/>
  <c r="AC17" i="5" s="1"/>
  <c r="AE17" i="5" s="1"/>
  <c r="AA17" i="6" s="1"/>
  <c r="AC17" i="6" s="1"/>
  <c r="AE17" i="6" s="1"/>
  <c r="AA17" i="7" s="1"/>
  <c r="AC17" i="7" s="1"/>
  <c r="AE17" i="7" s="1"/>
  <c r="AA17" i="8" s="1"/>
  <c r="AC17" i="8" s="1"/>
  <c r="AE17" i="8" s="1"/>
  <c r="AA17" i="9" s="1"/>
  <c r="AC17" i="9" s="1"/>
  <c r="AE17" i="9" s="1"/>
  <c r="AA17" i="37" s="1"/>
  <c r="AC17" i="37" s="1"/>
  <c r="AE17" i="37" s="1"/>
  <c r="AA17" i="11" s="1"/>
  <c r="AC17" i="11" s="1"/>
  <c r="AE17" i="11" s="1"/>
  <c r="AA17" i="12" s="1"/>
  <c r="AC17" i="12" s="1"/>
  <c r="AE17" i="12" s="1"/>
  <c r="AA17" i="13" s="1"/>
  <c r="AC17" i="13" s="1"/>
  <c r="AE17" i="13" s="1"/>
  <c r="AA17" i="14" s="1"/>
  <c r="AC17" i="14" s="1"/>
  <c r="AE17" i="14" s="1"/>
  <c r="AA17" i="15" s="1"/>
  <c r="AC17" i="15" s="1"/>
  <c r="AE17" i="15" s="1"/>
  <c r="AA17" i="16" s="1"/>
  <c r="AC17" i="16" s="1"/>
  <c r="AE17" i="16" s="1"/>
  <c r="AA17" i="17" s="1"/>
  <c r="AC17" i="17" s="1"/>
  <c r="AE17" i="17" s="1"/>
  <c r="AA17" i="18" s="1"/>
  <c r="AC17" i="18" s="1"/>
  <c r="AE17" i="18" s="1"/>
  <c r="AA17" i="19" s="1"/>
  <c r="AC17" i="19" s="1"/>
  <c r="AE17" i="19" s="1"/>
  <c r="AA17" i="20" s="1"/>
  <c r="AC17" i="20" s="1"/>
  <c r="AE17" i="20" s="1"/>
  <c r="AA17" i="21" s="1"/>
  <c r="AC17" i="21" s="1"/>
  <c r="AE17" i="21" s="1"/>
  <c r="AA17" i="22" s="1"/>
  <c r="AC17" i="22" s="1"/>
  <c r="AE17" i="22" s="1"/>
  <c r="AA17" i="23" s="1"/>
  <c r="AC17" i="23" s="1"/>
  <c r="AE17" i="23" s="1"/>
  <c r="AA17" i="24" s="1"/>
  <c r="AC17" i="24" s="1"/>
  <c r="AE17" i="24" s="1"/>
  <c r="AA17" i="25" s="1"/>
  <c r="AC17" i="25" s="1"/>
  <c r="AE17" i="25" s="1"/>
  <c r="AA17" i="26" s="1"/>
  <c r="AC17" i="26" s="1"/>
  <c r="AE17" i="26" s="1"/>
  <c r="AA17" i="27" s="1"/>
  <c r="AC17" i="27" s="1"/>
  <c r="AE17" i="27" s="1"/>
  <c r="AA17" i="28" s="1"/>
  <c r="AC17" i="28" s="1"/>
  <c r="AE17" i="28" s="1"/>
  <c r="AA17" i="29" s="1"/>
  <c r="AC17" i="29" s="1"/>
  <c r="AE17" i="29" s="1"/>
  <c r="AA17" i="30" s="1"/>
  <c r="AC17" i="30" s="1"/>
  <c r="AE17" i="30" s="1"/>
  <c r="AA17" i="31" s="1"/>
  <c r="AC17" i="31" s="1"/>
  <c r="AE17" i="31" s="1"/>
  <c r="AA17" i="32" s="1"/>
  <c r="AC17" i="32" s="1"/>
  <c r="AE17" i="32" s="1"/>
  <c r="AC16" i="2"/>
  <c r="AE16" i="2" s="1"/>
  <c r="AA16" i="3" s="1"/>
  <c r="AC16" i="3" s="1"/>
  <c r="AE16" i="3" s="1"/>
  <c r="AA16" i="4" s="1"/>
  <c r="AC16" i="4" s="1"/>
  <c r="AE16" i="4" s="1"/>
  <c r="AA16" i="5" s="1"/>
  <c r="AC16" i="5" s="1"/>
  <c r="AE16" i="5" s="1"/>
  <c r="AA16" i="6" s="1"/>
  <c r="AC16" i="6" s="1"/>
  <c r="AE16" i="6" s="1"/>
  <c r="AA16" i="7" s="1"/>
  <c r="AC16" i="7" s="1"/>
  <c r="AE16" i="7" s="1"/>
  <c r="AA16" i="8" s="1"/>
  <c r="AC16" i="8" s="1"/>
  <c r="AE16" i="8" s="1"/>
  <c r="AA16" i="9" s="1"/>
  <c r="AC16" i="9" s="1"/>
  <c r="AE16" i="9" s="1"/>
  <c r="AA16" i="37" s="1"/>
  <c r="AC16" i="37" s="1"/>
  <c r="AE16" i="37" s="1"/>
  <c r="AA16" i="11" s="1"/>
  <c r="AC16" i="11" s="1"/>
  <c r="AE16" i="11" s="1"/>
  <c r="AA16" i="12" s="1"/>
  <c r="AC16" i="12" s="1"/>
  <c r="AE16" i="12" s="1"/>
  <c r="AA16" i="13" s="1"/>
  <c r="AC16" i="13" s="1"/>
  <c r="AE16" i="13" s="1"/>
  <c r="AA16" i="14" s="1"/>
  <c r="AC16" i="14" s="1"/>
  <c r="AE16" i="14" s="1"/>
  <c r="AA16" i="15" s="1"/>
  <c r="AC16" i="15" s="1"/>
  <c r="AE16" i="15" s="1"/>
  <c r="AA16" i="16" s="1"/>
  <c r="AC16" i="16" s="1"/>
  <c r="AE16" i="16" s="1"/>
  <c r="AA16" i="17" s="1"/>
  <c r="AC16" i="17" s="1"/>
  <c r="AE16" i="17" s="1"/>
  <c r="AA16" i="18" s="1"/>
  <c r="AC16" i="18" s="1"/>
  <c r="AE16" i="18" s="1"/>
  <c r="AA16" i="19" s="1"/>
  <c r="AC16" i="19" s="1"/>
  <c r="AE16" i="19" s="1"/>
  <c r="AA16" i="20" s="1"/>
  <c r="AC16" i="20" s="1"/>
  <c r="AE16" i="20" s="1"/>
  <c r="AA16" i="21" s="1"/>
  <c r="AC16" i="21" s="1"/>
  <c r="AE16" i="21" s="1"/>
  <c r="AA16" i="22" s="1"/>
  <c r="AC16" i="22" s="1"/>
  <c r="AE16" i="22" s="1"/>
  <c r="AA16" i="23" s="1"/>
  <c r="AC16" i="23" s="1"/>
  <c r="AE16" i="23" s="1"/>
  <c r="AA16" i="24" s="1"/>
  <c r="AC16" i="24" s="1"/>
  <c r="AE16" i="24" s="1"/>
  <c r="AA16" i="25" s="1"/>
  <c r="AC16" i="25" s="1"/>
  <c r="AE16" i="25" s="1"/>
  <c r="AA16" i="26" s="1"/>
  <c r="AC16" i="26" s="1"/>
  <c r="AE16" i="26" s="1"/>
  <c r="AA16" i="27" s="1"/>
  <c r="AC16" i="27" s="1"/>
  <c r="AE16" i="27" s="1"/>
  <c r="AA16" i="28" s="1"/>
  <c r="AC16" i="28" s="1"/>
  <c r="AE16" i="28" s="1"/>
  <c r="AA16" i="29" s="1"/>
  <c r="AC16" i="29" s="1"/>
  <c r="AE16" i="29" s="1"/>
  <c r="AA16" i="30" s="1"/>
  <c r="AC16" i="30" s="1"/>
  <c r="AE16" i="30" s="1"/>
  <c r="AA16" i="31" s="1"/>
  <c r="AC16" i="31" s="1"/>
  <c r="AE16" i="31" s="1"/>
  <c r="AA16" i="32" s="1"/>
  <c r="AC16" i="32" s="1"/>
  <c r="AE16" i="32" s="1"/>
  <c r="AC15" i="2"/>
  <c r="AE15" i="2" s="1"/>
  <c r="AA15" i="3" s="1"/>
  <c r="AC15" i="3" s="1"/>
  <c r="AE15" i="3" s="1"/>
  <c r="AA15" i="4" s="1"/>
  <c r="AC15" i="4" s="1"/>
  <c r="AE15" i="4" s="1"/>
  <c r="AA15" i="5" s="1"/>
  <c r="AC15" i="5" s="1"/>
  <c r="AE15" i="5" s="1"/>
  <c r="AA15" i="6" s="1"/>
  <c r="AC15" i="6" s="1"/>
  <c r="AE15" i="6" s="1"/>
  <c r="AA15" i="7" s="1"/>
  <c r="AC15" i="7" s="1"/>
  <c r="AE15" i="7" s="1"/>
  <c r="AA15" i="8" s="1"/>
  <c r="AC15" i="8" s="1"/>
  <c r="AE15" i="8" s="1"/>
  <c r="AA15" i="9" s="1"/>
  <c r="AC15" i="9" s="1"/>
  <c r="AE15" i="9" s="1"/>
  <c r="AA15" i="37" s="1"/>
  <c r="AC15" i="37" s="1"/>
  <c r="AE15" i="37" s="1"/>
  <c r="AA15" i="11" s="1"/>
  <c r="AC15" i="11" s="1"/>
  <c r="AE15" i="11" s="1"/>
  <c r="AA15" i="12" s="1"/>
  <c r="AC15" i="12" s="1"/>
  <c r="AE15" i="12" s="1"/>
  <c r="AA15" i="13" s="1"/>
  <c r="AC15" i="13" s="1"/>
  <c r="AE15" i="13" s="1"/>
  <c r="AA15" i="14" s="1"/>
  <c r="AC15" i="14" s="1"/>
  <c r="AE15" i="14" s="1"/>
  <c r="AA15" i="15" s="1"/>
  <c r="AC15" i="15" s="1"/>
  <c r="AE15" i="15" s="1"/>
  <c r="AA15" i="16" s="1"/>
  <c r="AC15" i="16" s="1"/>
  <c r="AE15" i="16" s="1"/>
  <c r="AA15" i="17" s="1"/>
  <c r="AC15" i="17" s="1"/>
  <c r="AE15" i="17" s="1"/>
  <c r="AA15" i="18" s="1"/>
  <c r="AC15" i="18" s="1"/>
  <c r="AE15" i="18" s="1"/>
  <c r="AA15" i="19" s="1"/>
  <c r="AC15" i="19" s="1"/>
  <c r="AE15" i="19" s="1"/>
  <c r="AA15" i="20" s="1"/>
  <c r="AC15" i="20" s="1"/>
  <c r="AE15" i="20" s="1"/>
  <c r="AA15" i="21" s="1"/>
  <c r="AC15" i="21" s="1"/>
  <c r="AE15" i="21" s="1"/>
  <c r="AA15" i="22" s="1"/>
  <c r="AC15" i="22" s="1"/>
  <c r="AE15" i="22" s="1"/>
  <c r="AA15" i="23" s="1"/>
  <c r="AC15" i="23" s="1"/>
  <c r="AE15" i="23" s="1"/>
  <c r="AA15" i="24" s="1"/>
  <c r="AC15" i="24" s="1"/>
  <c r="AE15" i="24" s="1"/>
  <c r="AA15" i="25" s="1"/>
  <c r="AC15" i="25" s="1"/>
  <c r="AE15" i="25" s="1"/>
  <c r="AA15" i="26" s="1"/>
  <c r="AC15" i="26" s="1"/>
  <c r="AE15" i="26" s="1"/>
  <c r="AA15" i="27" s="1"/>
  <c r="AC15" i="27" s="1"/>
  <c r="AE15" i="27" s="1"/>
  <c r="AA15" i="28" s="1"/>
  <c r="AC15" i="28" s="1"/>
  <c r="AE15" i="28" s="1"/>
  <c r="AA15" i="29" s="1"/>
  <c r="AC15" i="29" s="1"/>
  <c r="AE15" i="29" s="1"/>
  <c r="AA15" i="30" s="1"/>
  <c r="AC15" i="30" s="1"/>
  <c r="AE15" i="30" s="1"/>
  <c r="AA15" i="31" s="1"/>
  <c r="AC15" i="31" s="1"/>
  <c r="AE15" i="31" s="1"/>
  <c r="AA15" i="32" s="1"/>
  <c r="AC15" i="32" s="1"/>
  <c r="AE15" i="32" s="1"/>
  <c r="AC14" i="2"/>
  <c r="AE14" i="2" s="1"/>
  <c r="AA14" i="3" s="1"/>
  <c r="AC14" i="3" s="1"/>
  <c r="AE14" i="3" s="1"/>
  <c r="AA14" i="4" s="1"/>
  <c r="AC14" i="4" s="1"/>
  <c r="AE14" i="4" s="1"/>
  <c r="AA14" i="5" s="1"/>
  <c r="AC14" i="5" s="1"/>
  <c r="AE14" i="5" s="1"/>
  <c r="AA14" i="6" s="1"/>
  <c r="AC14" i="6" s="1"/>
  <c r="AE14" i="6" s="1"/>
  <c r="AA14" i="7" s="1"/>
  <c r="AC14" i="7" s="1"/>
  <c r="AE14" i="7" s="1"/>
  <c r="AA14" i="8" s="1"/>
  <c r="AC14" i="8" s="1"/>
  <c r="AE14" i="8" s="1"/>
  <c r="AA14" i="9" s="1"/>
  <c r="AC14" i="9" s="1"/>
  <c r="AE14" i="9" s="1"/>
  <c r="AA14" i="37" s="1"/>
  <c r="AC14" i="37" s="1"/>
  <c r="AE14" i="37" s="1"/>
  <c r="AA14" i="11" s="1"/>
  <c r="AC14" i="11" s="1"/>
  <c r="AE14" i="11" s="1"/>
  <c r="AA14" i="12" s="1"/>
  <c r="AC14" i="12" s="1"/>
  <c r="AE14" i="12" s="1"/>
  <c r="AA14" i="13" s="1"/>
  <c r="AC14" i="13" s="1"/>
  <c r="AE14" i="13" s="1"/>
  <c r="AA14" i="14" s="1"/>
  <c r="AC14" i="14" s="1"/>
  <c r="AE14" i="14" s="1"/>
  <c r="AA14" i="15" s="1"/>
  <c r="AC14" i="15" s="1"/>
  <c r="AE14" i="15" s="1"/>
  <c r="AA14" i="16" s="1"/>
  <c r="AC14" i="16" s="1"/>
  <c r="AE14" i="16" s="1"/>
  <c r="AA14" i="17" s="1"/>
  <c r="AC14" i="17" s="1"/>
  <c r="AE14" i="17" s="1"/>
  <c r="AA14" i="18" s="1"/>
  <c r="AC14" i="18" s="1"/>
  <c r="AE14" i="18" s="1"/>
  <c r="AA14" i="19" s="1"/>
  <c r="AC14" i="19" s="1"/>
  <c r="AE14" i="19" s="1"/>
  <c r="AA14" i="20" s="1"/>
  <c r="AC14" i="20" s="1"/>
  <c r="AE14" i="20" s="1"/>
  <c r="AA14" i="21" s="1"/>
  <c r="AC14" i="21" s="1"/>
  <c r="AE14" i="21" s="1"/>
  <c r="AA14" i="22" s="1"/>
  <c r="AC14" i="22" s="1"/>
  <c r="AE14" i="22" s="1"/>
  <c r="AA14" i="23" s="1"/>
  <c r="AC14" i="23" s="1"/>
  <c r="AE14" i="23" s="1"/>
  <c r="AA14" i="24" s="1"/>
  <c r="AC14" i="24" s="1"/>
  <c r="AE14" i="24" s="1"/>
  <c r="AA14" i="25" s="1"/>
  <c r="AC14" i="25" s="1"/>
  <c r="AE14" i="25" s="1"/>
  <c r="AA14" i="26" s="1"/>
  <c r="AC14" i="26" s="1"/>
  <c r="AE14" i="26" s="1"/>
  <c r="AA14" i="27" s="1"/>
  <c r="AC14" i="27" s="1"/>
  <c r="AE14" i="27" s="1"/>
  <c r="AA14" i="28" s="1"/>
  <c r="AC14" i="28" s="1"/>
  <c r="AE14" i="28" s="1"/>
  <c r="AA14" i="29" s="1"/>
  <c r="AC14" i="29" s="1"/>
  <c r="AE14" i="29" s="1"/>
  <c r="AA14" i="30" s="1"/>
  <c r="AC14" i="30" s="1"/>
  <c r="AE14" i="30" s="1"/>
  <c r="AA14" i="31" s="1"/>
  <c r="AC14" i="31" s="1"/>
  <c r="AE14" i="31" s="1"/>
  <c r="AA14" i="32" s="1"/>
  <c r="AC14" i="32" s="1"/>
  <c r="AE14" i="32" s="1"/>
  <c r="AC13" i="2"/>
  <c r="AE13" i="2" s="1"/>
  <c r="AA13" i="3" s="1"/>
  <c r="AC13" i="3" s="1"/>
  <c r="AE13" i="3" s="1"/>
  <c r="AA13" i="4" s="1"/>
  <c r="AC13" i="4" s="1"/>
  <c r="AE13" i="4" s="1"/>
  <c r="AA13" i="5" s="1"/>
  <c r="AC13" i="5" s="1"/>
  <c r="AE13" i="5" s="1"/>
  <c r="AA13" i="6" s="1"/>
  <c r="AC13" i="6" s="1"/>
  <c r="AE13" i="6" s="1"/>
  <c r="AA13" i="7" s="1"/>
  <c r="AC13" i="7" s="1"/>
  <c r="AE13" i="7" s="1"/>
  <c r="AA13" i="8" s="1"/>
  <c r="AC13" i="8" s="1"/>
  <c r="AE13" i="8" s="1"/>
  <c r="AA13" i="9" s="1"/>
  <c r="AC13" i="9" s="1"/>
  <c r="AE13" i="9" s="1"/>
  <c r="AA13" i="37" s="1"/>
  <c r="AC13" i="37" s="1"/>
  <c r="AE13" i="37" s="1"/>
  <c r="AA13" i="11" s="1"/>
  <c r="AC13" i="11" s="1"/>
  <c r="AE13" i="11" s="1"/>
  <c r="AA13" i="12" s="1"/>
  <c r="AC13" i="12" s="1"/>
  <c r="AE13" i="12" s="1"/>
  <c r="AA13" i="13" s="1"/>
  <c r="AC13" i="13" s="1"/>
  <c r="AE13" i="13" s="1"/>
  <c r="AA13" i="14" s="1"/>
  <c r="AC13" i="14" s="1"/>
  <c r="AE13" i="14" s="1"/>
  <c r="AA13" i="15" s="1"/>
  <c r="AC13" i="15" s="1"/>
  <c r="AE13" i="15" s="1"/>
  <c r="AA13" i="16" s="1"/>
  <c r="AC13" i="16" s="1"/>
  <c r="AE13" i="16" s="1"/>
  <c r="AA13" i="17" s="1"/>
  <c r="AC13" i="17" s="1"/>
  <c r="AE13" i="17" s="1"/>
  <c r="AA13" i="18" s="1"/>
  <c r="AC13" i="18" s="1"/>
  <c r="AE13" i="18" s="1"/>
  <c r="AA13" i="19" s="1"/>
  <c r="AC13" i="19" s="1"/>
  <c r="AE13" i="19" s="1"/>
  <c r="AA13" i="20" s="1"/>
  <c r="AC13" i="20" s="1"/>
  <c r="AE13" i="20" s="1"/>
  <c r="AA13" i="21" s="1"/>
  <c r="AC13" i="21" s="1"/>
  <c r="AE13" i="21" s="1"/>
  <c r="AA13" i="22" s="1"/>
  <c r="AC13" i="22" s="1"/>
  <c r="AE13" i="22" s="1"/>
  <c r="AA13" i="23" s="1"/>
  <c r="AC13" i="23" s="1"/>
  <c r="AE13" i="23" s="1"/>
  <c r="AA13" i="24" s="1"/>
  <c r="AC13" i="24" s="1"/>
  <c r="AE13" i="24" s="1"/>
  <c r="AA13" i="25" s="1"/>
  <c r="AC13" i="25" s="1"/>
  <c r="AE13" i="25" s="1"/>
  <c r="AA13" i="26" s="1"/>
  <c r="AC13" i="26" s="1"/>
  <c r="AE13" i="26" s="1"/>
  <c r="AA13" i="27" s="1"/>
  <c r="AC13" i="27" s="1"/>
  <c r="AE13" i="27" s="1"/>
  <c r="AA13" i="28" s="1"/>
  <c r="AC13" i="28" s="1"/>
  <c r="AE13" i="28" s="1"/>
  <c r="AA13" i="29" s="1"/>
  <c r="AC13" i="29" s="1"/>
  <c r="AE13" i="29" s="1"/>
  <c r="AA13" i="30" s="1"/>
  <c r="AC13" i="30" s="1"/>
  <c r="AE13" i="30" s="1"/>
  <c r="AA13" i="31" s="1"/>
  <c r="AC13" i="31" s="1"/>
  <c r="AE13" i="31" s="1"/>
  <c r="AA13" i="32" s="1"/>
  <c r="AC13" i="32" s="1"/>
  <c r="AE13" i="32" s="1"/>
  <c r="AC12" i="2"/>
  <c r="AE12" i="2" s="1"/>
  <c r="AA12" i="3" s="1"/>
  <c r="AC12" i="3" s="1"/>
  <c r="AE12" i="3" s="1"/>
  <c r="AA12" i="4" s="1"/>
  <c r="AC12" i="4" s="1"/>
  <c r="AE12" i="4" s="1"/>
  <c r="AA12" i="5" s="1"/>
  <c r="AC12" i="5" s="1"/>
  <c r="AE12" i="5" s="1"/>
  <c r="AA12" i="6" s="1"/>
  <c r="AC12" i="6" s="1"/>
  <c r="AE12" i="6" s="1"/>
  <c r="AA12" i="7" s="1"/>
  <c r="AC12" i="7" s="1"/>
  <c r="AE12" i="7" s="1"/>
  <c r="AA12" i="8" s="1"/>
  <c r="AC12" i="8" s="1"/>
  <c r="AE12" i="8" s="1"/>
  <c r="AA12" i="9" s="1"/>
  <c r="AC12" i="9" s="1"/>
  <c r="AE12" i="9" s="1"/>
  <c r="AA12" i="37" s="1"/>
  <c r="AC12" i="37" s="1"/>
  <c r="AE12" i="37" s="1"/>
  <c r="AA12" i="11" s="1"/>
  <c r="AC12" i="11" s="1"/>
  <c r="AE12" i="11" s="1"/>
  <c r="AA12" i="12" s="1"/>
  <c r="AC12" i="12" s="1"/>
  <c r="AE12" i="12" s="1"/>
  <c r="AA12" i="13" s="1"/>
  <c r="AC12" i="13" s="1"/>
  <c r="AE12" i="13" s="1"/>
  <c r="AA12" i="14" s="1"/>
  <c r="AC12" i="14" s="1"/>
  <c r="AE12" i="14" s="1"/>
  <c r="AA12" i="15" s="1"/>
  <c r="AC12" i="15" s="1"/>
  <c r="AE12" i="15" s="1"/>
  <c r="AA12" i="16" s="1"/>
  <c r="AC12" i="16" s="1"/>
  <c r="AE12" i="16" s="1"/>
  <c r="AA12" i="17" s="1"/>
  <c r="AC12" i="17" s="1"/>
  <c r="AE12" i="17" s="1"/>
  <c r="AA12" i="18" s="1"/>
  <c r="AC12" i="18" s="1"/>
  <c r="AE12" i="18" s="1"/>
  <c r="AA12" i="19" s="1"/>
  <c r="AC12" i="19" s="1"/>
  <c r="AE12" i="19" s="1"/>
  <c r="AA12" i="20" s="1"/>
  <c r="AC12" i="20" s="1"/>
  <c r="AE12" i="20" s="1"/>
  <c r="AA12" i="21" s="1"/>
  <c r="AC12" i="21" s="1"/>
  <c r="AE12" i="21" s="1"/>
  <c r="AA12" i="22" s="1"/>
  <c r="AC12" i="22" s="1"/>
  <c r="AE12" i="22" s="1"/>
  <c r="AA12" i="23" s="1"/>
  <c r="AC12" i="23" s="1"/>
  <c r="AE12" i="23" s="1"/>
  <c r="AA12" i="24" s="1"/>
  <c r="AC12" i="24" s="1"/>
  <c r="AE12" i="24" s="1"/>
  <c r="AA12" i="25" s="1"/>
  <c r="AC12" i="25" s="1"/>
  <c r="AE12" i="25" s="1"/>
  <c r="AA12" i="26" s="1"/>
  <c r="AC12" i="26" s="1"/>
  <c r="AE12" i="26" s="1"/>
  <c r="AA12" i="27" s="1"/>
  <c r="AC12" i="27" s="1"/>
  <c r="AE12" i="27" s="1"/>
  <c r="AA12" i="28" s="1"/>
  <c r="AC12" i="28" s="1"/>
  <c r="AE12" i="28" s="1"/>
  <c r="AA12" i="29" s="1"/>
  <c r="AC12" i="29" s="1"/>
  <c r="AE12" i="29" s="1"/>
  <c r="AA12" i="30" s="1"/>
  <c r="AC12" i="30" s="1"/>
  <c r="AE12" i="30" s="1"/>
  <c r="AA12" i="31" s="1"/>
  <c r="AC12" i="31" s="1"/>
  <c r="AE12" i="31" s="1"/>
  <c r="AA12" i="32" s="1"/>
  <c r="AC12" i="32" s="1"/>
  <c r="AE12" i="32" s="1"/>
  <c r="AC11" i="2"/>
  <c r="AE11" i="2" s="1"/>
  <c r="AA11" i="3" s="1"/>
  <c r="AC11" i="3" s="1"/>
  <c r="AE11" i="3" s="1"/>
  <c r="AA11" i="4" s="1"/>
  <c r="AC11" i="4" s="1"/>
  <c r="AE11" i="4" s="1"/>
  <c r="AA11" i="5" s="1"/>
  <c r="AC11" i="5" s="1"/>
  <c r="AE11" i="5" s="1"/>
  <c r="AA11" i="6" s="1"/>
  <c r="AC11" i="6" s="1"/>
  <c r="AE11" i="6" s="1"/>
  <c r="AA11" i="7" s="1"/>
  <c r="AC11" i="7" s="1"/>
  <c r="AE11" i="7" s="1"/>
  <c r="AA11" i="8" s="1"/>
  <c r="AC11" i="8" s="1"/>
  <c r="AE11" i="8" s="1"/>
  <c r="AA11" i="9" s="1"/>
  <c r="AC11" i="9" s="1"/>
  <c r="AE11" i="9" s="1"/>
  <c r="AA11" i="37" s="1"/>
  <c r="AC11" i="37" s="1"/>
  <c r="AE11" i="37" s="1"/>
  <c r="AA11" i="11" s="1"/>
  <c r="AC11" i="11" s="1"/>
  <c r="AE11" i="11" s="1"/>
  <c r="AA11" i="12" s="1"/>
  <c r="AC11" i="12" s="1"/>
  <c r="AE11" i="12" s="1"/>
  <c r="AA11" i="13" s="1"/>
  <c r="AC11" i="13" s="1"/>
  <c r="AE11" i="13" s="1"/>
  <c r="AA11" i="14" s="1"/>
  <c r="AC11" i="14" s="1"/>
  <c r="AE11" i="14" s="1"/>
  <c r="AA11" i="15" s="1"/>
  <c r="AC11" i="15" s="1"/>
  <c r="AE11" i="15" s="1"/>
  <c r="AA11" i="16" s="1"/>
  <c r="AC11" i="16" s="1"/>
  <c r="AE11" i="16" s="1"/>
  <c r="AA11" i="17" s="1"/>
  <c r="AC11" i="17" s="1"/>
  <c r="AE11" i="17" s="1"/>
  <c r="AA11" i="18" s="1"/>
  <c r="AC11" i="18" s="1"/>
  <c r="AE11" i="18" s="1"/>
  <c r="AA11" i="19" s="1"/>
  <c r="AC11" i="19" s="1"/>
  <c r="AE11" i="19" s="1"/>
  <c r="AA11" i="20" s="1"/>
  <c r="AC11" i="20" s="1"/>
  <c r="H18" i="2"/>
  <c r="H40" i="2"/>
  <c r="J40" i="2"/>
  <c r="K40" i="2"/>
  <c r="H41" i="2"/>
  <c r="J41" i="2"/>
  <c r="K41" i="2"/>
  <c r="H42" i="2"/>
  <c r="J42" i="2"/>
  <c r="K42" i="2"/>
  <c r="H43" i="2"/>
  <c r="J43" i="2"/>
  <c r="K43" i="2"/>
  <c r="H44" i="2"/>
  <c r="J44" i="2"/>
  <c r="K44" i="2"/>
  <c r="H45" i="2"/>
  <c r="J45" i="2"/>
  <c r="K45" i="2"/>
  <c r="G43" i="2"/>
  <c r="M43" i="2" s="1"/>
  <c r="G42" i="2"/>
  <c r="M42" i="2" s="1"/>
  <c r="M42" i="3" s="1"/>
  <c r="M42" i="4" s="1"/>
  <c r="M42" i="5" s="1"/>
  <c r="M42" i="6" s="1"/>
  <c r="M42" i="7" s="1"/>
  <c r="G41" i="2"/>
  <c r="M41" i="2" s="1"/>
  <c r="M41" i="3" s="1"/>
  <c r="G40" i="2"/>
  <c r="H39" i="2"/>
  <c r="J39" i="2"/>
  <c r="N39" i="2" s="1"/>
  <c r="N39" i="3" s="1"/>
  <c r="N39" i="4" s="1"/>
  <c r="N39" i="5" s="1"/>
  <c r="N39" i="6" s="1"/>
  <c r="N39" i="7" s="1"/>
  <c r="K39" i="2"/>
  <c r="H8" i="2"/>
  <c r="J8" i="2"/>
  <c r="N8" i="2" s="1"/>
  <c r="K8" i="2"/>
  <c r="V8" i="2"/>
  <c r="X8" i="2" s="1"/>
  <c r="T8" i="3" s="1"/>
  <c r="AC8" i="2"/>
  <c r="J13" i="2"/>
  <c r="K13" i="2"/>
  <c r="J14" i="2"/>
  <c r="N14" i="2" s="1"/>
  <c r="K14" i="2"/>
  <c r="J15" i="2"/>
  <c r="K15" i="2"/>
  <c r="J16" i="2"/>
  <c r="N16" i="2" s="1"/>
  <c r="K16" i="2"/>
  <c r="J17" i="2"/>
  <c r="K17" i="2"/>
  <c r="J18" i="2"/>
  <c r="K18" i="2"/>
  <c r="J19" i="2"/>
  <c r="K19" i="2"/>
  <c r="J20" i="2"/>
  <c r="N20" i="2" s="1"/>
  <c r="N20" i="3" s="1"/>
  <c r="N20" i="4" s="1"/>
  <c r="N20" i="5" s="1"/>
  <c r="N20" i="6" s="1"/>
  <c r="N20" i="7" s="1"/>
  <c r="K20" i="2"/>
  <c r="J21" i="2"/>
  <c r="K21" i="2"/>
  <c r="J22" i="2"/>
  <c r="K22" i="2"/>
  <c r="J23" i="2"/>
  <c r="N23" i="2" s="1"/>
  <c r="N23" i="3" s="1"/>
  <c r="N23" i="4" s="1"/>
  <c r="N23" i="5" s="1"/>
  <c r="N23" i="6" s="1"/>
  <c r="N23" i="7" s="1"/>
  <c r="K23" i="2"/>
  <c r="J24" i="2"/>
  <c r="N24" i="2" s="1"/>
  <c r="N24" i="3" s="1"/>
  <c r="N24" i="4" s="1"/>
  <c r="N24" i="5" s="1"/>
  <c r="N24" i="6" s="1"/>
  <c r="N24" i="7" s="1"/>
  <c r="K24" i="2"/>
  <c r="J25" i="2"/>
  <c r="K25" i="2"/>
  <c r="J26" i="2"/>
  <c r="K26" i="2"/>
  <c r="J27" i="2"/>
  <c r="N27" i="2" s="1"/>
  <c r="K27" i="2"/>
  <c r="J28" i="2"/>
  <c r="K28" i="2"/>
  <c r="J29" i="2"/>
  <c r="K29" i="2"/>
  <c r="J30" i="2"/>
  <c r="K30" i="2"/>
  <c r="J31" i="2"/>
  <c r="K31" i="2"/>
  <c r="J32" i="2"/>
  <c r="K32" i="2"/>
  <c r="J33" i="2"/>
  <c r="K33" i="2"/>
  <c r="J34" i="2"/>
  <c r="N34" i="2" s="1"/>
  <c r="N34" i="3" s="1"/>
  <c r="N34" i="4" s="1"/>
  <c r="N34" i="5" s="1"/>
  <c r="N34" i="6" s="1"/>
  <c r="N34" i="7" s="1"/>
  <c r="K34" i="2"/>
  <c r="J35" i="2"/>
  <c r="N35" i="2" s="1"/>
  <c r="K35" i="2"/>
  <c r="J36" i="2"/>
  <c r="K36" i="2"/>
  <c r="J37" i="2"/>
  <c r="K37" i="2"/>
  <c r="J38" i="2"/>
  <c r="K38" i="2"/>
  <c r="J12" i="2"/>
  <c r="N12" i="2" s="1"/>
  <c r="K12" i="2"/>
  <c r="N13" i="2"/>
  <c r="N13" i="3" s="1"/>
  <c r="N13" i="4" s="1"/>
  <c r="N13" i="5" s="1"/>
  <c r="N13" i="6" s="1"/>
  <c r="N13" i="7" s="1"/>
  <c r="N13" i="8" s="1"/>
  <c r="N13" i="9" s="1"/>
  <c r="N13" i="37" s="1"/>
  <c r="N13" i="11" s="1"/>
  <c r="N13" i="12" s="1"/>
  <c r="N13" i="13" s="1"/>
  <c r="N13" i="14" s="1"/>
  <c r="N13" i="15" s="1"/>
  <c r="N13" i="16" s="1"/>
  <c r="N13" i="17" s="1"/>
  <c r="N13" i="18" s="1"/>
  <c r="N13" i="19" s="1"/>
  <c r="N13" i="20" s="1"/>
  <c r="N13" i="21" s="1"/>
  <c r="N13" i="22" s="1"/>
  <c r="N13" i="23" s="1"/>
  <c r="N13" i="24" s="1"/>
  <c r="N13" i="25" s="1"/>
  <c r="N13" i="26" s="1"/>
  <c r="N13" i="27" s="1"/>
  <c r="N13" i="28" s="1"/>
  <c r="N13" i="29" s="1"/>
  <c r="N13" i="30" s="1"/>
  <c r="N13" i="31" s="1"/>
  <c r="N13" i="32" s="1"/>
  <c r="N15" i="2"/>
  <c r="N17" i="2"/>
  <c r="N17" i="3" s="1"/>
  <c r="N17" i="4" s="1"/>
  <c r="N17" i="5" s="1"/>
  <c r="N17" i="6" s="1"/>
  <c r="N17" i="7" s="1"/>
  <c r="N17" i="8" s="1"/>
  <c r="N17" i="9" s="1"/>
  <c r="N17" i="37" s="1"/>
  <c r="N17" i="11" s="1"/>
  <c r="N17" i="12" s="1"/>
  <c r="N17" i="13" s="1"/>
  <c r="N17" i="14" s="1"/>
  <c r="N17" i="15" s="1"/>
  <c r="N17" i="16" s="1"/>
  <c r="N17" i="17" s="1"/>
  <c r="N17" i="18" s="1"/>
  <c r="N17" i="19" s="1"/>
  <c r="N17" i="20" s="1"/>
  <c r="N17" i="21" s="1"/>
  <c r="N17" i="22" s="1"/>
  <c r="N17" i="23" s="1"/>
  <c r="N17" i="24" s="1"/>
  <c r="N17" i="25" s="1"/>
  <c r="N17" i="26" s="1"/>
  <c r="N17" i="27" s="1"/>
  <c r="N17" i="28" s="1"/>
  <c r="N17" i="29" s="1"/>
  <c r="N17" i="30" s="1"/>
  <c r="N17" i="31" s="1"/>
  <c r="N17" i="32" s="1"/>
  <c r="N18" i="2"/>
  <c r="N18" i="3" s="1"/>
  <c r="N18" i="4" s="1"/>
  <c r="N18" i="5" s="1"/>
  <c r="N18" i="6" s="1"/>
  <c r="N18" i="7" s="1"/>
  <c r="N18" i="8" s="1"/>
  <c r="N18" i="9" s="1"/>
  <c r="N18" i="37" s="1"/>
  <c r="N18" i="11" s="1"/>
  <c r="N18" i="12" s="1"/>
  <c r="N18" i="13" s="1"/>
  <c r="N18" i="14" s="1"/>
  <c r="N18" i="15" s="1"/>
  <c r="N18" i="16" s="1"/>
  <c r="N18" i="17" s="1"/>
  <c r="N18" i="18" s="1"/>
  <c r="N18" i="19" s="1"/>
  <c r="N18" i="20" s="1"/>
  <c r="N18" i="21" s="1"/>
  <c r="N18" i="22" s="1"/>
  <c r="N18" i="23" s="1"/>
  <c r="N18" i="24" s="1"/>
  <c r="N18" i="25" s="1"/>
  <c r="N18" i="26" s="1"/>
  <c r="N18" i="27" s="1"/>
  <c r="N18" i="28" s="1"/>
  <c r="N18" i="29" s="1"/>
  <c r="N18" i="30" s="1"/>
  <c r="N18" i="31" s="1"/>
  <c r="N18" i="32" s="1"/>
  <c r="N19" i="2"/>
  <c r="N21" i="2"/>
  <c r="N22" i="2"/>
  <c r="N25" i="2"/>
  <c r="N25" i="3" s="1"/>
  <c r="N25" i="4" s="1"/>
  <c r="N25" i="5" s="1"/>
  <c r="N25" i="6" s="1"/>
  <c r="N25" i="7" s="1"/>
  <c r="N26" i="2"/>
  <c r="N26" i="3" s="1"/>
  <c r="N26" i="4" s="1"/>
  <c r="N26" i="5" s="1"/>
  <c r="N26" i="6" s="1"/>
  <c r="N26" i="7" s="1"/>
  <c r="N28" i="2"/>
  <c r="N28" i="3" s="1"/>
  <c r="N28" i="4" s="1"/>
  <c r="N28" i="5" s="1"/>
  <c r="N28" i="6" s="1"/>
  <c r="N28" i="7" s="1"/>
  <c r="N29" i="2"/>
  <c r="N29" i="3" s="1"/>
  <c r="N29" i="4" s="1"/>
  <c r="N29" i="5" s="1"/>
  <c r="N29" i="6" s="1"/>
  <c r="N29" i="7" s="1"/>
  <c r="N30" i="2"/>
  <c r="N31" i="2"/>
  <c r="N32" i="2"/>
  <c r="N32" i="3" s="1"/>
  <c r="N32" i="4" s="1"/>
  <c r="N32" i="5" s="1"/>
  <c r="N32" i="6" s="1"/>
  <c r="N32" i="7" s="1"/>
  <c r="N33" i="2"/>
  <c r="N33" i="3" s="1"/>
  <c r="N33" i="4" s="1"/>
  <c r="N33" i="5" s="1"/>
  <c r="N33" i="6" s="1"/>
  <c r="N33" i="7" s="1"/>
  <c r="N36" i="2"/>
  <c r="N37" i="2"/>
  <c r="N38" i="2"/>
  <c r="N40" i="2"/>
  <c r="N40" i="3" s="1"/>
  <c r="N40" i="4" s="1"/>
  <c r="N40" i="5" s="1"/>
  <c r="N40" i="6" s="1"/>
  <c r="N40" i="7" s="1"/>
  <c r="N41" i="2"/>
  <c r="N42" i="2"/>
  <c r="N42" i="3" s="1"/>
  <c r="N42" i="4" s="1"/>
  <c r="N42" i="5" s="1"/>
  <c r="N42" i="6" s="1"/>
  <c r="N42" i="7" s="1"/>
  <c r="N43" i="2"/>
  <c r="N43" i="3" s="1"/>
  <c r="N43" i="4" s="1"/>
  <c r="N43" i="5" s="1"/>
  <c r="N43" i="6" s="1"/>
  <c r="N43" i="7" s="1"/>
  <c r="N44" i="2"/>
  <c r="N45" i="2"/>
  <c r="N45" i="3" s="1"/>
  <c r="N45" i="4" s="1"/>
  <c r="N45" i="5" s="1"/>
  <c r="N45" i="6" s="1"/>
  <c r="N45" i="7" s="1"/>
  <c r="M40" i="2"/>
  <c r="M40" i="3" s="1"/>
  <c r="M40" i="4" s="1"/>
  <c r="M40" i="5" s="1"/>
  <c r="M40" i="6" s="1"/>
  <c r="M40" i="7" s="1"/>
  <c r="J11" i="2"/>
  <c r="N11" i="2" s="1"/>
  <c r="K11" i="2"/>
  <c r="G23" i="2"/>
  <c r="M23" i="2" s="1"/>
  <c r="G30" i="2"/>
  <c r="M30" i="2" s="1"/>
  <c r="M30" i="3" s="1"/>
  <c r="M30" i="4" s="1"/>
  <c r="M30" i="5" s="1"/>
  <c r="M30" i="6" s="1"/>
  <c r="M30" i="7" s="1"/>
  <c r="G38" i="2"/>
  <c r="M38" i="2" s="1"/>
  <c r="M38" i="3" s="1"/>
  <c r="M38" i="4" s="1"/>
  <c r="M38" i="5" s="1"/>
  <c r="M38" i="6" s="1"/>
  <c r="M38" i="7" s="1"/>
  <c r="H38" i="2"/>
  <c r="G37" i="2"/>
  <c r="M37" i="2" s="1"/>
  <c r="M37" i="3" s="1"/>
  <c r="M37" i="4" s="1"/>
  <c r="M37" i="5" s="1"/>
  <c r="M37" i="6" s="1"/>
  <c r="M37" i="7" s="1"/>
  <c r="H37" i="2"/>
  <c r="H36" i="2"/>
  <c r="H35" i="2"/>
  <c r="G34" i="2"/>
  <c r="M34" i="2" s="1"/>
  <c r="H34" i="2"/>
  <c r="G33" i="2"/>
  <c r="M33" i="2" s="1"/>
  <c r="M33" i="3" s="1"/>
  <c r="M33" i="4" s="1"/>
  <c r="H33" i="2"/>
  <c r="G32" i="2"/>
  <c r="M32" i="2" s="1"/>
  <c r="H32" i="2"/>
  <c r="G31" i="2"/>
  <c r="M31" i="2" s="1"/>
  <c r="M31" i="3" s="1"/>
  <c r="H31" i="2"/>
  <c r="H30" i="2"/>
  <c r="G29" i="2"/>
  <c r="M29" i="2" s="1"/>
  <c r="H29" i="2"/>
  <c r="H28" i="2"/>
  <c r="G27" i="2"/>
  <c r="M27" i="2" s="1"/>
  <c r="H27" i="2"/>
  <c r="H26" i="2"/>
  <c r="H24" i="2"/>
  <c r="H23" i="2"/>
  <c r="H22" i="2"/>
  <c r="H21" i="2"/>
  <c r="H20" i="2"/>
  <c r="AB1490" i="33"/>
  <c r="AB1453" i="33"/>
  <c r="S1453" i="33"/>
  <c r="R1453" i="33"/>
  <c r="Q1453" i="33"/>
  <c r="O1453" i="33"/>
  <c r="N1453" i="33"/>
  <c r="M1453" i="33"/>
  <c r="L1453" i="33"/>
  <c r="K1453" i="33"/>
  <c r="J1453" i="33"/>
  <c r="I1453" i="33"/>
  <c r="H1453" i="33"/>
  <c r="G1453" i="33"/>
  <c r="F1453" i="33"/>
  <c r="D1453" i="33"/>
  <c r="C1453" i="33"/>
  <c r="B1453" i="33"/>
  <c r="X1452" i="33"/>
  <c r="X1489" i="33" s="1"/>
  <c r="W1452" i="33"/>
  <c r="W1489" i="33" s="1"/>
  <c r="V1452" i="33"/>
  <c r="V1489" i="33" s="1"/>
  <c r="U1452" i="33"/>
  <c r="U1489" i="33" s="1"/>
  <c r="T1452" i="33"/>
  <c r="T1489" i="33" s="1"/>
  <c r="X1451" i="33"/>
  <c r="X1488" i="33" s="1"/>
  <c r="W1451" i="33"/>
  <c r="W1488" i="33" s="1"/>
  <c r="V1451" i="33"/>
  <c r="V1488" i="33" s="1"/>
  <c r="U1451" i="33"/>
  <c r="U1488" i="33" s="1"/>
  <c r="T1451" i="33"/>
  <c r="T1488" i="33" s="1"/>
  <c r="X1450" i="33"/>
  <c r="X1487" i="33" s="1"/>
  <c r="W1450" i="33"/>
  <c r="W1487" i="33" s="1"/>
  <c r="V1450" i="33"/>
  <c r="V1487" i="33" s="1"/>
  <c r="U1450" i="33"/>
  <c r="U1487" i="33" s="1"/>
  <c r="T1450" i="33"/>
  <c r="T1487" i="33" s="1"/>
  <c r="X1449" i="33"/>
  <c r="X1486" i="33" s="1"/>
  <c r="W1449" i="33"/>
  <c r="W1486" i="33" s="1"/>
  <c r="V1449" i="33"/>
  <c r="V1486" i="33" s="1"/>
  <c r="U1449" i="33"/>
  <c r="U1486" i="33" s="1"/>
  <c r="T1449" i="33"/>
  <c r="T1486" i="33" s="1"/>
  <c r="X1448" i="33"/>
  <c r="X1485" i="33" s="1"/>
  <c r="W1448" i="33"/>
  <c r="W1485" i="33" s="1"/>
  <c r="V1448" i="33"/>
  <c r="AN54" i="28" s="1"/>
  <c r="U1448" i="33"/>
  <c r="AM54" i="28" s="1"/>
  <c r="T1448" i="33"/>
  <c r="AL54" i="28" s="1"/>
  <c r="X1447" i="33"/>
  <c r="X1484" i="33" s="1"/>
  <c r="W1447" i="33"/>
  <c r="W1484" i="33" s="1"/>
  <c r="V1447" i="33"/>
  <c r="AN54" i="27" s="1"/>
  <c r="U1447" i="33"/>
  <c r="AM54" i="27" s="1"/>
  <c r="T1447" i="33"/>
  <c r="AL54" i="27" s="1"/>
  <c r="X1446" i="33"/>
  <c r="X1483" i="33" s="1"/>
  <c r="W1446" i="33"/>
  <c r="W1483" i="33" s="1"/>
  <c r="V1446" i="33"/>
  <c r="V1483" i="33" s="1"/>
  <c r="U1446" i="33"/>
  <c r="U1483" i="33" s="1"/>
  <c r="T1446" i="33"/>
  <c r="T1483" i="33" s="1"/>
  <c r="X1445" i="33"/>
  <c r="X1482" i="33" s="1"/>
  <c r="W1445" i="33"/>
  <c r="W1482" i="33" s="1"/>
  <c r="V1445" i="33"/>
  <c r="V1482" i="33" s="1"/>
  <c r="U1445" i="33"/>
  <c r="U1482" i="33" s="1"/>
  <c r="T1445" i="33"/>
  <c r="T1482" i="33" s="1"/>
  <c r="X1444" i="33"/>
  <c r="X1481" i="33" s="1"/>
  <c r="W1444" i="33"/>
  <c r="W1481" i="33" s="1"/>
  <c r="V1444" i="33"/>
  <c r="V1481" i="33" s="1"/>
  <c r="U1444" i="33"/>
  <c r="U1481" i="33" s="1"/>
  <c r="T1444" i="33"/>
  <c r="T1481" i="33" s="1"/>
  <c r="X1443" i="33"/>
  <c r="X1480" i="33" s="1"/>
  <c r="W1443" i="33"/>
  <c r="W1480" i="33" s="1"/>
  <c r="V1443" i="33"/>
  <c r="V1480" i="33" s="1"/>
  <c r="U1443" i="33"/>
  <c r="U1480" i="33" s="1"/>
  <c r="T1443" i="33"/>
  <c r="T1480" i="33" s="1"/>
  <c r="X1442" i="33"/>
  <c r="X1479" i="33" s="1"/>
  <c r="W1442" i="33"/>
  <c r="W1479" i="33" s="1"/>
  <c r="V1442" i="33"/>
  <c r="AN54" i="22" s="1"/>
  <c r="U1442" i="33"/>
  <c r="AM54" i="22" s="1"/>
  <c r="T1442" i="33"/>
  <c r="AL54" i="22" s="1"/>
  <c r="X1441" i="33"/>
  <c r="X1478" i="33" s="1"/>
  <c r="W1441" i="33"/>
  <c r="W1478" i="33" s="1"/>
  <c r="V1441" i="33"/>
  <c r="AN54" i="21" s="1"/>
  <c r="U1441" i="33"/>
  <c r="AM54" i="21" s="1"/>
  <c r="T1441" i="33"/>
  <c r="AL54" i="21" s="1"/>
  <c r="X1440" i="33"/>
  <c r="X1477" i="33" s="1"/>
  <c r="W1440" i="33"/>
  <c r="W1477" i="33" s="1"/>
  <c r="V1440" i="33"/>
  <c r="V1477" i="33" s="1"/>
  <c r="U1440" i="33"/>
  <c r="U1477" i="33" s="1"/>
  <c r="T1440" i="33"/>
  <c r="T1477" i="33" s="1"/>
  <c r="X1439" i="33"/>
  <c r="X1476" i="33" s="1"/>
  <c r="W1439" i="33"/>
  <c r="W1476" i="33" s="1"/>
  <c r="V1439" i="33"/>
  <c r="V1476" i="33" s="1"/>
  <c r="U1439" i="33"/>
  <c r="U1476" i="33" s="1"/>
  <c r="T1439" i="33"/>
  <c r="T1476" i="33" s="1"/>
  <c r="X1438" i="33"/>
  <c r="X1475" i="33" s="1"/>
  <c r="W1438" i="33"/>
  <c r="W1475" i="33" s="1"/>
  <c r="V1438" i="33"/>
  <c r="V1475" i="33" s="1"/>
  <c r="U1438" i="33"/>
  <c r="U1475" i="33" s="1"/>
  <c r="T1438" i="33"/>
  <c r="T1475" i="33" s="1"/>
  <c r="X1437" i="33"/>
  <c r="W1437" i="33"/>
  <c r="V1437" i="33"/>
  <c r="U1437" i="33"/>
  <c r="T1437" i="33"/>
  <c r="X1423" i="33"/>
  <c r="X1460" i="33" s="1"/>
  <c r="W1423" i="33"/>
  <c r="W1460" i="33" s="1"/>
  <c r="V1423" i="33"/>
  <c r="U1423" i="33"/>
  <c r="T1423" i="33"/>
  <c r="X1422" i="33"/>
  <c r="W1422" i="33"/>
  <c r="V1422" i="33"/>
  <c r="U1422" i="33"/>
  <c r="T1422" i="33"/>
  <c r="AB1417" i="33"/>
  <c r="S1417" i="33"/>
  <c r="R1417" i="33"/>
  <c r="Q1417" i="33"/>
  <c r="O1417" i="33"/>
  <c r="N1417" i="33"/>
  <c r="M1417" i="33"/>
  <c r="L1417" i="33"/>
  <c r="K1417" i="33"/>
  <c r="J1417" i="33"/>
  <c r="I1417" i="33"/>
  <c r="H1417" i="33"/>
  <c r="G1417" i="33"/>
  <c r="F1417" i="33"/>
  <c r="D1417" i="33"/>
  <c r="C1417" i="33"/>
  <c r="B1417" i="33"/>
  <c r="AA1386" i="33"/>
  <c r="AD1386" i="33" s="1"/>
  <c r="AB1380" i="33"/>
  <c r="Y1380" i="33"/>
  <c r="S1380" i="33"/>
  <c r="R1380" i="33"/>
  <c r="Q1380" i="33"/>
  <c r="O1380" i="33"/>
  <c r="N1380" i="33"/>
  <c r="M1380" i="33"/>
  <c r="L1380" i="33"/>
  <c r="K1380" i="33"/>
  <c r="J1380" i="33"/>
  <c r="I1380" i="33"/>
  <c r="H1380" i="33"/>
  <c r="G1380" i="33"/>
  <c r="F1380" i="33"/>
  <c r="D1380" i="33"/>
  <c r="C1380" i="33"/>
  <c r="B1380" i="33"/>
  <c r="X1379" i="33"/>
  <c r="W1379" i="33"/>
  <c r="V1379" i="33"/>
  <c r="U1379" i="33"/>
  <c r="T1379" i="33"/>
  <c r="X1378" i="33"/>
  <c r="W1378" i="33"/>
  <c r="V1378" i="33"/>
  <c r="U1378" i="33"/>
  <c r="T1378" i="33"/>
  <c r="X1377" i="33"/>
  <c r="W1377" i="33"/>
  <c r="V1377" i="33"/>
  <c r="U1377" i="33"/>
  <c r="T1377" i="33"/>
  <c r="X1376" i="33"/>
  <c r="W1376" i="33"/>
  <c r="V1376" i="33"/>
  <c r="U1376" i="33"/>
  <c r="T1376" i="33"/>
  <c r="X1375" i="33"/>
  <c r="W1375" i="33"/>
  <c r="V1375" i="33"/>
  <c r="U1375" i="33"/>
  <c r="T1375" i="33"/>
  <c r="X1374" i="33"/>
  <c r="W1374" i="33"/>
  <c r="V1374" i="33"/>
  <c r="U1374" i="33"/>
  <c r="T1374" i="33"/>
  <c r="X1373" i="33"/>
  <c r="W1373" i="33"/>
  <c r="V1373" i="33"/>
  <c r="U1373" i="33"/>
  <c r="T1373" i="33"/>
  <c r="X1372" i="33"/>
  <c r="W1372" i="33"/>
  <c r="V1372" i="33"/>
  <c r="U1372" i="33"/>
  <c r="T1372" i="33"/>
  <c r="X1371" i="33"/>
  <c r="W1371" i="33"/>
  <c r="V1371" i="33"/>
  <c r="U1371" i="33"/>
  <c r="T1371" i="33"/>
  <c r="X1370" i="33"/>
  <c r="W1370" i="33"/>
  <c r="V1370" i="33"/>
  <c r="U1370" i="33"/>
  <c r="T1370" i="33"/>
  <c r="X1369" i="33"/>
  <c r="W1369" i="33"/>
  <c r="V1369" i="33"/>
  <c r="U1369" i="33"/>
  <c r="T1369" i="33"/>
  <c r="X1368" i="33"/>
  <c r="W1368" i="33"/>
  <c r="V1368" i="33"/>
  <c r="U1368" i="33"/>
  <c r="T1368" i="33"/>
  <c r="X1367" i="33"/>
  <c r="W1367" i="33"/>
  <c r="V1367" i="33"/>
  <c r="U1367" i="33"/>
  <c r="T1367" i="33"/>
  <c r="X1366" i="33"/>
  <c r="W1366" i="33"/>
  <c r="V1366" i="33"/>
  <c r="U1366" i="33"/>
  <c r="T1366" i="33"/>
  <c r="X1365" i="33"/>
  <c r="W1365" i="33"/>
  <c r="V1365" i="33"/>
  <c r="U1365" i="33"/>
  <c r="T1365" i="33"/>
  <c r="X1364" i="33"/>
  <c r="W1364" i="33"/>
  <c r="V1364" i="33"/>
  <c r="U1364" i="33"/>
  <c r="T1364" i="33"/>
  <c r="X1363" i="33"/>
  <c r="W1363" i="33"/>
  <c r="V1363" i="33"/>
  <c r="U1363" i="33"/>
  <c r="T1363" i="33"/>
  <c r="X1362" i="33"/>
  <c r="W1362" i="33"/>
  <c r="V1362" i="33"/>
  <c r="U1362" i="33"/>
  <c r="T1362" i="33"/>
  <c r="X1361" i="33"/>
  <c r="X1436" i="33" s="1"/>
  <c r="W1361" i="33"/>
  <c r="V1361" i="33"/>
  <c r="V1436" i="33" s="1"/>
  <c r="U1361" i="33"/>
  <c r="T1361" i="33"/>
  <c r="T1436" i="33" s="1"/>
  <c r="AA1349" i="33"/>
  <c r="AD1349" i="33" s="1"/>
  <c r="Z1350" i="33" s="1"/>
  <c r="AA1350" i="33" s="1"/>
  <c r="AD1350" i="33" s="1"/>
  <c r="Z1351" i="33" s="1"/>
  <c r="AB1343" i="33"/>
  <c r="S1343" i="33"/>
  <c r="R1343" i="33"/>
  <c r="Q1343" i="33"/>
  <c r="O1343" i="33"/>
  <c r="N1343" i="33"/>
  <c r="M1343" i="33"/>
  <c r="L1343" i="33"/>
  <c r="K1343" i="33"/>
  <c r="J1343" i="33"/>
  <c r="I1343" i="33"/>
  <c r="H1343" i="33"/>
  <c r="G1343" i="33"/>
  <c r="F1343" i="33"/>
  <c r="D1343" i="33"/>
  <c r="C1343" i="33"/>
  <c r="B1343" i="33"/>
  <c r="X1342" i="33"/>
  <c r="W1342" i="33"/>
  <c r="V1342" i="33"/>
  <c r="U1342" i="33"/>
  <c r="T1342" i="33"/>
  <c r="X1341" i="33"/>
  <c r="W1341" i="33"/>
  <c r="V1341" i="33"/>
  <c r="U1341" i="33"/>
  <c r="T1341" i="33"/>
  <c r="X1340" i="33"/>
  <c r="W1340" i="33"/>
  <c r="V1340" i="33"/>
  <c r="U1340" i="33"/>
  <c r="T1340" i="33"/>
  <c r="X1339" i="33"/>
  <c r="W1339" i="33"/>
  <c r="V1339" i="33"/>
  <c r="U1339" i="33"/>
  <c r="T1339" i="33"/>
  <c r="X1338" i="33"/>
  <c r="W1338" i="33"/>
  <c r="V1338" i="33"/>
  <c r="U1338" i="33"/>
  <c r="T1338" i="33"/>
  <c r="X1337" i="33"/>
  <c r="W1337" i="33"/>
  <c r="V1337" i="33"/>
  <c r="U1337" i="33"/>
  <c r="T1337" i="33"/>
  <c r="X1336" i="33"/>
  <c r="W1336" i="33"/>
  <c r="V1336" i="33"/>
  <c r="U1336" i="33"/>
  <c r="T1336" i="33"/>
  <c r="X1335" i="33"/>
  <c r="W1335" i="33"/>
  <c r="V1335" i="33"/>
  <c r="U1335" i="33"/>
  <c r="T1335" i="33"/>
  <c r="X1334" i="33"/>
  <c r="W1334" i="33"/>
  <c r="V1334" i="33"/>
  <c r="U1334" i="33"/>
  <c r="T1334" i="33"/>
  <c r="X1333" i="33"/>
  <c r="W1333" i="33"/>
  <c r="V1333" i="33"/>
  <c r="U1333" i="33"/>
  <c r="T1333" i="33"/>
  <c r="X1332" i="33"/>
  <c r="W1332" i="33"/>
  <c r="V1332" i="33"/>
  <c r="U1332" i="33"/>
  <c r="T1332" i="33"/>
  <c r="X1331" i="33"/>
  <c r="W1331" i="33"/>
  <c r="V1331" i="33"/>
  <c r="U1331" i="33"/>
  <c r="T1331" i="33"/>
  <c r="X1330" i="33"/>
  <c r="W1330" i="33"/>
  <c r="V1330" i="33"/>
  <c r="U1330" i="33"/>
  <c r="T1330" i="33"/>
  <c r="X1329" i="33"/>
  <c r="W1329" i="33"/>
  <c r="V1329" i="33"/>
  <c r="U1329" i="33"/>
  <c r="T1329" i="33"/>
  <c r="X1328" i="33"/>
  <c r="W1328" i="33"/>
  <c r="V1328" i="33"/>
  <c r="U1328" i="33"/>
  <c r="T1328" i="33"/>
  <c r="X1327" i="33"/>
  <c r="W1327" i="33"/>
  <c r="V1327" i="33"/>
  <c r="U1327" i="33"/>
  <c r="T1327" i="33"/>
  <c r="X1326" i="33"/>
  <c r="W1326" i="33"/>
  <c r="V1326" i="33"/>
  <c r="U1326" i="33"/>
  <c r="T1326" i="33"/>
  <c r="X1325" i="33"/>
  <c r="W1325" i="33"/>
  <c r="V1325" i="33"/>
  <c r="U1325" i="33"/>
  <c r="T1325" i="33"/>
  <c r="X1324" i="33"/>
  <c r="W1324" i="33"/>
  <c r="V1324" i="33"/>
  <c r="U1324" i="33"/>
  <c r="T1324" i="33"/>
  <c r="X1323" i="33"/>
  <c r="X1360" i="33" s="1"/>
  <c r="W1323" i="33"/>
  <c r="W1360" i="33" s="1"/>
  <c r="V1323" i="33"/>
  <c r="V1360" i="33" s="1"/>
  <c r="U1323" i="33"/>
  <c r="U1360" i="33" s="1"/>
  <c r="T1323" i="33"/>
  <c r="T1360" i="33" s="1"/>
  <c r="X1322" i="33"/>
  <c r="W1322" i="33"/>
  <c r="V1322" i="33"/>
  <c r="U1322" i="33"/>
  <c r="T1322" i="33"/>
  <c r="U1317" i="33"/>
  <c r="AA1312" i="33"/>
  <c r="AD1312" i="33" s="1"/>
  <c r="Z1313" i="33" s="1"/>
  <c r="AA1313" i="33" s="1"/>
  <c r="AD1313" i="33" s="1"/>
  <c r="Z1314" i="33" s="1"/>
  <c r="AB1306" i="33"/>
  <c r="S1306" i="33"/>
  <c r="R1306" i="33"/>
  <c r="Q1306" i="33"/>
  <c r="O1306" i="33"/>
  <c r="N1306" i="33"/>
  <c r="M1306" i="33"/>
  <c r="L1306" i="33"/>
  <c r="K1306" i="33"/>
  <c r="J1306" i="33"/>
  <c r="I1306" i="33"/>
  <c r="H1306" i="33"/>
  <c r="G1306" i="33"/>
  <c r="F1306" i="33"/>
  <c r="D1306" i="33"/>
  <c r="C1306" i="33"/>
  <c r="B1306" i="33"/>
  <c r="X1305" i="33"/>
  <c r="W1305" i="33"/>
  <c r="V1305" i="33"/>
  <c r="U1305" i="33"/>
  <c r="T1305" i="33"/>
  <c r="X1304" i="33"/>
  <c r="W1304" i="33"/>
  <c r="V1304" i="33"/>
  <c r="U1304" i="33"/>
  <c r="T1304" i="33"/>
  <c r="X1303" i="33"/>
  <c r="W1303" i="33"/>
  <c r="V1303" i="33"/>
  <c r="U1303" i="33"/>
  <c r="T1303" i="33"/>
  <c r="X1302" i="33"/>
  <c r="W1302" i="33"/>
  <c r="V1302" i="33"/>
  <c r="U1302" i="33"/>
  <c r="T1302" i="33"/>
  <c r="X1301" i="33"/>
  <c r="W1301" i="33"/>
  <c r="V1301" i="33"/>
  <c r="U1301" i="33"/>
  <c r="T1301" i="33"/>
  <c r="X1300" i="33"/>
  <c r="W1300" i="33"/>
  <c r="V1300" i="33"/>
  <c r="U1300" i="33"/>
  <c r="T1300" i="33"/>
  <c r="X1299" i="33"/>
  <c r="W1299" i="33"/>
  <c r="V1299" i="33"/>
  <c r="U1299" i="33"/>
  <c r="T1299" i="33"/>
  <c r="X1298" i="33"/>
  <c r="W1298" i="33"/>
  <c r="V1298" i="33"/>
  <c r="U1298" i="33"/>
  <c r="T1298" i="33"/>
  <c r="X1297" i="33"/>
  <c r="W1297" i="33"/>
  <c r="V1297" i="33"/>
  <c r="U1297" i="33"/>
  <c r="T1297" i="33"/>
  <c r="X1296" i="33"/>
  <c r="W1296" i="33"/>
  <c r="V1296" i="33"/>
  <c r="U1296" i="33"/>
  <c r="T1296" i="33"/>
  <c r="X1295" i="33"/>
  <c r="W1295" i="33"/>
  <c r="V1295" i="33"/>
  <c r="U1295" i="33"/>
  <c r="T1295" i="33"/>
  <c r="X1294" i="33"/>
  <c r="W1294" i="33"/>
  <c r="V1294" i="33"/>
  <c r="U1294" i="33"/>
  <c r="T1294" i="33"/>
  <c r="X1293" i="33"/>
  <c r="W1293" i="33"/>
  <c r="V1293" i="33"/>
  <c r="U1293" i="33"/>
  <c r="T1293" i="33"/>
  <c r="X1292" i="33"/>
  <c r="W1292" i="33"/>
  <c r="V1292" i="33"/>
  <c r="U1292" i="33"/>
  <c r="T1292" i="33"/>
  <c r="X1291" i="33"/>
  <c r="W1291" i="33"/>
  <c r="V1291" i="33"/>
  <c r="U1291" i="33"/>
  <c r="T1291" i="33"/>
  <c r="X1290" i="33"/>
  <c r="W1290" i="33"/>
  <c r="V1290" i="33"/>
  <c r="U1290" i="33"/>
  <c r="T1290" i="33"/>
  <c r="X1289" i="33"/>
  <c r="W1289" i="33"/>
  <c r="V1289" i="33"/>
  <c r="U1289" i="33"/>
  <c r="T1289" i="33"/>
  <c r="X1288" i="33"/>
  <c r="W1288" i="33"/>
  <c r="V1288" i="33"/>
  <c r="U1288" i="33"/>
  <c r="T1288" i="33"/>
  <c r="X1287" i="33"/>
  <c r="W1287" i="33"/>
  <c r="V1287" i="33"/>
  <c r="U1287" i="33"/>
  <c r="T1287" i="33"/>
  <c r="X1286" i="33"/>
  <c r="W1286" i="33"/>
  <c r="V1286" i="33"/>
  <c r="U1286" i="33"/>
  <c r="T1286" i="33"/>
  <c r="X1285" i="33"/>
  <c r="W1285" i="33"/>
  <c r="V1285" i="33"/>
  <c r="U1285" i="33"/>
  <c r="T1285" i="33"/>
  <c r="X1284" i="33"/>
  <c r="X1359" i="33" s="1"/>
  <c r="W1284" i="33"/>
  <c r="V1284" i="33"/>
  <c r="V1359" i="33" s="1"/>
  <c r="U1284" i="33"/>
  <c r="T1284" i="33"/>
  <c r="T1359" i="33" s="1"/>
  <c r="X1283" i="33"/>
  <c r="W1283" i="33"/>
  <c r="V1283" i="33"/>
  <c r="U1283" i="33"/>
  <c r="T1283" i="33"/>
  <c r="X1280" i="33"/>
  <c r="W1280" i="33"/>
  <c r="V1280" i="33"/>
  <c r="U1280" i="33"/>
  <c r="T1280" i="33"/>
  <c r="U1279" i="33"/>
  <c r="AA1275" i="33"/>
  <c r="AD1275" i="33" s="1"/>
  <c r="AB1269" i="33"/>
  <c r="S1269" i="33"/>
  <c r="R1269" i="33"/>
  <c r="Q1269" i="33"/>
  <c r="O1269" i="33"/>
  <c r="N1269" i="33"/>
  <c r="M1269" i="33"/>
  <c r="L1269" i="33"/>
  <c r="K1269" i="33"/>
  <c r="J1269" i="33"/>
  <c r="I1269" i="33"/>
  <c r="H1269" i="33"/>
  <c r="G1269" i="33"/>
  <c r="F1269" i="33"/>
  <c r="D1269" i="33"/>
  <c r="C1269" i="33"/>
  <c r="B1269" i="33"/>
  <c r="X1268" i="33"/>
  <c r="W1268" i="33"/>
  <c r="V1268" i="33"/>
  <c r="U1268" i="33"/>
  <c r="T1268" i="33"/>
  <c r="X1267" i="33"/>
  <c r="W1267" i="33"/>
  <c r="V1267" i="33"/>
  <c r="U1267" i="33"/>
  <c r="T1267" i="33"/>
  <c r="X1266" i="33"/>
  <c r="W1266" i="33"/>
  <c r="V1266" i="33"/>
  <c r="U1266" i="33"/>
  <c r="T1266" i="33"/>
  <c r="X1265" i="33"/>
  <c r="W1265" i="33"/>
  <c r="V1265" i="33"/>
  <c r="U1265" i="33"/>
  <c r="T1265" i="33"/>
  <c r="X1264" i="33"/>
  <c r="W1264" i="33"/>
  <c r="V1264" i="33"/>
  <c r="U1264" i="33"/>
  <c r="T1264" i="33"/>
  <c r="X1263" i="33"/>
  <c r="W1263" i="33"/>
  <c r="V1263" i="33"/>
  <c r="U1263" i="33"/>
  <c r="T1263" i="33"/>
  <c r="X1262" i="33"/>
  <c r="W1262" i="33"/>
  <c r="V1262" i="33"/>
  <c r="U1262" i="33"/>
  <c r="T1262" i="33"/>
  <c r="X1261" i="33"/>
  <c r="W1261" i="33"/>
  <c r="V1261" i="33"/>
  <c r="U1261" i="33"/>
  <c r="T1261" i="33"/>
  <c r="X1260" i="33"/>
  <c r="W1260" i="33"/>
  <c r="V1260" i="33"/>
  <c r="U1260" i="33"/>
  <c r="T1260" i="33"/>
  <c r="X1259" i="33"/>
  <c r="W1259" i="33"/>
  <c r="V1259" i="33"/>
  <c r="U1259" i="33"/>
  <c r="T1259" i="33"/>
  <c r="X1258" i="33"/>
  <c r="W1258" i="33"/>
  <c r="V1258" i="33"/>
  <c r="U1258" i="33"/>
  <c r="T1258" i="33"/>
  <c r="X1257" i="33"/>
  <c r="W1257" i="33"/>
  <c r="V1257" i="33"/>
  <c r="U1257" i="33"/>
  <c r="T1257" i="33"/>
  <c r="X1256" i="33"/>
  <c r="W1256" i="33"/>
  <c r="V1256" i="33"/>
  <c r="U1256" i="33"/>
  <c r="T1256" i="33"/>
  <c r="X1255" i="33"/>
  <c r="W1255" i="33"/>
  <c r="V1255" i="33"/>
  <c r="U1255" i="33"/>
  <c r="T1255" i="33"/>
  <c r="X1254" i="33"/>
  <c r="W1254" i="33"/>
  <c r="V1254" i="33"/>
  <c r="U1254" i="33"/>
  <c r="T1254" i="33"/>
  <c r="X1253" i="33"/>
  <c r="W1253" i="33"/>
  <c r="V1253" i="33"/>
  <c r="U1253" i="33"/>
  <c r="T1253" i="33"/>
  <c r="X1252" i="33"/>
  <c r="W1252" i="33"/>
  <c r="V1252" i="33"/>
  <c r="U1252" i="33"/>
  <c r="T1252" i="33"/>
  <c r="X1251" i="33"/>
  <c r="W1251" i="33"/>
  <c r="V1251" i="33"/>
  <c r="U1251" i="33"/>
  <c r="T1251" i="33"/>
  <c r="X1250" i="33"/>
  <c r="W1250" i="33"/>
  <c r="V1250" i="33"/>
  <c r="U1250" i="33"/>
  <c r="T1250" i="33"/>
  <c r="X1249" i="33"/>
  <c r="W1249" i="33"/>
  <c r="V1249" i="33"/>
  <c r="U1249" i="33"/>
  <c r="T1249" i="33"/>
  <c r="X1248" i="33"/>
  <c r="W1248" i="33"/>
  <c r="V1248" i="33"/>
  <c r="U1248" i="33"/>
  <c r="T1248" i="33"/>
  <c r="X1247" i="33"/>
  <c r="W1247" i="33"/>
  <c r="V1247" i="33"/>
  <c r="U1247" i="33"/>
  <c r="T1247" i="33"/>
  <c r="X1246" i="33"/>
  <c r="W1246" i="33"/>
  <c r="V1246" i="33"/>
  <c r="U1246" i="33"/>
  <c r="T1246" i="33"/>
  <c r="X1245" i="33"/>
  <c r="W1245" i="33"/>
  <c r="V1245" i="33"/>
  <c r="U1245" i="33"/>
  <c r="T1245" i="33"/>
  <c r="X1243" i="33"/>
  <c r="W1243" i="33"/>
  <c r="V1243" i="33"/>
  <c r="U1243" i="33"/>
  <c r="T1243" i="33"/>
  <c r="X1242" i="33"/>
  <c r="W1242" i="33"/>
  <c r="W1317" i="33" s="1"/>
  <c r="V1242" i="33"/>
  <c r="U1242" i="33"/>
  <c r="T1242" i="33"/>
  <c r="X1241" i="33"/>
  <c r="W1241" i="33"/>
  <c r="V1241" i="33"/>
  <c r="U1241" i="33"/>
  <c r="T1241" i="33"/>
  <c r="W1239" i="33"/>
  <c r="U1239" i="33"/>
  <c r="AA1238" i="33"/>
  <c r="AD1238" i="33" s="1"/>
  <c r="Z1239" i="33" s="1"/>
  <c r="AA1239" i="33" s="1"/>
  <c r="AD1239" i="33" s="1"/>
  <c r="Z1240" i="33" s="1"/>
  <c r="X1238" i="33"/>
  <c r="W1238" i="33"/>
  <c r="V1238" i="33"/>
  <c r="U1238" i="33"/>
  <c r="T1238" i="33"/>
  <c r="AB1232" i="33"/>
  <c r="S1232" i="33"/>
  <c r="R1232" i="33"/>
  <c r="Q1232" i="33"/>
  <c r="O1232" i="33"/>
  <c r="N1232" i="33"/>
  <c r="M1232" i="33"/>
  <c r="L1232" i="33"/>
  <c r="K1232" i="33"/>
  <c r="J1232" i="33"/>
  <c r="I1232" i="33"/>
  <c r="H1232" i="33"/>
  <c r="G1232" i="33"/>
  <c r="F1232" i="33"/>
  <c r="D1232" i="33"/>
  <c r="C1232" i="33"/>
  <c r="B1232" i="33"/>
  <c r="X1231" i="33"/>
  <c r="W1231" i="33"/>
  <c r="V1231" i="33"/>
  <c r="U1231" i="33"/>
  <c r="T1231" i="33"/>
  <c r="X1230" i="33"/>
  <c r="W1230" i="33"/>
  <c r="V1230" i="33"/>
  <c r="U1230" i="33"/>
  <c r="T1230" i="33"/>
  <c r="X1229" i="33"/>
  <c r="W1229" i="33"/>
  <c r="V1229" i="33"/>
  <c r="U1229" i="33"/>
  <c r="T1229" i="33"/>
  <c r="X1228" i="33"/>
  <c r="W1228" i="33"/>
  <c r="V1228" i="33"/>
  <c r="U1228" i="33"/>
  <c r="T1228" i="33"/>
  <c r="X1227" i="33"/>
  <c r="W1227" i="33"/>
  <c r="V1227" i="33"/>
  <c r="U1227" i="33"/>
  <c r="T1227" i="33"/>
  <c r="X1226" i="33"/>
  <c r="W1226" i="33"/>
  <c r="V1226" i="33"/>
  <c r="U1226" i="33"/>
  <c r="T1226" i="33"/>
  <c r="X1225" i="33"/>
  <c r="W1225" i="33"/>
  <c r="V1225" i="33"/>
  <c r="U1225" i="33"/>
  <c r="T1225" i="33"/>
  <c r="X1224" i="33"/>
  <c r="W1224" i="33"/>
  <c r="V1224" i="33"/>
  <c r="U1224" i="33"/>
  <c r="T1224" i="33"/>
  <c r="X1223" i="33"/>
  <c r="W1223" i="33"/>
  <c r="V1223" i="33"/>
  <c r="U1223" i="33"/>
  <c r="T1223" i="33"/>
  <c r="X1222" i="33"/>
  <c r="W1222" i="33"/>
  <c r="V1222" i="33"/>
  <c r="U1222" i="33"/>
  <c r="T1222" i="33"/>
  <c r="X1221" i="33"/>
  <c r="W1221" i="33"/>
  <c r="V1221" i="33"/>
  <c r="U1221" i="33"/>
  <c r="T1221" i="33"/>
  <c r="X1220" i="33"/>
  <c r="W1220" i="33"/>
  <c r="V1220" i="33"/>
  <c r="U1220" i="33"/>
  <c r="T1220" i="33"/>
  <c r="X1219" i="33"/>
  <c r="W1219" i="33"/>
  <c r="V1219" i="33"/>
  <c r="U1219" i="33"/>
  <c r="T1219" i="33"/>
  <c r="X1218" i="33"/>
  <c r="W1218" i="33"/>
  <c r="V1218" i="33"/>
  <c r="U1218" i="33"/>
  <c r="T1218" i="33"/>
  <c r="X1217" i="33"/>
  <c r="W1217" i="33"/>
  <c r="V1217" i="33"/>
  <c r="U1217" i="33"/>
  <c r="T1217" i="33"/>
  <c r="X1216" i="33"/>
  <c r="W1216" i="33"/>
  <c r="V1216" i="33"/>
  <c r="U1216" i="33"/>
  <c r="T1216" i="33"/>
  <c r="X1215" i="33"/>
  <c r="W1215" i="33"/>
  <c r="V1215" i="33"/>
  <c r="U1215" i="33"/>
  <c r="T1215" i="33"/>
  <c r="X1214" i="33"/>
  <c r="W1214" i="33"/>
  <c r="V1214" i="33"/>
  <c r="U1214" i="33"/>
  <c r="T1214" i="33"/>
  <c r="X1213" i="33"/>
  <c r="W1213" i="33"/>
  <c r="V1213" i="33"/>
  <c r="U1213" i="33"/>
  <c r="T1213" i="33"/>
  <c r="X1212" i="33"/>
  <c r="W1212" i="33"/>
  <c r="V1212" i="33"/>
  <c r="U1212" i="33"/>
  <c r="T1212" i="33"/>
  <c r="X1211" i="33"/>
  <c r="W1211" i="33"/>
  <c r="V1211" i="33"/>
  <c r="U1211" i="33"/>
  <c r="T1211" i="33"/>
  <c r="X1210" i="33"/>
  <c r="W1210" i="33"/>
  <c r="V1210" i="33"/>
  <c r="U1210" i="33"/>
  <c r="T1210" i="33"/>
  <c r="X1209" i="33"/>
  <c r="W1209" i="33"/>
  <c r="V1209" i="33"/>
  <c r="U1209" i="33"/>
  <c r="T1209" i="33"/>
  <c r="X1208" i="33"/>
  <c r="W1208" i="33"/>
  <c r="V1208" i="33"/>
  <c r="U1208" i="33"/>
  <c r="T1208" i="33"/>
  <c r="X1207" i="33"/>
  <c r="W1207" i="33"/>
  <c r="V1207" i="33"/>
  <c r="U1207" i="33"/>
  <c r="T1207" i="33"/>
  <c r="X1206" i="33"/>
  <c r="W1206" i="33"/>
  <c r="V1206" i="33"/>
  <c r="U1206" i="33"/>
  <c r="T1206" i="33"/>
  <c r="X1205" i="33"/>
  <c r="W1205" i="33"/>
  <c r="V1205" i="33"/>
  <c r="U1205" i="33"/>
  <c r="T1205" i="33"/>
  <c r="X1204" i="33"/>
  <c r="W1204" i="33"/>
  <c r="V1204" i="33"/>
  <c r="U1204" i="33"/>
  <c r="T1204" i="33"/>
  <c r="X1203" i="33"/>
  <c r="X1278" i="33" s="1"/>
  <c r="W1203" i="33"/>
  <c r="W1278" i="33" s="1"/>
  <c r="V1203" i="33"/>
  <c r="V1278" i="33" s="1"/>
  <c r="U1203" i="33"/>
  <c r="U1278" i="33" s="1"/>
  <c r="T1203" i="33"/>
  <c r="T1278" i="33" s="1"/>
  <c r="X1202" i="33"/>
  <c r="W1202" i="33"/>
  <c r="V1202" i="33"/>
  <c r="U1202" i="33"/>
  <c r="T1202" i="33"/>
  <c r="X1201" i="33"/>
  <c r="W1201" i="33"/>
  <c r="V1201" i="33"/>
  <c r="U1201" i="33"/>
  <c r="T1201" i="33"/>
  <c r="M20" i="2"/>
  <c r="H17" i="2"/>
  <c r="H16" i="2"/>
  <c r="H15" i="2"/>
  <c r="H14" i="2"/>
  <c r="H13" i="2"/>
  <c r="H12" i="2"/>
  <c r="H11" i="2"/>
  <c r="V18" i="2"/>
  <c r="X18" i="2" s="1"/>
  <c r="V17" i="2"/>
  <c r="X17" i="2" s="1"/>
  <c r="V16" i="2"/>
  <c r="X16" i="2" s="1"/>
  <c r="V15" i="2"/>
  <c r="X15" i="2" s="1"/>
  <c r="V14" i="2"/>
  <c r="X14" i="2" s="1"/>
  <c r="V13" i="2"/>
  <c r="X13" i="2" s="1"/>
  <c r="V12" i="2"/>
  <c r="X12" i="2" s="1"/>
  <c r="V11" i="2"/>
  <c r="X11" i="2" s="1"/>
  <c r="G14" i="2"/>
  <c r="M14" i="2" s="1"/>
  <c r="G18" i="6"/>
  <c r="G18" i="2"/>
  <c r="M18" i="2" s="1"/>
  <c r="Y889" i="33"/>
  <c r="Y888" i="33"/>
  <c r="Y887" i="33"/>
  <c r="Y886" i="33"/>
  <c r="Y885" i="33"/>
  <c r="Y884" i="33"/>
  <c r="Y883" i="33"/>
  <c r="Y882" i="33"/>
  <c r="Y881" i="33"/>
  <c r="Y880" i="33"/>
  <c r="Y879" i="33"/>
  <c r="Y878" i="33"/>
  <c r="G30" i="21" s="1"/>
  <c r="Y877" i="33"/>
  <c r="Y876" i="33"/>
  <c r="Y875" i="33"/>
  <c r="G30" i="18" s="1"/>
  <c r="Y874" i="33"/>
  <c r="G30" i="17" s="1"/>
  <c r="Y873" i="33"/>
  <c r="G30" i="16" s="1"/>
  <c r="Y872" i="33"/>
  <c r="G30" i="15" s="1"/>
  <c r="Y871" i="33"/>
  <c r="G30" i="14" s="1"/>
  <c r="Y870" i="33"/>
  <c r="G30" i="13" s="1"/>
  <c r="Y869" i="33"/>
  <c r="G30" i="12" s="1"/>
  <c r="Y868" i="33"/>
  <c r="G30" i="11" s="1"/>
  <c r="Y867" i="33"/>
  <c r="G30" i="37" s="1"/>
  <c r="Y866" i="33"/>
  <c r="G30" i="9" s="1"/>
  <c r="Y865" i="33"/>
  <c r="G30" i="8" s="1"/>
  <c r="Y864" i="33"/>
  <c r="G30" i="7" s="1"/>
  <c r="Y863" i="33"/>
  <c r="G30" i="6" s="1"/>
  <c r="Y862" i="33"/>
  <c r="G30" i="5" s="1"/>
  <c r="Y861" i="33"/>
  <c r="G30" i="4" s="1"/>
  <c r="Y860" i="33"/>
  <c r="Y859" i="33"/>
  <c r="Y783" i="33"/>
  <c r="G28" i="2" s="1"/>
  <c r="M28" i="2" s="1"/>
  <c r="M28" i="3" s="1"/>
  <c r="M28" i="4" s="1"/>
  <c r="M28" i="5" s="1"/>
  <c r="M28" i="6" s="1"/>
  <c r="M28" i="7" s="1"/>
  <c r="M41" i="4" l="1"/>
  <c r="M41" i="5" s="1"/>
  <c r="M41" i="6" s="1"/>
  <c r="M41" i="7" s="1"/>
  <c r="T1317" i="33"/>
  <c r="V1317" i="33"/>
  <c r="X1317" i="33"/>
  <c r="W1279" i="33"/>
  <c r="U1435" i="33"/>
  <c r="W1435" i="33"/>
  <c r="U1436" i="33"/>
  <c r="U1473" i="33" s="1"/>
  <c r="W1436" i="33"/>
  <c r="T1240" i="33"/>
  <c r="V1240" i="33"/>
  <c r="X1240" i="33"/>
  <c r="W1316" i="33"/>
  <c r="U1474" i="33"/>
  <c r="W1474" i="33"/>
  <c r="U1240" i="33"/>
  <c r="W1240" i="33"/>
  <c r="U1316" i="33"/>
  <c r="T1474" i="33"/>
  <c r="V1474" i="33"/>
  <c r="X1474" i="33"/>
  <c r="U1353" i="33"/>
  <c r="U1354" i="33"/>
  <c r="W1354" i="33"/>
  <c r="T1239" i="33"/>
  <c r="V1239" i="33"/>
  <c r="X1239" i="33"/>
  <c r="U1276" i="33"/>
  <c r="W1276" i="33"/>
  <c r="W1313" i="33" s="1"/>
  <c r="T1277" i="33"/>
  <c r="V1277" i="33"/>
  <c r="X1277" i="33"/>
  <c r="T1279" i="33"/>
  <c r="V1279" i="33"/>
  <c r="X1279" i="33"/>
  <c r="T1315" i="33"/>
  <c r="V1315" i="33"/>
  <c r="X1315" i="33"/>
  <c r="T1275" i="33"/>
  <c r="V1275" i="33"/>
  <c r="X1275" i="33"/>
  <c r="U1275" i="33"/>
  <c r="W1275" i="33"/>
  <c r="U1321" i="33"/>
  <c r="W1321" i="33"/>
  <c r="U1359" i="33"/>
  <c r="W1359" i="33"/>
  <c r="T1435" i="33"/>
  <c r="V1435" i="33"/>
  <c r="X1435" i="33"/>
  <c r="T1321" i="33"/>
  <c r="T1434" i="33" s="1"/>
  <c r="V1321" i="33"/>
  <c r="V1434" i="33" s="1"/>
  <c r="X1321" i="33"/>
  <c r="X1434" i="33" s="1"/>
  <c r="T1472" i="33"/>
  <c r="X1472" i="33"/>
  <c r="W1472" i="33"/>
  <c r="U1244" i="33"/>
  <c r="W1244" i="33"/>
  <c r="U1282" i="33"/>
  <c r="W1282" i="33"/>
  <c r="U1320" i="33"/>
  <c r="W1320" i="33"/>
  <c r="U1358" i="33"/>
  <c r="W1358" i="33"/>
  <c r="W1473" i="33"/>
  <c r="T1244" i="33"/>
  <c r="V1244" i="33"/>
  <c r="X1244" i="33"/>
  <c r="T1282" i="33"/>
  <c r="V1282" i="33"/>
  <c r="X1282" i="33"/>
  <c r="T1320" i="33"/>
  <c r="V1320" i="33"/>
  <c r="X1320" i="33"/>
  <c r="T1358" i="33"/>
  <c r="X1358" i="33"/>
  <c r="T1473" i="33"/>
  <c r="V1473" i="33"/>
  <c r="X1473" i="33"/>
  <c r="M34" i="3"/>
  <c r="M34" i="4" s="1"/>
  <c r="T16" i="3"/>
  <c r="V16" i="3" s="1"/>
  <c r="X16" i="3" s="1"/>
  <c r="T16" i="4" s="1"/>
  <c r="V16" i="4" s="1"/>
  <c r="X16" i="4" s="1"/>
  <c r="T16" i="5" s="1"/>
  <c r="V16" i="5" s="1"/>
  <c r="X16" i="5" s="1"/>
  <c r="T16" i="6" s="1"/>
  <c r="V16" i="6" s="1"/>
  <c r="X16" i="6" s="1"/>
  <c r="T16" i="7" s="1"/>
  <c r="V16" i="7" s="1"/>
  <c r="X16" i="7" s="1"/>
  <c r="T16" i="8" s="1"/>
  <c r="V16" i="8" s="1"/>
  <c r="X16" i="8" s="1"/>
  <c r="T16" i="9" s="1"/>
  <c r="V16" i="9" s="1"/>
  <c r="X16" i="9" s="1"/>
  <c r="T16" i="37" s="1"/>
  <c r="V16" i="37" s="1"/>
  <c r="X16" i="37" s="1"/>
  <c r="T16" i="11" s="1"/>
  <c r="V16" i="11" s="1"/>
  <c r="X16" i="11" s="1"/>
  <c r="T16" i="12" s="1"/>
  <c r="V16" i="12" s="1"/>
  <c r="X16" i="12" s="1"/>
  <c r="T16" i="13" s="1"/>
  <c r="V16" i="13" s="1"/>
  <c r="X16" i="13" s="1"/>
  <c r="T16" i="14" s="1"/>
  <c r="V16" i="14" s="1"/>
  <c r="X16" i="14" s="1"/>
  <c r="T16" i="15" s="1"/>
  <c r="V16" i="15" s="1"/>
  <c r="X16" i="15" s="1"/>
  <c r="T16" i="16" s="1"/>
  <c r="V16" i="16" s="1"/>
  <c r="X16" i="16" s="1"/>
  <c r="T16" i="17" s="1"/>
  <c r="V16" i="17" s="1"/>
  <c r="X16" i="17" s="1"/>
  <c r="T13" i="3"/>
  <c r="V13" i="3" s="1"/>
  <c r="X13" i="3" s="1"/>
  <c r="T13" i="4" s="1"/>
  <c r="V13" i="4" s="1"/>
  <c r="X13" i="4" s="1"/>
  <c r="T13" i="5" s="1"/>
  <c r="V13" i="5" s="1"/>
  <c r="X13" i="5" s="1"/>
  <c r="T13" i="6" s="1"/>
  <c r="V13" i="6" s="1"/>
  <c r="X13" i="6" s="1"/>
  <c r="T13" i="7" s="1"/>
  <c r="V13" i="7" s="1"/>
  <c r="X13" i="7" s="1"/>
  <c r="T13" i="8" s="1"/>
  <c r="V13" i="8" s="1"/>
  <c r="X13" i="8" s="1"/>
  <c r="T13" i="9" s="1"/>
  <c r="V13" i="9" s="1"/>
  <c r="X13" i="9" s="1"/>
  <c r="T13" i="37" s="1"/>
  <c r="V13" i="37" s="1"/>
  <c r="X13" i="37" s="1"/>
  <c r="T13" i="11" s="1"/>
  <c r="V13" i="11" s="1"/>
  <c r="X13" i="11" s="1"/>
  <c r="T13" i="12" s="1"/>
  <c r="V13" i="12" s="1"/>
  <c r="X13" i="12" s="1"/>
  <c r="T13" i="13" s="1"/>
  <c r="V13" i="13" s="1"/>
  <c r="X13" i="13" s="1"/>
  <c r="T13" i="14" s="1"/>
  <c r="V13" i="14" s="1"/>
  <c r="X13" i="14" s="1"/>
  <c r="T13" i="15" s="1"/>
  <c r="V13" i="15" s="1"/>
  <c r="X13" i="15" s="1"/>
  <c r="T13" i="16" s="1"/>
  <c r="V13" i="16" s="1"/>
  <c r="X13" i="16" s="1"/>
  <c r="T13" i="17" s="1"/>
  <c r="V13" i="17" s="1"/>
  <c r="X13" i="17" s="1"/>
  <c r="T17" i="3"/>
  <c r="V17" i="3" s="1"/>
  <c r="X17" i="3" s="1"/>
  <c r="T17" i="4" s="1"/>
  <c r="V17" i="4" s="1"/>
  <c r="X17" i="4" s="1"/>
  <c r="T17" i="5" s="1"/>
  <c r="V17" i="5" s="1"/>
  <c r="X17" i="5" s="1"/>
  <c r="T17" i="6" s="1"/>
  <c r="V17" i="6" s="1"/>
  <c r="X17" i="6" s="1"/>
  <c r="T17" i="7" s="1"/>
  <c r="V17" i="7" s="1"/>
  <c r="X17" i="7" s="1"/>
  <c r="T17" i="8" s="1"/>
  <c r="V17" i="8" s="1"/>
  <c r="X17" i="8" s="1"/>
  <c r="T17" i="9" s="1"/>
  <c r="V17" i="9" s="1"/>
  <c r="X17" i="9" s="1"/>
  <c r="T17" i="37" s="1"/>
  <c r="V17" i="37" s="1"/>
  <c r="X17" i="37" s="1"/>
  <c r="T17" i="11" s="1"/>
  <c r="V17" i="11" s="1"/>
  <c r="X17" i="11" s="1"/>
  <c r="T17" i="12" s="1"/>
  <c r="V17" i="12" s="1"/>
  <c r="X17" i="12" s="1"/>
  <c r="T17" i="13" s="1"/>
  <c r="V17" i="13" s="1"/>
  <c r="X17" i="13" s="1"/>
  <c r="T17" i="14" s="1"/>
  <c r="V17" i="14" s="1"/>
  <c r="X17" i="14" s="1"/>
  <c r="T17" i="15" s="1"/>
  <c r="V17" i="15" s="1"/>
  <c r="X17" i="15" s="1"/>
  <c r="T17" i="16" s="1"/>
  <c r="V17" i="16" s="1"/>
  <c r="X17" i="16" s="1"/>
  <c r="T17" i="17" s="1"/>
  <c r="V17" i="17" s="1"/>
  <c r="X17" i="17" s="1"/>
  <c r="T14" i="3"/>
  <c r="V14" i="3" s="1"/>
  <c r="X14" i="3" s="1"/>
  <c r="T14" i="4" s="1"/>
  <c r="V14" i="4" s="1"/>
  <c r="X14" i="4" s="1"/>
  <c r="T14" i="5" s="1"/>
  <c r="V14" i="5" s="1"/>
  <c r="X14" i="5" s="1"/>
  <c r="T14" i="6" s="1"/>
  <c r="V14" i="6" s="1"/>
  <c r="X14" i="6" s="1"/>
  <c r="T14" i="7" s="1"/>
  <c r="V14" i="7" s="1"/>
  <c r="X14" i="7" s="1"/>
  <c r="T14" i="8" s="1"/>
  <c r="V14" i="8" s="1"/>
  <c r="X14" i="8" s="1"/>
  <c r="T14" i="9" s="1"/>
  <c r="V14" i="9" s="1"/>
  <c r="X14" i="9" s="1"/>
  <c r="T14" i="37" s="1"/>
  <c r="V14" i="37" s="1"/>
  <c r="X14" i="37" s="1"/>
  <c r="T14" i="11" s="1"/>
  <c r="V14" i="11" s="1"/>
  <c r="X14" i="11" s="1"/>
  <c r="T14" i="12" s="1"/>
  <c r="V14" i="12" s="1"/>
  <c r="X14" i="12" s="1"/>
  <c r="T14" i="13" s="1"/>
  <c r="V14" i="13" s="1"/>
  <c r="X14" i="13" s="1"/>
  <c r="T14" i="14" s="1"/>
  <c r="V14" i="14" s="1"/>
  <c r="X14" i="14" s="1"/>
  <c r="T14" i="15" s="1"/>
  <c r="V14" i="15" s="1"/>
  <c r="X14" i="15" s="1"/>
  <c r="T14" i="16" s="1"/>
  <c r="V14" i="16" s="1"/>
  <c r="X14" i="16" s="1"/>
  <c r="T14" i="17" s="1"/>
  <c r="V14" i="17" s="1"/>
  <c r="X14" i="17" s="1"/>
  <c r="T18" i="3"/>
  <c r="V18" i="3" s="1"/>
  <c r="X18" i="3" s="1"/>
  <c r="T18" i="4" s="1"/>
  <c r="V18" i="4" s="1"/>
  <c r="X18" i="4" s="1"/>
  <c r="T18" i="5" s="1"/>
  <c r="V18" i="5" s="1"/>
  <c r="X18" i="5" s="1"/>
  <c r="T18" i="6" s="1"/>
  <c r="V18" i="6" s="1"/>
  <c r="X18" i="6" s="1"/>
  <c r="T18" i="7" s="1"/>
  <c r="V18" i="7" s="1"/>
  <c r="X18" i="7" s="1"/>
  <c r="T18" i="8" s="1"/>
  <c r="V18" i="8" s="1"/>
  <c r="X18" i="8" s="1"/>
  <c r="T18" i="9" s="1"/>
  <c r="V18" i="9" s="1"/>
  <c r="X18" i="9" s="1"/>
  <c r="T18" i="37" s="1"/>
  <c r="V18" i="37" s="1"/>
  <c r="X18" i="37" s="1"/>
  <c r="T18" i="11" s="1"/>
  <c r="V18" i="11" s="1"/>
  <c r="X18" i="11" s="1"/>
  <c r="T18" i="12" s="1"/>
  <c r="V18" i="12" s="1"/>
  <c r="X18" i="12" s="1"/>
  <c r="T18" i="13" s="1"/>
  <c r="V18" i="13" s="1"/>
  <c r="X18" i="13" s="1"/>
  <c r="T18" i="14" s="1"/>
  <c r="V18" i="14" s="1"/>
  <c r="X18" i="14" s="1"/>
  <c r="T18" i="15" s="1"/>
  <c r="V18" i="15" s="1"/>
  <c r="X18" i="15" s="1"/>
  <c r="T18" i="16" s="1"/>
  <c r="V18" i="16" s="1"/>
  <c r="X18" i="16" s="1"/>
  <c r="T18" i="17" s="1"/>
  <c r="T12" i="3"/>
  <c r="V12" i="3" s="1"/>
  <c r="X12" i="3" s="1"/>
  <c r="T12" i="4" s="1"/>
  <c r="V12" i="4" s="1"/>
  <c r="X12" i="4" s="1"/>
  <c r="T12" i="5" s="1"/>
  <c r="V12" i="5" s="1"/>
  <c r="X12" i="5" s="1"/>
  <c r="T12" i="6" s="1"/>
  <c r="V12" i="6" s="1"/>
  <c r="X12" i="6" s="1"/>
  <c r="T12" i="7" s="1"/>
  <c r="V12" i="7" s="1"/>
  <c r="X12" i="7" s="1"/>
  <c r="T12" i="8" s="1"/>
  <c r="V12" i="8" s="1"/>
  <c r="X12" i="8" s="1"/>
  <c r="T12" i="9" s="1"/>
  <c r="V12" i="9" s="1"/>
  <c r="X12" i="9" s="1"/>
  <c r="T12" i="37" s="1"/>
  <c r="V12" i="37" s="1"/>
  <c r="X12" i="37" s="1"/>
  <c r="T12" i="11" s="1"/>
  <c r="V12" i="11" s="1"/>
  <c r="X12" i="11" s="1"/>
  <c r="T12" i="12" s="1"/>
  <c r="V12" i="12" s="1"/>
  <c r="X12" i="12" s="1"/>
  <c r="T12" i="13" s="1"/>
  <c r="V12" i="13" s="1"/>
  <c r="X12" i="13" s="1"/>
  <c r="T12" i="14" s="1"/>
  <c r="V12" i="14" s="1"/>
  <c r="X12" i="14" s="1"/>
  <c r="T12" i="15" s="1"/>
  <c r="V12" i="15" s="1"/>
  <c r="X12" i="15" s="1"/>
  <c r="T12" i="16" s="1"/>
  <c r="V12" i="16" s="1"/>
  <c r="X12" i="16" s="1"/>
  <c r="T12" i="17" s="1"/>
  <c r="V12" i="17" s="1"/>
  <c r="X12" i="17" s="1"/>
  <c r="T11" i="3"/>
  <c r="V11" i="3" s="1"/>
  <c r="X11" i="3" s="1"/>
  <c r="T11" i="4" s="1"/>
  <c r="V11" i="4" s="1"/>
  <c r="X11" i="4" s="1"/>
  <c r="T11" i="5" s="1"/>
  <c r="V11" i="5" s="1"/>
  <c r="X11" i="5" s="1"/>
  <c r="T11" i="6" s="1"/>
  <c r="V11" i="6" s="1"/>
  <c r="X11" i="6" s="1"/>
  <c r="T11" i="7" s="1"/>
  <c r="V11" i="7" s="1"/>
  <c r="X11" i="7" s="1"/>
  <c r="T11" i="8" s="1"/>
  <c r="V11" i="8" s="1"/>
  <c r="X11" i="8" s="1"/>
  <c r="T11" i="9" s="1"/>
  <c r="V11" i="9" s="1"/>
  <c r="X11" i="9" s="1"/>
  <c r="T11" i="37" s="1"/>
  <c r="V11" i="37" s="1"/>
  <c r="X11" i="37" s="1"/>
  <c r="T11" i="11" s="1"/>
  <c r="V11" i="11" s="1"/>
  <c r="X11" i="11" s="1"/>
  <c r="T11" i="12" s="1"/>
  <c r="V11" i="12" s="1"/>
  <c r="X11" i="12" s="1"/>
  <c r="T11" i="13" s="1"/>
  <c r="V11" i="13" s="1"/>
  <c r="X11" i="13" s="1"/>
  <c r="T11" i="14" s="1"/>
  <c r="V11" i="14" s="1"/>
  <c r="X11" i="14" s="1"/>
  <c r="T11" i="15" s="1"/>
  <c r="V11" i="15" s="1"/>
  <c r="X11" i="15" s="1"/>
  <c r="T11" i="16" s="1"/>
  <c r="V11" i="16" s="1"/>
  <c r="X11" i="16" s="1"/>
  <c r="T11" i="17" s="1"/>
  <c r="V11" i="17" s="1"/>
  <c r="X11" i="17" s="1"/>
  <c r="T15" i="3"/>
  <c r="V15" i="3" s="1"/>
  <c r="X15" i="3" s="1"/>
  <c r="T15" i="4" s="1"/>
  <c r="V15" i="4" s="1"/>
  <c r="X15" i="4" s="1"/>
  <c r="T15" i="5" s="1"/>
  <c r="V15" i="5" s="1"/>
  <c r="X15" i="5" s="1"/>
  <c r="T15" i="6" s="1"/>
  <c r="V15" i="6" s="1"/>
  <c r="X15" i="6" s="1"/>
  <c r="T15" i="7" s="1"/>
  <c r="V15" i="7" s="1"/>
  <c r="X15" i="7" s="1"/>
  <c r="T15" i="8" s="1"/>
  <c r="V15" i="8" s="1"/>
  <c r="X15" i="8" s="1"/>
  <c r="T15" i="9" s="1"/>
  <c r="V15" i="9" s="1"/>
  <c r="X15" i="9" s="1"/>
  <c r="T15" i="37" s="1"/>
  <c r="V15" i="37" s="1"/>
  <c r="X15" i="37" s="1"/>
  <c r="T15" i="11" s="1"/>
  <c r="V15" i="11" s="1"/>
  <c r="X15" i="11" s="1"/>
  <c r="T15" i="12" s="1"/>
  <c r="V15" i="12" s="1"/>
  <c r="X15" i="12" s="1"/>
  <c r="T15" i="13" s="1"/>
  <c r="V15" i="13" s="1"/>
  <c r="X15" i="13" s="1"/>
  <c r="T15" i="14" s="1"/>
  <c r="V15" i="14" s="1"/>
  <c r="X15" i="14" s="1"/>
  <c r="T15" i="15" s="1"/>
  <c r="V15" i="15" s="1"/>
  <c r="X15" i="15" s="1"/>
  <c r="T15" i="16" s="1"/>
  <c r="V15" i="16" s="1"/>
  <c r="X15" i="16" s="1"/>
  <c r="T15" i="17" s="1"/>
  <c r="V15" i="17" s="1"/>
  <c r="X15" i="17" s="1"/>
  <c r="AE11" i="20"/>
  <c r="AA11" i="21" s="1"/>
  <c r="AC11" i="21" s="1"/>
  <c r="AE11" i="21" s="1"/>
  <c r="AA11" i="22" s="1"/>
  <c r="AC11" i="22" s="1"/>
  <c r="AE11" i="22" s="1"/>
  <c r="AA11" i="23" s="1"/>
  <c r="AC11" i="23" s="1"/>
  <c r="AE11" i="23" s="1"/>
  <c r="AA11" i="24" s="1"/>
  <c r="AC11" i="24" s="1"/>
  <c r="AE11" i="24" s="1"/>
  <c r="AA11" i="25" s="1"/>
  <c r="AC11" i="25" s="1"/>
  <c r="AE11" i="25" s="1"/>
  <c r="AA11" i="26" s="1"/>
  <c r="AC11" i="26" s="1"/>
  <c r="AE11" i="26" s="1"/>
  <c r="AA11" i="27" s="1"/>
  <c r="AC11" i="27" s="1"/>
  <c r="AE11" i="27" s="1"/>
  <c r="AA11" i="28" s="1"/>
  <c r="AC11" i="28" s="1"/>
  <c r="AE11" i="28" s="1"/>
  <c r="AA11" i="29" s="1"/>
  <c r="AC11" i="29" s="1"/>
  <c r="AE11" i="29" s="1"/>
  <c r="AA11" i="30" s="1"/>
  <c r="AC11" i="30" s="1"/>
  <c r="AE11" i="30" s="1"/>
  <c r="AA11" i="31" s="1"/>
  <c r="AC11" i="31" s="1"/>
  <c r="AE11" i="31" s="1"/>
  <c r="AA11" i="32" s="1"/>
  <c r="AC11" i="32" s="1"/>
  <c r="AE11" i="32" s="1"/>
  <c r="N31" i="3"/>
  <c r="N31" i="4" s="1"/>
  <c r="N31" i="5" s="1"/>
  <c r="N31" i="6" s="1"/>
  <c r="N31" i="7" s="1"/>
  <c r="V1478" i="33"/>
  <c r="U1479" i="33"/>
  <c r="T1484" i="33"/>
  <c r="V1460" i="33"/>
  <c r="V1479" i="33"/>
  <c r="U1484" i="33"/>
  <c r="T1485" i="33"/>
  <c r="U1460" i="33"/>
  <c r="T1478" i="33"/>
  <c r="V1484" i="33"/>
  <c r="U1485" i="33"/>
  <c r="T1460" i="33"/>
  <c r="U1478" i="33"/>
  <c r="T1479" i="33"/>
  <c r="V1485" i="33"/>
  <c r="M43" i="3"/>
  <c r="M43" i="4" s="1"/>
  <c r="M43" i="5" s="1"/>
  <c r="M43" i="6" s="1"/>
  <c r="M43" i="7" s="1"/>
  <c r="N44" i="3"/>
  <c r="N44" i="4" s="1"/>
  <c r="N44" i="5" s="1"/>
  <c r="N44" i="6" s="1"/>
  <c r="N44" i="7" s="1"/>
  <c r="N19" i="3"/>
  <c r="N19" i="4" s="1"/>
  <c r="N19" i="5" s="1"/>
  <c r="N19" i="6" s="1"/>
  <c r="N19" i="7" s="1"/>
  <c r="I43" i="3"/>
  <c r="AA1351" i="33"/>
  <c r="H43" i="4"/>
  <c r="I43" i="2"/>
  <c r="L43" i="3"/>
  <c r="H43" i="3"/>
  <c r="AA1422" i="33"/>
  <c r="AD1422" i="33" s="1"/>
  <c r="Z1423" i="33" s="1"/>
  <c r="AA1423" i="33" s="1"/>
  <c r="M27" i="3"/>
  <c r="M27" i="4" s="1"/>
  <c r="M23" i="3"/>
  <c r="N14" i="3"/>
  <c r="N14" i="4" s="1"/>
  <c r="N14" i="5" s="1"/>
  <c r="N14" i="6" s="1"/>
  <c r="N14" i="7" s="1"/>
  <c r="N14" i="8" s="1"/>
  <c r="N14" i="9" s="1"/>
  <c r="N14" i="37" s="1"/>
  <c r="N14" i="11" s="1"/>
  <c r="N14" i="12" s="1"/>
  <c r="N14" i="13" s="1"/>
  <c r="N14" i="14" s="1"/>
  <c r="N14" i="15" s="1"/>
  <c r="N14" i="16" s="1"/>
  <c r="N14" i="17" s="1"/>
  <c r="N14" i="18" s="1"/>
  <c r="N14" i="19" s="1"/>
  <c r="N14" i="20" s="1"/>
  <c r="N14" i="21" s="1"/>
  <c r="N14" i="22" s="1"/>
  <c r="N14" i="23" s="1"/>
  <c r="N14" i="24" s="1"/>
  <c r="N14" i="25" s="1"/>
  <c r="N14" i="26" s="1"/>
  <c r="N14" i="27" s="1"/>
  <c r="N14" i="28" s="1"/>
  <c r="N14" i="29" s="1"/>
  <c r="N14" i="30" s="1"/>
  <c r="N14" i="31" s="1"/>
  <c r="N14" i="32" s="1"/>
  <c r="L40" i="3"/>
  <c r="N36" i="3"/>
  <c r="N36" i="4" s="1"/>
  <c r="N36" i="5" s="1"/>
  <c r="N36" i="6" s="1"/>
  <c r="N36" i="7" s="1"/>
  <c r="M34" i="5"/>
  <c r="M34" i="6" s="1"/>
  <c r="M34" i="7" s="1"/>
  <c r="N16" i="3"/>
  <c r="N16" i="4" s="1"/>
  <c r="N16" i="5" s="1"/>
  <c r="N16" i="6" s="1"/>
  <c r="N16" i="7" s="1"/>
  <c r="N16" i="8" s="1"/>
  <c r="N16" i="9" s="1"/>
  <c r="N16" i="37" s="1"/>
  <c r="N16" i="11" s="1"/>
  <c r="N16" i="12" s="1"/>
  <c r="N16" i="13" s="1"/>
  <c r="N16" i="14" s="1"/>
  <c r="N16" i="15" s="1"/>
  <c r="N16" i="16" s="1"/>
  <c r="N16" i="17" s="1"/>
  <c r="N16" i="18" s="1"/>
  <c r="N16" i="19" s="1"/>
  <c r="N16" i="20" s="1"/>
  <c r="N16" i="21" s="1"/>
  <c r="N16" i="22" s="1"/>
  <c r="N16" i="23" s="1"/>
  <c r="N16" i="24" s="1"/>
  <c r="N16" i="25" s="1"/>
  <c r="N16" i="26" s="1"/>
  <c r="N16" i="27" s="1"/>
  <c r="N16" i="28" s="1"/>
  <c r="N16" i="29" s="1"/>
  <c r="N16" i="30" s="1"/>
  <c r="N16" i="31" s="1"/>
  <c r="N16" i="32" s="1"/>
  <c r="N27" i="3"/>
  <c r="N27" i="4" s="1"/>
  <c r="N27" i="5" s="1"/>
  <c r="N27" i="6" s="1"/>
  <c r="N27" i="7" s="1"/>
  <c r="M29" i="3"/>
  <c r="M29" i="4" s="1"/>
  <c r="M29" i="5" s="1"/>
  <c r="M29" i="6" s="1"/>
  <c r="M29" i="7" s="1"/>
  <c r="M32" i="3"/>
  <c r="M32" i="4" s="1"/>
  <c r="M32" i="5" s="1"/>
  <c r="M32" i="6" s="1"/>
  <c r="M32" i="7" s="1"/>
  <c r="N37" i="3"/>
  <c r="N37" i="4" s="1"/>
  <c r="N37" i="5" s="1"/>
  <c r="N37" i="6" s="1"/>
  <c r="N37" i="7" s="1"/>
  <c r="N41" i="3"/>
  <c r="N41" i="4" s="1"/>
  <c r="N41" i="5" s="1"/>
  <c r="N41" i="6" s="1"/>
  <c r="N41" i="7" s="1"/>
  <c r="M45" i="3"/>
  <c r="M45" i="4" s="1"/>
  <c r="M45" i="5" s="1"/>
  <c r="M45" i="6" s="1"/>
  <c r="M45" i="7" s="1"/>
  <c r="M35" i="4"/>
  <c r="M35" i="5" s="1"/>
  <c r="M35" i="6" s="1"/>
  <c r="M35" i="7" s="1"/>
  <c r="N15" i="3"/>
  <c r="N15" i="4" s="1"/>
  <c r="N15" i="5" s="1"/>
  <c r="N15" i="6" s="1"/>
  <c r="N15" i="7" s="1"/>
  <c r="N15" i="8" s="1"/>
  <c r="N15" i="9" s="1"/>
  <c r="N15" i="37" s="1"/>
  <c r="N15" i="11" s="1"/>
  <c r="N15" i="12" s="1"/>
  <c r="N15" i="13" s="1"/>
  <c r="N15" i="14" s="1"/>
  <c r="N15" i="15" s="1"/>
  <c r="N15" i="16" s="1"/>
  <c r="N15" i="17" s="1"/>
  <c r="N15" i="18" s="1"/>
  <c r="N15" i="19" s="1"/>
  <c r="N15" i="20" s="1"/>
  <c r="N15" i="21" s="1"/>
  <c r="N15" i="22" s="1"/>
  <c r="N15" i="23" s="1"/>
  <c r="N15" i="24" s="1"/>
  <c r="N15" i="25" s="1"/>
  <c r="N15" i="26" s="1"/>
  <c r="N15" i="27" s="1"/>
  <c r="N15" i="28" s="1"/>
  <c r="N15" i="29" s="1"/>
  <c r="N15" i="30" s="1"/>
  <c r="N15" i="31" s="1"/>
  <c r="N15" i="32" s="1"/>
  <c r="N30" i="3"/>
  <c r="N30" i="4" s="1"/>
  <c r="N30" i="5" s="1"/>
  <c r="N30" i="6" s="1"/>
  <c r="N30" i="7" s="1"/>
  <c r="N11" i="3"/>
  <c r="N11" i="4" s="1"/>
  <c r="N11" i="5" s="1"/>
  <c r="N11" i="6" s="1"/>
  <c r="N11" i="7" s="1"/>
  <c r="N11" i="8" s="1"/>
  <c r="N11" i="9" s="1"/>
  <c r="N11" i="37" s="1"/>
  <c r="N11" i="11" s="1"/>
  <c r="N11" i="12" s="1"/>
  <c r="N11" i="13" s="1"/>
  <c r="N11" i="14" s="1"/>
  <c r="N11" i="15" s="1"/>
  <c r="N11" i="16" s="1"/>
  <c r="N11" i="17" s="1"/>
  <c r="N11" i="18" s="1"/>
  <c r="N11" i="19" s="1"/>
  <c r="N11" i="20" s="1"/>
  <c r="N11" i="21" s="1"/>
  <c r="N11" i="22" s="1"/>
  <c r="N11" i="23" s="1"/>
  <c r="N11" i="24" s="1"/>
  <c r="N11" i="25" s="1"/>
  <c r="N11" i="26" s="1"/>
  <c r="N11" i="27" s="1"/>
  <c r="N11" i="28" s="1"/>
  <c r="N11" i="29" s="1"/>
  <c r="N11" i="30" s="1"/>
  <c r="N11" i="31" s="1"/>
  <c r="N11" i="32" s="1"/>
  <c r="N21" i="3"/>
  <c r="N21" i="4" s="1"/>
  <c r="N21" i="5" s="1"/>
  <c r="N21" i="6" s="1"/>
  <c r="N21" i="7" s="1"/>
  <c r="M31" i="4"/>
  <c r="M31" i="5" s="1"/>
  <c r="M31" i="6" s="1"/>
  <c r="M31" i="7" s="1"/>
  <c r="M44" i="3"/>
  <c r="M44" i="4" s="1"/>
  <c r="M44" i="5" s="1"/>
  <c r="N38" i="3"/>
  <c r="N38" i="4" s="1"/>
  <c r="N38" i="5" s="1"/>
  <c r="N38" i="6" s="1"/>
  <c r="N38" i="7" s="1"/>
  <c r="M33" i="5"/>
  <c r="M33" i="6" s="1"/>
  <c r="M33" i="7" s="1"/>
  <c r="M18" i="3"/>
  <c r="M18" i="4" s="1"/>
  <c r="M18" i="5" s="1"/>
  <c r="M18" i="6" s="1"/>
  <c r="M18" i="7" s="1"/>
  <c r="M18" i="8" s="1"/>
  <c r="M18" i="9" s="1"/>
  <c r="M18" i="37" s="1"/>
  <c r="M18" i="11" s="1"/>
  <c r="M18" i="12" s="1"/>
  <c r="M18" i="13" s="1"/>
  <c r="M18" i="14" s="1"/>
  <c r="M18" i="15" s="1"/>
  <c r="M18" i="16" s="1"/>
  <c r="M18" i="17" s="1"/>
  <c r="M18" i="18" s="1"/>
  <c r="M18" i="19" s="1"/>
  <c r="M18" i="20" s="1"/>
  <c r="M18" i="21" s="1"/>
  <c r="M18" i="22" s="1"/>
  <c r="M18" i="23" s="1"/>
  <c r="M18" i="24" s="1"/>
  <c r="M18" i="25" s="1"/>
  <c r="M18" i="26" s="1"/>
  <c r="M18" i="27" s="1"/>
  <c r="M18" i="28" s="1"/>
  <c r="M18" i="29" s="1"/>
  <c r="M18" i="30" s="1"/>
  <c r="M18" i="31" s="1"/>
  <c r="M18" i="32" s="1"/>
  <c r="I42" i="3"/>
  <c r="AA1314" i="33"/>
  <c r="H42" i="4"/>
  <c r="L42" i="3"/>
  <c r="H42" i="3"/>
  <c r="H40" i="3"/>
  <c r="Y1343" i="33"/>
  <c r="Y1306" i="33"/>
  <c r="M36" i="3"/>
  <c r="M36" i="4" s="1"/>
  <c r="M36" i="5" s="1"/>
  <c r="M36" i="6" s="1"/>
  <c r="M36" i="7" s="1"/>
  <c r="N12" i="3"/>
  <c r="N12" i="4" s="1"/>
  <c r="N12" i="5" s="1"/>
  <c r="N12" i="6" s="1"/>
  <c r="N12" i="7" s="1"/>
  <c r="N12" i="8" s="1"/>
  <c r="N12" i="9" s="1"/>
  <c r="N12" i="37" s="1"/>
  <c r="N12" i="11" s="1"/>
  <c r="N12" i="12" s="1"/>
  <c r="N12" i="13" s="1"/>
  <c r="N12" i="14" s="1"/>
  <c r="N12" i="15" s="1"/>
  <c r="N12" i="16" s="1"/>
  <c r="N12" i="17" s="1"/>
  <c r="N12" i="18" s="1"/>
  <c r="N12" i="19" s="1"/>
  <c r="N12" i="20" s="1"/>
  <c r="N12" i="21" s="1"/>
  <c r="N12" i="22" s="1"/>
  <c r="N12" i="23" s="1"/>
  <c r="N12" i="24" s="1"/>
  <c r="N12" i="25" s="1"/>
  <c r="N12" i="26" s="1"/>
  <c r="N12" i="27" s="1"/>
  <c r="N12" i="28" s="1"/>
  <c r="N12" i="29" s="1"/>
  <c r="N12" i="30" s="1"/>
  <c r="N12" i="31" s="1"/>
  <c r="N12" i="32" s="1"/>
  <c r="Y1269" i="33"/>
  <c r="G45" i="32"/>
  <c r="G45" i="16"/>
  <c r="G45" i="15"/>
  <c r="Y1453" i="33"/>
  <c r="D1490" i="33"/>
  <c r="G45" i="31"/>
  <c r="G45" i="29"/>
  <c r="J1490" i="33"/>
  <c r="B1490" i="33"/>
  <c r="B1492" i="33" s="1"/>
  <c r="F1490" i="33"/>
  <c r="G45" i="37"/>
  <c r="G45" i="11"/>
  <c r="G45" i="12"/>
  <c r="G45" i="13"/>
  <c r="G39" i="2"/>
  <c r="M39" i="2" s="1"/>
  <c r="M39" i="3" s="1"/>
  <c r="M39" i="4" s="1"/>
  <c r="M39" i="5" s="1"/>
  <c r="M39" i="6" s="1"/>
  <c r="M39" i="7" s="1"/>
  <c r="Q1490" i="33"/>
  <c r="O1490" i="33"/>
  <c r="G1490" i="33"/>
  <c r="C1490" i="33"/>
  <c r="AA1240" i="33"/>
  <c r="H40" i="4"/>
  <c r="I40" i="3"/>
  <c r="S1490" i="33"/>
  <c r="Y1417" i="33"/>
  <c r="G44" i="6"/>
  <c r="R1490" i="33"/>
  <c r="M1490" i="33"/>
  <c r="H1490" i="33"/>
  <c r="K1490" i="33"/>
  <c r="K1492" i="33" s="1"/>
  <c r="N1490" i="33"/>
  <c r="I1490" i="33"/>
  <c r="L1490" i="33"/>
  <c r="Z1387" i="33"/>
  <c r="L44" i="2"/>
  <c r="I44" i="2"/>
  <c r="L43" i="2"/>
  <c r="I42" i="2"/>
  <c r="L42" i="2"/>
  <c r="Z1276" i="33"/>
  <c r="L41" i="2"/>
  <c r="I41" i="2"/>
  <c r="Y1232" i="33"/>
  <c r="AA1201" i="33"/>
  <c r="I39" i="2" s="1"/>
  <c r="I40" i="2"/>
  <c r="L40" i="2"/>
  <c r="Y1195" i="33"/>
  <c r="F40" i="3"/>
  <c r="F39" i="3"/>
  <c r="F38" i="3"/>
  <c r="F37" i="3"/>
  <c r="F36" i="3"/>
  <c r="F35" i="3"/>
  <c r="F34" i="3"/>
  <c r="F33" i="3"/>
  <c r="F32" i="3"/>
  <c r="F31" i="3"/>
  <c r="F30" i="3"/>
  <c r="F30" i="4" s="1"/>
  <c r="F29" i="3"/>
  <c r="F29" i="4" s="1"/>
  <c r="F28" i="3"/>
  <c r="F28" i="4" s="1"/>
  <c r="F27" i="3"/>
  <c r="F27" i="4" s="1"/>
  <c r="F26" i="3"/>
  <c r="F26" i="4" s="1"/>
  <c r="F25" i="3"/>
  <c r="F25" i="4" s="1"/>
  <c r="F24" i="3"/>
  <c r="F24" i="4" s="1"/>
  <c r="F23" i="3"/>
  <c r="F23" i="4" s="1"/>
  <c r="F22" i="3"/>
  <c r="F22" i="4" s="1"/>
  <c r="F21" i="3"/>
  <c r="F21" i="4" s="1"/>
  <c r="F20" i="3"/>
  <c r="F20" i="4" s="1"/>
  <c r="F20" i="5" s="1"/>
  <c r="F19" i="3"/>
  <c r="F19" i="4" s="1"/>
  <c r="F19" i="5" s="1"/>
  <c r="F19" i="6" s="1"/>
  <c r="F19" i="7" s="1"/>
  <c r="F18" i="3"/>
  <c r="F18" i="4" s="1"/>
  <c r="F18" i="5" s="1"/>
  <c r="F18" i="6" s="1"/>
  <c r="F18" i="7" s="1"/>
  <c r="F18" i="8" s="1"/>
  <c r="F18" i="9" s="1"/>
  <c r="F18" i="37" s="1"/>
  <c r="F18" i="11" s="1"/>
  <c r="F18" i="12" s="1"/>
  <c r="F18" i="13" s="1"/>
  <c r="F18" i="14" s="1"/>
  <c r="F18" i="15" s="1"/>
  <c r="F18" i="16" s="1"/>
  <c r="F18" i="17" s="1"/>
  <c r="F18" i="18" s="1"/>
  <c r="F18" i="19" s="1"/>
  <c r="F18" i="20" s="1"/>
  <c r="F18" i="21" s="1"/>
  <c r="F18" i="22" s="1"/>
  <c r="F18" i="23" s="1"/>
  <c r="F18" i="24" s="1"/>
  <c r="F18" i="25" s="1"/>
  <c r="F18" i="26" s="1"/>
  <c r="F18" i="27" s="1"/>
  <c r="F18" i="28" s="1"/>
  <c r="F18" i="29" s="1"/>
  <c r="F18" i="30" s="1"/>
  <c r="F18" i="31" s="1"/>
  <c r="F18" i="32" s="1"/>
  <c r="F17" i="3"/>
  <c r="F17" i="4" s="1"/>
  <c r="F17" i="5" s="1"/>
  <c r="F17" i="6" s="1"/>
  <c r="F17" i="7" s="1"/>
  <c r="F17" i="8" s="1"/>
  <c r="F17" i="9" s="1"/>
  <c r="F17" i="37" s="1"/>
  <c r="F17" i="11" s="1"/>
  <c r="F17" i="12" s="1"/>
  <c r="F17" i="13" s="1"/>
  <c r="F17" i="14" s="1"/>
  <c r="F17" i="15" s="1"/>
  <c r="F17" i="16" s="1"/>
  <c r="F17" i="17" s="1"/>
  <c r="F17" i="18" s="1"/>
  <c r="F17" i="19" s="1"/>
  <c r="F17" i="20" s="1"/>
  <c r="F17" i="21" s="1"/>
  <c r="F17" i="22" s="1"/>
  <c r="F17" i="23" s="1"/>
  <c r="F17" i="24" s="1"/>
  <c r="F17" i="25" s="1"/>
  <c r="F17" i="26" s="1"/>
  <c r="F17" i="27" s="1"/>
  <c r="F17" i="28" s="1"/>
  <c r="F17" i="29" s="1"/>
  <c r="F17" i="30" s="1"/>
  <c r="F17" i="31" s="1"/>
  <c r="F17" i="32" s="1"/>
  <c r="F16" i="3"/>
  <c r="F16" i="4" s="1"/>
  <c r="F16" i="5" s="1"/>
  <c r="F16" i="6" s="1"/>
  <c r="F16" i="7" s="1"/>
  <c r="F16" i="8" s="1"/>
  <c r="F16" i="9" s="1"/>
  <c r="F16" i="37" s="1"/>
  <c r="F16" i="11" s="1"/>
  <c r="F16" i="12" s="1"/>
  <c r="F16" i="13" s="1"/>
  <c r="F16" i="14" s="1"/>
  <c r="F16" i="15" s="1"/>
  <c r="F16" i="16" s="1"/>
  <c r="F16" i="17" s="1"/>
  <c r="F16" i="18" s="1"/>
  <c r="F16" i="19" s="1"/>
  <c r="F16" i="20" s="1"/>
  <c r="F16" i="21" s="1"/>
  <c r="F16" i="22" s="1"/>
  <c r="F16" i="23" s="1"/>
  <c r="F16" i="24" s="1"/>
  <c r="F16" i="25" s="1"/>
  <c r="F16" i="26" s="1"/>
  <c r="F16" i="27" s="1"/>
  <c r="F16" i="28" s="1"/>
  <c r="F16" i="29" s="1"/>
  <c r="F16" i="30" s="1"/>
  <c r="F16" i="31" s="1"/>
  <c r="F16" i="32" s="1"/>
  <c r="F15" i="3"/>
  <c r="F15" i="4" s="1"/>
  <c r="F15" i="5" s="1"/>
  <c r="F15" i="6" s="1"/>
  <c r="F15" i="7" s="1"/>
  <c r="F15" i="8" s="1"/>
  <c r="F15" i="9" s="1"/>
  <c r="F15" i="37" s="1"/>
  <c r="F15" i="11" s="1"/>
  <c r="F15" i="12" s="1"/>
  <c r="F15" i="13" s="1"/>
  <c r="F15" i="14" s="1"/>
  <c r="F15" i="15" s="1"/>
  <c r="F15" i="16" s="1"/>
  <c r="F15" i="17" s="1"/>
  <c r="F15" i="18" s="1"/>
  <c r="F15" i="19" s="1"/>
  <c r="F15" i="20" s="1"/>
  <c r="F15" i="21" s="1"/>
  <c r="F15" i="22" s="1"/>
  <c r="F15" i="23" s="1"/>
  <c r="F15" i="24" s="1"/>
  <c r="F15" i="25" s="1"/>
  <c r="F15" i="26" s="1"/>
  <c r="F15" i="27" s="1"/>
  <c r="F15" i="28" s="1"/>
  <c r="F15" i="29" s="1"/>
  <c r="F15" i="30" s="1"/>
  <c r="F15" i="31" s="1"/>
  <c r="F15" i="32" s="1"/>
  <c r="F14" i="3"/>
  <c r="F14" i="4" s="1"/>
  <c r="F14" i="5" s="1"/>
  <c r="F14" i="6" s="1"/>
  <c r="F14" i="7" s="1"/>
  <c r="F14" i="8" s="1"/>
  <c r="F14" i="9" s="1"/>
  <c r="F14" i="37" s="1"/>
  <c r="F14" i="11" s="1"/>
  <c r="F14" i="12" s="1"/>
  <c r="F14" i="13" s="1"/>
  <c r="F14" i="14" s="1"/>
  <c r="F14" i="15" s="1"/>
  <c r="F14" i="16" s="1"/>
  <c r="F14" i="17" s="1"/>
  <c r="F14" i="18" s="1"/>
  <c r="F14" i="19" s="1"/>
  <c r="F14" i="20" s="1"/>
  <c r="F14" i="21" s="1"/>
  <c r="F14" i="22" s="1"/>
  <c r="F14" i="23" s="1"/>
  <c r="F14" i="24" s="1"/>
  <c r="F14" i="25" s="1"/>
  <c r="F14" i="26" s="1"/>
  <c r="F14" i="27" s="1"/>
  <c r="F14" i="28" s="1"/>
  <c r="F14" i="29" s="1"/>
  <c r="F14" i="30" s="1"/>
  <c r="F14" i="31" s="1"/>
  <c r="F14" i="32" s="1"/>
  <c r="F13" i="3"/>
  <c r="F13" i="4" s="1"/>
  <c r="F13" i="5" s="1"/>
  <c r="F13" i="6" s="1"/>
  <c r="F13" i="7" s="1"/>
  <c r="F13" i="8" s="1"/>
  <c r="F13" i="9" s="1"/>
  <c r="F13" i="37" s="1"/>
  <c r="F13" i="11" s="1"/>
  <c r="F13" i="12" s="1"/>
  <c r="F13" i="13" s="1"/>
  <c r="F13" i="14" s="1"/>
  <c r="F13" i="15" s="1"/>
  <c r="F13" i="16" s="1"/>
  <c r="F13" i="17" s="1"/>
  <c r="F13" i="18" s="1"/>
  <c r="F13" i="19" s="1"/>
  <c r="F13" i="20" s="1"/>
  <c r="F13" i="21" s="1"/>
  <c r="F13" i="22" s="1"/>
  <c r="F13" i="23" s="1"/>
  <c r="F13" i="24" s="1"/>
  <c r="F13" i="25" s="1"/>
  <c r="F13" i="26" s="1"/>
  <c r="F13" i="27" s="1"/>
  <c r="F13" i="28" s="1"/>
  <c r="F13" i="29" s="1"/>
  <c r="F13" i="30" s="1"/>
  <c r="F13" i="31" s="1"/>
  <c r="F13" i="32" s="1"/>
  <c r="F12" i="3"/>
  <c r="F12" i="4" s="1"/>
  <c r="F12" i="5" s="1"/>
  <c r="F12" i="6" s="1"/>
  <c r="F12" i="7" s="1"/>
  <c r="F12" i="8" s="1"/>
  <c r="F12" i="9" s="1"/>
  <c r="F12" i="37" s="1"/>
  <c r="F12" i="11" s="1"/>
  <c r="F12" i="12" s="1"/>
  <c r="F12" i="13" s="1"/>
  <c r="F12" i="14" s="1"/>
  <c r="F12" i="15" s="1"/>
  <c r="F12" i="16" s="1"/>
  <c r="F12" i="17" s="1"/>
  <c r="F12" i="18" s="1"/>
  <c r="F12" i="19" s="1"/>
  <c r="F12" i="20" s="1"/>
  <c r="F12" i="21" s="1"/>
  <c r="F12" i="22" s="1"/>
  <c r="F12" i="23" s="1"/>
  <c r="F12" i="24" s="1"/>
  <c r="F12" i="25" s="1"/>
  <c r="F12" i="26" s="1"/>
  <c r="F12" i="27" s="1"/>
  <c r="F12" i="28" s="1"/>
  <c r="F12" i="29" s="1"/>
  <c r="F12" i="30" s="1"/>
  <c r="F12" i="31" s="1"/>
  <c r="F12" i="32" s="1"/>
  <c r="F11" i="3"/>
  <c r="F11" i="4" s="1"/>
  <c r="F11" i="5" s="1"/>
  <c r="F11" i="6" s="1"/>
  <c r="F11" i="7" s="1"/>
  <c r="F11" i="8" s="1"/>
  <c r="F11" i="9" s="1"/>
  <c r="F11" i="37" s="1"/>
  <c r="F11" i="11" s="1"/>
  <c r="F11" i="12" s="1"/>
  <c r="F11" i="13" s="1"/>
  <c r="F11" i="14" s="1"/>
  <c r="F11" i="15" s="1"/>
  <c r="F11" i="16" s="1"/>
  <c r="F11" i="17" s="1"/>
  <c r="F11" i="18" s="1"/>
  <c r="F11" i="19" s="1"/>
  <c r="F11" i="20" s="1"/>
  <c r="F11" i="21" s="1"/>
  <c r="F11" i="22" s="1"/>
  <c r="F11" i="23" s="1"/>
  <c r="F11" i="24" s="1"/>
  <c r="F11" i="25" s="1"/>
  <c r="F11" i="26" s="1"/>
  <c r="F11" i="27" s="1"/>
  <c r="F11" i="28" s="1"/>
  <c r="F11" i="29" s="1"/>
  <c r="F11" i="30" s="1"/>
  <c r="F11" i="31" s="1"/>
  <c r="F11" i="32" s="1"/>
  <c r="W1429" i="33" l="1"/>
  <c r="U1472" i="33"/>
  <c r="V1358" i="33"/>
  <c r="V1471" i="33" s="1"/>
  <c r="V1472" i="33"/>
  <c r="U1429" i="33"/>
  <c r="W1277" i="33"/>
  <c r="W1315" i="33"/>
  <c r="U1315" i="33"/>
  <c r="U1277" i="33"/>
  <c r="W1353" i="33"/>
  <c r="V1354" i="33"/>
  <c r="V1316" i="33"/>
  <c r="V1352" i="33"/>
  <c r="V1314" i="33"/>
  <c r="V1276" i="33"/>
  <c r="U1313" i="33"/>
  <c r="X1354" i="33"/>
  <c r="X1316" i="33"/>
  <c r="T1354" i="33"/>
  <c r="T1316" i="33"/>
  <c r="X1352" i="33"/>
  <c r="X1314" i="33"/>
  <c r="X1276" i="33"/>
  <c r="T1352" i="33"/>
  <c r="T1314" i="33"/>
  <c r="T1276" i="33"/>
  <c r="W1434" i="33"/>
  <c r="W1471" i="33" s="1"/>
  <c r="U1434" i="33"/>
  <c r="AN54" i="14"/>
  <c r="AL54" i="14"/>
  <c r="T1471" i="33"/>
  <c r="AM54" i="14"/>
  <c r="U1471" i="33"/>
  <c r="U1312" i="33"/>
  <c r="V1312" i="33"/>
  <c r="W1350" i="33"/>
  <c r="W1312" i="33"/>
  <c r="X1312" i="33"/>
  <c r="T1312" i="33"/>
  <c r="X1471" i="33"/>
  <c r="V1357" i="33"/>
  <c r="V1319" i="33"/>
  <c r="V1281" i="33"/>
  <c r="W1433" i="33"/>
  <c r="W1357" i="33"/>
  <c r="W1319" i="33"/>
  <c r="W1281" i="33"/>
  <c r="X1433" i="33"/>
  <c r="X1357" i="33"/>
  <c r="X1319" i="33"/>
  <c r="X1281" i="33"/>
  <c r="T1433" i="33"/>
  <c r="T1357" i="33"/>
  <c r="T1319" i="33"/>
  <c r="T1281" i="33"/>
  <c r="U1433" i="33"/>
  <c r="U1357" i="33"/>
  <c r="U1319" i="33"/>
  <c r="U1281" i="33"/>
  <c r="I45" i="2"/>
  <c r="V18" i="17"/>
  <c r="X18" i="17" s="1"/>
  <c r="T18" i="18" s="1"/>
  <c r="H45" i="3"/>
  <c r="AD1351" i="33"/>
  <c r="I43" i="4"/>
  <c r="AD1423" i="33"/>
  <c r="Z1424" i="33" s="1"/>
  <c r="H45" i="4" s="1"/>
  <c r="I45" i="3"/>
  <c r="L45" i="2"/>
  <c r="M44" i="6"/>
  <c r="M44" i="7" s="1"/>
  <c r="AD1314" i="33"/>
  <c r="I42" i="4"/>
  <c r="AA1276" i="33"/>
  <c r="H41" i="3"/>
  <c r="T15" i="18"/>
  <c r="V15" i="18" s="1"/>
  <c r="X15" i="18" s="1"/>
  <c r="T15" i="19" s="1"/>
  <c r="V15" i="19" s="1"/>
  <c r="X15" i="19" s="1"/>
  <c r="T15" i="20" s="1"/>
  <c r="V15" i="20" s="1"/>
  <c r="X15" i="20" s="1"/>
  <c r="T15" i="21" s="1"/>
  <c r="V15" i="21" s="1"/>
  <c r="X15" i="21" s="1"/>
  <c r="T15" i="22" s="1"/>
  <c r="V15" i="22" s="1"/>
  <c r="X15" i="22" s="1"/>
  <c r="T15" i="23" s="1"/>
  <c r="V15" i="23" s="1"/>
  <c r="X15" i="23" s="1"/>
  <c r="T15" i="24" s="1"/>
  <c r="V15" i="24" s="1"/>
  <c r="X15" i="24" s="1"/>
  <c r="T15" i="25" s="1"/>
  <c r="V15" i="25" s="1"/>
  <c r="X15" i="25" s="1"/>
  <c r="T15" i="26" s="1"/>
  <c r="V15" i="26" s="1"/>
  <c r="X15" i="26" s="1"/>
  <c r="T15" i="27" s="1"/>
  <c r="V15" i="27" s="1"/>
  <c r="X15" i="27" s="1"/>
  <c r="T15" i="28" s="1"/>
  <c r="V15" i="28" s="1"/>
  <c r="X15" i="28" s="1"/>
  <c r="T15" i="29" s="1"/>
  <c r="V15" i="29" s="1"/>
  <c r="X15" i="29" s="1"/>
  <c r="T15" i="30" s="1"/>
  <c r="V15" i="30" s="1"/>
  <c r="X15" i="30" s="1"/>
  <c r="T15" i="31" s="1"/>
  <c r="V15" i="31" s="1"/>
  <c r="X15" i="31" s="1"/>
  <c r="T15" i="32" s="1"/>
  <c r="V15" i="32" s="1"/>
  <c r="X15" i="32" s="1"/>
  <c r="C15" i="54" s="1"/>
  <c r="E15" i="54" s="1"/>
  <c r="T11" i="18"/>
  <c r="V11" i="18" s="1"/>
  <c r="X11" i="18" s="1"/>
  <c r="T11" i="19" s="1"/>
  <c r="V11" i="19" s="1"/>
  <c r="X11" i="19" s="1"/>
  <c r="T11" i="20" s="1"/>
  <c r="V11" i="20" s="1"/>
  <c r="X11" i="20" s="1"/>
  <c r="T11" i="21" s="1"/>
  <c r="V11" i="21" s="1"/>
  <c r="X11" i="21" s="1"/>
  <c r="T11" i="22" s="1"/>
  <c r="V11" i="22" s="1"/>
  <c r="X11" i="22" s="1"/>
  <c r="T11" i="23" s="1"/>
  <c r="V11" i="23" s="1"/>
  <c r="X11" i="23" s="1"/>
  <c r="T11" i="24" s="1"/>
  <c r="V11" i="24" s="1"/>
  <c r="X11" i="24" s="1"/>
  <c r="T11" i="25" s="1"/>
  <c r="V11" i="25" s="1"/>
  <c r="X11" i="25" s="1"/>
  <c r="T11" i="26" s="1"/>
  <c r="V11" i="26" s="1"/>
  <c r="X11" i="26" s="1"/>
  <c r="T11" i="27" s="1"/>
  <c r="V11" i="27" s="1"/>
  <c r="X11" i="27" s="1"/>
  <c r="T11" i="28" s="1"/>
  <c r="V11" i="28" s="1"/>
  <c r="X11" i="28" s="1"/>
  <c r="T11" i="29" s="1"/>
  <c r="V11" i="29" s="1"/>
  <c r="X11" i="29" s="1"/>
  <c r="T11" i="30" s="1"/>
  <c r="V11" i="30" s="1"/>
  <c r="X11" i="30" s="1"/>
  <c r="T11" i="31" s="1"/>
  <c r="V11" i="31" s="1"/>
  <c r="X11" i="31" s="1"/>
  <c r="T11" i="32" s="1"/>
  <c r="V11" i="32" s="1"/>
  <c r="X11" i="32" s="1"/>
  <c r="C11" i="54" s="1"/>
  <c r="E11" i="54" s="1"/>
  <c r="T17" i="18"/>
  <c r="V17" i="18" s="1"/>
  <c r="X17" i="18" s="1"/>
  <c r="T17" i="19" s="1"/>
  <c r="V17" i="19" s="1"/>
  <c r="X17" i="19" s="1"/>
  <c r="T17" i="20" s="1"/>
  <c r="V17" i="20" s="1"/>
  <c r="X17" i="20" s="1"/>
  <c r="T17" i="21" s="1"/>
  <c r="V17" i="21" s="1"/>
  <c r="X17" i="21" s="1"/>
  <c r="T17" i="22" s="1"/>
  <c r="V17" i="22" s="1"/>
  <c r="X17" i="22" s="1"/>
  <c r="T17" i="23" s="1"/>
  <c r="V17" i="23" s="1"/>
  <c r="X17" i="23" s="1"/>
  <c r="T17" i="24" s="1"/>
  <c r="V17" i="24" s="1"/>
  <c r="X17" i="24" s="1"/>
  <c r="T17" i="25" s="1"/>
  <c r="V17" i="25" s="1"/>
  <c r="X17" i="25" s="1"/>
  <c r="T17" i="26" s="1"/>
  <c r="V17" i="26" s="1"/>
  <c r="X17" i="26" s="1"/>
  <c r="T17" i="27" s="1"/>
  <c r="V17" i="27" s="1"/>
  <c r="X17" i="27" s="1"/>
  <c r="T17" i="28" s="1"/>
  <c r="V17" i="28" s="1"/>
  <c r="X17" i="28" s="1"/>
  <c r="T17" i="29" s="1"/>
  <c r="V17" i="29" s="1"/>
  <c r="X17" i="29" s="1"/>
  <c r="T17" i="30" s="1"/>
  <c r="V17" i="30" s="1"/>
  <c r="X17" i="30" s="1"/>
  <c r="T17" i="31" s="1"/>
  <c r="V17" i="31" s="1"/>
  <c r="X17" i="31" s="1"/>
  <c r="T17" i="32" s="1"/>
  <c r="V17" i="32" s="1"/>
  <c r="X17" i="32" s="1"/>
  <c r="C17" i="54" s="1"/>
  <c r="E17" i="54" s="1"/>
  <c r="T16" i="18"/>
  <c r="V16" i="18" s="1"/>
  <c r="X16" i="18" s="1"/>
  <c r="T16" i="19" s="1"/>
  <c r="V16" i="19" s="1"/>
  <c r="X16" i="19" s="1"/>
  <c r="T16" i="20" s="1"/>
  <c r="V16" i="20" s="1"/>
  <c r="X16" i="20" s="1"/>
  <c r="T16" i="21" s="1"/>
  <c r="V16" i="21" s="1"/>
  <c r="X16" i="21" s="1"/>
  <c r="T16" i="22" s="1"/>
  <c r="V16" i="22" s="1"/>
  <c r="X16" i="22" s="1"/>
  <c r="T16" i="23" s="1"/>
  <c r="V16" i="23" s="1"/>
  <c r="X16" i="23" s="1"/>
  <c r="T16" i="24" s="1"/>
  <c r="V16" i="24" s="1"/>
  <c r="X16" i="24" s="1"/>
  <c r="T16" i="25" s="1"/>
  <c r="V16" i="25" s="1"/>
  <c r="X16" i="25" s="1"/>
  <c r="T16" i="26" s="1"/>
  <c r="V16" i="26" s="1"/>
  <c r="X16" i="26" s="1"/>
  <c r="T16" i="27" s="1"/>
  <c r="V16" i="27" s="1"/>
  <c r="X16" i="27" s="1"/>
  <c r="T16" i="28" s="1"/>
  <c r="V16" i="28" s="1"/>
  <c r="X16" i="28" s="1"/>
  <c r="T16" i="29" s="1"/>
  <c r="V16" i="29" s="1"/>
  <c r="X16" i="29" s="1"/>
  <c r="T16" i="30" s="1"/>
  <c r="V16" i="30" s="1"/>
  <c r="X16" i="30" s="1"/>
  <c r="T16" i="31" s="1"/>
  <c r="V16" i="31" s="1"/>
  <c r="X16" i="31" s="1"/>
  <c r="T16" i="32" s="1"/>
  <c r="V16" i="32" s="1"/>
  <c r="X16" i="32" s="1"/>
  <c r="C16" i="54" s="1"/>
  <c r="E16" i="54" s="1"/>
  <c r="T13" i="18"/>
  <c r="V13" i="18" s="1"/>
  <c r="X13" i="18" s="1"/>
  <c r="T13" i="19" s="1"/>
  <c r="V13" i="19" s="1"/>
  <c r="X13" i="19" s="1"/>
  <c r="T13" i="20" s="1"/>
  <c r="V13" i="20" s="1"/>
  <c r="X13" i="20" s="1"/>
  <c r="T13" i="21" s="1"/>
  <c r="V13" i="21" s="1"/>
  <c r="X13" i="21" s="1"/>
  <c r="T13" i="22" s="1"/>
  <c r="V13" i="22" s="1"/>
  <c r="X13" i="22" s="1"/>
  <c r="T13" i="23" s="1"/>
  <c r="V13" i="23" s="1"/>
  <c r="X13" i="23" s="1"/>
  <c r="T13" i="24" s="1"/>
  <c r="V13" i="24" s="1"/>
  <c r="X13" i="24" s="1"/>
  <c r="T13" i="25" s="1"/>
  <c r="V13" i="25" s="1"/>
  <c r="X13" i="25" s="1"/>
  <c r="T13" i="26" s="1"/>
  <c r="V13" i="26" s="1"/>
  <c r="X13" i="26" s="1"/>
  <c r="T13" i="27" s="1"/>
  <c r="V13" i="27" s="1"/>
  <c r="X13" i="27" s="1"/>
  <c r="T13" i="28" s="1"/>
  <c r="V13" i="28" s="1"/>
  <c r="X13" i="28" s="1"/>
  <c r="T13" i="29" s="1"/>
  <c r="V13" i="29" s="1"/>
  <c r="X13" i="29" s="1"/>
  <c r="T13" i="30" s="1"/>
  <c r="V13" i="30" s="1"/>
  <c r="X13" i="30" s="1"/>
  <c r="T13" i="31" s="1"/>
  <c r="V13" i="31" s="1"/>
  <c r="X13" i="31" s="1"/>
  <c r="T13" i="32" s="1"/>
  <c r="V13" i="32" s="1"/>
  <c r="X13" i="32" s="1"/>
  <c r="C13" i="54" s="1"/>
  <c r="E13" i="54" s="1"/>
  <c r="T14" i="18"/>
  <c r="V14" i="18" s="1"/>
  <c r="X14" i="18" s="1"/>
  <c r="T14" i="19" s="1"/>
  <c r="V14" i="19" s="1"/>
  <c r="X14" i="19" s="1"/>
  <c r="T14" i="20" s="1"/>
  <c r="V14" i="20" s="1"/>
  <c r="X14" i="20" s="1"/>
  <c r="T14" i="21" s="1"/>
  <c r="V14" i="21" s="1"/>
  <c r="X14" i="21" s="1"/>
  <c r="T14" i="22" s="1"/>
  <c r="V14" i="22" s="1"/>
  <c r="X14" i="22" s="1"/>
  <c r="T14" i="23" s="1"/>
  <c r="V14" i="23" s="1"/>
  <c r="X14" i="23" s="1"/>
  <c r="T14" i="24" s="1"/>
  <c r="V14" i="24" s="1"/>
  <c r="X14" i="24" s="1"/>
  <c r="T14" i="25" s="1"/>
  <c r="V14" i="25" s="1"/>
  <c r="X14" i="25" s="1"/>
  <c r="T14" i="26" s="1"/>
  <c r="V14" i="26" s="1"/>
  <c r="X14" i="26" s="1"/>
  <c r="T14" i="27" s="1"/>
  <c r="V14" i="27" s="1"/>
  <c r="X14" i="27" s="1"/>
  <c r="T14" i="28" s="1"/>
  <c r="V14" i="28" s="1"/>
  <c r="X14" i="28" s="1"/>
  <c r="T14" i="29" s="1"/>
  <c r="V14" i="29" s="1"/>
  <c r="X14" i="29" s="1"/>
  <c r="T14" i="30" s="1"/>
  <c r="V14" i="30" s="1"/>
  <c r="X14" i="30" s="1"/>
  <c r="T14" i="31" s="1"/>
  <c r="V14" i="31" s="1"/>
  <c r="X14" i="31" s="1"/>
  <c r="T14" i="32" s="1"/>
  <c r="V14" i="32" s="1"/>
  <c r="X14" i="32" s="1"/>
  <c r="C14" i="54" s="1"/>
  <c r="E14" i="54" s="1"/>
  <c r="T12" i="18"/>
  <c r="V12" i="18" s="1"/>
  <c r="X12" i="18" s="1"/>
  <c r="T12" i="19" s="1"/>
  <c r="V12" i="19" s="1"/>
  <c r="X12" i="19" s="1"/>
  <c r="T12" i="20" s="1"/>
  <c r="V12" i="20" s="1"/>
  <c r="X12" i="20" s="1"/>
  <c r="T12" i="21" s="1"/>
  <c r="V12" i="21" s="1"/>
  <c r="X12" i="21" s="1"/>
  <c r="T12" i="22" s="1"/>
  <c r="V12" i="22" s="1"/>
  <c r="X12" i="22" s="1"/>
  <c r="T12" i="23" s="1"/>
  <c r="V12" i="23" s="1"/>
  <c r="X12" i="23" s="1"/>
  <c r="T12" i="24" s="1"/>
  <c r="V12" i="24" s="1"/>
  <c r="X12" i="24" s="1"/>
  <c r="T12" i="25" s="1"/>
  <c r="V12" i="25" s="1"/>
  <c r="X12" i="25" s="1"/>
  <c r="T12" i="26" s="1"/>
  <c r="V12" i="26" s="1"/>
  <c r="X12" i="26" s="1"/>
  <c r="T12" i="27" s="1"/>
  <c r="V12" i="27" s="1"/>
  <c r="X12" i="27" s="1"/>
  <c r="T12" i="28" s="1"/>
  <c r="V12" i="28" s="1"/>
  <c r="X12" i="28" s="1"/>
  <c r="T12" i="29" s="1"/>
  <c r="V12" i="29" s="1"/>
  <c r="X12" i="29" s="1"/>
  <c r="T12" i="30" s="1"/>
  <c r="V12" i="30" s="1"/>
  <c r="X12" i="30" s="1"/>
  <c r="T12" i="31" s="1"/>
  <c r="V12" i="31" s="1"/>
  <c r="X12" i="31" s="1"/>
  <c r="T12" i="32" s="1"/>
  <c r="V12" i="32" s="1"/>
  <c r="X12" i="32" s="1"/>
  <c r="C12" i="54" s="1"/>
  <c r="E12" i="54" s="1"/>
  <c r="AA1387" i="33"/>
  <c r="I44" i="3" s="1"/>
  <c r="H44" i="3"/>
  <c r="AD1201" i="33"/>
  <c r="Z1202" i="33" s="1"/>
  <c r="AD1240" i="33"/>
  <c r="I40" i="4"/>
  <c r="W1466" i="33" l="1"/>
  <c r="V1433" i="33"/>
  <c r="W1352" i="33"/>
  <c r="W1428" i="33"/>
  <c r="W1314" i="33"/>
  <c r="U1428" i="33"/>
  <c r="U1314" i="33"/>
  <c r="U1352" i="33"/>
  <c r="U1466" i="33"/>
  <c r="U1350" i="33"/>
  <c r="AM54" i="3" s="1"/>
  <c r="T1427" i="33"/>
  <c r="AL54" i="7" s="1"/>
  <c r="T1313" i="33"/>
  <c r="T1351" i="33"/>
  <c r="X1427" i="33"/>
  <c r="X1313" i="33"/>
  <c r="X1351" i="33"/>
  <c r="T1429" i="33"/>
  <c r="T1353" i="33"/>
  <c r="T1428" i="33" s="1"/>
  <c r="T1465" i="33" s="1"/>
  <c r="X1429" i="33"/>
  <c r="X1353" i="33"/>
  <c r="X1428" i="33" s="1"/>
  <c r="X1465" i="33" s="1"/>
  <c r="V1313" i="33"/>
  <c r="V1351" i="33"/>
  <c r="V1427" i="33"/>
  <c r="AN54" i="7" s="1"/>
  <c r="V1353" i="33"/>
  <c r="V1428" i="33" s="1"/>
  <c r="V1465" i="33" s="1"/>
  <c r="V1429" i="33"/>
  <c r="T1349" i="33"/>
  <c r="W1349" i="33"/>
  <c r="W1424" i="33" s="1"/>
  <c r="W1461" i="33" s="1"/>
  <c r="W1425" i="33"/>
  <c r="W1459" i="33"/>
  <c r="V1349" i="33"/>
  <c r="X1349" i="33"/>
  <c r="U1349" i="33"/>
  <c r="U1424" i="33" s="1"/>
  <c r="U1432" i="33"/>
  <c r="U1356" i="33"/>
  <c r="U1318" i="33"/>
  <c r="T1432" i="33"/>
  <c r="T1356" i="33"/>
  <c r="T1318" i="33"/>
  <c r="X1432" i="33"/>
  <c r="X1356" i="33"/>
  <c r="X1318" i="33"/>
  <c r="W1432" i="33"/>
  <c r="W1356" i="33"/>
  <c r="W1318" i="33"/>
  <c r="V1432" i="33"/>
  <c r="V1356" i="33"/>
  <c r="V1318" i="33"/>
  <c r="U1470" i="33"/>
  <c r="T1470" i="33"/>
  <c r="X1470" i="33"/>
  <c r="W1470" i="33"/>
  <c r="V1470" i="33"/>
  <c r="AD1387" i="33"/>
  <c r="Z1388" i="33" s="1"/>
  <c r="AA1424" i="33"/>
  <c r="AD1424" i="33" s="1"/>
  <c r="L45" i="3"/>
  <c r="L39" i="2"/>
  <c r="Z1352" i="33"/>
  <c r="L43" i="4"/>
  <c r="Z1315" i="33"/>
  <c r="L42" i="4"/>
  <c r="AD1276" i="33"/>
  <c r="I41" i="3"/>
  <c r="AA1202" i="33"/>
  <c r="H39" i="3"/>
  <c r="Z1241" i="33"/>
  <c r="L40" i="4"/>
  <c r="BP10" i="49"/>
  <c r="BQ10" i="49"/>
  <c r="BW10" i="49"/>
  <c r="G16" i="27"/>
  <c r="U1459" i="33" l="1"/>
  <c r="U1425" i="33"/>
  <c r="U1462" i="33" s="1"/>
  <c r="W1462" i="33"/>
  <c r="X1466" i="33"/>
  <c r="T1466" i="33"/>
  <c r="U1465" i="33"/>
  <c r="U1351" i="33"/>
  <c r="AM54" i="4" s="1"/>
  <c r="U1427" i="33"/>
  <c r="AM54" i="7" s="1"/>
  <c r="W1351" i="33"/>
  <c r="W1427" i="33"/>
  <c r="W1465" i="33"/>
  <c r="V1464" i="33"/>
  <c r="V1426" i="33"/>
  <c r="AN54" i="6" s="1"/>
  <c r="V1350" i="33"/>
  <c r="X1426" i="33"/>
  <c r="X1350" i="33"/>
  <c r="T1464" i="33"/>
  <c r="T1350" i="33"/>
  <c r="T1426" i="33"/>
  <c r="AL54" i="6" s="1"/>
  <c r="V1466" i="33"/>
  <c r="X1464" i="33"/>
  <c r="U1461" i="33"/>
  <c r="X1424" i="33"/>
  <c r="X1461" i="33" s="1"/>
  <c r="X1459" i="33"/>
  <c r="T1424" i="33"/>
  <c r="T1459" i="33"/>
  <c r="V1424" i="33"/>
  <c r="V1459" i="33"/>
  <c r="W1431" i="33"/>
  <c r="W1355" i="33"/>
  <c r="W1430" i="33" s="1"/>
  <c r="W1467" i="33" s="1"/>
  <c r="W1469" i="33"/>
  <c r="T1431" i="33"/>
  <c r="T1355" i="33"/>
  <c r="T1430" i="33" s="1"/>
  <c r="T1467" i="33" s="1"/>
  <c r="T1469" i="33"/>
  <c r="V1431" i="33"/>
  <c r="V1355" i="33"/>
  <c r="V1430" i="33" s="1"/>
  <c r="V1467" i="33" s="1"/>
  <c r="V1469" i="33"/>
  <c r="X1431" i="33"/>
  <c r="X1355" i="33"/>
  <c r="X1430" i="33" s="1"/>
  <c r="X1467" i="33" s="1"/>
  <c r="X1469" i="33"/>
  <c r="U1431" i="33"/>
  <c r="U1355" i="33"/>
  <c r="U1430" i="33" s="1"/>
  <c r="U1467" i="33" s="1"/>
  <c r="U1469" i="33"/>
  <c r="I45" i="4"/>
  <c r="L44" i="3"/>
  <c r="AA1352" i="33"/>
  <c r="H43" i="5"/>
  <c r="Z1425" i="33"/>
  <c r="L45" i="4"/>
  <c r="AA1315" i="33"/>
  <c r="H42" i="5"/>
  <c r="Z1277" i="33"/>
  <c r="L41" i="3"/>
  <c r="AA1388" i="33"/>
  <c r="H44" i="4"/>
  <c r="AD1202" i="33"/>
  <c r="I39" i="3"/>
  <c r="AA1241" i="33"/>
  <c r="H40" i="5"/>
  <c r="BS10" i="49"/>
  <c r="G11" i="29"/>
  <c r="G15" i="27"/>
  <c r="U1468" i="33" l="1"/>
  <c r="V1468" i="33"/>
  <c r="W1464" i="33"/>
  <c r="W1426" i="33"/>
  <c r="W1463" i="33" s="1"/>
  <c r="U1426" i="33"/>
  <c r="U1464" i="33"/>
  <c r="W1468" i="33"/>
  <c r="X1468" i="33"/>
  <c r="T1468" i="33"/>
  <c r="AL54" i="3"/>
  <c r="T1425" i="33"/>
  <c r="T1462" i="33" s="1"/>
  <c r="T1463" i="33"/>
  <c r="X1425" i="33"/>
  <c r="X1462" i="33" s="1"/>
  <c r="X1463" i="33"/>
  <c r="AN54" i="3"/>
  <c r="V1425" i="33"/>
  <c r="V1462" i="33" s="1"/>
  <c r="V1463" i="33"/>
  <c r="AN54" i="4"/>
  <c r="V1461" i="33"/>
  <c r="AL54" i="4"/>
  <c r="T1461" i="33"/>
  <c r="AD1352" i="33"/>
  <c r="I43" i="5"/>
  <c r="AA1425" i="33"/>
  <c r="H45" i="5"/>
  <c r="AD1315" i="33"/>
  <c r="I42" i="5"/>
  <c r="AA1277" i="33"/>
  <c r="H41" i="4"/>
  <c r="AD1388" i="33"/>
  <c r="I44" i="4"/>
  <c r="Z1203" i="33"/>
  <c r="L39" i="3"/>
  <c r="AD1241" i="33"/>
  <c r="I40" i="5"/>
  <c r="AM54" i="6" l="1"/>
  <c r="U1463" i="33"/>
  <c r="Z1353" i="33"/>
  <c r="L43" i="5"/>
  <c r="I45" i="5"/>
  <c r="AD1425" i="33"/>
  <c r="Z1316" i="33"/>
  <c r="L42" i="5"/>
  <c r="AD1277" i="33"/>
  <c r="I41" i="4"/>
  <c r="Z1389" i="33"/>
  <c r="L44" i="4"/>
  <c r="AA1203" i="33"/>
  <c r="H39" i="4"/>
  <c r="Z1242" i="33"/>
  <c r="L40" i="5"/>
  <c r="AA1353" i="33" l="1"/>
  <c r="H43" i="6"/>
  <c r="L45" i="5"/>
  <c r="Z1426" i="33"/>
  <c r="AA1426" i="33" s="1"/>
  <c r="AD1426" i="33" s="1"/>
  <c r="Z1427" i="33" s="1"/>
  <c r="H42" i="6"/>
  <c r="AA1316" i="33"/>
  <c r="Z1278" i="33"/>
  <c r="L41" i="4"/>
  <c r="AA1389" i="33"/>
  <c r="H44" i="5"/>
  <c r="AD1203" i="33"/>
  <c r="I39" i="4"/>
  <c r="H40" i="6"/>
  <c r="AA1242" i="33"/>
  <c r="G13" i="17"/>
  <c r="AD1353" i="33" l="1"/>
  <c r="I43" i="6"/>
  <c r="AA1427" i="33"/>
  <c r="H45" i="6"/>
  <c r="AD1316" i="33"/>
  <c r="I42" i="6"/>
  <c r="AA1278" i="33"/>
  <c r="H41" i="5"/>
  <c r="AD1389" i="33"/>
  <c r="I44" i="5"/>
  <c r="Z1204" i="33"/>
  <c r="L39" i="4"/>
  <c r="AD1242" i="33"/>
  <c r="I40" i="6"/>
  <c r="G11" i="20"/>
  <c r="Z1354" i="33" l="1"/>
  <c r="L43" i="6"/>
  <c r="AD1427" i="33"/>
  <c r="I45" i="6"/>
  <c r="Z1317" i="33"/>
  <c r="L42" i="6"/>
  <c r="AD1278" i="33"/>
  <c r="I41" i="5"/>
  <c r="Z1390" i="33"/>
  <c r="L44" i="5"/>
  <c r="AA1204" i="33"/>
  <c r="H39" i="5"/>
  <c r="Z1243" i="33"/>
  <c r="L40" i="6"/>
  <c r="G22" i="16"/>
  <c r="G23" i="18"/>
  <c r="AA1354" i="33" l="1"/>
  <c r="H43" i="7"/>
  <c r="Z1428" i="33"/>
  <c r="L45" i="6"/>
  <c r="AA1317" i="33"/>
  <c r="H42" i="7"/>
  <c r="Z1279" i="33"/>
  <c r="L41" i="5"/>
  <c r="AA1390" i="33"/>
  <c r="H44" i="6"/>
  <c r="AD1204" i="33"/>
  <c r="I39" i="5"/>
  <c r="AA1243" i="33"/>
  <c r="H40" i="7"/>
  <c r="G14" i="15"/>
  <c r="AD1354" i="33" l="1"/>
  <c r="I43" i="7"/>
  <c r="AA1428" i="33"/>
  <c r="H45" i="7"/>
  <c r="AD1317" i="33"/>
  <c r="I42" i="7"/>
  <c r="AA1279" i="33"/>
  <c r="H41" i="6"/>
  <c r="AD1390" i="33"/>
  <c r="I44" i="6"/>
  <c r="Z1205" i="33"/>
  <c r="L39" i="5"/>
  <c r="AD1243" i="33"/>
  <c r="I40" i="7"/>
  <c r="G24" i="12"/>
  <c r="G25" i="12"/>
  <c r="Z1355" i="33" l="1"/>
  <c r="L43" i="7"/>
  <c r="I45" i="7"/>
  <c r="AD1428" i="33"/>
  <c r="Z1318" i="33"/>
  <c r="L42" i="7"/>
  <c r="AD1279" i="33"/>
  <c r="I41" i="6"/>
  <c r="Z1391" i="33"/>
  <c r="L44" i="6"/>
  <c r="AA1205" i="33"/>
  <c r="H39" i="6"/>
  <c r="Z1244" i="33"/>
  <c r="L40" i="7"/>
  <c r="G23" i="11"/>
  <c r="N52" i="60"/>
  <c r="AA1355" i="33" l="1"/>
  <c r="H43" i="8"/>
  <c r="Z1429" i="33"/>
  <c r="L45" i="7"/>
  <c r="AA1318" i="33"/>
  <c r="H42" i="8"/>
  <c r="Z1280" i="33"/>
  <c r="L41" i="6"/>
  <c r="AA1391" i="33"/>
  <c r="H44" i="7"/>
  <c r="AD1205" i="33"/>
  <c r="I39" i="6"/>
  <c r="AA1244" i="33"/>
  <c r="H40" i="8"/>
  <c r="AD1355" i="33" l="1"/>
  <c r="I43" i="8"/>
  <c r="AA1429" i="33"/>
  <c r="H45" i="8"/>
  <c r="AD1318" i="33"/>
  <c r="I42" i="8"/>
  <c r="AA1280" i="33"/>
  <c r="H41" i="7"/>
  <c r="AD1391" i="33"/>
  <c r="I44" i="7"/>
  <c r="Z1206" i="33"/>
  <c r="L39" i="6"/>
  <c r="AD1244" i="33"/>
  <c r="I40" i="8"/>
  <c r="G14" i="7"/>
  <c r="G15" i="6"/>
  <c r="Z1356" i="33" l="1"/>
  <c r="L43" i="8"/>
  <c r="AD1429" i="33"/>
  <c r="I45" i="8"/>
  <c r="Z1319" i="33"/>
  <c r="L42" i="8"/>
  <c r="AD1280" i="33"/>
  <c r="I41" i="7"/>
  <c r="Z1392" i="33"/>
  <c r="L44" i="7"/>
  <c r="AA1206" i="33"/>
  <c r="H39" i="7"/>
  <c r="Z1245" i="33"/>
  <c r="L40" i="8"/>
  <c r="G13" i="4"/>
  <c r="H43" i="9" l="1"/>
  <c r="AA1356" i="33"/>
  <c r="Z1430" i="33"/>
  <c r="L45" i="8"/>
  <c r="AA1319" i="33"/>
  <c r="H42" i="9"/>
  <c r="Z1281" i="33"/>
  <c r="L41" i="7"/>
  <c r="AA1392" i="33"/>
  <c r="H44" i="8"/>
  <c r="AD1206" i="33"/>
  <c r="I39" i="7"/>
  <c r="AA1245" i="33"/>
  <c r="H40" i="9"/>
  <c r="G21" i="4"/>
  <c r="G14" i="3"/>
  <c r="M14" i="3" s="1"/>
  <c r="G12" i="2"/>
  <c r="M12" i="2" s="1"/>
  <c r="G8" i="2"/>
  <c r="M8" i="2" s="1"/>
  <c r="AD1356" i="33" l="1"/>
  <c r="I43" i="9"/>
  <c r="AA1430" i="33"/>
  <c r="H45" i="9"/>
  <c r="AD1319" i="33"/>
  <c r="I42" i="9"/>
  <c r="AA1281" i="33"/>
  <c r="H41" i="8"/>
  <c r="AD1392" i="33"/>
  <c r="I44" i="8"/>
  <c r="G11" i="2"/>
  <c r="M11" i="2" s="1"/>
  <c r="M11" i="3" s="1"/>
  <c r="M11" i="4" s="1"/>
  <c r="M11" i="5" s="1"/>
  <c r="M11" i="6" s="1"/>
  <c r="M11" i="7" s="1"/>
  <c r="M11" i="8" s="1"/>
  <c r="M11" i="9" s="1"/>
  <c r="M11" i="37" s="1"/>
  <c r="M11" i="11" s="1"/>
  <c r="M11" i="12" s="1"/>
  <c r="Z1207" i="33"/>
  <c r="L39" i="7"/>
  <c r="AD1245" i="33"/>
  <c r="I40" i="9"/>
  <c r="G23" i="23"/>
  <c r="G12" i="14"/>
  <c r="G11" i="14"/>
  <c r="Z1357" i="33" l="1"/>
  <c r="L43" i="9"/>
  <c r="I45" i="9"/>
  <c r="AD1430" i="33"/>
  <c r="Z1320" i="33"/>
  <c r="L42" i="9"/>
  <c r="AD1281" i="33"/>
  <c r="I41" i="8"/>
  <c r="Z1393" i="33"/>
  <c r="L44" i="8"/>
  <c r="AA1207" i="33"/>
  <c r="H39" i="8"/>
  <c r="Z1246" i="33"/>
  <c r="L40" i="9"/>
  <c r="G20" i="32"/>
  <c r="G20" i="31"/>
  <c r="G20" i="30"/>
  <c r="G20" i="29"/>
  <c r="G20" i="28"/>
  <c r="G20" i="27"/>
  <c r="G20" i="26"/>
  <c r="G20" i="25"/>
  <c r="G20" i="24"/>
  <c r="G20" i="23"/>
  <c r="G20" i="22"/>
  <c r="G20" i="21"/>
  <c r="G20" i="20"/>
  <c r="G20" i="19"/>
  <c r="G20" i="18"/>
  <c r="G20" i="17"/>
  <c r="G20" i="16"/>
  <c r="G20" i="15"/>
  <c r="G20" i="14"/>
  <c r="G20" i="13"/>
  <c r="G20" i="12"/>
  <c r="G20" i="11"/>
  <c r="G20" i="37"/>
  <c r="G20" i="9"/>
  <c r="G20" i="8"/>
  <c r="G20" i="7"/>
  <c r="AN54" i="29"/>
  <c r="AM54" i="29"/>
  <c r="AL54" i="29"/>
  <c r="AA1357" i="33" l="1"/>
  <c r="H43" i="37"/>
  <c r="Z1431" i="33"/>
  <c r="L45" i="9"/>
  <c r="AA1320" i="33"/>
  <c r="H42" i="37"/>
  <c r="Z1282" i="33"/>
  <c r="L41" i="8"/>
  <c r="AA1393" i="33"/>
  <c r="H44" i="9"/>
  <c r="AD1207" i="33"/>
  <c r="I39" i="8"/>
  <c r="AA1246" i="33"/>
  <c r="H40" i="37"/>
  <c r="G24" i="27"/>
  <c r="G13" i="26"/>
  <c r="AD1357" i="33" l="1"/>
  <c r="I43" i="37"/>
  <c r="AA1431" i="33"/>
  <c r="H45" i="37"/>
  <c r="AD1320" i="33"/>
  <c r="I42" i="37"/>
  <c r="AA1282" i="33"/>
  <c r="H41" i="9"/>
  <c r="AD1393" i="33"/>
  <c r="I44" i="9"/>
  <c r="Z1208" i="33"/>
  <c r="L39" i="8"/>
  <c r="AD1246" i="33"/>
  <c r="I40" i="37"/>
  <c r="Z1358" i="33" l="1"/>
  <c r="L43" i="37"/>
  <c r="I45" i="37"/>
  <c r="AD1431" i="33"/>
  <c r="Z1321" i="33"/>
  <c r="L42" i="37"/>
  <c r="AD1282" i="33"/>
  <c r="I41" i="9"/>
  <c r="L44" i="9"/>
  <c r="Z1394" i="33"/>
  <c r="AA1208" i="33"/>
  <c r="H39" i="9"/>
  <c r="Z1247" i="33"/>
  <c r="L40" i="37"/>
  <c r="G11" i="23"/>
  <c r="AA1358" i="33" l="1"/>
  <c r="H43" i="11"/>
  <c r="L45" i="37"/>
  <c r="Z1432" i="33"/>
  <c r="AA1321" i="33"/>
  <c r="H42" i="11"/>
  <c r="Z1283" i="33"/>
  <c r="L41" i="9"/>
  <c r="AA1247" i="33"/>
  <c r="H40" i="11"/>
  <c r="AA1394" i="33"/>
  <c r="H44" i="37"/>
  <c r="AD1208" i="33"/>
  <c r="I39" i="9"/>
  <c r="G22" i="22"/>
  <c r="G15" i="22"/>
  <c r="G15" i="32"/>
  <c r="G15" i="31"/>
  <c r="G15" i="30"/>
  <c r="G15" i="29"/>
  <c r="G15" i="28"/>
  <c r="G15" i="26"/>
  <c r="G15" i="25"/>
  <c r="G15" i="23"/>
  <c r="G15" i="21"/>
  <c r="G15" i="20"/>
  <c r="G15" i="19"/>
  <c r="G15" i="18"/>
  <c r="G15" i="17"/>
  <c r="G15" i="16"/>
  <c r="G15" i="15"/>
  <c r="G15" i="14"/>
  <c r="G15" i="13"/>
  <c r="G15" i="12"/>
  <c r="G15" i="11"/>
  <c r="G15" i="37"/>
  <c r="G14" i="21"/>
  <c r="Y801" i="33"/>
  <c r="G28" i="20" s="1"/>
  <c r="AD1358" i="33" l="1"/>
  <c r="I43" i="11"/>
  <c r="AA1432" i="33"/>
  <c r="H45" i="11"/>
  <c r="AD1321" i="33"/>
  <c r="I42" i="11"/>
  <c r="AA1283" i="33"/>
  <c r="H41" i="37"/>
  <c r="AD1247" i="33"/>
  <c r="I40" i="11"/>
  <c r="AD1394" i="33"/>
  <c r="I44" i="37"/>
  <c r="Z1209" i="33"/>
  <c r="L39" i="9"/>
  <c r="L43" i="11" l="1"/>
  <c r="Z1359" i="33"/>
  <c r="AD1432" i="33"/>
  <c r="I45" i="11"/>
  <c r="Z1322" i="33"/>
  <c r="L42" i="11"/>
  <c r="AD1283" i="33"/>
  <c r="I41" i="37"/>
  <c r="Z1248" i="33"/>
  <c r="L40" i="11"/>
  <c r="Z1395" i="33"/>
  <c r="L44" i="37"/>
  <c r="AA1209" i="33"/>
  <c r="H39" i="37"/>
  <c r="AB31" i="2"/>
  <c r="AA1359" i="33" l="1"/>
  <c r="H43" i="12"/>
  <c r="Z1433" i="33"/>
  <c r="L45" i="11"/>
  <c r="AA1322" i="33"/>
  <c r="H42" i="12"/>
  <c r="Z1284" i="33"/>
  <c r="L41" i="37"/>
  <c r="AA1248" i="33"/>
  <c r="H40" i="12"/>
  <c r="AA1395" i="33"/>
  <c r="H44" i="11"/>
  <c r="AD1209" i="33"/>
  <c r="I39" i="37"/>
  <c r="I43" i="12" l="1"/>
  <c r="AD1359" i="33"/>
  <c r="H45" i="12"/>
  <c r="AA1433" i="33"/>
  <c r="AD1322" i="33"/>
  <c r="I42" i="12"/>
  <c r="AA1284" i="33"/>
  <c r="H41" i="11"/>
  <c r="AD1248" i="33"/>
  <c r="I40" i="12"/>
  <c r="AD1395" i="33"/>
  <c r="I44" i="11"/>
  <c r="Z1210" i="33"/>
  <c r="L39" i="37"/>
  <c r="AA1210" i="33" l="1"/>
  <c r="H39" i="11"/>
  <c r="Z1360" i="33"/>
  <c r="L43" i="12"/>
  <c r="AD1433" i="33"/>
  <c r="I45" i="12"/>
  <c r="Z1323" i="33"/>
  <c r="L42" i="12"/>
  <c r="AD1284" i="33"/>
  <c r="I41" i="11"/>
  <c r="Z1249" i="33"/>
  <c r="L40" i="12"/>
  <c r="Z1396" i="33"/>
  <c r="L44" i="11"/>
  <c r="Y718" i="33"/>
  <c r="G26" i="13" s="1"/>
  <c r="AD1210" i="33" l="1"/>
  <c r="I39" i="11"/>
  <c r="AA1360" i="33"/>
  <c r="H43" i="13"/>
  <c r="Z1434" i="33"/>
  <c r="L45" i="12"/>
  <c r="AA1323" i="33"/>
  <c r="H42" i="13"/>
  <c r="Z1285" i="33"/>
  <c r="L41" i="11"/>
  <c r="AA1249" i="33"/>
  <c r="H40" i="13"/>
  <c r="AA1396" i="33"/>
  <c r="H44" i="12"/>
  <c r="Z1211" i="33" l="1"/>
  <c r="L39" i="11"/>
  <c r="AD1360" i="33"/>
  <c r="I43" i="13"/>
  <c r="AA1434" i="33"/>
  <c r="H45" i="13"/>
  <c r="AD1323" i="33"/>
  <c r="I42" i="13"/>
  <c r="AA1285" i="33"/>
  <c r="H41" i="12"/>
  <c r="AD1249" i="33"/>
  <c r="I40" i="13"/>
  <c r="AD1396" i="33"/>
  <c r="I44" i="12"/>
  <c r="G15" i="9"/>
  <c r="AA1211" i="33" l="1"/>
  <c r="H39" i="12"/>
  <c r="L43" i="13"/>
  <c r="Z1361" i="33"/>
  <c r="I45" i="13"/>
  <c r="AD1434" i="33"/>
  <c r="Z1324" i="33"/>
  <c r="L42" i="13"/>
  <c r="AD1285" i="33"/>
  <c r="I41" i="12"/>
  <c r="Z1250" i="33"/>
  <c r="L40" i="13"/>
  <c r="Z1397" i="33"/>
  <c r="L44" i="12"/>
  <c r="G13" i="9"/>
  <c r="Y714" i="33"/>
  <c r="G26" i="9" s="1"/>
  <c r="AD1211" i="33" l="1"/>
  <c r="I39" i="12"/>
  <c r="AA1361" i="33"/>
  <c r="H43" i="14"/>
  <c r="L45" i="13"/>
  <c r="Z1435" i="33"/>
  <c r="AA1324" i="33"/>
  <c r="H42" i="14"/>
  <c r="Z1286" i="33"/>
  <c r="L41" i="12"/>
  <c r="AA1250" i="33"/>
  <c r="H40" i="14"/>
  <c r="AA1397" i="33"/>
  <c r="H44" i="13"/>
  <c r="Z1212" i="33" l="1"/>
  <c r="L39" i="12"/>
  <c r="I43" i="14"/>
  <c r="AD1361" i="33"/>
  <c r="AA1435" i="33"/>
  <c r="H45" i="14"/>
  <c r="AD1324" i="33"/>
  <c r="I42" i="14"/>
  <c r="AA1286" i="33"/>
  <c r="H41" i="13"/>
  <c r="AD1250" i="33"/>
  <c r="I40" i="14"/>
  <c r="AD1397" i="33"/>
  <c r="I44" i="13"/>
  <c r="G14" i="8"/>
  <c r="G14" i="9"/>
  <c r="AA1212" i="33" l="1"/>
  <c r="H39" i="13"/>
  <c r="L43" i="14"/>
  <c r="Z1362" i="33"/>
  <c r="I45" i="14"/>
  <c r="AD1435" i="33"/>
  <c r="Z1325" i="33"/>
  <c r="L42" i="14"/>
  <c r="AD1286" i="33"/>
  <c r="I41" i="13"/>
  <c r="Z1251" i="33"/>
  <c r="L40" i="14"/>
  <c r="Z1398" i="33"/>
  <c r="L44" i="13"/>
  <c r="AD1212" i="33" l="1"/>
  <c r="I39" i="13"/>
  <c r="AA1362" i="33"/>
  <c r="H43" i="15"/>
  <c r="Z1436" i="33"/>
  <c r="L45" i="14"/>
  <c r="AA1325" i="33"/>
  <c r="H42" i="15"/>
  <c r="Z1287" i="33"/>
  <c r="L41" i="13"/>
  <c r="AA1251" i="33"/>
  <c r="H40" i="15"/>
  <c r="AA1398" i="33"/>
  <c r="H44" i="14"/>
  <c r="Y825" i="33"/>
  <c r="G23" i="6"/>
  <c r="G20" i="6"/>
  <c r="Y134" i="33"/>
  <c r="G15" i="4"/>
  <c r="Z1213" i="33" l="1"/>
  <c r="L39" i="13"/>
  <c r="AD1362" i="33"/>
  <c r="I43" i="15"/>
  <c r="H45" i="16"/>
  <c r="AA1436" i="33"/>
  <c r="H45" i="15"/>
  <c r="AD1325" i="33"/>
  <c r="I42" i="15"/>
  <c r="AA1287" i="33"/>
  <c r="H41" i="14"/>
  <c r="AD1251" i="33"/>
  <c r="I40" i="15"/>
  <c r="I44" i="14"/>
  <c r="AD1398" i="33"/>
  <c r="G12" i="31"/>
  <c r="G12" i="30"/>
  <c r="G12" i="29"/>
  <c r="G12" i="28"/>
  <c r="G12" i="27"/>
  <c r="G12" i="26"/>
  <c r="G12" i="25"/>
  <c r="G13" i="24"/>
  <c r="G12" i="23"/>
  <c r="G12" i="22"/>
  <c r="G12" i="21"/>
  <c r="G12" i="20"/>
  <c r="G12" i="19"/>
  <c r="G12" i="18"/>
  <c r="G12" i="16"/>
  <c r="G12" i="12"/>
  <c r="G12" i="37"/>
  <c r="G12" i="9"/>
  <c r="G12" i="8"/>
  <c r="G12" i="7"/>
  <c r="G12" i="5"/>
  <c r="G12" i="4"/>
  <c r="AA1213" i="33" l="1"/>
  <c r="H39" i="14"/>
  <c r="Z1363" i="33"/>
  <c r="L43" i="15"/>
  <c r="I45" i="15"/>
  <c r="I45" i="16"/>
  <c r="AD1436" i="33"/>
  <c r="Z1326" i="33"/>
  <c r="L42" i="15"/>
  <c r="AD1287" i="33"/>
  <c r="I41" i="14"/>
  <c r="Z1252" i="33"/>
  <c r="L40" i="15"/>
  <c r="G12" i="32"/>
  <c r="Z1399" i="33"/>
  <c r="L44" i="14"/>
  <c r="G12" i="6"/>
  <c r="G12" i="13"/>
  <c r="G12" i="3"/>
  <c r="M12" i="3" s="1"/>
  <c r="M12" i="4" s="1"/>
  <c r="M12" i="5" s="1"/>
  <c r="G12" i="11"/>
  <c r="G12" i="17"/>
  <c r="G12" i="15"/>
  <c r="R27" i="59"/>
  <c r="M12" i="6" l="1"/>
  <c r="M12" i="7" s="1"/>
  <c r="M12" i="8" s="1"/>
  <c r="M12" i="9" s="1"/>
  <c r="M12" i="37" s="1"/>
  <c r="M12" i="11" s="1"/>
  <c r="M12" i="12" s="1"/>
  <c r="M12" i="13" s="1"/>
  <c r="M12" i="14" s="1"/>
  <c r="M12" i="15" s="1"/>
  <c r="M12" i="16" s="1"/>
  <c r="M12" i="17" s="1"/>
  <c r="M12" i="18" s="1"/>
  <c r="M12" i="19" s="1"/>
  <c r="M12" i="20" s="1"/>
  <c r="M12" i="21" s="1"/>
  <c r="M12" i="22" s="1"/>
  <c r="M12" i="23" s="1"/>
  <c r="M12" i="24" s="1"/>
  <c r="M12" i="25" s="1"/>
  <c r="M12" i="26" s="1"/>
  <c r="M12" i="27" s="1"/>
  <c r="M12" i="28" s="1"/>
  <c r="M12" i="29" s="1"/>
  <c r="M12" i="30" s="1"/>
  <c r="M12" i="31" s="1"/>
  <c r="M12" i="32" s="1"/>
  <c r="AD1213" i="33"/>
  <c r="I39" i="14"/>
  <c r="AA1363" i="33"/>
  <c r="H43" i="16"/>
  <c r="L45" i="16"/>
  <c r="L45" i="15"/>
  <c r="Z1437" i="33"/>
  <c r="AA1326" i="33"/>
  <c r="H42" i="16"/>
  <c r="Z1288" i="33"/>
  <c r="L41" i="14"/>
  <c r="AA1252" i="33"/>
  <c r="H40" i="16"/>
  <c r="AA1399" i="33"/>
  <c r="H44" i="15"/>
  <c r="BN27" i="49"/>
  <c r="Z1214" i="33" l="1"/>
  <c r="L39" i="14"/>
  <c r="AD1363" i="33"/>
  <c r="I43" i="16"/>
  <c r="H45" i="17"/>
  <c r="AA1437" i="33"/>
  <c r="AD1326" i="33"/>
  <c r="I42" i="16"/>
  <c r="AA1288" i="33"/>
  <c r="H41" i="15"/>
  <c r="AD1252" i="33"/>
  <c r="I40" i="16"/>
  <c r="AD1399" i="33"/>
  <c r="I44" i="15"/>
  <c r="V43" i="2"/>
  <c r="X43" i="2" s="1"/>
  <c r="AA1214" i="33" l="1"/>
  <c r="H39" i="15"/>
  <c r="Z1364" i="33"/>
  <c r="L43" i="16"/>
  <c r="I45" i="17"/>
  <c r="AD1437" i="33"/>
  <c r="Z1327" i="33"/>
  <c r="L42" i="16"/>
  <c r="AD1288" i="33"/>
  <c r="I41" i="15"/>
  <c r="Z1253" i="33"/>
  <c r="L40" i="16"/>
  <c r="Z1400" i="33"/>
  <c r="L44" i="15"/>
  <c r="R56" i="28"/>
  <c r="BD101" i="63" s="1"/>
  <c r="BE101" i="63" s="1"/>
  <c r="BE105" i="63" s="1"/>
  <c r="AH19" i="31"/>
  <c r="G23" i="30"/>
  <c r="Y849" i="33"/>
  <c r="BP9" i="49"/>
  <c r="BP11" i="49"/>
  <c r="BP16" i="49"/>
  <c r="BP26" i="49"/>
  <c r="BP8" i="49"/>
  <c r="AD1214" i="33" l="1"/>
  <c r="I39" i="15"/>
  <c r="AA1364" i="33"/>
  <c r="H43" i="17"/>
  <c r="Z1438" i="33"/>
  <c r="L45" i="17"/>
  <c r="AA1327" i="33"/>
  <c r="H42" i="17"/>
  <c r="Z1289" i="33"/>
  <c r="L41" i="15"/>
  <c r="AA1253" i="33"/>
  <c r="H40" i="17"/>
  <c r="AA1400" i="33"/>
  <c r="H44" i="16"/>
  <c r="G14" i="28"/>
  <c r="G21" i="27"/>
  <c r="Y732" i="33"/>
  <c r="G26" i="27" s="1"/>
  <c r="G23" i="27"/>
  <c r="Z1215" i="33" l="1"/>
  <c r="L39" i="15"/>
  <c r="AD1364" i="33"/>
  <c r="I43" i="17"/>
  <c r="AA1438" i="33"/>
  <c r="H45" i="18"/>
  <c r="AD1327" i="33"/>
  <c r="I42" i="17"/>
  <c r="AA1289" i="33"/>
  <c r="H41" i="16"/>
  <c r="AD1253" i="33"/>
  <c r="I40" i="17"/>
  <c r="AD1400" i="33"/>
  <c r="I44" i="16"/>
  <c r="G14" i="31"/>
  <c r="G14" i="29"/>
  <c r="G14" i="27"/>
  <c r="G14" i="26"/>
  <c r="G14" i="25"/>
  <c r="G15" i="24"/>
  <c r="G14" i="23"/>
  <c r="G14" i="22"/>
  <c r="G14" i="20"/>
  <c r="G14" i="19"/>
  <c r="G14" i="18"/>
  <c r="G14" i="17"/>
  <c r="G14" i="16"/>
  <c r="G14" i="14"/>
  <c r="G14" i="13"/>
  <c r="G14" i="12"/>
  <c r="G14" i="11"/>
  <c r="G14" i="37"/>
  <c r="G14" i="5"/>
  <c r="H39" i="16" l="1"/>
  <c r="AA1215" i="33"/>
  <c r="Z1365" i="33"/>
  <c r="L43" i="17"/>
  <c r="I45" i="18"/>
  <c r="AD1438" i="33"/>
  <c r="Z1328" i="33"/>
  <c r="L42" i="17"/>
  <c r="AD1289" i="33"/>
  <c r="I41" i="16"/>
  <c r="Z1254" i="33"/>
  <c r="L40" i="17"/>
  <c r="Z1401" i="33"/>
  <c r="L44" i="16"/>
  <c r="G14" i="6"/>
  <c r="G14" i="30"/>
  <c r="G22" i="21"/>
  <c r="AD1215" i="33" l="1"/>
  <c r="I39" i="16"/>
  <c r="AA1365" i="33"/>
  <c r="H43" i="18"/>
  <c r="L45" i="18"/>
  <c r="Z1439" i="33"/>
  <c r="AA1328" i="33"/>
  <c r="H42" i="18"/>
  <c r="Z1290" i="33"/>
  <c r="L41" i="16"/>
  <c r="AA1254" i="33"/>
  <c r="H40" i="18"/>
  <c r="AA1401" i="33"/>
  <c r="H44" i="17"/>
  <c r="Z1216" i="33" l="1"/>
  <c r="L39" i="16"/>
  <c r="AD1365" i="33"/>
  <c r="I43" i="18"/>
  <c r="AA1439" i="33"/>
  <c r="H45" i="19"/>
  <c r="AD1328" i="33"/>
  <c r="I42" i="18"/>
  <c r="AA1290" i="33"/>
  <c r="H41" i="17"/>
  <c r="AD1254" i="33"/>
  <c r="I40" i="18"/>
  <c r="AD1401" i="33"/>
  <c r="I44" i="17"/>
  <c r="AJ22" i="28"/>
  <c r="AA1216" i="33" l="1"/>
  <c r="H39" i="17"/>
  <c r="Z1366" i="33"/>
  <c r="L43" i="18"/>
  <c r="AD1439" i="33"/>
  <c r="I45" i="19"/>
  <c r="Z1329" i="33"/>
  <c r="L42" i="18"/>
  <c r="AD1290" i="33"/>
  <c r="I41" i="17"/>
  <c r="Z1255" i="33"/>
  <c r="L40" i="18"/>
  <c r="Z1402" i="33"/>
  <c r="L44" i="17"/>
  <c r="Y836" i="33"/>
  <c r="G23" i="17"/>
  <c r="G23" i="16"/>
  <c r="Y719" i="33"/>
  <c r="G26" i="14" s="1"/>
  <c r="AD1216" i="33" l="1"/>
  <c r="I39" i="17"/>
  <c r="AA1366" i="33"/>
  <c r="H43" i="19"/>
  <c r="Z1440" i="33"/>
  <c r="L45" i="19"/>
  <c r="AA1329" i="33"/>
  <c r="H42" i="19"/>
  <c r="Z1291" i="33"/>
  <c r="L41" i="17"/>
  <c r="AA1255" i="33"/>
  <c r="H40" i="19"/>
  <c r="AA1402" i="33"/>
  <c r="H44" i="18"/>
  <c r="Y828" i="33"/>
  <c r="G23" i="9"/>
  <c r="Z1217" i="33" l="1"/>
  <c r="L39" i="17"/>
  <c r="AD1366" i="33"/>
  <c r="I43" i="19"/>
  <c r="AA1440" i="33"/>
  <c r="H45" i="20"/>
  <c r="AD1329" i="33"/>
  <c r="I42" i="19"/>
  <c r="AA1291" i="33"/>
  <c r="H41" i="18"/>
  <c r="AD1255" i="33"/>
  <c r="I40" i="19"/>
  <c r="AD1402" i="33"/>
  <c r="I44" i="18"/>
  <c r="G13" i="11"/>
  <c r="G29" i="9"/>
  <c r="G14" i="4"/>
  <c r="M14" i="4" s="1"/>
  <c r="M14" i="5" s="1"/>
  <c r="M14" i="6" s="1"/>
  <c r="M14" i="7" s="1"/>
  <c r="M14" i="8" s="1"/>
  <c r="M14" i="9" s="1"/>
  <c r="M14" i="37" s="1"/>
  <c r="M14" i="11" s="1"/>
  <c r="M14" i="12" s="1"/>
  <c r="M14" i="13" s="1"/>
  <c r="M14" i="14" s="1"/>
  <c r="M14" i="15" s="1"/>
  <c r="M14" i="16" s="1"/>
  <c r="M14" i="17" s="1"/>
  <c r="M14" i="18" s="1"/>
  <c r="M14" i="19" s="1"/>
  <c r="M14" i="20" s="1"/>
  <c r="M14" i="21" s="1"/>
  <c r="M14" i="22" s="1"/>
  <c r="M14" i="23" s="1"/>
  <c r="AA1217" i="33" l="1"/>
  <c r="H39" i="18"/>
  <c r="Z1367" i="33"/>
  <c r="L43" i="19"/>
  <c r="AD1440" i="33"/>
  <c r="I45" i="20"/>
  <c r="Z1330" i="33"/>
  <c r="L42" i="19"/>
  <c r="AD1291" i="33"/>
  <c r="I41" i="18"/>
  <c r="Z1256" i="33"/>
  <c r="L40" i="19"/>
  <c r="Z1403" i="33"/>
  <c r="L44" i="18"/>
  <c r="G15" i="3"/>
  <c r="AD1217" i="33" l="1"/>
  <c r="I39" i="18"/>
  <c r="H43" i="20"/>
  <c r="AA1367" i="33"/>
  <c r="Z1441" i="33"/>
  <c r="L45" i="20"/>
  <c r="AA1330" i="33"/>
  <c r="H42" i="20"/>
  <c r="Z1292" i="33"/>
  <c r="L41" i="18"/>
  <c r="AA1256" i="33"/>
  <c r="H40" i="20"/>
  <c r="AA1403" i="33"/>
  <c r="H44" i="19"/>
  <c r="Q35" i="2"/>
  <c r="Z1218" i="33" l="1"/>
  <c r="L39" i="18"/>
  <c r="AD1367" i="33"/>
  <c r="I43" i="20"/>
  <c r="AA1441" i="33"/>
  <c r="H45" i="21"/>
  <c r="AD1330" i="33"/>
  <c r="I42" i="20"/>
  <c r="AA1292" i="33"/>
  <c r="H41" i="19"/>
  <c r="AD1256" i="33"/>
  <c r="I40" i="20"/>
  <c r="AD1403" i="33"/>
  <c r="I44" i="19"/>
  <c r="AA1218" i="33" l="1"/>
  <c r="H39" i="19"/>
  <c r="Z1368" i="33"/>
  <c r="L43" i="20"/>
  <c r="AD1441" i="33"/>
  <c r="I45" i="21"/>
  <c r="Z1331" i="33"/>
  <c r="L42" i="20"/>
  <c r="AD1292" i="33"/>
  <c r="I41" i="19"/>
  <c r="Z1257" i="33"/>
  <c r="L40" i="20"/>
  <c r="Z1404" i="33"/>
  <c r="L44" i="19"/>
  <c r="AD1218" i="33" l="1"/>
  <c r="I39" i="19"/>
  <c r="H43" i="21"/>
  <c r="AA1368" i="33"/>
  <c r="Z1442" i="33"/>
  <c r="L45" i="21"/>
  <c r="AA1331" i="33"/>
  <c r="H42" i="21"/>
  <c r="Z1293" i="33"/>
  <c r="L41" i="19"/>
  <c r="AA1257" i="33"/>
  <c r="H40" i="21"/>
  <c r="AA1404" i="33"/>
  <c r="H44" i="20"/>
  <c r="G11" i="25"/>
  <c r="G22" i="24"/>
  <c r="Z1219" i="33" l="1"/>
  <c r="L39" i="19"/>
  <c r="I43" i="21"/>
  <c r="AD1368" i="33"/>
  <c r="H45" i="22"/>
  <c r="AA1442" i="33"/>
  <c r="AD1331" i="33"/>
  <c r="I42" i="21"/>
  <c r="AA1293" i="33"/>
  <c r="H41" i="20"/>
  <c r="AD1257" i="33"/>
  <c r="I40" i="21"/>
  <c r="AD1404" i="33"/>
  <c r="I44" i="20"/>
  <c r="AA1219" i="33" l="1"/>
  <c r="H39" i="20"/>
  <c r="Z1369" i="33"/>
  <c r="L43" i="21"/>
  <c r="AD1442" i="33"/>
  <c r="I45" i="22"/>
  <c r="Z1332" i="33"/>
  <c r="L42" i="21"/>
  <c r="AD1293" i="33"/>
  <c r="I41" i="20"/>
  <c r="Z1258" i="33"/>
  <c r="L40" i="21"/>
  <c r="Z1405" i="33"/>
  <c r="L44" i="20"/>
  <c r="G23" i="20"/>
  <c r="AD1219" i="33" l="1"/>
  <c r="I39" i="20"/>
  <c r="H43" i="22"/>
  <c r="AA1369" i="33"/>
  <c r="Z1443" i="33"/>
  <c r="L45" i="22"/>
  <c r="AA1332" i="33"/>
  <c r="H42" i="22"/>
  <c r="Z1294" i="33"/>
  <c r="L41" i="20"/>
  <c r="AA1258" i="33"/>
  <c r="H40" i="22"/>
  <c r="AA1405" i="33"/>
  <c r="H44" i="21"/>
  <c r="G11" i="18"/>
  <c r="Z1220" i="33" l="1"/>
  <c r="L39" i="20"/>
  <c r="AD1369" i="33"/>
  <c r="I43" i="22"/>
  <c r="H45" i="23"/>
  <c r="AA1443" i="33"/>
  <c r="AD1332" i="33"/>
  <c r="I42" i="22"/>
  <c r="AA1294" i="33"/>
  <c r="H41" i="21"/>
  <c r="AD1258" i="33"/>
  <c r="I40" i="22"/>
  <c r="AD1405" i="33"/>
  <c r="I44" i="21"/>
  <c r="G10" i="18"/>
  <c r="K25" i="59"/>
  <c r="K27" i="59" s="1"/>
  <c r="Q25" i="59"/>
  <c r="Q27" i="59" s="1"/>
  <c r="T25" i="59"/>
  <c r="T27" i="59" s="1"/>
  <c r="U25" i="59"/>
  <c r="AA1220" i="33" l="1"/>
  <c r="H39" i="21"/>
  <c r="Z1370" i="33"/>
  <c r="L43" i="22"/>
  <c r="AD1443" i="33"/>
  <c r="I45" i="23"/>
  <c r="Z1333" i="33"/>
  <c r="L42" i="22"/>
  <c r="AD1294" i="33"/>
  <c r="I41" i="21"/>
  <c r="L40" i="22"/>
  <c r="Z1259" i="33"/>
  <c r="Z1406" i="33"/>
  <c r="L44" i="21"/>
  <c r="G13" i="16"/>
  <c r="I39" i="21" l="1"/>
  <c r="AD1220" i="33"/>
  <c r="AA1370" i="33"/>
  <c r="H43" i="23"/>
  <c r="Z1444" i="33"/>
  <c r="L45" i="23"/>
  <c r="AA1333" i="33"/>
  <c r="H42" i="23"/>
  <c r="Z1295" i="33"/>
  <c r="L41" i="21"/>
  <c r="AA1259" i="33"/>
  <c r="H40" i="23"/>
  <c r="AA1406" i="33"/>
  <c r="H44" i="22"/>
  <c r="Y795" i="33"/>
  <c r="G28" i="14" s="1"/>
  <c r="G22" i="13"/>
  <c r="Z1221" i="33" l="1"/>
  <c r="L39" i="21"/>
  <c r="AD1370" i="33"/>
  <c r="I43" i="23"/>
  <c r="AA1444" i="33"/>
  <c r="H45" i="24"/>
  <c r="AD1333" i="33"/>
  <c r="I42" i="23"/>
  <c r="AA1295" i="33"/>
  <c r="H41" i="22"/>
  <c r="I40" i="23"/>
  <c r="AD1259" i="33"/>
  <c r="AD1406" i="33"/>
  <c r="I44" i="22"/>
  <c r="M78" i="54"/>
  <c r="M77" i="54"/>
  <c r="M75" i="54"/>
  <c r="M73" i="54"/>
  <c r="AA1221" i="33" l="1"/>
  <c r="H39" i="22"/>
  <c r="Z1371" i="33"/>
  <c r="L43" i="23"/>
  <c r="I45" i="24"/>
  <c r="AD1444" i="33"/>
  <c r="Z1334" i="33"/>
  <c r="L42" i="23"/>
  <c r="AD1295" i="33"/>
  <c r="I41" i="22"/>
  <c r="L40" i="23"/>
  <c r="Z1260" i="33"/>
  <c r="Z1407" i="33"/>
  <c r="L44" i="22"/>
  <c r="J78" i="54"/>
  <c r="J77" i="54"/>
  <c r="J75" i="54"/>
  <c r="J73" i="54"/>
  <c r="AD1221" i="33" l="1"/>
  <c r="I39" i="22"/>
  <c r="H43" i="24"/>
  <c r="AA1371" i="33"/>
  <c r="L45" i="24"/>
  <c r="Z1445" i="33"/>
  <c r="AA1334" i="33"/>
  <c r="H42" i="24"/>
  <c r="Z1296" i="33"/>
  <c r="L41" i="22"/>
  <c r="H40" i="24"/>
  <c r="AA1260" i="33"/>
  <c r="AA1407" i="33"/>
  <c r="H44" i="23"/>
  <c r="G13" i="37"/>
  <c r="Z1222" i="33" l="1"/>
  <c r="L39" i="22"/>
  <c r="I43" i="24"/>
  <c r="AD1371" i="33"/>
  <c r="AA1445" i="33"/>
  <c r="H45" i="25"/>
  <c r="AD1334" i="33"/>
  <c r="I42" i="24"/>
  <c r="AA1296" i="33"/>
  <c r="H41" i="23"/>
  <c r="I40" i="24"/>
  <c r="AD1260" i="33"/>
  <c r="I44" i="23"/>
  <c r="AD1407" i="33"/>
  <c r="AA1222" i="33" l="1"/>
  <c r="H39" i="23"/>
  <c r="L43" i="24"/>
  <c r="Z1372" i="33"/>
  <c r="AD1445" i="33"/>
  <c r="I45" i="25"/>
  <c r="Z1335" i="33"/>
  <c r="L42" i="24"/>
  <c r="AD1296" i="33"/>
  <c r="I41" i="23"/>
  <c r="Z1261" i="33"/>
  <c r="L40" i="24"/>
  <c r="Z1408" i="33"/>
  <c r="L44" i="23"/>
  <c r="AD1222" i="33" l="1"/>
  <c r="I39" i="23"/>
  <c r="AA1372" i="33"/>
  <c r="H43" i="25"/>
  <c r="Z1446" i="33"/>
  <c r="L45" i="25"/>
  <c r="AA1335" i="33"/>
  <c r="H42" i="25"/>
  <c r="Z1297" i="33"/>
  <c r="L41" i="23"/>
  <c r="AA1261" i="33"/>
  <c r="H40" i="25"/>
  <c r="AA1408" i="33"/>
  <c r="H44" i="24"/>
  <c r="Y850" i="33"/>
  <c r="Z1223" i="33" l="1"/>
  <c r="L39" i="23"/>
  <c r="I43" i="25"/>
  <c r="AD1372" i="33"/>
  <c r="AA1446" i="33"/>
  <c r="H45" i="26"/>
  <c r="AD1335" i="33"/>
  <c r="I42" i="25"/>
  <c r="AA1297" i="33"/>
  <c r="H41" i="24"/>
  <c r="AD1261" i="33"/>
  <c r="I40" i="25"/>
  <c r="AD1408" i="33"/>
  <c r="I44" i="24"/>
  <c r="AA1223" i="33" l="1"/>
  <c r="H39" i="24"/>
  <c r="Z1373" i="33"/>
  <c r="L43" i="25"/>
  <c r="AD1446" i="33"/>
  <c r="I45" i="26"/>
  <c r="Z1336" i="33"/>
  <c r="L42" i="25"/>
  <c r="AD1297" i="33"/>
  <c r="I41" i="24"/>
  <c r="L40" i="25"/>
  <c r="Z1262" i="33"/>
  <c r="Z1409" i="33"/>
  <c r="L44" i="24"/>
  <c r="G13" i="29"/>
  <c r="G22" i="28"/>
  <c r="AD1223" i="33" l="1"/>
  <c r="I39" i="24"/>
  <c r="AA1373" i="33"/>
  <c r="H43" i="26"/>
  <c r="Z1447" i="33"/>
  <c r="L45" i="26"/>
  <c r="AA1336" i="33"/>
  <c r="H42" i="26"/>
  <c r="Z1298" i="33"/>
  <c r="L41" i="24"/>
  <c r="AA1262" i="33"/>
  <c r="H40" i="26"/>
  <c r="AA1409" i="33"/>
  <c r="H44" i="25"/>
  <c r="G29" i="29"/>
  <c r="Z1224" i="33" l="1"/>
  <c r="L39" i="24"/>
  <c r="I43" i="26"/>
  <c r="AD1373" i="33"/>
  <c r="H45" i="27"/>
  <c r="AA1447" i="33"/>
  <c r="AD1336" i="33"/>
  <c r="I42" i="26"/>
  <c r="AA1298" i="33"/>
  <c r="H41" i="25"/>
  <c r="I40" i="26"/>
  <c r="AD1262" i="33"/>
  <c r="AD1409" i="33"/>
  <c r="I44" i="25"/>
  <c r="Y841" i="33"/>
  <c r="G29" i="22" s="1"/>
  <c r="G23" i="22"/>
  <c r="AA1224" i="33" l="1"/>
  <c r="H39" i="25"/>
  <c r="Z1374" i="33"/>
  <c r="L43" i="26"/>
  <c r="AD1447" i="33"/>
  <c r="I45" i="27"/>
  <c r="Z1337" i="33"/>
  <c r="L42" i="26"/>
  <c r="AD1298" i="33"/>
  <c r="I41" i="25"/>
  <c r="L40" i="26"/>
  <c r="Z1263" i="33"/>
  <c r="Z1410" i="33"/>
  <c r="L44" i="25"/>
  <c r="Y800" i="33"/>
  <c r="AN54" i="17"/>
  <c r="AM54" i="17"/>
  <c r="AL54" i="17"/>
  <c r="G13" i="15"/>
  <c r="AD1224" i="33" l="1"/>
  <c r="I39" i="25"/>
  <c r="H43" i="27"/>
  <c r="AA1374" i="33"/>
  <c r="Z1448" i="33"/>
  <c r="L45" i="27"/>
  <c r="AA1337" i="33"/>
  <c r="H42" i="27"/>
  <c r="L41" i="25"/>
  <c r="Z1299" i="33"/>
  <c r="AA1263" i="33"/>
  <c r="H40" i="27"/>
  <c r="AA1410" i="33"/>
  <c r="H44" i="26"/>
  <c r="H25" i="59"/>
  <c r="H27" i="59" s="1"/>
  <c r="G11" i="17"/>
  <c r="Z1225" i="33" l="1"/>
  <c r="L39" i="25"/>
  <c r="AD1374" i="33"/>
  <c r="I43" i="27"/>
  <c r="AA1448" i="33"/>
  <c r="H45" i="28"/>
  <c r="AD1337" i="33"/>
  <c r="I42" i="27"/>
  <c r="AA1299" i="33"/>
  <c r="H41" i="26"/>
  <c r="I40" i="27"/>
  <c r="AD1263" i="33"/>
  <c r="AD1410" i="33"/>
  <c r="I44" i="26"/>
  <c r="B39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B38" i="56"/>
  <c r="C37" i="56"/>
  <c r="D37" i="56"/>
  <c r="E37" i="56"/>
  <c r="F37" i="56"/>
  <c r="G37" i="56"/>
  <c r="H37" i="56"/>
  <c r="I37" i="56"/>
  <c r="J37" i="56"/>
  <c r="K37" i="56"/>
  <c r="L37" i="56"/>
  <c r="M37" i="56"/>
  <c r="N37" i="56"/>
  <c r="O37" i="56"/>
  <c r="P37" i="56"/>
  <c r="Q37" i="56"/>
  <c r="R37" i="56"/>
  <c r="S37" i="56"/>
  <c r="T37" i="56"/>
  <c r="U37" i="56"/>
  <c r="V37" i="56"/>
  <c r="B37" i="56"/>
  <c r="C36" i="56"/>
  <c r="D36" i="56"/>
  <c r="E36" i="56"/>
  <c r="F36" i="56"/>
  <c r="G36" i="56"/>
  <c r="H36" i="56"/>
  <c r="I36" i="56"/>
  <c r="J36" i="56"/>
  <c r="K36" i="56"/>
  <c r="L36" i="56"/>
  <c r="M36" i="56"/>
  <c r="N36" i="56"/>
  <c r="O36" i="56"/>
  <c r="P36" i="56"/>
  <c r="Q36" i="56"/>
  <c r="R36" i="56"/>
  <c r="S36" i="56"/>
  <c r="T36" i="56"/>
  <c r="U36" i="56"/>
  <c r="V36" i="56"/>
  <c r="B36" i="56"/>
  <c r="C35" i="56"/>
  <c r="D35" i="56"/>
  <c r="E35" i="56"/>
  <c r="F35" i="56"/>
  <c r="G35" i="56"/>
  <c r="H35" i="56"/>
  <c r="I35" i="56"/>
  <c r="J35" i="56"/>
  <c r="K35" i="56"/>
  <c r="L35" i="56"/>
  <c r="M35" i="56"/>
  <c r="N35" i="56"/>
  <c r="O35" i="56"/>
  <c r="P35" i="56"/>
  <c r="Q35" i="56"/>
  <c r="R35" i="56"/>
  <c r="S35" i="56"/>
  <c r="T35" i="56"/>
  <c r="U35" i="56"/>
  <c r="V35" i="56"/>
  <c r="B35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B34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B33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B32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B31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B30" i="56"/>
  <c r="AA1225" i="33" l="1"/>
  <c r="H39" i="26"/>
  <c r="Z1375" i="33"/>
  <c r="L43" i="27"/>
  <c r="AD1448" i="33"/>
  <c r="I45" i="28"/>
  <c r="Z1338" i="33"/>
  <c r="L42" i="27"/>
  <c r="I41" i="26"/>
  <c r="AD1299" i="33"/>
  <c r="L40" i="27"/>
  <c r="Z1264" i="33"/>
  <c r="Z1411" i="33"/>
  <c r="L44" i="26"/>
  <c r="G22" i="9"/>
  <c r="AD1225" i="33" l="1"/>
  <c r="I39" i="26"/>
  <c r="AA1375" i="33"/>
  <c r="H43" i="28"/>
  <c r="Z1449" i="33"/>
  <c r="L45" i="28"/>
  <c r="AA1338" i="33"/>
  <c r="H42" i="28"/>
  <c r="Z1300" i="33"/>
  <c r="L41" i="26"/>
  <c r="AA1264" i="33"/>
  <c r="H40" i="28"/>
  <c r="AA1411" i="33"/>
  <c r="H44" i="27"/>
  <c r="G29" i="8"/>
  <c r="G23" i="8"/>
  <c r="Z1226" i="33" l="1"/>
  <c r="L39" i="26"/>
  <c r="I43" i="28"/>
  <c r="AD1375" i="33"/>
  <c r="H45" i="29"/>
  <c r="AA1449" i="33"/>
  <c r="AD1338" i="33"/>
  <c r="I42" i="28"/>
  <c r="H41" i="27"/>
  <c r="AA1300" i="33"/>
  <c r="I40" i="28"/>
  <c r="AD1264" i="33"/>
  <c r="AD1411" i="33"/>
  <c r="I44" i="27"/>
  <c r="Y136" i="33"/>
  <c r="AA1226" i="33" l="1"/>
  <c r="H39" i="27"/>
  <c r="L43" i="28"/>
  <c r="Z1376" i="33"/>
  <c r="AD1449" i="33"/>
  <c r="I45" i="29"/>
  <c r="Z1339" i="33"/>
  <c r="L42" i="28"/>
  <c r="AD1300" i="33"/>
  <c r="I41" i="27"/>
  <c r="Z1265" i="33"/>
  <c r="L40" i="28"/>
  <c r="L44" i="27"/>
  <c r="Z1412" i="33"/>
  <c r="AD1226" i="33" l="1"/>
  <c r="I39" i="27"/>
  <c r="H43" i="29"/>
  <c r="AA1376" i="33"/>
  <c r="Z1450" i="33"/>
  <c r="L45" i="29"/>
  <c r="AA1339" i="33"/>
  <c r="H42" i="29"/>
  <c r="Z1301" i="33"/>
  <c r="L41" i="27"/>
  <c r="AA1265" i="33"/>
  <c r="H40" i="29"/>
  <c r="H44" i="28"/>
  <c r="AA1412" i="33"/>
  <c r="G20" i="5"/>
  <c r="G15" i="2"/>
  <c r="M15" i="2" s="1"/>
  <c r="M15" i="3" s="1"/>
  <c r="M15" i="4" s="1"/>
  <c r="Z1227" i="33" l="1"/>
  <c r="L39" i="27"/>
  <c r="I43" i="29"/>
  <c r="AD1376" i="33"/>
  <c r="AA1450" i="33"/>
  <c r="H45" i="30"/>
  <c r="AD1339" i="33"/>
  <c r="I42" i="29"/>
  <c r="AA1301" i="33"/>
  <c r="H41" i="28"/>
  <c r="AD1265" i="33"/>
  <c r="I40" i="29"/>
  <c r="I44" i="28"/>
  <c r="AD1412" i="33"/>
  <c r="AA1227" i="33" l="1"/>
  <c r="H39" i="28"/>
  <c r="Z1377" i="33"/>
  <c r="L43" i="29"/>
  <c r="AD1450" i="33"/>
  <c r="I45" i="30"/>
  <c r="Z1340" i="33"/>
  <c r="L42" i="29"/>
  <c r="AD1301" i="33"/>
  <c r="I41" i="28"/>
  <c r="Z1266" i="33"/>
  <c r="L40" i="29"/>
  <c r="Z1413" i="33"/>
  <c r="L44" i="28"/>
  <c r="R56" i="26"/>
  <c r="G19" i="24"/>
  <c r="G13" i="28"/>
  <c r="AJ22" i="26" l="1"/>
  <c r="AZ101" i="63"/>
  <c r="BA101" i="63" s="1"/>
  <c r="BA105" i="63" s="1"/>
  <c r="AD1227" i="33"/>
  <c r="I39" i="28"/>
  <c r="H43" i="30"/>
  <c r="AA1377" i="33"/>
  <c r="Z1451" i="33"/>
  <c r="L45" i="30"/>
  <c r="AA1340" i="33"/>
  <c r="H42" i="30"/>
  <c r="Z1302" i="33"/>
  <c r="L41" i="28"/>
  <c r="AA1266" i="33"/>
  <c r="H40" i="30"/>
  <c r="AA1413" i="33"/>
  <c r="H44" i="29"/>
  <c r="I25" i="59"/>
  <c r="I27" i="59" s="1"/>
  <c r="F25" i="59"/>
  <c r="F27" i="59" s="1"/>
  <c r="Z1228" i="33" l="1"/>
  <c r="L39" i="28"/>
  <c r="AD1377" i="33"/>
  <c r="I43" i="30"/>
  <c r="AA1451" i="33"/>
  <c r="H45" i="31"/>
  <c r="AD1340" i="33"/>
  <c r="I42" i="30"/>
  <c r="AA1302" i="33"/>
  <c r="H41" i="29"/>
  <c r="AD1266" i="33"/>
  <c r="I40" i="30"/>
  <c r="AD1413" i="33"/>
  <c r="I44" i="29"/>
  <c r="G25" i="59"/>
  <c r="G27" i="59" s="1"/>
  <c r="AA1228" i="33" l="1"/>
  <c r="H39" i="29"/>
  <c r="Z1378" i="33"/>
  <c r="L43" i="30"/>
  <c r="AD1451" i="33"/>
  <c r="I45" i="31"/>
  <c r="Z1341" i="33"/>
  <c r="L42" i="30"/>
  <c r="AD1302" i="33"/>
  <c r="I41" i="29"/>
  <c r="Z1267" i="33"/>
  <c r="L40" i="30"/>
  <c r="Z1414" i="33"/>
  <c r="L44" i="29"/>
  <c r="G22" i="25"/>
  <c r="R56" i="22"/>
  <c r="R56" i="21"/>
  <c r="AJ22" i="21" l="1"/>
  <c r="AP101" i="63"/>
  <c r="AQ101" i="63" s="1"/>
  <c r="AQ105" i="63" s="1"/>
  <c r="AJ22" i="22"/>
  <c r="AR101" i="63"/>
  <c r="AS101" i="63" s="1"/>
  <c r="AS105" i="63" s="1"/>
  <c r="I39" i="29"/>
  <c r="AD1228" i="33"/>
  <c r="AA1378" i="33"/>
  <c r="H43" i="31"/>
  <c r="Z1452" i="33"/>
  <c r="L45" i="31"/>
  <c r="AA1341" i="33"/>
  <c r="H42" i="31"/>
  <c r="Z1303" i="33"/>
  <c r="L41" i="29"/>
  <c r="H40" i="31"/>
  <c r="AA1267" i="33"/>
  <c r="AA1414" i="33"/>
  <c r="H44" i="30"/>
  <c r="K44" i="61"/>
  <c r="H44" i="61"/>
  <c r="Z1229" i="33" l="1"/>
  <c r="L39" i="29"/>
  <c r="AD1378" i="33"/>
  <c r="I43" i="31"/>
  <c r="AA1452" i="33"/>
  <c r="H45" i="32"/>
  <c r="AD1341" i="33"/>
  <c r="I42" i="31"/>
  <c r="AA1303" i="33"/>
  <c r="H41" i="30"/>
  <c r="AD1267" i="33"/>
  <c r="I40" i="31"/>
  <c r="AD1414" i="33"/>
  <c r="I44" i="30"/>
  <c r="Y799" i="33"/>
  <c r="H39" i="30" l="1"/>
  <c r="AA1229" i="33"/>
  <c r="Z1379" i="33"/>
  <c r="L43" i="31"/>
  <c r="I45" i="32"/>
  <c r="AD1452" i="33"/>
  <c r="L45" i="32" s="1"/>
  <c r="Z1342" i="33"/>
  <c r="L42" i="31"/>
  <c r="AD1303" i="33"/>
  <c r="I41" i="30"/>
  <c r="L40" i="31"/>
  <c r="Z1268" i="33"/>
  <c r="Z1415" i="33"/>
  <c r="L44" i="30"/>
  <c r="Y831" i="33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B29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B2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B27" i="56"/>
  <c r="C26" i="56"/>
  <c r="D26" i="56"/>
  <c r="E26" i="56"/>
  <c r="F26" i="56"/>
  <c r="G26" i="56"/>
  <c r="H26" i="56"/>
  <c r="I26" i="56"/>
  <c r="J26" i="56"/>
  <c r="K26" i="56"/>
  <c r="L26" i="56"/>
  <c r="M26" i="56"/>
  <c r="N26" i="56"/>
  <c r="O26" i="56"/>
  <c r="P26" i="56"/>
  <c r="Q26" i="56"/>
  <c r="R26" i="56"/>
  <c r="S26" i="56"/>
  <c r="T26" i="56"/>
  <c r="U26" i="56"/>
  <c r="V26" i="56"/>
  <c r="B26" i="56"/>
  <c r="C25" i="56"/>
  <c r="D25" i="56"/>
  <c r="E25" i="56"/>
  <c r="F25" i="56"/>
  <c r="G25" i="56"/>
  <c r="H25" i="56"/>
  <c r="I25" i="56"/>
  <c r="J25" i="56"/>
  <c r="K25" i="56"/>
  <c r="L25" i="56"/>
  <c r="M25" i="56"/>
  <c r="N25" i="56"/>
  <c r="O25" i="56"/>
  <c r="P25" i="56"/>
  <c r="Q25" i="56"/>
  <c r="R25" i="56"/>
  <c r="S25" i="56"/>
  <c r="T25" i="56"/>
  <c r="U25" i="56"/>
  <c r="V25" i="56"/>
  <c r="B25" i="56"/>
  <c r="C24" i="56"/>
  <c r="D24" i="56"/>
  <c r="E24" i="56"/>
  <c r="F24" i="56"/>
  <c r="G24" i="56"/>
  <c r="H24" i="56"/>
  <c r="I24" i="56"/>
  <c r="J24" i="56"/>
  <c r="K24" i="56"/>
  <c r="L24" i="56"/>
  <c r="M24" i="56"/>
  <c r="N24" i="56"/>
  <c r="O24" i="56"/>
  <c r="P24" i="56"/>
  <c r="Q24" i="56"/>
  <c r="R24" i="56"/>
  <c r="S24" i="56"/>
  <c r="T24" i="56"/>
  <c r="U24" i="56"/>
  <c r="V24" i="56"/>
  <c r="B24" i="56"/>
  <c r="C23" i="56"/>
  <c r="D23" i="56"/>
  <c r="E23" i="56"/>
  <c r="F23" i="56"/>
  <c r="G23" i="56"/>
  <c r="H23" i="56"/>
  <c r="I23" i="56"/>
  <c r="J23" i="56"/>
  <c r="K23" i="56"/>
  <c r="L23" i="56"/>
  <c r="M23" i="56"/>
  <c r="N23" i="56"/>
  <c r="O23" i="56"/>
  <c r="P23" i="56"/>
  <c r="Q23" i="56"/>
  <c r="R23" i="56"/>
  <c r="S23" i="56"/>
  <c r="T23" i="56"/>
  <c r="U23" i="56"/>
  <c r="V23" i="56"/>
  <c r="B23" i="56"/>
  <c r="C22" i="56"/>
  <c r="D22" i="56"/>
  <c r="E22" i="56"/>
  <c r="F22" i="56"/>
  <c r="G22" i="56"/>
  <c r="H22" i="56"/>
  <c r="I22" i="56"/>
  <c r="J22" i="56"/>
  <c r="K22" i="56"/>
  <c r="L22" i="56"/>
  <c r="M22" i="56"/>
  <c r="N22" i="56"/>
  <c r="O22" i="56"/>
  <c r="P22" i="56"/>
  <c r="Q22" i="56"/>
  <c r="R22" i="56"/>
  <c r="S22" i="56"/>
  <c r="T22" i="56"/>
  <c r="U22" i="56"/>
  <c r="V22" i="56"/>
  <c r="B22" i="56"/>
  <c r="C21" i="56"/>
  <c r="D21" i="56"/>
  <c r="E21" i="56"/>
  <c r="F21" i="56"/>
  <c r="G21" i="56"/>
  <c r="H21" i="56"/>
  <c r="I21" i="56"/>
  <c r="J21" i="56"/>
  <c r="K21" i="56"/>
  <c r="L21" i="56"/>
  <c r="M21" i="56"/>
  <c r="N21" i="56"/>
  <c r="O21" i="56"/>
  <c r="P21" i="56"/>
  <c r="Q21" i="56"/>
  <c r="R21" i="56"/>
  <c r="S21" i="56"/>
  <c r="T21" i="56"/>
  <c r="U21" i="56"/>
  <c r="V21" i="56"/>
  <c r="B21" i="56"/>
  <c r="C20" i="56"/>
  <c r="D20" i="56"/>
  <c r="E20" i="56"/>
  <c r="F20" i="56"/>
  <c r="G20" i="56"/>
  <c r="H20" i="56"/>
  <c r="I20" i="56"/>
  <c r="J20" i="56"/>
  <c r="K20" i="56"/>
  <c r="L20" i="56"/>
  <c r="M20" i="56"/>
  <c r="N20" i="56"/>
  <c r="O20" i="56"/>
  <c r="P20" i="56"/>
  <c r="Q20" i="56"/>
  <c r="R20" i="56"/>
  <c r="S20" i="56"/>
  <c r="T20" i="56"/>
  <c r="U20" i="56"/>
  <c r="V20" i="56"/>
  <c r="B20" i="56"/>
  <c r="C19" i="56"/>
  <c r="D19" i="56"/>
  <c r="E19" i="56"/>
  <c r="F19" i="56"/>
  <c r="G19" i="56"/>
  <c r="H19" i="56"/>
  <c r="I19" i="56"/>
  <c r="J19" i="56"/>
  <c r="K19" i="56"/>
  <c r="L19" i="56"/>
  <c r="M19" i="56"/>
  <c r="N19" i="56"/>
  <c r="O19" i="56"/>
  <c r="P19" i="56"/>
  <c r="Q19" i="56"/>
  <c r="R19" i="56"/>
  <c r="S19" i="56"/>
  <c r="T19" i="56"/>
  <c r="U19" i="56"/>
  <c r="V19" i="56"/>
  <c r="B19" i="56"/>
  <c r="C18" i="56"/>
  <c r="D18" i="56"/>
  <c r="E18" i="56"/>
  <c r="F18" i="56"/>
  <c r="G18" i="56"/>
  <c r="H18" i="56"/>
  <c r="I18" i="56"/>
  <c r="J18" i="56"/>
  <c r="K18" i="56"/>
  <c r="L18" i="56"/>
  <c r="M18" i="56"/>
  <c r="N18" i="56"/>
  <c r="O18" i="56"/>
  <c r="P18" i="56"/>
  <c r="Q18" i="56"/>
  <c r="R18" i="56"/>
  <c r="S18" i="56"/>
  <c r="T18" i="56"/>
  <c r="U18" i="56"/>
  <c r="V18" i="56"/>
  <c r="B18" i="56"/>
  <c r="C17" i="56"/>
  <c r="D17" i="56"/>
  <c r="E17" i="56"/>
  <c r="F17" i="56"/>
  <c r="G17" i="56"/>
  <c r="H17" i="56"/>
  <c r="I17" i="56"/>
  <c r="J17" i="56"/>
  <c r="K17" i="56"/>
  <c r="L17" i="56"/>
  <c r="M17" i="56"/>
  <c r="N17" i="56"/>
  <c r="O17" i="56"/>
  <c r="P17" i="56"/>
  <c r="Q17" i="56"/>
  <c r="R17" i="56"/>
  <c r="S17" i="56"/>
  <c r="T17" i="56"/>
  <c r="U17" i="56"/>
  <c r="V17" i="56"/>
  <c r="B17" i="56"/>
  <c r="C16" i="56"/>
  <c r="D16" i="56"/>
  <c r="E16" i="56"/>
  <c r="F16" i="56"/>
  <c r="G16" i="56"/>
  <c r="H16" i="56"/>
  <c r="I16" i="56"/>
  <c r="J16" i="56"/>
  <c r="K16" i="56"/>
  <c r="L16" i="56"/>
  <c r="M16" i="56"/>
  <c r="N16" i="56"/>
  <c r="O16" i="56"/>
  <c r="P16" i="56"/>
  <c r="Q16" i="56"/>
  <c r="R16" i="56"/>
  <c r="S16" i="56"/>
  <c r="T16" i="56"/>
  <c r="U16" i="56"/>
  <c r="V16" i="56"/>
  <c r="B16" i="56"/>
  <c r="C15" i="56"/>
  <c r="D15" i="56"/>
  <c r="E15" i="56"/>
  <c r="F15" i="56"/>
  <c r="G15" i="56"/>
  <c r="H15" i="56"/>
  <c r="I15" i="56"/>
  <c r="J15" i="56"/>
  <c r="K15" i="56"/>
  <c r="L15" i="56"/>
  <c r="M15" i="56"/>
  <c r="N15" i="56"/>
  <c r="O15" i="56"/>
  <c r="P15" i="56"/>
  <c r="Q15" i="56"/>
  <c r="R15" i="56"/>
  <c r="S15" i="56"/>
  <c r="T15" i="56"/>
  <c r="U15" i="56"/>
  <c r="V15" i="56"/>
  <c r="B15" i="56"/>
  <c r="C14" i="56"/>
  <c r="D14" i="56"/>
  <c r="E14" i="56"/>
  <c r="F14" i="56"/>
  <c r="G14" i="56"/>
  <c r="H14" i="56"/>
  <c r="I14" i="56"/>
  <c r="J14" i="56"/>
  <c r="K14" i="56"/>
  <c r="L14" i="56"/>
  <c r="M14" i="56"/>
  <c r="N14" i="56"/>
  <c r="O14" i="56"/>
  <c r="P14" i="56"/>
  <c r="Q14" i="56"/>
  <c r="R14" i="56"/>
  <c r="S14" i="56"/>
  <c r="T14" i="56"/>
  <c r="U14" i="56"/>
  <c r="V14" i="56"/>
  <c r="B14" i="56"/>
  <c r="C13" i="56"/>
  <c r="D13" i="56"/>
  <c r="E13" i="56"/>
  <c r="F13" i="56"/>
  <c r="G13" i="56"/>
  <c r="H13" i="56"/>
  <c r="I13" i="56"/>
  <c r="J13" i="56"/>
  <c r="K13" i="56"/>
  <c r="L13" i="56"/>
  <c r="M13" i="56"/>
  <c r="N13" i="56"/>
  <c r="O13" i="56"/>
  <c r="P13" i="56"/>
  <c r="Q13" i="56"/>
  <c r="R13" i="56"/>
  <c r="S13" i="56"/>
  <c r="T13" i="56"/>
  <c r="U13" i="56"/>
  <c r="V13" i="56"/>
  <c r="B13" i="56"/>
  <c r="C12" i="56"/>
  <c r="D12" i="56"/>
  <c r="E12" i="56"/>
  <c r="F12" i="56"/>
  <c r="G12" i="56"/>
  <c r="H12" i="56"/>
  <c r="I12" i="56"/>
  <c r="J12" i="56"/>
  <c r="K12" i="56"/>
  <c r="L12" i="56"/>
  <c r="M12" i="56"/>
  <c r="N12" i="56"/>
  <c r="O12" i="56"/>
  <c r="P12" i="56"/>
  <c r="Q12" i="56"/>
  <c r="R12" i="56"/>
  <c r="S12" i="56"/>
  <c r="T12" i="56"/>
  <c r="U12" i="56"/>
  <c r="V12" i="56"/>
  <c r="B12" i="56"/>
  <c r="C11" i="56"/>
  <c r="D11" i="56"/>
  <c r="E11" i="56"/>
  <c r="F11" i="56"/>
  <c r="G11" i="56"/>
  <c r="H11" i="56"/>
  <c r="I11" i="56"/>
  <c r="J11" i="56"/>
  <c r="K11" i="56"/>
  <c r="L11" i="56"/>
  <c r="M11" i="56"/>
  <c r="N11" i="56"/>
  <c r="O11" i="56"/>
  <c r="P11" i="56"/>
  <c r="Q11" i="56"/>
  <c r="R11" i="56"/>
  <c r="S11" i="56"/>
  <c r="T11" i="56"/>
  <c r="U11" i="56"/>
  <c r="V11" i="56"/>
  <c r="B11" i="56"/>
  <c r="C10" i="56"/>
  <c r="D10" i="56"/>
  <c r="E10" i="56"/>
  <c r="F10" i="56"/>
  <c r="G10" i="56"/>
  <c r="H10" i="56"/>
  <c r="I10" i="56"/>
  <c r="J10" i="56"/>
  <c r="K10" i="56"/>
  <c r="L10" i="56"/>
  <c r="M10" i="56"/>
  <c r="N10" i="56"/>
  <c r="O10" i="56"/>
  <c r="P10" i="56"/>
  <c r="Q10" i="56"/>
  <c r="R10" i="56"/>
  <c r="S10" i="56"/>
  <c r="T10" i="56"/>
  <c r="U10" i="56"/>
  <c r="V10" i="56"/>
  <c r="B10" i="56"/>
  <c r="C9" i="56"/>
  <c r="D9" i="56"/>
  <c r="E9" i="56"/>
  <c r="F9" i="56"/>
  <c r="G9" i="56"/>
  <c r="H9" i="56"/>
  <c r="I9" i="56"/>
  <c r="J9" i="56"/>
  <c r="K9" i="56"/>
  <c r="L9" i="56"/>
  <c r="M9" i="56"/>
  <c r="N9" i="56"/>
  <c r="O9" i="56"/>
  <c r="P9" i="56"/>
  <c r="Q9" i="56"/>
  <c r="R9" i="56"/>
  <c r="S9" i="56"/>
  <c r="T9" i="56"/>
  <c r="U9" i="56"/>
  <c r="V9" i="56"/>
  <c r="B9" i="56"/>
  <c r="I39" i="30" l="1"/>
  <c r="AD1229" i="33"/>
  <c r="H43" i="32"/>
  <c r="AA1379" i="33"/>
  <c r="AA1342" i="33"/>
  <c r="H42" i="32"/>
  <c r="Z1304" i="33"/>
  <c r="L41" i="30"/>
  <c r="H40" i="32"/>
  <c r="AA1268" i="33"/>
  <c r="AA1415" i="33"/>
  <c r="H44" i="31"/>
  <c r="U40" i="56"/>
  <c r="U42" i="56" s="1"/>
  <c r="T40" i="56"/>
  <c r="T42" i="56" s="1"/>
  <c r="V40" i="56"/>
  <c r="V42" i="56" s="1"/>
  <c r="G15" i="7"/>
  <c r="Z1230" i="33" l="1"/>
  <c r="L39" i="30"/>
  <c r="AD1379" i="33"/>
  <c r="L43" i="32" s="1"/>
  <c r="I43" i="32"/>
  <c r="AD1342" i="33"/>
  <c r="L42" i="32" s="1"/>
  <c r="I42" i="32"/>
  <c r="AA1304" i="33"/>
  <c r="H41" i="31"/>
  <c r="AD1268" i="33"/>
  <c r="L40" i="32" s="1"/>
  <c r="I40" i="32"/>
  <c r="AD1415" i="33"/>
  <c r="I44" i="31"/>
  <c r="G13" i="22"/>
  <c r="AA1230" i="33" l="1"/>
  <c r="H39" i="31"/>
  <c r="AD1304" i="33"/>
  <c r="I41" i="31"/>
  <c r="Z1416" i="33"/>
  <c r="L44" i="31"/>
  <c r="W11" i="50"/>
  <c r="V11" i="50"/>
  <c r="U11" i="50"/>
  <c r="T11" i="50"/>
  <c r="S11" i="50"/>
  <c r="R11" i="50"/>
  <c r="Q11" i="50"/>
  <c r="P11" i="50"/>
  <c r="O11" i="50"/>
  <c r="N11" i="50"/>
  <c r="M11" i="50"/>
  <c r="L11" i="50"/>
  <c r="K11" i="50"/>
  <c r="J11" i="50"/>
  <c r="I11" i="50"/>
  <c r="H11" i="50"/>
  <c r="G11" i="50"/>
  <c r="F11" i="50"/>
  <c r="E11" i="50"/>
  <c r="D11" i="50"/>
  <c r="W10" i="50"/>
  <c r="W15" i="50" s="1"/>
  <c r="V10" i="50"/>
  <c r="V15" i="50" s="1"/>
  <c r="U10" i="50"/>
  <c r="U15" i="50" s="1"/>
  <c r="T10" i="50"/>
  <c r="S10" i="50"/>
  <c r="R10" i="50"/>
  <c r="Q10" i="50"/>
  <c r="P10" i="50"/>
  <c r="O10" i="50"/>
  <c r="N10" i="50"/>
  <c r="M10" i="50"/>
  <c r="L10" i="50"/>
  <c r="K10" i="50"/>
  <c r="J10" i="50"/>
  <c r="I10" i="50"/>
  <c r="H10" i="50"/>
  <c r="G10" i="50"/>
  <c r="F10" i="50"/>
  <c r="E10" i="50"/>
  <c r="D10" i="50"/>
  <c r="Y798" i="33"/>
  <c r="AD1230" i="33" l="1"/>
  <c r="I39" i="31"/>
  <c r="L41" i="31"/>
  <c r="Z1305" i="33"/>
  <c r="H44" i="32"/>
  <c r="AA1416" i="33"/>
  <c r="U12" i="50"/>
  <c r="U20" i="50" s="1"/>
  <c r="U23" i="50" s="1"/>
  <c r="V12" i="50"/>
  <c r="V20" i="50" s="1"/>
  <c r="V23" i="50" s="1"/>
  <c r="W12" i="50"/>
  <c r="W20" i="50" s="1"/>
  <c r="W23" i="50" s="1"/>
  <c r="Y834" i="33"/>
  <c r="Z1231" i="33" l="1"/>
  <c r="L39" i="31"/>
  <c r="AA1305" i="33"/>
  <c r="H41" i="32"/>
  <c r="AD1416" i="33"/>
  <c r="L44" i="32" s="1"/>
  <c r="I44" i="32"/>
  <c r="G22" i="14"/>
  <c r="AA1231" i="33" l="1"/>
  <c r="H39" i="32"/>
  <c r="AD1305" i="33"/>
  <c r="L41" i="32" s="1"/>
  <c r="I41" i="32"/>
  <c r="AD1231" i="33" l="1"/>
  <c r="I39" i="32"/>
  <c r="G16" i="2"/>
  <c r="M16" i="2" s="1"/>
  <c r="M16" i="3" s="1"/>
  <c r="M16" i="4" s="1"/>
  <c r="R56" i="31"/>
  <c r="G22" i="31"/>
  <c r="R56" i="30"/>
  <c r="R56" i="29"/>
  <c r="R56" i="27"/>
  <c r="AJ22" i="27" l="1"/>
  <c r="BB101" i="63"/>
  <c r="BC101" i="63" s="1"/>
  <c r="BC105" i="63" s="1"/>
  <c r="AJ22" i="31"/>
  <c r="BJ101" i="63"/>
  <c r="BK101" i="63" s="1"/>
  <c r="BK105" i="63" s="1"/>
  <c r="AJ22" i="30"/>
  <c r="BH101" i="63"/>
  <c r="BI101" i="63" s="1"/>
  <c r="BI105" i="63" s="1"/>
  <c r="AJ22" i="29"/>
  <c r="BF101" i="63"/>
  <c r="BG101" i="63" s="1"/>
  <c r="BG105" i="63" s="1"/>
  <c r="L39" i="32"/>
  <c r="Z45" i="54"/>
  <c r="G23" i="24"/>
  <c r="G11" i="24"/>
  <c r="Y804" i="33"/>
  <c r="G28" i="23" s="1"/>
  <c r="Y791" i="33" l="1"/>
  <c r="AN54" i="19"/>
  <c r="AM54" i="19"/>
  <c r="AL54" i="19"/>
  <c r="AN54" i="16" l="1"/>
  <c r="AM54" i="16"/>
  <c r="AL54" i="16"/>
  <c r="R56" i="37" l="1"/>
  <c r="T101" i="63" s="1"/>
  <c r="U101" i="63" s="1"/>
  <c r="U105" i="63" s="1"/>
  <c r="R56" i="9"/>
  <c r="R101" i="63" s="1"/>
  <c r="S101" i="63" s="1"/>
  <c r="S105" i="63" s="1"/>
  <c r="AN54" i="9"/>
  <c r="AM54" i="9"/>
  <c r="AL54" i="9"/>
  <c r="AJ22" i="37" l="1"/>
  <c r="AJ22" i="9"/>
  <c r="R56" i="8"/>
  <c r="P101" i="63" s="1"/>
  <c r="Q101" i="63" s="1"/>
  <c r="Q105" i="63" s="1"/>
  <c r="AJ22" i="8" l="1"/>
  <c r="G13" i="2"/>
  <c r="M13" i="2" s="1"/>
  <c r="Y131" i="33"/>
  <c r="G13" i="3" l="1"/>
  <c r="M13" i="3" s="1"/>
  <c r="M13" i="4" s="1"/>
  <c r="T1194" i="33"/>
  <c r="U1194" i="33"/>
  <c r="V1194" i="33"/>
  <c r="W1194" i="33"/>
  <c r="X1194" i="33"/>
  <c r="T1165" i="33"/>
  <c r="U1165" i="33"/>
  <c r="V1165" i="33"/>
  <c r="W1165" i="33"/>
  <c r="X1165" i="33"/>
  <c r="T1166" i="33"/>
  <c r="U1166" i="33"/>
  <c r="V1166" i="33"/>
  <c r="W1166" i="33"/>
  <c r="X1166" i="33"/>
  <c r="T1167" i="33"/>
  <c r="U1167" i="33"/>
  <c r="V1167" i="33"/>
  <c r="W1167" i="33"/>
  <c r="X1167" i="33"/>
  <c r="T1168" i="33"/>
  <c r="U1168" i="33"/>
  <c r="V1168" i="33"/>
  <c r="W1168" i="33"/>
  <c r="X1168" i="33"/>
  <c r="T1169" i="33"/>
  <c r="U1169" i="33"/>
  <c r="V1169" i="33"/>
  <c r="W1169" i="33"/>
  <c r="X1169" i="33"/>
  <c r="T1170" i="33"/>
  <c r="U1170" i="33"/>
  <c r="V1170" i="33"/>
  <c r="W1170" i="33"/>
  <c r="X1170" i="33"/>
  <c r="T1171" i="33"/>
  <c r="U1171" i="33"/>
  <c r="V1171" i="33"/>
  <c r="W1171" i="33"/>
  <c r="X1171" i="33"/>
  <c r="T1172" i="33"/>
  <c r="U1172" i="33"/>
  <c r="V1172" i="33"/>
  <c r="W1172" i="33"/>
  <c r="X1172" i="33"/>
  <c r="T1173" i="33"/>
  <c r="U1173" i="33"/>
  <c r="V1173" i="33"/>
  <c r="W1173" i="33"/>
  <c r="X1173" i="33"/>
  <c r="T1174" i="33"/>
  <c r="U1174" i="33"/>
  <c r="V1174" i="33"/>
  <c r="W1174" i="33"/>
  <c r="X1174" i="33"/>
  <c r="T1175" i="33"/>
  <c r="U1175" i="33"/>
  <c r="V1175" i="33"/>
  <c r="W1175" i="33"/>
  <c r="X1175" i="33"/>
  <c r="T1176" i="33"/>
  <c r="U1176" i="33"/>
  <c r="V1176" i="33"/>
  <c r="W1176" i="33"/>
  <c r="X1176" i="33"/>
  <c r="T1177" i="33"/>
  <c r="U1177" i="33"/>
  <c r="V1177" i="33"/>
  <c r="W1177" i="33"/>
  <c r="X1177" i="33"/>
  <c r="T1178" i="33"/>
  <c r="U1178" i="33"/>
  <c r="V1178" i="33"/>
  <c r="W1178" i="33"/>
  <c r="X1178" i="33"/>
  <c r="T1179" i="33"/>
  <c r="U1179" i="33"/>
  <c r="V1179" i="33"/>
  <c r="W1179" i="33"/>
  <c r="X1179" i="33"/>
  <c r="T1180" i="33"/>
  <c r="U1180" i="33"/>
  <c r="V1180" i="33"/>
  <c r="W1180" i="33"/>
  <c r="X1180" i="33"/>
  <c r="T1181" i="33"/>
  <c r="U1181" i="33"/>
  <c r="V1181" i="33"/>
  <c r="W1181" i="33"/>
  <c r="X1181" i="33"/>
  <c r="T1182" i="33"/>
  <c r="U1182" i="33"/>
  <c r="V1182" i="33"/>
  <c r="W1182" i="33"/>
  <c r="X1182" i="33"/>
  <c r="T1183" i="33"/>
  <c r="U1183" i="33"/>
  <c r="V1183" i="33"/>
  <c r="W1183" i="33"/>
  <c r="X1183" i="33"/>
  <c r="T1184" i="33"/>
  <c r="U1184" i="33"/>
  <c r="V1184" i="33"/>
  <c r="W1184" i="33"/>
  <c r="X1184" i="33"/>
  <c r="T1185" i="33"/>
  <c r="U1185" i="33"/>
  <c r="V1185" i="33"/>
  <c r="W1185" i="33"/>
  <c r="X1185" i="33"/>
  <c r="T1186" i="33"/>
  <c r="U1186" i="33"/>
  <c r="V1186" i="33"/>
  <c r="W1186" i="33"/>
  <c r="X1186" i="33"/>
  <c r="T1187" i="33"/>
  <c r="U1187" i="33"/>
  <c r="V1187" i="33"/>
  <c r="W1187" i="33"/>
  <c r="X1187" i="33"/>
  <c r="T1188" i="33"/>
  <c r="U1188" i="33"/>
  <c r="V1188" i="33"/>
  <c r="W1188" i="33"/>
  <c r="X1188" i="33"/>
  <c r="T1189" i="33"/>
  <c r="U1189" i="33"/>
  <c r="V1189" i="33"/>
  <c r="W1189" i="33"/>
  <c r="X1189" i="33"/>
  <c r="T1190" i="33"/>
  <c r="U1190" i="33"/>
  <c r="V1190" i="33"/>
  <c r="W1190" i="33"/>
  <c r="X1190" i="33"/>
  <c r="T1191" i="33"/>
  <c r="U1191" i="33"/>
  <c r="V1191" i="33"/>
  <c r="W1191" i="33"/>
  <c r="X1191" i="33"/>
  <c r="T1192" i="33"/>
  <c r="U1192" i="33"/>
  <c r="V1192" i="33"/>
  <c r="W1192" i="33"/>
  <c r="X1192" i="33"/>
  <c r="T1193" i="33"/>
  <c r="U1193" i="33"/>
  <c r="V1193" i="33"/>
  <c r="W1193" i="33"/>
  <c r="X1193" i="33"/>
  <c r="T1164" i="33"/>
  <c r="U1164" i="33"/>
  <c r="V1164" i="33"/>
  <c r="W1164" i="33"/>
  <c r="X1164" i="33"/>
  <c r="AN54" i="32" l="1"/>
  <c r="AM54" i="32"/>
  <c r="AL54" i="32"/>
  <c r="AK54" i="32"/>
  <c r="AJ54" i="32"/>
  <c r="AI54" i="32"/>
  <c r="AH54" i="32"/>
  <c r="AG54" i="32"/>
  <c r="AF54" i="32"/>
  <c r="AE54" i="32"/>
  <c r="AD54" i="32"/>
  <c r="AC54" i="32"/>
  <c r="AB54" i="32"/>
  <c r="AA54" i="32"/>
  <c r="Z54" i="32"/>
  <c r="Y54" i="32"/>
  <c r="X54" i="32"/>
  <c r="W54" i="32"/>
  <c r="V54" i="32"/>
  <c r="U54" i="32"/>
  <c r="R56" i="32"/>
  <c r="AJ22" i="32" s="1"/>
  <c r="AN57" i="32" l="1"/>
  <c r="AN54" i="31"/>
  <c r="AN57" i="31"/>
  <c r="AM54" i="31"/>
  <c r="AL54" i="31"/>
  <c r="AN54" i="30"/>
  <c r="AM54" i="30"/>
  <c r="AL54" i="30"/>
  <c r="AN57" i="30"/>
  <c r="AN57" i="29"/>
  <c r="AN57" i="28"/>
  <c r="AN57" i="27"/>
  <c r="AN54" i="26"/>
  <c r="AM54" i="26"/>
  <c r="AL54" i="26"/>
  <c r="AN57" i="26"/>
  <c r="AN54" i="25"/>
  <c r="AM54" i="25"/>
  <c r="AL54" i="25"/>
  <c r="AN54" i="24"/>
  <c r="AM54" i="24"/>
  <c r="AL54" i="24"/>
  <c r="AN54" i="23" l="1"/>
  <c r="AM54" i="23"/>
  <c r="AL54" i="23"/>
  <c r="R56" i="18" l="1"/>
  <c r="AJ22" i="18" l="1"/>
  <c r="AJ101" i="63"/>
  <c r="AK101" i="63" s="1"/>
  <c r="AK105" i="63" s="1"/>
  <c r="G11" i="22"/>
  <c r="AN54" i="20"/>
  <c r="AM54" i="20"/>
  <c r="AL54" i="20"/>
  <c r="AN54" i="18"/>
  <c r="AM54" i="18"/>
  <c r="AL54" i="18"/>
  <c r="R37" i="60" l="1"/>
  <c r="R36" i="60"/>
  <c r="R35" i="60"/>
  <c r="R34" i="60"/>
  <c r="R33" i="60"/>
  <c r="R32" i="60"/>
  <c r="R31" i="60"/>
  <c r="R30" i="60"/>
  <c r="R29" i="60"/>
  <c r="R28" i="60"/>
  <c r="R27" i="60"/>
  <c r="R26" i="60"/>
  <c r="R25" i="60"/>
  <c r="R24" i="60"/>
  <c r="R23" i="60"/>
  <c r="R22" i="60"/>
  <c r="R21" i="60"/>
  <c r="R20" i="60"/>
  <c r="R19" i="60"/>
  <c r="R18" i="60"/>
  <c r="R17" i="60"/>
  <c r="R16" i="60"/>
  <c r="R15" i="60"/>
  <c r="R14" i="60"/>
  <c r="R13" i="60"/>
  <c r="R12" i="60"/>
  <c r="R11" i="60"/>
  <c r="R10" i="60"/>
  <c r="R9" i="60"/>
  <c r="R8" i="60"/>
  <c r="R7" i="60"/>
  <c r="R6" i="60"/>
  <c r="R5" i="60"/>
  <c r="T5" i="60" s="1"/>
  <c r="T6" i="60" l="1"/>
  <c r="T7" i="60" s="1"/>
  <c r="T8" i="60" s="1"/>
  <c r="T9" i="60" s="1"/>
  <c r="T10" i="60" s="1"/>
  <c r="T11" i="60" s="1"/>
  <c r="T12" i="60" s="1"/>
  <c r="T13" i="60" s="1"/>
  <c r="T14" i="60" s="1"/>
  <c r="T15" i="60" s="1"/>
  <c r="T16" i="60" s="1"/>
  <c r="T17" i="60" s="1"/>
  <c r="T18" i="60" s="1"/>
  <c r="T19" i="60" s="1"/>
  <c r="T20" i="60" s="1"/>
  <c r="T21" i="60" s="1"/>
  <c r="T22" i="60" s="1"/>
  <c r="T23" i="60" s="1"/>
  <c r="T24" i="60" s="1"/>
  <c r="T25" i="60" s="1"/>
  <c r="T26" i="60" s="1"/>
  <c r="T27" i="60" s="1"/>
  <c r="T28" i="60" s="1"/>
  <c r="T29" i="60" s="1"/>
  <c r="T30" i="60" s="1"/>
  <c r="T31" i="60" s="1"/>
  <c r="T32" i="60" s="1"/>
  <c r="T33" i="60" s="1"/>
  <c r="T34" i="60" s="1"/>
  <c r="T35" i="60" s="1"/>
  <c r="T36" i="60" s="1"/>
  <c r="T37" i="60" s="1"/>
  <c r="AN54" i="15"/>
  <c r="AM54" i="15"/>
  <c r="AL54" i="15"/>
  <c r="AN54" i="13"/>
  <c r="AM54" i="13"/>
  <c r="AL54" i="13"/>
  <c r="AN54" i="12"/>
  <c r="AM54" i="12"/>
  <c r="AL54" i="12"/>
  <c r="AN54" i="11"/>
  <c r="AM54" i="11"/>
  <c r="AL54" i="11"/>
  <c r="AN54" i="37"/>
  <c r="AM54" i="37"/>
  <c r="AL54" i="37"/>
  <c r="AN54" i="8"/>
  <c r="AM54" i="8"/>
  <c r="AL54" i="8"/>
  <c r="G17" i="2" l="1"/>
  <c r="M17" i="2" s="1"/>
  <c r="AN54" i="5"/>
  <c r="AM54" i="5"/>
  <c r="AL54" i="5"/>
  <c r="R56" i="4" l="1"/>
  <c r="H101" i="63" s="1"/>
  <c r="I101" i="63" l="1"/>
  <c r="AJ22" i="4"/>
  <c r="I105" i="63" l="1"/>
  <c r="G17" i="3"/>
  <c r="M17" i="3" s="1"/>
  <c r="R56" i="2"/>
  <c r="AN53" i="2"/>
  <c r="AN54" i="2"/>
  <c r="AN57" i="2"/>
  <c r="AJ22" i="2" l="1"/>
  <c r="D101" i="63"/>
  <c r="E101" i="63" s="1"/>
  <c r="E105" i="63" s="1"/>
  <c r="AN55" i="2"/>
  <c r="AN49" i="3" s="1"/>
  <c r="W41" i="54"/>
  <c r="X41" i="54"/>
  <c r="V46" i="54" l="1"/>
  <c r="U46" i="54"/>
  <c r="T46" i="54"/>
  <c r="D25" i="59" l="1"/>
  <c r="D27" i="59" s="1"/>
  <c r="G25" i="27" l="1"/>
  <c r="W26" i="59" l="1"/>
  <c r="W25" i="59"/>
  <c r="R56" i="23" l="1"/>
  <c r="R56" i="25"/>
  <c r="R56" i="24"/>
  <c r="AJ22" i="24" l="1"/>
  <c r="AV101" i="63"/>
  <c r="AW101" i="63" s="1"/>
  <c r="AW105" i="63" s="1"/>
  <c r="AJ22" i="23"/>
  <c r="AT101" i="63"/>
  <c r="AU101" i="63" s="1"/>
  <c r="AU105" i="63" s="1"/>
  <c r="AJ22" i="25"/>
  <c r="AX101" i="63"/>
  <c r="AY101" i="63" s="1"/>
  <c r="AY105" i="63" s="1"/>
  <c r="G17" i="23"/>
  <c r="G11" i="21" l="1"/>
  <c r="G13" i="21"/>
  <c r="G20" i="4" l="1"/>
  <c r="R56" i="20" l="1"/>
  <c r="R56" i="19"/>
  <c r="R56" i="17"/>
  <c r="R56" i="16"/>
  <c r="R56" i="15"/>
  <c r="R56" i="14"/>
  <c r="R56" i="13"/>
  <c r="Z101" i="63" s="1"/>
  <c r="AA101" i="63" s="1"/>
  <c r="AA105" i="63" s="1"/>
  <c r="R56" i="12"/>
  <c r="X101" i="63" s="1"/>
  <c r="Y101" i="63" s="1"/>
  <c r="Y105" i="63" s="1"/>
  <c r="R56" i="11"/>
  <c r="V101" i="63" s="1"/>
  <c r="W101" i="63" s="1"/>
  <c r="W105" i="63" s="1"/>
  <c r="R56" i="7"/>
  <c r="N101" i="63" s="1"/>
  <c r="R56" i="6"/>
  <c r="L101" i="63" s="1"/>
  <c r="M101" i="63" s="1"/>
  <c r="M105" i="63" s="1"/>
  <c r="R56" i="5"/>
  <c r="J101" i="63" s="1"/>
  <c r="K101" i="63" s="1"/>
  <c r="K105" i="63" s="1"/>
  <c r="R56" i="3"/>
  <c r="F101" i="63" l="1"/>
  <c r="G101" i="63" s="1"/>
  <c r="G105" i="63" s="1"/>
  <c r="AJ22" i="20"/>
  <c r="AN101" i="63"/>
  <c r="AO101" i="63" s="1"/>
  <c r="AO105" i="63" s="1"/>
  <c r="AJ22" i="17"/>
  <c r="AH101" i="63"/>
  <c r="AI101" i="63" s="1"/>
  <c r="AI105" i="63" s="1"/>
  <c r="AJ22" i="14"/>
  <c r="AB101" i="63"/>
  <c r="AC101" i="63" s="1"/>
  <c r="AC105" i="63" s="1"/>
  <c r="AJ22" i="19"/>
  <c r="AL101" i="63"/>
  <c r="AM101" i="63" s="1"/>
  <c r="AM105" i="63" s="1"/>
  <c r="AJ22" i="16"/>
  <c r="AF101" i="63"/>
  <c r="AG101" i="63" s="1"/>
  <c r="AG105" i="63" s="1"/>
  <c r="AJ22" i="15"/>
  <c r="AD101" i="63"/>
  <c r="AE101" i="63" s="1"/>
  <c r="AE105" i="63" s="1"/>
  <c r="O101" i="63"/>
  <c r="AJ22" i="13"/>
  <c r="AJ22" i="6"/>
  <c r="AJ22" i="3"/>
  <c r="AJ22" i="12"/>
  <c r="AJ22" i="11"/>
  <c r="AJ22" i="7"/>
  <c r="AJ22" i="5"/>
  <c r="Y851" i="33"/>
  <c r="Y847" i="33"/>
  <c r="G29" i="28" s="1"/>
  <c r="Y846" i="33"/>
  <c r="G29" i="27" s="1"/>
  <c r="Y845" i="33"/>
  <c r="G29" i="26" s="1"/>
  <c r="Y844" i="33"/>
  <c r="G29" i="25" s="1"/>
  <c r="Y842" i="33"/>
  <c r="G29" i="23" s="1"/>
  <c r="Y840" i="33"/>
  <c r="Y839" i="33"/>
  <c r="Y838" i="33"/>
  <c r="Y837" i="33"/>
  <c r="Y835" i="33"/>
  <c r="Y833" i="33"/>
  <c r="Y832" i="33"/>
  <c r="Y830" i="33"/>
  <c r="Y829" i="33"/>
  <c r="Y826" i="33"/>
  <c r="Y824" i="33"/>
  <c r="Y823" i="33"/>
  <c r="Y822" i="33"/>
  <c r="Y821" i="33"/>
  <c r="Y813" i="33"/>
  <c r="Y812" i="33"/>
  <c r="Y811" i="33"/>
  <c r="Y810" i="33"/>
  <c r="Y809" i="33"/>
  <c r="Y808" i="33"/>
  <c r="Y807" i="33"/>
  <c r="Y806" i="33"/>
  <c r="Y805" i="33"/>
  <c r="Y803" i="33"/>
  <c r="Y802" i="33"/>
  <c r="Y797" i="33"/>
  <c r="Y796" i="33"/>
  <c r="G28" i="13"/>
  <c r="Y793" i="33"/>
  <c r="Y792" i="33"/>
  <c r="Y790" i="33"/>
  <c r="G28" i="8"/>
  <c r="Y788" i="33"/>
  <c r="Y787" i="33"/>
  <c r="Y786" i="33"/>
  <c r="Y785" i="33"/>
  <c r="Y784" i="33"/>
  <c r="G27" i="5"/>
  <c r="M27" i="5" s="1"/>
  <c r="M27" i="6" s="1"/>
  <c r="M27" i="7" s="1"/>
  <c r="Y737" i="33"/>
  <c r="G26" i="32" s="1"/>
  <c r="Y736" i="33"/>
  <c r="G26" i="31" s="1"/>
  <c r="Y735" i="33"/>
  <c r="G26" i="30" s="1"/>
  <c r="Y734" i="33"/>
  <c r="G26" i="29" s="1"/>
  <c r="Y733" i="33"/>
  <c r="G26" i="28" s="1"/>
  <c r="Y731" i="33"/>
  <c r="G26" i="26" s="1"/>
  <c r="Y730" i="33"/>
  <c r="G26" i="25" s="1"/>
  <c r="Y729" i="33"/>
  <c r="G26" i="24" s="1"/>
  <c r="Y728" i="33"/>
  <c r="G26" i="23" s="1"/>
  <c r="Y727" i="33"/>
  <c r="G26" i="22" s="1"/>
  <c r="Y726" i="33"/>
  <c r="G26" i="21" s="1"/>
  <c r="Y725" i="33"/>
  <c r="G26" i="20" s="1"/>
  <c r="Y724" i="33"/>
  <c r="G26" i="19" s="1"/>
  <c r="Y723" i="33"/>
  <c r="G26" i="18" s="1"/>
  <c r="Y722" i="33"/>
  <c r="G26" i="17" s="1"/>
  <c r="Y721" i="33"/>
  <c r="G26" i="16" s="1"/>
  <c r="Y720" i="33"/>
  <c r="G26" i="15" s="1"/>
  <c r="Y717" i="33"/>
  <c r="G26" i="12" s="1"/>
  <c r="Y716" i="33"/>
  <c r="G26" i="11" s="1"/>
  <c r="Y715" i="33"/>
  <c r="G26" i="37" s="1"/>
  <c r="Y713" i="33"/>
  <c r="G26" i="8" s="1"/>
  <c r="Y712" i="33"/>
  <c r="G26" i="7" s="1"/>
  <c r="Y711" i="33"/>
  <c r="G26" i="6" s="1"/>
  <c r="Y710" i="33"/>
  <c r="G26" i="5" s="1"/>
  <c r="Y709" i="33"/>
  <c r="G26" i="4" s="1"/>
  <c r="Y708" i="33"/>
  <c r="G26" i="3" s="1"/>
  <c r="Y707" i="33"/>
  <c r="G26" i="2" s="1"/>
  <c r="M26" i="2" s="1"/>
  <c r="M26" i="3" s="1"/>
  <c r="M26" i="4" s="1"/>
  <c r="M26" i="5" s="1"/>
  <c r="M26" i="6" s="1"/>
  <c r="M26" i="7" s="1"/>
  <c r="G25" i="31"/>
  <c r="G25" i="30"/>
  <c r="G25" i="29"/>
  <c r="G25" i="28"/>
  <c r="G25" i="26"/>
  <c r="G25" i="25"/>
  <c r="G25" i="24"/>
  <c r="G25" i="23"/>
  <c r="G25" i="22"/>
  <c r="G25" i="21"/>
  <c r="G25" i="20"/>
  <c r="G25" i="19"/>
  <c r="G25" i="18"/>
  <c r="G25" i="17"/>
  <c r="G25" i="16"/>
  <c r="G25" i="15"/>
  <c r="G25" i="14"/>
  <c r="G25" i="13"/>
  <c r="G25" i="11"/>
  <c r="G25" i="37"/>
  <c r="G25" i="8"/>
  <c r="G25" i="7"/>
  <c r="G25" i="6"/>
  <c r="G25" i="5"/>
  <c r="G25" i="4"/>
  <c r="G25" i="3"/>
  <c r="G25" i="2"/>
  <c r="M25" i="2" s="1"/>
  <c r="M25" i="3" s="1"/>
  <c r="G24" i="28"/>
  <c r="G24" i="26"/>
  <c r="G24" i="25"/>
  <c r="G24" i="24"/>
  <c r="G24" i="14"/>
  <c r="G23" i="31"/>
  <c r="G23" i="28"/>
  <c r="G23" i="26"/>
  <c r="G23" i="21"/>
  <c r="G23" i="19"/>
  <c r="G23" i="7"/>
  <c r="G23" i="4"/>
  <c r="M23" i="4" s="1"/>
  <c r="M23" i="5" s="1"/>
  <c r="M23" i="6" s="1"/>
  <c r="G22" i="30"/>
  <c r="G22" i="29"/>
  <c r="G22" i="27"/>
  <c r="G22" i="26"/>
  <c r="G22" i="23"/>
  <c r="G22" i="20"/>
  <c r="G22" i="19"/>
  <c r="G22" i="18"/>
  <c r="G22" i="17"/>
  <c r="G22" i="15"/>
  <c r="G22" i="12"/>
  <c r="G22" i="37"/>
  <c r="G22" i="8"/>
  <c r="G22" i="5"/>
  <c r="G22" i="3"/>
  <c r="G22" i="2"/>
  <c r="M22" i="2" s="1"/>
  <c r="G21" i="28"/>
  <c r="G21" i="26"/>
  <c r="G21" i="25"/>
  <c r="G21" i="2"/>
  <c r="M21" i="2" s="1"/>
  <c r="M21" i="3" s="1"/>
  <c r="M21" i="4" s="1"/>
  <c r="G19" i="19"/>
  <c r="G19" i="13"/>
  <c r="Y446" i="33"/>
  <c r="G17" i="24"/>
  <c r="G17" i="4"/>
  <c r="M17" i="4" s="1"/>
  <c r="M17" i="5" s="1"/>
  <c r="M17" i="6" s="1"/>
  <c r="M17" i="7" s="1"/>
  <c r="M17" i="8" s="1"/>
  <c r="M17" i="9" s="1"/>
  <c r="M17" i="37" s="1"/>
  <c r="M17" i="11" s="1"/>
  <c r="M17" i="12" s="1"/>
  <c r="M17" i="13" s="1"/>
  <c r="M17" i="14" s="1"/>
  <c r="M17" i="15" s="1"/>
  <c r="M17" i="16" s="1"/>
  <c r="M17" i="17" s="1"/>
  <c r="M17" i="18" s="1"/>
  <c r="M17" i="19" s="1"/>
  <c r="M17" i="20" s="1"/>
  <c r="M17" i="21" s="1"/>
  <c r="G16" i="29"/>
  <c r="G16" i="28"/>
  <c r="G16" i="6"/>
  <c r="G15" i="8"/>
  <c r="G15" i="5"/>
  <c r="M15" i="5" s="1"/>
  <c r="M15" i="6" s="1"/>
  <c r="M15" i="7" s="1"/>
  <c r="G13" i="27"/>
  <c r="G13" i="25"/>
  <c r="G14" i="24"/>
  <c r="M14" i="24" s="1"/>
  <c r="M14" i="25" s="1"/>
  <c r="M14" i="26" s="1"/>
  <c r="M14" i="27" s="1"/>
  <c r="M14" i="28" s="1"/>
  <c r="M14" i="29" s="1"/>
  <c r="M14" i="30" s="1"/>
  <c r="M14" i="31" s="1"/>
  <c r="M14" i="32" s="1"/>
  <c r="G13" i="19"/>
  <c r="G13" i="7"/>
  <c r="G13" i="5"/>
  <c r="M13" i="5" s="1"/>
  <c r="G11" i="13"/>
  <c r="M11" i="13" s="1"/>
  <c r="M11" i="14" s="1"/>
  <c r="Y138" i="33"/>
  <c r="Y137" i="33"/>
  <c r="Y135" i="33"/>
  <c r="Y133" i="33"/>
  <c r="Y132" i="33"/>
  <c r="M22" i="3" l="1"/>
  <c r="Y1474" i="33"/>
  <c r="G25" i="9"/>
  <c r="Y1466" i="33"/>
  <c r="M25" i="4"/>
  <c r="M25" i="5" s="1"/>
  <c r="M25" i="6" s="1"/>
  <c r="M25" i="7" s="1"/>
  <c r="C101" i="63"/>
  <c r="O105" i="63"/>
  <c r="C105" i="63" s="1"/>
  <c r="B101" i="63"/>
  <c r="B104" i="63" s="1"/>
  <c r="G20" i="3"/>
  <c r="M20" i="3" s="1"/>
  <c r="M20" i="4" s="1"/>
  <c r="M20" i="5" s="1"/>
  <c r="M20" i="6" s="1"/>
  <c r="M20" i="7" s="1"/>
  <c r="Y1460" i="33"/>
  <c r="M15" i="8"/>
  <c r="M15" i="9" s="1"/>
  <c r="M15" i="37" s="1"/>
  <c r="M15" i="11" s="1"/>
  <c r="M15" i="12" s="1"/>
  <c r="M15" i="13" s="1"/>
  <c r="M15" i="14" s="1"/>
  <c r="M15" i="15" s="1"/>
  <c r="M15" i="16" s="1"/>
  <c r="M15" i="17" s="1"/>
  <c r="M15" i="18" s="1"/>
  <c r="M15" i="19" s="1"/>
  <c r="M15" i="20" s="1"/>
  <c r="M15" i="21" s="1"/>
  <c r="M15" i="22" s="1"/>
  <c r="M15" i="23" s="1"/>
  <c r="M15" i="24" s="1"/>
  <c r="M15" i="25" s="1"/>
  <c r="M15" i="26" s="1"/>
  <c r="M15" i="27" s="1"/>
  <c r="M15" i="28" s="1"/>
  <c r="M15" i="29" s="1"/>
  <c r="M15" i="30" s="1"/>
  <c r="M15" i="31" s="1"/>
  <c r="M15" i="32" s="1"/>
  <c r="G22" i="11"/>
  <c r="Y1468" i="33"/>
  <c r="G28" i="15"/>
  <c r="G22" i="32"/>
  <c r="Y1489" i="33"/>
  <c r="M23" i="7"/>
  <c r="Y1481" i="33"/>
  <c r="G16" i="31"/>
  <c r="Y1488" i="33"/>
  <c r="G13" i="6"/>
  <c r="M13" i="6" s="1"/>
  <c r="M13" i="7" s="1"/>
  <c r="Y1463" i="33"/>
  <c r="G13" i="8"/>
  <c r="Y1465" i="33"/>
  <c r="G16" i="30"/>
  <c r="Y1487" i="33"/>
  <c r="G17" i="22"/>
  <c r="M17" i="22" s="1"/>
  <c r="M17" i="23" s="1"/>
  <c r="M17" i="24" s="1"/>
  <c r="M17" i="25" s="1"/>
  <c r="M17" i="26" s="1"/>
  <c r="M17" i="27" s="1"/>
  <c r="M17" i="28" s="1"/>
  <c r="M17" i="29" s="1"/>
  <c r="M17" i="30" s="1"/>
  <c r="M17" i="31" s="1"/>
  <c r="M17" i="32" s="1"/>
  <c r="Y1479" i="33"/>
  <c r="G24" i="2"/>
  <c r="M24" i="2" s="1"/>
  <c r="M24" i="3" s="1"/>
  <c r="M24" i="4" s="1"/>
  <c r="M24" i="5" s="1"/>
  <c r="M24" i="6" s="1"/>
  <c r="M24" i="7" s="1"/>
  <c r="Y1459" i="33"/>
  <c r="AA1459" i="33" s="1"/>
  <c r="AD1459" i="33" s="1"/>
  <c r="Z1460" i="33" s="1"/>
  <c r="G23" i="25"/>
  <c r="Y1482" i="33"/>
  <c r="Y1478" i="33"/>
  <c r="G23" i="37"/>
  <c r="Y1467" i="33"/>
  <c r="G22" i="4"/>
  <c r="Y1461" i="33"/>
  <c r="G22" i="7"/>
  <c r="Y1464" i="33"/>
  <c r="G21" i="5"/>
  <c r="M21" i="5" s="1"/>
  <c r="M21" i="6" s="1"/>
  <c r="M21" i="7" s="1"/>
  <c r="Y1462" i="33"/>
  <c r="G13" i="14"/>
  <c r="Y1471" i="33"/>
  <c r="G13" i="13"/>
  <c r="Y1470" i="33"/>
  <c r="G13" i="18"/>
  <c r="Y1475" i="33"/>
  <c r="G13" i="20"/>
  <c r="Y1477" i="33"/>
  <c r="G13" i="12"/>
  <c r="Y1469" i="33"/>
  <c r="G11" i="26"/>
  <c r="Y1483" i="33"/>
  <c r="G11" i="15"/>
  <c r="M11" i="15" s="1"/>
  <c r="Y1472" i="33"/>
  <c r="G11" i="27"/>
  <c r="Y1484" i="33"/>
  <c r="G11" i="19"/>
  <c r="Y1476" i="33"/>
  <c r="G23" i="29"/>
  <c r="Y1486" i="33"/>
  <c r="G11" i="28"/>
  <c r="Y1485" i="33"/>
  <c r="G13" i="23"/>
  <c r="Y1480" i="33"/>
  <c r="G11" i="16"/>
  <c r="Y1473" i="33"/>
  <c r="G16" i="5"/>
  <c r="M16" i="5" s="1"/>
  <c r="M16" i="6" s="1"/>
  <c r="M16" i="7" s="1"/>
  <c r="M16" i="8" s="1"/>
  <c r="M16" i="9" s="1"/>
  <c r="M16" i="37" s="1"/>
  <c r="M16" i="11" s="1"/>
  <c r="M16" i="12" s="1"/>
  <c r="M16" i="13" s="1"/>
  <c r="M16" i="14" s="1"/>
  <c r="M16" i="15" s="1"/>
  <c r="M16" i="16" s="1"/>
  <c r="M16" i="17" s="1"/>
  <c r="M16" i="18" s="1"/>
  <c r="M16" i="19" s="1"/>
  <c r="M16" i="20" s="1"/>
  <c r="M16" i="21" s="1"/>
  <c r="M16" i="22" s="1"/>
  <c r="M16" i="23" s="1"/>
  <c r="M16" i="24" s="1"/>
  <c r="M16" i="25" s="1"/>
  <c r="M16" i="26" s="1"/>
  <c r="M16" i="27" s="1"/>
  <c r="M16" i="28" s="1"/>
  <c r="M16" i="29" s="1"/>
  <c r="M22" i="4" l="1"/>
  <c r="M22" i="5" s="1"/>
  <c r="M22" i="6" s="1"/>
  <c r="M22" i="7" s="1"/>
  <c r="AA1460" i="33"/>
  <c r="AD1460" i="33" s="1"/>
  <c r="Z1461" i="33" s="1"/>
  <c r="AA1461" i="33" s="1"/>
  <c r="AD1461" i="33" s="1"/>
  <c r="Z1462" i="33" s="1"/>
  <c r="AA1462" i="33" s="1"/>
  <c r="AD1462" i="33" s="1"/>
  <c r="Z1463" i="33" s="1"/>
  <c r="AA1463" i="33" s="1"/>
  <c r="AD1463" i="33" s="1"/>
  <c r="Z1464" i="33" s="1"/>
  <c r="AA1464" i="33" s="1"/>
  <c r="AD1464" i="33" s="1"/>
  <c r="Z1465" i="33" s="1"/>
  <c r="AA1465" i="33" s="1"/>
  <c r="AD1465" i="33" s="1"/>
  <c r="Z1466" i="33" s="1"/>
  <c r="AA1466" i="33" s="1"/>
  <c r="AD1466" i="33" s="1"/>
  <c r="Z1467" i="33" s="1"/>
  <c r="AA1467" i="33" s="1"/>
  <c r="AD1467" i="33" s="1"/>
  <c r="Z1468" i="33" s="1"/>
  <c r="AA1468" i="33" s="1"/>
  <c r="AD1468" i="33" s="1"/>
  <c r="Z1469" i="33" s="1"/>
  <c r="AA1469" i="33" s="1"/>
  <c r="AD1469" i="33" s="1"/>
  <c r="Z1470" i="33" s="1"/>
  <c r="AA1470" i="33" s="1"/>
  <c r="AD1470" i="33" s="1"/>
  <c r="Z1471" i="33" s="1"/>
  <c r="AA1471" i="33" s="1"/>
  <c r="AD1471" i="33" s="1"/>
  <c r="Z1472" i="33" s="1"/>
  <c r="AA1472" i="33" s="1"/>
  <c r="AD1472" i="33" s="1"/>
  <c r="Z1473" i="33" s="1"/>
  <c r="AA1473" i="33" s="1"/>
  <c r="AD1473" i="33" s="1"/>
  <c r="Z1474" i="33" s="1"/>
  <c r="AA1474" i="33" s="1"/>
  <c r="AD1474" i="33" s="1"/>
  <c r="Z1475" i="33" s="1"/>
  <c r="AA1475" i="33" s="1"/>
  <c r="AD1475" i="33" s="1"/>
  <c r="Z1476" i="33" s="1"/>
  <c r="AA1476" i="33" s="1"/>
  <c r="AD1476" i="33" s="1"/>
  <c r="Z1477" i="33" s="1"/>
  <c r="AA1477" i="33" s="1"/>
  <c r="AD1477" i="33" s="1"/>
  <c r="Z1478" i="33" s="1"/>
  <c r="AA1478" i="33" s="1"/>
  <c r="AD1478" i="33" s="1"/>
  <c r="Z1479" i="33" s="1"/>
  <c r="AA1479" i="33" s="1"/>
  <c r="AD1479" i="33" s="1"/>
  <c r="Z1480" i="33" s="1"/>
  <c r="AA1480" i="33" s="1"/>
  <c r="AD1480" i="33" s="1"/>
  <c r="Z1481" i="33" s="1"/>
  <c r="AA1481" i="33" s="1"/>
  <c r="AD1481" i="33" s="1"/>
  <c r="Z1482" i="33" s="1"/>
  <c r="AA1482" i="33" s="1"/>
  <c r="AD1482" i="33" s="1"/>
  <c r="Z1483" i="33" s="1"/>
  <c r="AA1483" i="33" s="1"/>
  <c r="AD1483" i="33" s="1"/>
  <c r="Z1484" i="33" s="1"/>
  <c r="AA1484" i="33" s="1"/>
  <c r="AD1484" i="33" s="1"/>
  <c r="Z1485" i="33" s="1"/>
  <c r="AA1485" i="33" s="1"/>
  <c r="AD1485" i="33" s="1"/>
  <c r="Z1486" i="33" s="1"/>
  <c r="AA1486" i="33" s="1"/>
  <c r="AD1486" i="33" s="1"/>
  <c r="Z1487" i="33" s="1"/>
  <c r="AA1487" i="33" s="1"/>
  <c r="AD1487" i="33" s="1"/>
  <c r="Z1488" i="33" s="1"/>
  <c r="AA1488" i="33" s="1"/>
  <c r="AD1488" i="33" s="1"/>
  <c r="Z1489" i="33" s="1"/>
  <c r="AA1489" i="33" s="1"/>
  <c r="AD1489" i="33" s="1"/>
  <c r="M16" i="30"/>
  <c r="M16" i="31" s="1"/>
  <c r="M16" i="32" s="1"/>
  <c r="M13" i="8"/>
  <c r="M13" i="9" s="1"/>
  <c r="M13" i="37" s="1"/>
  <c r="M13" i="11" s="1"/>
  <c r="M13" i="12" s="1"/>
  <c r="M13" i="13" s="1"/>
  <c r="M13" i="14" s="1"/>
  <c r="M13" i="15" s="1"/>
  <c r="M13" i="16" s="1"/>
  <c r="M13" i="17" s="1"/>
  <c r="M13" i="18" s="1"/>
  <c r="M13" i="19" s="1"/>
  <c r="M13" i="20" s="1"/>
  <c r="M13" i="21" s="1"/>
  <c r="M13" i="22" s="1"/>
  <c r="M13" i="23" s="1"/>
  <c r="M13" i="24" s="1"/>
  <c r="M13" i="25" s="1"/>
  <c r="M13" i="26" s="1"/>
  <c r="M13" i="27" s="1"/>
  <c r="M13" i="28" s="1"/>
  <c r="M13" i="29" s="1"/>
  <c r="M13" i="30" s="1"/>
  <c r="M13" i="31" s="1"/>
  <c r="M13" i="32" s="1"/>
  <c r="M11" i="16"/>
  <c r="M11" i="17" s="1"/>
  <c r="M11" i="18" s="1"/>
  <c r="M11" i="19" s="1"/>
  <c r="M11" i="20" s="1"/>
  <c r="M11" i="21" s="1"/>
  <c r="M11" i="22" s="1"/>
  <c r="M11" i="23" s="1"/>
  <c r="M11" i="24" s="1"/>
  <c r="M11" i="25" s="1"/>
  <c r="M11" i="26" s="1"/>
  <c r="M11" i="27" s="1"/>
  <c r="M11" i="28" s="1"/>
  <c r="M11" i="29" s="1"/>
  <c r="M11" i="30" s="1"/>
  <c r="M11" i="31" s="1"/>
  <c r="M11" i="32" s="1"/>
  <c r="Y1490" i="33"/>
  <c r="D5" i="60"/>
  <c r="F5" i="60" s="1"/>
  <c r="K5" i="60"/>
  <c r="M5" i="60"/>
  <c r="D6" i="60"/>
  <c r="K6" i="60"/>
  <c r="D7" i="60"/>
  <c r="E7" i="60"/>
  <c r="K7" i="60"/>
  <c r="D8" i="60"/>
  <c r="K8" i="60"/>
  <c r="D9" i="60"/>
  <c r="K9" i="60"/>
  <c r="D10" i="60"/>
  <c r="K10" i="60"/>
  <c r="D11" i="60"/>
  <c r="K11" i="60"/>
  <c r="D12" i="60"/>
  <c r="K12" i="60"/>
  <c r="D13" i="60"/>
  <c r="K13" i="60"/>
  <c r="D14" i="60"/>
  <c r="K14" i="60"/>
  <c r="D15" i="60"/>
  <c r="K15" i="60"/>
  <c r="D16" i="60"/>
  <c r="K16" i="60"/>
  <c r="D17" i="60"/>
  <c r="K17" i="60"/>
  <c r="D18" i="60"/>
  <c r="K18" i="60"/>
  <c r="D19" i="60"/>
  <c r="K19" i="60"/>
  <c r="D20" i="60"/>
  <c r="K20" i="60"/>
  <c r="D21" i="60"/>
  <c r="K21" i="60"/>
  <c r="D22" i="60"/>
  <c r="K22" i="60"/>
  <c r="D23" i="60"/>
  <c r="K23" i="60"/>
  <c r="D24" i="60"/>
  <c r="K24" i="60"/>
  <c r="D25" i="60"/>
  <c r="K25" i="60"/>
  <c r="D26" i="60"/>
  <c r="K26" i="60"/>
  <c r="D27" i="60"/>
  <c r="K27" i="60"/>
  <c r="D28" i="60"/>
  <c r="K28" i="60"/>
  <c r="D29" i="60"/>
  <c r="K29" i="60"/>
  <c r="D30" i="60"/>
  <c r="K30" i="60"/>
  <c r="D31" i="60"/>
  <c r="K31" i="60"/>
  <c r="D32" i="60"/>
  <c r="K32" i="60"/>
  <c r="D33" i="60"/>
  <c r="K33" i="60"/>
  <c r="D34" i="60"/>
  <c r="K34" i="60"/>
  <c r="D35" i="60"/>
  <c r="K35" i="60"/>
  <c r="D36" i="60"/>
  <c r="K36" i="60"/>
  <c r="D37" i="60"/>
  <c r="K37" i="60"/>
  <c r="D38" i="60"/>
  <c r="K38" i="60"/>
  <c r="D39" i="60"/>
  <c r="K39" i="60"/>
  <c r="D40" i="60"/>
  <c r="K40" i="60"/>
  <c r="D41" i="60"/>
  <c r="K41" i="60"/>
  <c r="D42" i="60"/>
  <c r="K42" i="60"/>
  <c r="D43" i="60"/>
  <c r="K43" i="60"/>
  <c r="D44" i="60"/>
  <c r="K44" i="60"/>
  <c r="D45" i="60"/>
  <c r="K45" i="60"/>
  <c r="D46" i="60"/>
  <c r="K46" i="60"/>
  <c r="D47" i="60"/>
  <c r="K47" i="60"/>
  <c r="D48" i="60"/>
  <c r="K48" i="60"/>
  <c r="D49" i="60"/>
  <c r="K49" i="60"/>
  <c r="D50" i="60"/>
  <c r="K50" i="60"/>
  <c r="D51" i="60"/>
  <c r="K51" i="60"/>
  <c r="D52" i="60"/>
  <c r="K52" i="60"/>
  <c r="D53" i="60"/>
  <c r="K53" i="60"/>
  <c r="D54" i="60"/>
  <c r="K54" i="60"/>
  <c r="D55" i="60"/>
  <c r="K55" i="60"/>
  <c r="D56" i="60"/>
  <c r="K56" i="60"/>
  <c r="D57" i="60"/>
  <c r="K57" i="60"/>
  <c r="D58" i="60"/>
  <c r="K58" i="60"/>
  <c r="D59" i="60"/>
  <c r="K59" i="60"/>
  <c r="D60" i="60"/>
  <c r="K60" i="60"/>
  <c r="D61" i="60"/>
  <c r="K61" i="60"/>
  <c r="D62" i="60"/>
  <c r="K62" i="60"/>
  <c r="B84" i="60"/>
  <c r="I85" i="60"/>
  <c r="D84" i="60" l="1"/>
  <c r="M6" i="60"/>
  <c r="M7" i="60" s="1"/>
  <c r="M8" i="60" s="1"/>
  <c r="M9" i="60" s="1"/>
  <c r="M10" i="60" s="1"/>
  <c r="M11" i="60" s="1"/>
  <c r="M12" i="60" s="1"/>
  <c r="M13" i="60" s="1"/>
  <c r="M14" i="60" s="1"/>
  <c r="M15" i="60" s="1"/>
  <c r="M16" i="60" s="1"/>
  <c r="M17" i="60" s="1"/>
  <c r="M18" i="60" s="1"/>
  <c r="M19" i="60" s="1"/>
  <c r="M20" i="60" s="1"/>
  <c r="M21" i="60" s="1"/>
  <c r="M22" i="60" s="1"/>
  <c r="M23" i="60" s="1"/>
  <c r="M24" i="60" s="1"/>
  <c r="M25" i="60" s="1"/>
  <c r="M26" i="60" s="1"/>
  <c r="M27" i="60" s="1"/>
  <c r="M28" i="60" s="1"/>
  <c r="M29" i="60" s="1"/>
  <c r="M30" i="60" s="1"/>
  <c r="M31" i="60" s="1"/>
  <c r="M32" i="60" s="1"/>
  <c r="M33" i="60" s="1"/>
  <c r="M34" i="60" s="1"/>
  <c r="M35" i="60" s="1"/>
  <c r="M36" i="60" s="1"/>
  <c r="M37" i="60" s="1"/>
  <c r="M38" i="60" s="1"/>
  <c r="M39" i="60" s="1"/>
  <c r="M40" i="60" s="1"/>
  <c r="M41" i="60" s="1"/>
  <c r="M42" i="60" s="1"/>
  <c r="M43" i="60" s="1"/>
  <c r="M44" i="60" s="1"/>
  <c r="M45" i="60" s="1"/>
  <c r="M46" i="60" s="1"/>
  <c r="M47" i="60" s="1"/>
  <c r="M48" i="60" s="1"/>
  <c r="M49" i="60" s="1"/>
  <c r="M50" i="60" s="1"/>
  <c r="M51" i="60" s="1"/>
  <c r="M52" i="60" s="1"/>
  <c r="M53" i="60" s="1"/>
  <c r="M54" i="60" s="1"/>
  <c r="M55" i="60" s="1"/>
  <c r="M56" i="60" s="1"/>
  <c r="M57" i="60" s="1"/>
  <c r="M58" i="60" s="1"/>
  <c r="M59" i="60" s="1"/>
  <c r="M60" i="60" s="1"/>
  <c r="M61" i="60" s="1"/>
  <c r="M62" i="60" s="1"/>
  <c r="F6" i="60"/>
  <c r="F7" i="60" s="1"/>
  <c r="F8" i="60" s="1"/>
  <c r="F9" i="60" s="1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V76" i="54" l="1"/>
  <c r="V73" i="54"/>
  <c r="V75" i="54" s="1"/>
  <c r="V77" i="54" l="1"/>
  <c r="H76" i="54"/>
  <c r="H73" i="54"/>
  <c r="H75" i="54" s="1"/>
  <c r="P59" i="3" l="1"/>
  <c r="P550" i="33" l="1"/>
  <c r="P552" i="33" s="1"/>
  <c r="BP23" i="49" l="1"/>
  <c r="BP22" i="49"/>
  <c r="E73" i="54" l="1"/>
  <c r="E75" i="54" s="1"/>
  <c r="D76" i="54"/>
  <c r="D69" i="54"/>
  <c r="D68" i="54"/>
  <c r="D67" i="54"/>
  <c r="D66" i="54"/>
  <c r="D64" i="54"/>
  <c r="D57" i="54"/>
  <c r="D56" i="54"/>
  <c r="D55" i="54"/>
  <c r="D53" i="54"/>
  <c r="D54" i="54"/>
  <c r="D73" i="54" s="1"/>
  <c r="D77" i="54" s="1"/>
  <c r="D75" i="54" l="1"/>
  <c r="BP24" i="49" l="1"/>
  <c r="AS8" i="55" l="1"/>
  <c r="AS40" i="55" s="1"/>
  <c r="AQ39" i="55"/>
  <c r="AQ38" i="55"/>
  <c r="AQ37" i="55"/>
  <c r="AQ36" i="55"/>
  <c r="AQ35" i="55"/>
  <c r="AQ34" i="55"/>
  <c r="AQ33" i="55"/>
  <c r="AQ32" i="55"/>
  <c r="AQ31" i="55"/>
  <c r="AQ30" i="55"/>
  <c r="AQ28" i="55"/>
  <c r="AQ27" i="55"/>
  <c r="AQ26" i="55"/>
  <c r="AQ24" i="55"/>
  <c r="AQ23" i="55"/>
  <c r="AQ22" i="55"/>
  <c r="AQ21" i="55"/>
  <c r="AQ20" i="55"/>
  <c r="AQ19" i="55"/>
  <c r="AQ18" i="55"/>
  <c r="AQ17" i="55"/>
  <c r="AQ16" i="55"/>
  <c r="AQ15" i="55"/>
  <c r="AQ14" i="55"/>
  <c r="AQ13" i="55"/>
  <c r="AQ11" i="55"/>
  <c r="AQ10" i="55"/>
  <c r="AQ9" i="55"/>
  <c r="AQ8" i="55"/>
  <c r="AP29" i="55"/>
  <c r="AQ29" i="55" s="1"/>
  <c r="AP25" i="55"/>
  <c r="AQ25" i="55" s="1"/>
  <c r="AP12" i="55"/>
  <c r="AQ12" i="55" s="1"/>
  <c r="AP11" i="55"/>
  <c r="AO40" i="55"/>
  <c r="AO29" i="55"/>
  <c r="AO19" i="55"/>
  <c r="AO12" i="55"/>
  <c r="AO10" i="55"/>
  <c r="AN44" i="55"/>
  <c r="AN43" i="55"/>
  <c r="AH14" i="55"/>
  <c r="AB12" i="55"/>
  <c r="AB11" i="55"/>
  <c r="AB10" i="55"/>
  <c r="AB9" i="55"/>
  <c r="AB8" i="55"/>
  <c r="AQ40" i="55" l="1"/>
  <c r="AT40" i="55"/>
  <c r="E39" i="33" l="1"/>
  <c r="X39" i="33"/>
  <c r="V39" i="33"/>
  <c r="U39" i="33"/>
  <c r="T39" i="33"/>
  <c r="P39" i="33"/>
  <c r="Y277" i="33" l="1"/>
  <c r="AB85" i="33" l="1"/>
  <c r="P1044" i="33" l="1"/>
  <c r="AA1164" i="33" l="1"/>
  <c r="B1195" i="33"/>
  <c r="C1195" i="33"/>
  <c r="D1195" i="33"/>
  <c r="F1195" i="33"/>
  <c r="G1195" i="33"/>
  <c r="H1195" i="33"/>
  <c r="I1195" i="33"/>
  <c r="J1195" i="33"/>
  <c r="K1195" i="33"/>
  <c r="L1195" i="33"/>
  <c r="M1195" i="33"/>
  <c r="N1195" i="33"/>
  <c r="O1195" i="33"/>
  <c r="Q1195" i="33"/>
  <c r="R1195" i="33"/>
  <c r="S1195" i="33"/>
  <c r="AB1195" i="33"/>
  <c r="T54" i="32"/>
  <c r="AD1164" i="33" l="1"/>
  <c r="I38" i="2"/>
  <c r="Z1165" i="33" l="1"/>
  <c r="L38" i="2"/>
  <c r="U58" i="21"/>
  <c r="V58" i="21"/>
  <c r="W58" i="21"/>
  <c r="X58" i="21"/>
  <c r="Y58" i="21"/>
  <c r="Z58" i="21"/>
  <c r="AA58" i="21"/>
  <c r="AB58" i="21"/>
  <c r="AC58" i="21"/>
  <c r="AD58" i="21"/>
  <c r="AE58" i="21"/>
  <c r="AF58" i="21"/>
  <c r="AG58" i="21"/>
  <c r="AH58" i="21"/>
  <c r="AI58" i="21"/>
  <c r="AJ58" i="21"/>
  <c r="AK58" i="21"/>
  <c r="T58" i="21"/>
  <c r="AN57" i="21"/>
  <c r="AM57" i="21"/>
  <c r="AL57" i="21"/>
  <c r="AK57" i="21"/>
  <c r="AJ57" i="21"/>
  <c r="AI57" i="21"/>
  <c r="AH57" i="21"/>
  <c r="AG57" i="21"/>
  <c r="AF57" i="21"/>
  <c r="AE57" i="21"/>
  <c r="AD57" i="21"/>
  <c r="AC57" i="21"/>
  <c r="AB57" i="21"/>
  <c r="AA57" i="21"/>
  <c r="Z57" i="21"/>
  <c r="Y57" i="21"/>
  <c r="X57" i="21"/>
  <c r="W57" i="21"/>
  <c r="V57" i="21"/>
  <c r="U57" i="21"/>
  <c r="T57" i="21"/>
  <c r="X778" i="33"/>
  <c r="V778" i="33"/>
  <c r="U778" i="33"/>
  <c r="T778" i="33"/>
  <c r="P778" i="33"/>
  <c r="E778" i="33"/>
  <c r="AA1165" i="33" l="1"/>
  <c r="H38" i="3"/>
  <c r="AD1165" i="33" l="1"/>
  <c r="I38" i="3"/>
  <c r="AI58" i="32"/>
  <c r="AG58" i="32"/>
  <c r="AE58" i="32"/>
  <c r="AC58" i="32"/>
  <c r="AB58" i="32"/>
  <c r="Z58" i="32"/>
  <c r="AM57" i="32"/>
  <c r="AL57" i="32"/>
  <c r="AK57" i="32"/>
  <c r="AJ57" i="32"/>
  <c r="AI57" i="32"/>
  <c r="AH57" i="32"/>
  <c r="AG57" i="32"/>
  <c r="AF57" i="32"/>
  <c r="AE57" i="32"/>
  <c r="AD57" i="32"/>
  <c r="AC57" i="32"/>
  <c r="AB57" i="32"/>
  <c r="AA57" i="32"/>
  <c r="Z57" i="32"/>
  <c r="Y57" i="32"/>
  <c r="X57" i="32"/>
  <c r="W57" i="32"/>
  <c r="V57" i="32"/>
  <c r="U57" i="32"/>
  <c r="T57" i="32"/>
  <c r="AJ58" i="32"/>
  <c r="AH58" i="32"/>
  <c r="AF58" i="32"/>
  <c r="AD58" i="32"/>
  <c r="AA58" i="32"/>
  <c r="Y58" i="32"/>
  <c r="X58" i="32"/>
  <c r="W58" i="32"/>
  <c r="V58" i="32"/>
  <c r="U58" i="32"/>
  <c r="T58" i="32"/>
  <c r="AM57" i="31"/>
  <c r="AL57" i="31"/>
  <c r="AK57" i="31"/>
  <c r="AJ57" i="31"/>
  <c r="AI57" i="31"/>
  <c r="AH57" i="31"/>
  <c r="AG57" i="31"/>
  <c r="AF57" i="31"/>
  <c r="AE57" i="31"/>
  <c r="AD57" i="31"/>
  <c r="AC57" i="31"/>
  <c r="AB57" i="31"/>
  <c r="AA57" i="31"/>
  <c r="Z57" i="31"/>
  <c r="Y57" i="31"/>
  <c r="X57" i="31"/>
  <c r="W57" i="31"/>
  <c r="V57" i="31"/>
  <c r="U57" i="31"/>
  <c r="T57" i="31"/>
  <c r="AJ58" i="31"/>
  <c r="AI58" i="31"/>
  <c r="AH58" i="31"/>
  <c r="AG58" i="31"/>
  <c r="AF58" i="31"/>
  <c r="AE58" i="31"/>
  <c r="AD58" i="31"/>
  <c r="AC58" i="31"/>
  <c r="AB58" i="31"/>
  <c r="AA58" i="31"/>
  <c r="Z58" i="31"/>
  <c r="Y58" i="31"/>
  <c r="X58" i="31"/>
  <c r="W58" i="31"/>
  <c r="V58" i="31"/>
  <c r="U58" i="31"/>
  <c r="T58" i="31"/>
  <c r="AI58" i="30"/>
  <c r="AG58" i="30"/>
  <c r="AE58" i="30"/>
  <c r="AC58" i="30"/>
  <c r="AB58" i="30"/>
  <c r="Z58" i="30"/>
  <c r="AM57" i="30"/>
  <c r="AL57" i="30"/>
  <c r="AK57" i="30"/>
  <c r="AJ57" i="30"/>
  <c r="AI57" i="30"/>
  <c r="AH57" i="30"/>
  <c r="AG57" i="30"/>
  <c r="AF57" i="30"/>
  <c r="AE57" i="30"/>
  <c r="AD57" i="30"/>
  <c r="AC57" i="30"/>
  <c r="AB57" i="30"/>
  <c r="AA57" i="30"/>
  <c r="Z57" i="30"/>
  <c r="Y57" i="30"/>
  <c r="X57" i="30"/>
  <c r="W57" i="30"/>
  <c r="V57" i="30"/>
  <c r="U57" i="30"/>
  <c r="T57" i="30"/>
  <c r="AJ58" i="30"/>
  <c r="AH58" i="30"/>
  <c r="AF58" i="30"/>
  <c r="AD58" i="30"/>
  <c r="AA58" i="30"/>
  <c r="Y58" i="30"/>
  <c r="X58" i="30"/>
  <c r="W58" i="30"/>
  <c r="V58" i="30"/>
  <c r="U58" i="30"/>
  <c r="T58" i="30"/>
  <c r="AM57" i="29"/>
  <c r="AL57" i="29"/>
  <c r="AK57" i="29"/>
  <c r="AJ57" i="29"/>
  <c r="AI57" i="29"/>
  <c r="AH57" i="29"/>
  <c r="AG57" i="29"/>
  <c r="AF57" i="29"/>
  <c r="AE57" i="29"/>
  <c r="AD57" i="29"/>
  <c r="AC57" i="29"/>
  <c r="AB57" i="29"/>
  <c r="AA57" i="29"/>
  <c r="Z57" i="29"/>
  <c r="Y57" i="29"/>
  <c r="X57" i="29"/>
  <c r="W57" i="29"/>
  <c r="V57" i="29"/>
  <c r="U57" i="29"/>
  <c r="T57" i="29"/>
  <c r="AJ58" i="29"/>
  <c r="AI58" i="29"/>
  <c r="AH58" i="29"/>
  <c r="AG58" i="29"/>
  <c r="AF58" i="29"/>
  <c r="AE58" i="29"/>
  <c r="AD58" i="29"/>
  <c r="AC58" i="29"/>
  <c r="AB58" i="29"/>
  <c r="AA58" i="29"/>
  <c r="Z58" i="29"/>
  <c r="Y58" i="29"/>
  <c r="X58" i="29"/>
  <c r="W58" i="29"/>
  <c r="V58" i="29"/>
  <c r="U58" i="29"/>
  <c r="T58" i="29"/>
  <c r="AM57" i="28"/>
  <c r="AL57" i="28"/>
  <c r="AK57" i="28"/>
  <c r="AJ57" i="28"/>
  <c r="AI57" i="28"/>
  <c r="AH57" i="28"/>
  <c r="AG57" i="28"/>
  <c r="AF57" i="28"/>
  <c r="AE57" i="28"/>
  <c r="AD57" i="28"/>
  <c r="AC57" i="28"/>
  <c r="AB57" i="28"/>
  <c r="AA57" i="28"/>
  <c r="Z57" i="28"/>
  <c r="Y57" i="28"/>
  <c r="X57" i="28"/>
  <c r="W57" i="28"/>
  <c r="V57" i="28"/>
  <c r="U57" i="28"/>
  <c r="T57" i="28"/>
  <c r="AJ58" i="28"/>
  <c r="AI58" i="28"/>
  <c r="AH58" i="28"/>
  <c r="AG58" i="28"/>
  <c r="AF58" i="28"/>
  <c r="AE58" i="28"/>
  <c r="AD58" i="28"/>
  <c r="AC58" i="28"/>
  <c r="AB58" i="28"/>
  <c r="AA58" i="28"/>
  <c r="Z58" i="28"/>
  <c r="Y58" i="28"/>
  <c r="X58" i="28"/>
  <c r="W58" i="28"/>
  <c r="V58" i="28"/>
  <c r="U58" i="28"/>
  <c r="T58" i="28"/>
  <c r="AM57" i="27"/>
  <c r="AL57" i="27"/>
  <c r="AK57" i="27"/>
  <c r="AJ57" i="27"/>
  <c r="AI57" i="27"/>
  <c r="AH57" i="27"/>
  <c r="AG57" i="27"/>
  <c r="AF57" i="27"/>
  <c r="AE57" i="27"/>
  <c r="AD57" i="27"/>
  <c r="AC57" i="27"/>
  <c r="AB57" i="27"/>
  <c r="AA57" i="27"/>
  <c r="Z57" i="27"/>
  <c r="Y57" i="27"/>
  <c r="X57" i="27"/>
  <c r="W57" i="27"/>
  <c r="V57" i="27"/>
  <c r="U57" i="27"/>
  <c r="T57" i="27"/>
  <c r="AJ58" i="27"/>
  <c r="AI58" i="27"/>
  <c r="AH58" i="27"/>
  <c r="AG58" i="27"/>
  <c r="AF58" i="27"/>
  <c r="AE58" i="27"/>
  <c r="AD58" i="27"/>
  <c r="AC58" i="27"/>
  <c r="AB58" i="27"/>
  <c r="AA58" i="27"/>
  <c r="Z58" i="27"/>
  <c r="Y58" i="27"/>
  <c r="X58" i="27"/>
  <c r="W58" i="27"/>
  <c r="V58" i="27"/>
  <c r="U58" i="27"/>
  <c r="T58" i="27"/>
  <c r="AM57" i="26"/>
  <c r="AL57" i="26"/>
  <c r="AK57" i="26"/>
  <c r="AJ57" i="26"/>
  <c r="AI57" i="26"/>
  <c r="AH57" i="26"/>
  <c r="AG57" i="26"/>
  <c r="AF57" i="26"/>
  <c r="AE57" i="26"/>
  <c r="AD57" i="26"/>
  <c r="AB57" i="26"/>
  <c r="AA57" i="26"/>
  <c r="Z57" i="26"/>
  <c r="Y57" i="26"/>
  <c r="X57" i="26"/>
  <c r="W57" i="26"/>
  <c r="V57" i="26"/>
  <c r="U57" i="26"/>
  <c r="T57" i="26"/>
  <c r="AJ58" i="26"/>
  <c r="AI58" i="26"/>
  <c r="AH58" i="26"/>
  <c r="AG58" i="26"/>
  <c r="AF58" i="26"/>
  <c r="AE58" i="26"/>
  <c r="AD58" i="26"/>
  <c r="AC58" i="26"/>
  <c r="AB58" i="26"/>
  <c r="AA58" i="26"/>
  <c r="Z58" i="26"/>
  <c r="Y58" i="26"/>
  <c r="X58" i="26"/>
  <c r="W58" i="26"/>
  <c r="V58" i="26"/>
  <c r="U58" i="26"/>
  <c r="T58" i="26"/>
  <c r="AJ58" i="25"/>
  <c r="AH58" i="25"/>
  <c r="AF58" i="25"/>
  <c r="AD58" i="25"/>
  <c r="AB58" i="25"/>
  <c r="Z58" i="25"/>
  <c r="AN57" i="25"/>
  <c r="AM57" i="25"/>
  <c r="AL57" i="25"/>
  <c r="AK57" i="25"/>
  <c r="AJ57" i="25"/>
  <c r="AI57" i="25"/>
  <c r="AH57" i="25"/>
  <c r="AG57" i="25"/>
  <c r="AF57" i="25"/>
  <c r="AE57" i="25"/>
  <c r="AD57" i="25"/>
  <c r="AC57" i="25"/>
  <c r="AB57" i="25"/>
  <c r="AA57" i="25"/>
  <c r="Z57" i="25"/>
  <c r="Y57" i="25"/>
  <c r="X57" i="25"/>
  <c r="W57" i="25"/>
  <c r="V57" i="25"/>
  <c r="U57" i="25"/>
  <c r="T57" i="25"/>
  <c r="AK58" i="25"/>
  <c r="AI58" i="25"/>
  <c r="AG58" i="25"/>
  <c r="AE58" i="25"/>
  <c r="AC58" i="25"/>
  <c r="AA58" i="25"/>
  <c r="Y58" i="25"/>
  <c r="X58" i="25"/>
  <c r="W58" i="25"/>
  <c r="V58" i="25"/>
  <c r="U58" i="25"/>
  <c r="T58" i="25"/>
  <c r="AN57" i="24"/>
  <c r="AM57" i="24"/>
  <c r="AL57" i="24"/>
  <c r="AK57" i="24"/>
  <c r="AJ57" i="24"/>
  <c r="AI57" i="24"/>
  <c r="AH57" i="24"/>
  <c r="AG57" i="24"/>
  <c r="AF57" i="24"/>
  <c r="AE57" i="24"/>
  <c r="AD57" i="24"/>
  <c r="AC57" i="24"/>
  <c r="AB57" i="24"/>
  <c r="AA57" i="24"/>
  <c r="Z57" i="24"/>
  <c r="Y57" i="24"/>
  <c r="X57" i="24"/>
  <c r="W57" i="24"/>
  <c r="V57" i="24"/>
  <c r="U57" i="24"/>
  <c r="T57" i="24"/>
  <c r="AK58" i="24"/>
  <c r="AJ58" i="24"/>
  <c r="AI58" i="24"/>
  <c r="AH58" i="24"/>
  <c r="AG58" i="24"/>
  <c r="AF58" i="24"/>
  <c r="AE58" i="24"/>
  <c r="AD58" i="24"/>
  <c r="AC58" i="24"/>
  <c r="AB58" i="24"/>
  <c r="AA58" i="24"/>
  <c r="Z58" i="24"/>
  <c r="Y58" i="24"/>
  <c r="X58" i="24"/>
  <c r="W58" i="24"/>
  <c r="V58" i="24"/>
  <c r="U58" i="24"/>
  <c r="T58" i="24"/>
  <c r="AN57" i="23"/>
  <c r="AM57" i="23"/>
  <c r="AL57" i="23"/>
  <c r="AK57" i="23"/>
  <c r="AJ57" i="23"/>
  <c r="AI57" i="23"/>
  <c r="AH57" i="23"/>
  <c r="AG57" i="23"/>
  <c r="AF57" i="23"/>
  <c r="AE57" i="23"/>
  <c r="AD57" i="23"/>
  <c r="AC57" i="23"/>
  <c r="AB57" i="23"/>
  <c r="AA57" i="23"/>
  <c r="Z57" i="23"/>
  <c r="Y57" i="23"/>
  <c r="X57" i="23"/>
  <c r="W57" i="23"/>
  <c r="V57" i="23"/>
  <c r="U57" i="23"/>
  <c r="T57" i="23"/>
  <c r="AK58" i="23"/>
  <c r="AJ58" i="23"/>
  <c r="AI58" i="23"/>
  <c r="AH58" i="23"/>
  <c r="AG58" i="23"/>
  <c r="AF58" i="23"/>
  <c r="AE58" i="23"/>
  <c r="AD58" i="23"/>
  <c r="AC58" i="23"/>
  <c r="AB58" i="23"/>
  <c r="AA58" i="23"/>
  <c r="Z58" i="23"/>
  <c r="Y58" i="23"/>
  <c r="X58" i="23"/>
  <c r="W58" i="23"/>
  <c r="V58" i="23"/>
  <c r="U58" i="23"/>
  <c r="T58" i="23"/>
  <c r="AJ58" i="22"/>
  <c r="AH58" i="22"/>
  <c r="AF58" i="22"/>
  <c r="AD58" i="22"/>
  <c r="AB58" i="22"/>
  <c r="Z58" i="22"/>
  <c r="AN57" i="22"/>
  <c r="AM57" i="22"/>
  <c r="AL57" i="22"/>
  <c r="AK57" i="22"/>
  <c r="AJ57" i="22"/>
  <c r="AI57" i="22"/>
  <c r="AH57" i="22"/>
  <c r="AG57" i="22"/>
  <c r="AF57" i="22"/>
  <c r="AE57" i="22"/>
  <c r="AD57" i="22"/>
  <c r="AC57" i="22"/>
  <c r="AB57" i="22"/>
  <c r="AA57" i="22"/>
  <c r="Z57" i="22"/>
  <c r="Y57" i="22"/>
  <c r="X57" i="22"/>
  <c r="W57" i="22"/>
  <c r="V57" i="22"/>
  <c r="U57" i="22"/>
  <c r="T57" i="22"/>
  <c r="AK58" i="22"/>
  <c r="AI58" i="22"/>
  <c r="AG58" i="22"/>
  <c r="AE58" i="22"/>
  <c r="AC58" i="22"/>
  <c r="AA58" i="22"/>
  <c r="Y58" i="22"/>
  <c r="X58" i="22"/>
  <c r="W58" i="22"/>
  <c r="V58" i="22"/>
  <c r="U58" i="22"/>
  <c r="T58" i="22"/>
  <c r="AJ58" i="20"/>
  <c r="AH58" i="20"/>
  <c r="AF58" i="20"/>
  <c r="AD58" i="20"/>
  <c r="AB58" i="20"/>
  <c r="Z58" i="20"/>
  <c r="AN57" i="20"/>
  <c r="AM57" i="20"/>
  <c r="AL57" i="20"/>
  <c r="AK57" i="20"/>
  <c r="AJ57" i="20"/>
  <c r="AI57" i="20"/>
  <c r="AH57" i="20"/>
  <c r="AG57" i="20"/>
  <c r="AF57" i="20"/>
  <c r="AE57" i="20"/>
  <c r="AD57" i="20"/>
  <c r="AC57" i="20"/>
  <c r="AB57" i="20"/>
  <c r="AA57" i="20"/>
  <c r="Z57" i="20"/>
  <c r="Y57" i="20"/>
  <c r="X57" i="20"/>
  <c r="W57" i="20"/>
  <c r="V57" i="20"/>
  <c r="U57" i="20"/>
  <c r="T57" i="20"/>
  <c r="AK58" i="20"/>
  <c r="AI58" i="20"/>
  <c r="AG58" i="20"/>
  <c r="AE58" i="20"/>
  <c r="AC58" i="20"/>
  <c r="AA58" i="20"/>
  <c r="Y58" i="20"/>
  <c r="X58" i="20"/>
  <c r="W58" i="20"/>
  <c r="V58" i="20"/>
  <c r="U58" i="20"/>
  <c r="T58" i="20"/>
  <c r="AJ58" i="19"/>
  <c r="AH58" i="19"/>
  <c r="AF58" i="19"/>
  <c r="AD58" i="19"/>
  <c r="AB58" i="19"/>
  <c r="Z58" i="19"/>
  <c r="AN57" i="19"/>
  <c r="AM57" i="19"/>
  <c r="AL57" i="19"/>
  <c r="AK57" i="19"/>
  <c r="AJ57" i="19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U57" i="19"/>
  <c r="T57" i="19"/>
  <c r="AK58" i="19"/>
  <c r="AI58" i="19"/>
  <c r="AG58" i="19"/>
  <c r="AE58" i="19"/>
  <c r="AC58" i="19"/>
  <c r="AA58" i="19"/>
  <c r="Y58" i="19"/>
  <c r="X58" i="19"/>
  <c r="W58" i="19"/>
  <c r="V58" i="19"/>
  <c r="U58" i="19"/>
  <c r="T58" i="19"/>
  <c r="AJ58" i="18"/>
  <c r="AH58" i="18"/>
  <c r="AF58" i="18"/>
  <c r="AD58" i="18"/>
  <c r="AB58" i="18"/>
  <c r="Z58" i="18"/>
  <c r="AN57" i="18"/>
  <c r="AM57" i="18"/>
  <c r="AL57" i="18"/>
  <c r="AK57" i="18"/>
  <c r="AJ57" i="18"/>
  <c r="AI57" i="18"/>
  <c r="AH57" i="18"/>
  <c r="AG57" i="18"/>
  <c r="AF57" i="18"/>
  <c r="AE57" i="18"/>
  <c r="AD57" i="18"/>
  <c r="AC57" i="18"/>
  <c r="AB57" i="18"/>
  <c r="AA57" i="18"/>
  <c r="Z57" i="18"/>
  <c r="Y57" i="18"/>
  <c r="X57" i="18"/>
  <c r="W57" i="18"/>
  <c r="V57" i="18"/>
  <c r="U57" i="18"/>
  <c r="T57" i="18"/>
  <c r="AK58" i="18"/>
  <c r="AI58" i="18"/>
  <c r="AG58" i="18"/>
  <c r="AE58" i="18"/>
  <c r="AC58" i="18"/>
  <c r="AA58" i="18"/>
  <c r="Y58" i="18"/>
  <c r="X58" i="18"/>
  <c r="W58" i="18"/>
  <c r="V58" i="18"/>
  <c r="U58" i="18"/>
  <c r="T58" i="18"/>
  <c r="AN57" i="17"/>
  <c r="AM57" i="17"/>
  <c r="AL57" i="17"/>
  <c r="AK57" i="17"/>
  <c r="AJ57" i="17"/>
  <c r="AI57" i="17"/>
  <c r="AH57" i="17"/>
  <c r="AG57" i="17"/>
  <c r="AF57" i="17"/>
  <c r="AE57" i="17"/>
  <c r="AD57" i="17"/>
  <c r="AC57" i="17"/>
  <c r="AB57" i="17"/>
  <c r="AA57" i="17"/>
  <c r="Z57" i="17"/>
  <c r="Y57" i="17"/>
  <c r="X57" i="17"/>
  <c r="W57" i="17"/>
  <c r="V57" i="17"/>
  <c r="U57" i="17"/>
  <c r="T57" i="17"/>
  <c r="AK58" i="17"/>
  <c r="AJ58" i="17"/>
  <c r="AI58" i="17"/>
  <c r="AH58" i="17"/>
  <c r="AG58" i="17"/>
  <c r="AF58" i="17"/>
  <c r="AE58" i="17"/>
  <c r="AD58" i="17"/>
  <c r="AC58" i="17"/>
  <c r="AB58" i="17"/>
  <c r="AA58" i="17"/>
  <c r="Z58" i="17"/>
  <c r="Y58" i="17"/>
  <c r="X58" i="17"/>
  <c r="W58" i="17"/>
  <c r="V58" i="17"/>
  <c r="U58" i="17"/>
  <c r="T58" i="17"/>
  <c r="AJ58" i="16"/>
  <c r="AH58" i="16"/>
  <c r="AF58" i="16"/>
  <c r="AD58" i="16"/>
  <c r="AB58" i="16"/>
  <c r="Z58" i="16"/>
  <c r="AN57" i="16"/>
  <c r="AM57" i="16"/>
  <c r="AL57" i="16"/>
  <c r="AK57" i="16"/>
  <c r="AJ57" i="16"/>
  <c r="AI57" i="16"/>
  <c r="AH57" i="16"/>
  <c r="AG57" i="16"/>
  <c r="AF57" i="16"/>
  <c r="AE57" i="16"/>
  <c r="AD57" i="16"/>
  <c r="AC57" i="16"/>
  <c r="AB57" i="16"/>
  <c r="AA57" i="16"/>
  <c r="Z57" i="16"/>
  <c r="Y57" i="16"/>
  <c r="X57" i="16"/>
  <c r="W57" i="16"/>
  <c r="V57" i="16"/>
  <c r="U57" i="16"/>
  <c r="T57" i="16"/>
  <c r="AK58" i="16"/>
  <c r="AI58" i="16"/>
  <c r="AG58" i="16"/>
  <c r="AE58" i="16"/>
  <c r="AC58" i="16"/>
  <c r="AA58" i="16"/>
  <c r="Y58" i="16"/>
  <c r="X58" i="16"/>
  <c r="W58" i="16"/>
  <c r="V58" i="16"/>
  <c r="U58" i="16"/>
  <c r="T58" i="16"/>
  <c r="AN57" i="15"/>
  <c r="AM57" i="15"/>
  <c r="AL57" i="15"/>
  <c r="AK57" i="15"/>
  <c r="AJ57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AK58" i="15"/>
  <c r="AJ58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AJ58" i="14"/>
  <c r="AH58" i="14"/>
  <c r="AF58" i="14"/>
  <c r="AD58" i="14"/>
  <c r="AB58" i="14"/>
  <c r="Z58" i="14"/>
  <c r="AN57" i="14"/>
  <c r="AM57" i="14"/>
  <c r="AL57" i="14"/>
  <c r="AK57" i="14"/>
  <c r="AJ57" i="14"/>
  <c r="AI57" i="14"/>
  <c r="AH57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AK58" i="14"/>
  <c r="AI58" i="14"/>
  <c r="AG58" i="14"/>
  <c r="AE58" i="14"/>
  <c r="AC58" i="14"/>
  <c r="AA58" i="14"/>
  <c r="Y58" i="14"/>
  <c r="X58" i="14"/>
  <c r="W58" i="14"/>
  <c r="V58" i="14"/>
  <c r="U58" i="14"/>
  <c r="AJ58" i="13"/>
  <c r="AH58" i="13"/>
  <c r="AF58" i="13"/>
  <c r="AD58" i="13"/>
  <c r="AB58" i="13"/>
  <c r="Z58" i="13"/>
  <c r="AN57" i="13"/>
  <c r="AM57" i="13"/>
  <c r="AL57" i="13"/>
  <c r="AK57" i="13"/>
  <c r="AJ57" i="13"/>
  <c r="AI57" i="13"/>
  <c r="AH57" i="13"/>
  <c r="AG57" i="13"/>
  <c r="AF57" i="13"/>
  <c r="AE57" i="13"/>
  <c r="AD57" i="13"/>
  <c r="AC57" i="13"/>
  <c r="AB57" i="13"/>
  <c r="AA57" i="13"/>
  <c r="Z57" i="13"/>
  <c r="Y57" i="13"/>
  <c r="X57" i="13"/>
  <c r="W57" i="13"/>
  <c r="V57" i="13"/>
  <c r="U57" i="13"/>
  <c r="T57" i="13"/>
  <c r="AK58" i="13"/>
  <c r="AI58" i="13"/>
  <c r="AG58" i="13"/>
  <c r="AE58" i="13"/>
  <c r="AC58" i="13"/>
  <c r="AA58" i="13"/>
  <c r="Y58" i="13"/>
  <c r="X58" i="13"/>
  <c r="W58" i="13"/>
  <c r="V58" i="13"/>
  <c r="U58" i="13"/>
  <c r="T58" i="13"/>
  <c r="AN57" i="12"/>
  <c r="AM57" i="12"/>
  <c r="AL57" i="12"/>
  <c r="AK57" i="12"/>
  <c r="AJ57" i="12"/>
  <c r="AI57" i="12"/>
  <c r="AH57" i="12"/>
  <c r="AG57" i="12"/>
  <c r="AF57" i="12"/>
  <c r="AE57" i="12"/>
  <c r="AD57" i="12"/>
  <c r="AC57" i="12"/>
  <c r="AB57" i="12"/>
  <c r="Z57" i="12"/>
  <c r="Y57" i="12"/>
  <c r="X57" i="12"/>
  <c r="W57" i="12"/>
  <c r="V57" i="12"/>
  <c r="U57" i="12"/>
  <c r="T57" i="12"/>
  <c r="AK58" i="12"/>
  <c r="AJ58" i="12"/>
  <c r="AI58" i="12"/>
  <c r="AH58" i="12"/>
  <c r="AG58" i="12"/>
  <c r="AF58" i="12"/>
  <c r="AE58" i="12"/>
  <c r="AD58" i="12"/>
  <c r="AC58" i="12"/>
  <c r="AB58" i="12"/>
  <c r="AA58" i="12"/>
  <c r="Z58" i="12"/>
  <c r="Y58" i="12"/>
  <c r="X58" i="12"/>
  <c r="W58" i="12"/>
  <c r="V58" i="12"/>
  <c r="U58" i="12"/>
  <c r="T58" i="12"/>
  <c r="AJ58" i="11"/>
  <c r="AH58" i="11"/>
  <c r="AF58" i="11"/>
  <c r="AD58" i="11"/>
  <c r="AB58" i="11"/>
  <c r="Z58" i="11"/>
  <c r="AN57" i="11"/>
  <c r="AM57" i="11"/>
  <c r="AL57" i="11"/>
  <c r="AK57" i="11"/>
  <c r="AJ57" i="11"/>
  <c r="AI57" i="11"/>
  <c r="AH57" i="11"/>
  <c r="AG57" i="11"/>
  <c r="AF57" i="11"/>
  <c r="AE57" i="11"/>
  <c r="AD57" i="11"/>
  <c r="AC57" i="11"/>
  <c r="AB57" i="11"/>
  <c r="AA57" i="11"/>
  <c r="Z57" i="11"/>
  <c r="Y57" i="11"/>
  <c r="X57" i="11"/>
  <c r="W57" i="11"/>
  <c r="V57" i="11"/>
  <c r="U57" i="11"/>
  <c r="T57" i="11"/>
  <c r="AL58" i="11"/>
  <c r="AK58" i="11"/>
  <c r="AI58" i="11"/>
  <c r="AG58" i="11"/>
  <c r="AE58" i="11"/>
  <c r="AC58" i="11"/>
  <c r="AA58" i="11"/>
  <c r="Y58" i="11"/>
  <c r="X58" i="11"/>
  <c r="W58" i="11"/>
  <c r="V58" i="11"/>
  <c r="U58" i="11"/>
  <c r="T58" i="11"/>
  <c r="AK58" i="37"/>
  <c r="AJ58" i="37"/>
  <c r="AI58" i="37"/>
  <c r="AH58" i="37"/>
  <c r="AG58" i="37"/>
  <c r="AF58" i="37"/>
  <c r="AE58" i="37"/>
  <c r="AD58" i="37"/>
  <c r="AC58" i="37"/>
  <c r="AB58" i="37"/>
  <c r="AA58" i="37"/>
  <c r="Z58" i="37"/>
  <c r="Y58" i="37"/>
  <c r="X58" i="37"/>
  <c r="W58" i="37"/>
  <c r="V58" i="37"/>
  <c r="U58" i="37"/>
  <c r="T58" i="37"/>
  <c r="AN57" i="37"/>
  <c r="AM57" i="37"/>
  <c r="AL57" i="37"/>
  <c r="AK57" i="37"/>
  <c r="AJ57" i="37"/>
  <c r="AI57" i="37"/>
  <c r="AH57" i="37"/>
  <c r="AG57" i="37"/>
  <c r="AF57" i="37"/>
  <c r="AE57" i="37"/>
  <c r="AD57" i="37"/>
  <c r="AC57" i="37"/>
  <c r="AB57" i="37"/>
  <c r="AA57" i="37"/>
  <c r="Z57" i="37"/>
  <c r="Y57" i="37"/>
  <c r="X57" i="37"/>
  <c r="W57" i="37"/>
  <c r="V57" i="37"/>
  <c r="U57" i="37"/>
  <c r="T57" i="37"/>
  <c r="AK58" i="9"/>
  <c r="AJ58" i="9"/>
  <c r="AI58" i="9"/>
  <c r="AH58" i="9"/>
  <c r="AG58" i="9"/>
  <c r="AF58" i="9"/>
  <c r="AE58" i="9"/>
  <c r="AD58" i="9"/>
  <c r="AC58" i="9"/>
  <c r="AB58" i="9"/>
  <c r="AA58" i="9"/>
  <c r="Z58" i="9"/>
  <c r="Y58" i="9"/>
  <c r="X58" i="9"/>
  <c r="W58" i="9"/>
  <c r="V58" i="9"/>
  <c r="U58" i="9"/>
  <c r="T58" i="9"/>
  <c r="AN57" i="9"/>
  <c r="AM57" i="9"/>
  <c r="AL57" i="9"/>
  <c r="AK57" i="9"/>
  <c r="AJ57" i="9"/>
  <c r="AI57" i="9"/>
  <c r="AH57" i="9"/>
  <c r="AG57" i="9"/>
  <c r="AF57" i="9"/>
  <c r="AE57" i="9"/>
  <c r="AD57" i="9"/>
  <c r="AC57" i="9"/>
  <c r="AB57" i="9"/>
  <c r="AA57" i="9"/>
  <c r="Z57" i="9"/>
  <c r="Y57" i="9"/>
  <c r="X57" i="9"/>
  <c r="W57" i="9"/>
  <c r="V57" i="9"/>
  <c r="U57" i="9"/>
  <c r="T57" i="9"/>
  <c r="AK58" i="8"/>
  <c r="AJ58" i="8"/>
  <c r="AI58" i="8"/>
  <c r="AH58" i="8"/>
  <c r="AG58" i="8"/>
  <c r="AF58" i="8"/>
  <c r="AE58" i="8"/>
  <c r="AD58" i="8"/>
  <c r="AC58" i="8"/>
  <c r="AB58" i="8"/>
  <c r="AA58" i="8"/>
  <c r="Z58" i="8"/>
  <c r="Y58" i="8"/>
  <c r="X58" i="8"/>
  <c r="W58" i="8"/>
  <c r="V58" i="8"/>
  <c r="U58" i="8"/>
  <c r="T58" i="8"/>
  <c r="AN57" i="8"/>
  <c r="AM57" i="8"/>
  <c r="AL57" i="8"/>
  <c r="AK57" i="8"/>
  <c r="AJ57" i="8"/>
  <c r="AI57" i="8"/>
  <c r="AH57" i="8"/>
  <c r="AG57" i="8"/>
  <c r="AF57" i="8"/>
  <c r="AE57" i="8"/>
  <c r="AD57" i="8"/>
  <c r="AC57" i="8"/>
  <c r="AB57" i="8"/>
  <c r="AA57" i="8"/>
  <c r="Z57" i="8"/>
  <c r="Y57" i="8"/>
  <c r="X57" i="8"/>
  <c r="W57" i="8"/>
  <c r="V57" i="8"/>
  <c r="U57" i="8"/>
  <c r="T57" i="8"/>
  <c r="Z1166" i="33" l="1"/>
  <c r="L38" i="3"/>
  <c r="AK58" i="7"/>
  <c r="AJ58" i="7"/>
  <c r="AI58" i="7"/>
  <c r="AH58" i="7"/>
  <c r="AG58" i="7"/>
  <c r="AF58" i="7"/>
  <c r="AE58" i="7"/>
  <c r="AD58" i="7"/>
  <c r="AC58" i="7"/>
  <c r="AB58" i="7"/>
  <c r="AA58" i="7"/>
  <c r="Z58" i="7"/>
  <c r="Y58" i="7"/>
  <c r="X58" i="7"/>
  <c r="W58" i="7"/>
  <c r="V58" i="7"/>
  <c r="U58" i="7"/>
  <c r="T58" i="7"/>
  <c r="AN57" i="7"/>
  <c r="AM57" i="7"/>
  <c r="AL57" i="7"/>
  <c r="AK57" i="7"/>
  <c r="AJ57" i="7"/>
  <c r="AI57" i="7"/>
  <c r="AH57" i="7"/>
  <c r="AG57" i="7"/>
  <c r="AF57" i="7"/>
  <c r="AE57" i="7"/>
  <c r="AD57" i="7"/>
  <c r="AC57" i="7"/>
  <c r="AB57" i="7"/>
  <c r="AA57" i="7"/>
  <c r="Z57" i="7"/>
  <c r="Y57" i="7"/>
  <c r="X57" i="7"/>
  <c r="W57" i="7"/>
  <c r="V57" i="7"/>
  <c r="U57" i="7"/>
  <c r="T57" i="7"/>
  <c r="AK58" i="6"/>
  <c r="AJ58" i="6"/>
  <c r="AI58" i="6"/>
  <c r="AH58" i="6"/>
  <c r="AG58" i="6"/>
  <c r="AF58" i="6"/>
  <c r="AE58" i="6"/>
  <c r="AD58" i="6"/>
  <c r="AC58" i="6"/>
  <c r="AB58" i="6"/>
  <c r="AA58" i="6"/>
  <c r="Z58" i="6"/>
  <c r="Y58" i="6"/>
  <c r="X58" i="6"/>
  <c r="W58" i="6"/>
  <c r="V58" i="6"/>
  <c r="U58" i="6"/>
  <c r="T58" i="6"/>
  <c r="AN57" i="6"/>
  <c r="AM57" i="6"/>
  <c r="AL57" i="6"/>
  <c r="AK57" i="6"/>
  <c r="AJ57" i="6"/>
  <c r="AI57" i="6"/>
  <c r="AH57" i="6"/>
  <c r="AG57" i="6"/>
  <c r="AF57" i="6"/>
  <c r="AE57" i="6"/>
  <c r="AD57" i="6"/>
  <c r="AC57" i="6"/>
  <c r="AB57" i="6"/>
  <c r="AA57" i="6"/>
  <c r="Z57" i="6"/>
  <c r="Y57" i="6"/>
  <c r="X57" i="6"/>
  <c r="W57" i="6"/>
  <c r="V57" i="6"/>
  <c r="U57" i="6"/>
  <c r="T57" i="6"/>
  <c r="AK58" i="5"/>
  <c r="AJ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AN57" i="5"/>
  <c r="AM57" i="5"/>
  <c r="AL57" i="5"/>
  <c r="AK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AK58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AN57" i="4"/>
  <c r="AM57" i="4"/>
  <c r="AL57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AK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AJ58" i="3"/>
  <c r="AM53" i="2"/>
  <c r="AL53" i="2"/>
  <c r="AK53" i="2"/>
  <c r="AM54" i="2"/>
  <c r="AM57" i="2"/>
  <c r="AL57" i="2"/>
  <c r="AK57" i="2"/>
  <c r="AL54" i="2"/>
  <c r="AA1166" i="33" l="1"/>
  <c r="H38" i="4"/>
  <c r="AL55" i="2"/>
  <c r="AL49" i="3" s="1"/>
  <c r="AK55" i="2"/>
  <c r="AK49" i="3" s="1"/>
  <c r="AM55" i="2"/>
  <c r="AD1166" i="33" l="1"/>
  <c r="I38" i="4"/>
  <c r="AN53" i="3"/>
  <c r="AN55" i="3" s="1"/>
  <c r="AN49" i="4" s="1"/>
  <c r="AN53" i="4" s="1"/>
  <c r="AN55" i="4" s="1"/>
  <c r="AM49" i="3"/>
  <c r="AM53" i="3" s="1"/>
  <c r="AM55" i="3" s="1"/>
  <c r="AM49" i="4" s="1"/>
  <c r="AM53" i="4" s="1"/>
  <c r="AM55" i="4" s="1"/>
  <c r="AL53" i="3"/>
  <c r="AL55" i="3" s="1"/>
  <c r="AL49" i="4" s="1"/>
  <c r="AL53" i="4" s="1"/>
  <c r="AL55" i="4" s="1"/>
  <c r="Z1167" i="33" l="1"/>
  <c r="L38" i="4"/>
  <c r="AM49" i="5"/>
  <c r="AM53" i="5" s="1"/>
  <c r="AM55" i="5" s="1"/>
  <c r="AM49" i="6" s="1"/>
  <c r="AM53" i="6" s="1"/>
  <c r="AM55" i="6" s="1"/>
  <c r="AM49" i="7" s="1"/>
  <c r="AM53" i="7" s="1"/>
  <c r="AM55" i="7" s="1"/>
  <c r="AM49" i="8" s="1"/>
  <c r="AM53" i="8" s="1"/>
  <c r="AM55" i="8" s="1"/>
  <c r="AM49" i="9" s="1"/>
  <c r="AM53" i="9" s="1"/>
  <c r="AL49" i="5"/>
  <c r="AL53" i="5" s="1"/>
  <c r="AL55" i="5" s="1"/>
  <c r="AL49" i="6" s="1"/>
  <c r="AL53" i="6" s="1"/>
  <c r="AL55" i="6" s="1"/>
  <c r="AL49" i="7" s="1"/>
  <c r="AL53" i="7" s="1"/>
  <c r="AL55" i="7" s="1"/>
  <c r="AL49" i="8" s="1"/>
  <c r="AL53" i="8" s="1"/>
  <c r="AL55" i="8" s="1"/>
  <c r="AL49" i="9" s="1"/>
  <c r="AL53" i="9" s="1"/>
  <c r="AN49" i="5"/>
  <c r="AN53" i="5" s="1"/>
  <c r="AN55" i="5" s="1"/>
  <c r="AN49" i="6" s="1"/>
  <c r="AN53" i="6" s="1"/>
  <c r="AN55" i="6" s="1"/>
  <c r="AN49" i="7" s="1"/>
  <c r="AN53" i="7" s="1"/>
  <c r="AN55" i="7" s="1"/>
  <c r="AN49" i="8" s="1"/>
  <c r="AN53" i="8" s="1"/>
  <c r="AN55" i="8" s="1"/>
  <c r="AN49" i="9" s="1"/>
  <c r="AN53" i="9" s="1"/>
  <c r="AB25" i="26"/>
  <c r="AA1167" i="33" l="1"/>
  <c r="H38" i="5"/>
  <c r="AL55" i="9"/>
  <c r="AL49" i="37" s="1"/>
  <c r="AL53" i="37" s="1"/>
  <c r="AL55" i="37" s="1"/>
  <c r="AL49" i="11" s="1"/>
  <c r="AN55" i="9"/>
  <c r="AN49" i="37" s="1"/>
  <c r="AN53" i="37" s="1"/>
  <c r="AN55" i="37" s="1"/>
  <c r="AN49" i="11" s="1"/>
  <c r="AN53" i="11" s="1"/>
  <c r="AN55" i="11" s="1"/>
  <c r="AM55" i="9"/>
  <c r="AM49" i="37" s="1"/>
  <c r="AM53" i="37" s="1"/>
  <c r="AM55" i="37" s="1"/>
  <c r="AM49" i="11" s="1"/>
  <c r="AM53" i="11" s="1"/>
  <c r="AM55" i="11" s="1"/>
  <c r="AB25" i="8"/>
  <c r="AD1167" i="33" l="1"/>
  <c r="I38" i="5"/>
  <c r="AN49" i="12"/>
  <c r="AN53" i="12" s="1"/>
  <c r="AN55" i="12" s="1"/>
  <c r="AM49" i="12"/>
  <c r="AM53" i="12" s="1"/>
  <c r="AM55" i="12" s="1"/>
  <c r="A8" i="33"/>
  <c r="A9" i="33" s="1"/>
  <c r="Z1168" i="33" l="1"/>
  <c r="L38" i="5"/>
  <c r="AM49" i="13"/>
  <c r="AM53" i="13" s="1"/>
  <c r="AM55" i="13" s="1"/>
  <c r="AM49" i="14" s="1"/>
  <c r="AM53" i="14" s="1"/>
  <c r="AM55" i="14" s="1"/>
  <c r="AM49" i="15" s="1"/>
  <c r="AM53" i="15" s="1"/>
  <c r="AM55" i="15" s="1"/>
  <c r="AM49" i="16" s="1"/>
  <c r="AM53" i="16" s="1"/>
  <c r="AM55" i="16" s="1"/>
  <c r="AM49" i="17" s="1"/>
  <c r="AM53" i="17" s="1"/>
  <c r="AM55" i="17" s="1"/>
  <c r="AM49" i="18" s="1"/>
  <c r="AM53" i="18" s="1"/>
  <c r="AM55" i="18" s="1"/>
  <c r="AM49" i="19" s="1"/>
  <c r="AM53" i="19" s="1"/>
  <c r="AM55" i="19" s="1"/>
  <c r="AM49" i="20" s="1"/>
  <c r="AM53" i="20" s="1"/>
  <c r="AM55" i="20" s="1"/>
  <c r="AM49" i="21" s="1"/>
  <c r="AM53" i="21" s="1"/>
  <c r="AM55" i="21" s="1"/>
  <c r="AM49" i="22" s="1"/>
  <c r="AM53" i="22" s="1"/>
  <c r="AM55" i="22" s="1"/>
  <c r="AM49" i="23" s="1"/>
  <c r="AM53" i="23" s="1"/>
  <c r="AM55" i="23" s="1"/>
  <c r="AM49" i="24" s="1"/>
  <c r="AM53" i="24" s="1"/>
  <c r="AM55" i="24" s="1"/>
  <c r="AM49" i="25" s="1"/>
  <c r="AM53" i="25" s="1"/>
  <c r="AM55" i="25" s="1"/>
  <c r="AM49" i="26" s="1"/>
  <c r="AM53" i="26" s="1"/>
  <c r="AM55" i="26" s="1"/>
  <c r="AM49" i="27" s="1"/>
  <c r="AM53" i="27" s="1"/>
  <c r="AM55" i="27" s="1"/>
  <c r="AM49" i="28" s="1"/>
  <c r="AM53" i="28" s="1"/>
  <c r="AM55" i="28" s="1"/>
  <c r="AM49" i="29" s="1"/>
  <c r="AM53" i="29" s="1"/>
  <c r="AM55" i="29" s="1"/>
  <c r="AM49" i="30" s="1"/>
  <c r="AM53" i="30" s="1"/>
  <c r="AM55" i="30" s="1"/>
  <c r="AM49" i="31" s="1"/>
  <c r="AM53" i="31" s="1"/>
  <c r="AM55" i="31" s="1"/>
  <c r="AM49" i="32" s="1"/>
  <c r="AM53" i="32" s="1"/>
  <c r="AM55" i="32" s="1"/>
  <c r="U41" i="54" s="1"/>
  <c r="U43" i="54" s="1"/>
  <c r="AN49" i="13"/>
  <c r="AN53" i="13" s="1"/>
  <c r="AN55" i="13" s="1"/>
  <c r="AN49" i="14" s="1"/>
  <c r="AN53" i="14" s="1"/>
  <c r="AN55" i="14" s="1"/>
  <c r="AN49" i="15" s="1"/>
  <c r="AN53" i="15" s="1"/>
  <c r="AN55" i="15" s="1"/>
  <c r="AN49" i="16" s="1"/>
  <c r="AN53" i="16" s="1"/>
  <c r="AN55" i="16" s="1"/>
  <c r="AN49" i="17" s="1"/>
  <c r="AN53" i="17" s="1"/>
  <c r="AN55" i="17" s="1"/>
  <c r="AN49" i="18" s="1"/>
  <c r="AN53" i="18" s="1"/>
  <c r="AN55" i="18" s="1"/>
  <c r="AN49" i="19" s="1"/>
  <c r="AN53" i="19" s="1"/>
  <c r="AN55" i="19" s="1"/>
  <c r="AN49" i="20" s="1"/>
  <c r="AN53" i="20" s="1"/>
  <c r="AN55" i="20" s="1"/>
  <c r="AN49" i="21" s="1"/>
  <c r="AN53" i="21" s="1"/>
  <c r="AN55" i="21" s="1"/>
  <c r="AN49" i="22" s="1"/>
  <c r="AN53" i="22" s="1"/>
  <c r="AN55" i="22" s="1"/>
  <c r="AN49" i="23" s="1"/>
  <c r="AN53" i="23" s="1"/>
  <c r="AN55" i="23" s="1"/>
  <c r="AN49" i="24" s="1"/>
  <c r="AN53" i="24" s="1"/>
  <c r="AN55" i="24" s="1"/>
  <c r="AN49" i="25" s="1"/>
  <c r="AN53" i="25" s="1"/>
  <c r="AN55" i="25" s="1"/>
  <c r="AN49" i="26" s="1"/>
  <c r="AN53" i="26" s="1"/>
  <c r="AN55" i="26" s="1"/>
  <c r="AN49" i="27" s="1"/>
  <c r="AN53" i="27" s="1"/>
  <c r="AN55" i="27" s="1"/>
  <c r="AN49" i="28" s="1"/>
  <c r="AN53" i="28" s="1"/>
  <c r="AN55" i="28" s="1"/>
  <c r="AN49" i="29" s="1"/>
  <c r="AN53" i="29" s="1"/>
  <c r="AN55" i="29" s="1"/>
  <c r="AN49" i="30" s="1"/>
  <c r="AN53" i="30" s="1"/>
  <c r="AN55" i="30" s="1"/>
  <c r="AN49" i="31" s="1"/>
  <c r="AN53" i="31" s="1"/>
  <c r="AN55" i="31" s="1"/>
  <c r="AN49" i="32" s="1"/>
  <c r="AN53" i="32" s="1"/>
  <c r="AN55" i="32" s="1"/>
  <c r="V41" i="54" s="1"/>
  <c r="V43" i="54" s="1"/>
  <c r="J21" i="55"/>
  <c r="AA1168" i="33" l="1"/>
  <c r="H38" i="6"/>
  <c r="AK38" i="55"/>
  <c r="AK36" i="55"/>
  <c r="AK35" i="55"/>
  <c r="AK34" i="55"/>
  <c r="AK33" i="55"/>
  <c r="AK32" i="55"/>
  <c r="AK31" i="55"/>
  <c r="AK30" i="55"/>
  <c r="AK29" i="55"/>
  <c r="AK28" i="55"/>
  <c r="AK27" i="55"/>
  <c r="AK26" i="55"/>
  <c r="AK25" i="55"/>
  <c r="AK24" i="55"/>
  <c r="AK23" i="55"/>
  <c r="AK22" i="55"/>
  <c r="AK21" i="55"/>
  <c r="AK20" i="55"/>
  <c r="AK19" i="55"/>
  <c r="AK18" i="55"/>
  <c r="AK17" i="55"/>
  <c r="AK16" i="55"/>
  <c r="AK15" i="55"/>
  <c r="AK14" i="55"/>
  <c r="AK13" i="55"/>
  <c r="AK12" i="55"/>
  <c r="AK11" i="55"/>
  <c r="AK10" i="55"/>
  <c r="AK9" i="55"/>
  <c r="AK8" i="55"/>
  <c r="AH38" i="55"/>
  <c r="AH37" i="55"/>
  <c r="AH36" i="55"/>
  <c r="AH35" i="55"/>
  <c r="AH34" i="55"/>
  <c r="AH33" i="55"/>
  <c r="AH32" i="55"/>
  <c r="AH31" i="55"/>
  <c r="AH29" i="55"/>
  <c r="AH28" i="55"/>
  <c r="AH27" i="55"/>
  <c r="AH24" i="55"/>
  <c r="AH23" i="55"/>
  <c r="AH22" i="55"/>
  <c r="AH21" i="55"/>
  <c r="AH20" i="55"/>
  <c r="AH19" i="55"/>
  <c r="AH18" i="55"/>
  <c r="AH17" i="55"/>
  <c r="AH16" i="55"/>
  <c r="AH13" i="55"/>
  <c r="AH12" i="55"/>
  <c r="AH11" i="55"/>
  <c r="AH10" i="55"/>
  <c r="AH9" i="55"/>
  <c r="AH8" i="55"/>
  <c r="AE38" i="55"/>
  <c r="AE37" i="55"/>
  <c r="AE36" i="55"/>
  <c r="AE35" i="55"/>
  <c r="AE34" i="55"/>
  <c r="AE33" i="55"/>
  <c r="AE32" i="55"/>
  <c r="AE31" i="55"/>
  <c r="AE30" i="55"/>
  <c r="AE29" i="55"/>
  <c r="AE28" i="55"/>
  <c r="AE27" i="55"/>
  <c r="AE26" i="55"/>
  <c r="AE25" i="55"/>
  <c r="AE24" i="55"/>
  <c r="AE23" i="55"/>
  <c r="AE22" i="55"/>
  <c r="AE21" i="55"/>
  <c r="AE20" i="55"/>
  <c r="AE19" i="55"/>
  <c r="AE18" i="55"/>
  <c r="AE17" i="55"/>
  <c r="AE16" i="55"/>
  <c r="AE15" i="55"/>
  <c r="AE14" i="55"/>
  <c r="AE13" i="55"/>
  <c r="AE12" i="55"/>
  <c r="AE11" i="55"/>
  <c r="AE10" i="55"/>
  <c r="AE9" i="55"/>
  <c r="AE8" i="55"/>
  <c r="AB38" i="55"/>
  <c r="AB36" i="55"/>
  <c r="AB35" i="55"/>
  <c r="AB34" i="55"/>
  <c r="AB29" i="55"/>
  <c r="AB27" i="55"/>
  <c r="AB26" i="55"/>
  <c r="AB22" i="55"/>
  <c r="AB18" i="55"/>
  <c r="AB17" i="55"/>
  <c r="AB16" i="55"/>
  <c r="AB14" i="55"/>
  <c r="AB13" i="55"/>
  <c r="AD1168" i="33" l="1"/>
  <c r="I38" i="6"/>
  <c r="Y38" i="55"/>
  <c r="AA38" i="55" s="1"/>
  <c r="Y37" i="55"/>
  <c r="AA37" i="55" s="1"/>
  <c r="Y36" i="55"/>
  <c r="AA36" i="55" s="1"/>
  <c r="Y35" i="55"/>
  <c r="AA35" i="55" s="1"/>
  <c r="Y34" i="55"/>
  <c r="AA34" i="55" s="1"/>
  <c r="Y33" i="55"/>
  <c r="AA33" i="55" s="1"/>
  <c r="AA32" i="55"/>
  <c r="Y31" i="55"/>
  <c r="AA31" i="55" s="1"/>
  <c r="Y30" i="55"/>
  <c r="Y29" i="55"/>
  <c r="AA29" i="55" s="1"/>
  <c r="Y28" i="55"/>
  <c r="AA28" i="55" s="1"/>
  <c r="Y27" i="55"/>
  <c r="AA27" i="55" s="1"/>
  <c r="Y26" i="55"/>
  <c r="AA26" i="55" s="1"/>
  <c r="Y25" i="55"/>
  <c r="AA25" i="55" s="1"/>
  <c r="Y24" i="55"/>
  <c r="AA24" i="55" s="1"/>
  <c r="Y23" i="55"/>
  <c r="AA23" i="55" s="1"/>
  <c r="Y22" i="55"/>
  <c r="AA22" i="55" s="1"/>
  <c r="Y21" i="55"/>
  <c r="AA21" i="55" s="1"/>
  <c r="Y20" i="55"/>
  <c r="Y19" i="55"/>
  <c r="Y18" i="55"/>
  <c r="AA18" i="55" s="1"/>
  <c r="Y17" i="55"/>
  <c r="AA17" i="55" s="1"/>
  <c r="Y16" i="55"/>
  <c r="AA16" i="55" s="1"/>
  <c r="AA15" i="55"/>
  <c r="Y14" i="55"/>
  <c r="AA14" i="55" s="1"/>
  <c r="Y13" i="55"/>
  <c r="AA13" i="55" s="1"/>
  <c r="Y12" i="55"/>
  <c r="AA12" i="55" s="1"/>
  <c r="Y11" i="55"/>
  <c r="AA11" i="55" s="1"/>
  <c r="Y10" i="55"/>
  <c r="Y9" i="55"/>
  <c r="AA9" i="55" s="1"/>
  <c r="AA10" i="55"/>
  <c r="AA19" i="55"/>
  <c r="AA30" i="55"/>
  <c r="AA20" i="55"/>
  <c r="Y8" i="55"/>
  <c r="M38" i="55"/>
  <c r="M37" i="55"/>
  <c r="M36" i="55"/>
  <c r="M35" i="55"/>
  <c r="M34" i="55"/>
  <c r="M33" i="55"/>
  <c r="M32" i="55"/>
  <c r="M31" i="55"/>
  <c r="M29" i="55"/>
  <c r="M28" i="55"/>
  <c r="M27" i="55"/>
  <c r="M26" i="55"/>
  <c r="M25" i="55"/>
  <c r="M24" i="55"/>
  <c r="M23" i="55"/>
  <c r="M22" i="55"/>
  <c r="M21" i="55"/>
  <c r="M20" i="55"/>
  <c r="M19" i="55"/>
  <c r="M18" i="55"/>
  <c r="M17" i="55"/>
  <c r="M16" i="55"/>
  <c r="M15" i="55"/>
  <c r="M14" i="55"/>
  <c r="M13" i="55"/>
  <c r="M12" i="55"/>
  <c r="M11" i="55"/>
  <c r="M10" i="55"/>
  <c r="M9" i="55"/>
  <c r="M8" i="55"/>
  <c r="J38" i="55"/>
  <c r="J37" i="55"/>
  <c r="J36" i="55"/>
  <c r="J35" i="55"/>
  <c r="J34" i="55"/>
  <c r="J33" i="55"/>
  <c r="J32" i="55"/>
  <c r="J31" i="55"/>
  <c r="J30" i="55"/>
  <c r="J29" i="55"/>
  <c r="J28" i="55"/>
  <c r="J27" i="55"/>
  <c r="J26" i="55"/>
  <c r="J25" i="55"/>
  <c r="J24" i="55"/>
  <c r="J23" i="55"/>
  <c r="J22" i="55"/>
  <c r="J20" i="55"/>
  <c r="J19" i="55"/>
  <c r="J18" i="55"/>
  <c r="J17" i="55"/>
  <c r="J16" i="55"/>
  <c r="J15" i="55"/>
  <c r="J14" i="55"/>
  <c r="J13" i="55"/>
  <c r="J12" i="55"/>
  <c r="J11" i="55"/>
  <c r="J10" i="55"/>
  <c r="J9" i="55"/>
  <c r="J8" i="55"/>
  <c r="G38" i="55"/>
  <c r="G37" i="55"/>
  <c r="G36" i="55"/>
  <c r="G35" i="55"/>
  <c r="G34" i="55"/>
  <c r="G33" i="55"/>
  <c r="G32" i="55"/>
  <c r="G31" i="55"/>
  <c r="G30" i="55"/>
  <c r="G29" i="55"/>
  <c r="G28" i="55"/>
  <c r="G27" i="55"/>
  <c r="G26" i="55"/>
  <c r="G25" i="55"/>
  <c r="G24" i="55"/>
  <c r="G23" i="55"/>
  <c r="G22" i="55"/>
  <c r="G21" i="55"/>
  <c r="G20" i="55"/>
  <c r="G19" i="55"/>
  <c r="G18" i="55"/>
  <c r="G17" i="55"/>
  <c r="G16" i="55"/>
  <c r="G15" i="55"/>
  <c r="G14" i="55"/>
  <c r="G13" i="55"/>
  <c r="G12" i="55"/>
  <c r="G11" i="55"/>
  <c r="G10" i="55"/>
  <c r="G9" i="55"/>
  <c r="D38" i="55"/>
  <c r="D37" i="55"/>
  <c r="D36" i="55"/>
  <c r="D35" i="55"/>
  <c r="D34" i="55"/>
  <c r="D33" i="55"/>
  <c r="D32" i="55"/>
  <c r="D31" i="55"/>
  <c r="D30" i="55"/>
  <c r="D29" i="55"/>
  <c r="F29" i="55" s="1"/>
  <c r="D28" i="55"/>
  <c r="F28" i="55" s="1"/>
  <c r="D27" i="55"/>
  <c r="F27" i="55" s="1"/>
  <c r="D26" i="55"/>
  <c r="F26" i="55" s="1"/>
  <c r="D25" i="55"/>
  <c r="F25" i="55" s="1"/>
  <c r="D24" i="55"/>
  <c r="F24" i="55" s="1"/>
  <c r="D23" i="55"/>
  <c r="F23" i="55" s="1"/>
  <c r="D22" i="55"/>
  <c r="F22" i="55" s="1"/>
  <c r="D21" i="55"/>
  <c r="F21" i="55" s="1"/>
  <c r="D20" i="55"/>
  <c r="F20" i="55" s="1"/>
  <c r="D19" i="55"/>
  <c r="F19" i="55" s="1"/>
  <c r="D18" i="55"/>
  <c r="F18" i="55" s="1"/>
  <c r="D17" i="55"/>
  <c r="F17" i="55" s="1"/>
  <c r="D16" i="55"/>
  <c r="F16" i="55" s="1"/>
  <c r="D15" i="55"/>
  <c r="F15" i="55" s="1"/>
  <c r="D14" i="55"/>
  <c r="F14" i="55" s="1"/>
  <c r="D13" i="55"/>
  <c r="F13" i="55" s="1"/>
  <c r="D12" i="55"/>
  <c r="F12" i="55" s="1"/>
  <c r="D11" i="55"/>
  <c r="F11" i="55" s="1"/>
  <c r="D10" i="55"/>
  <c r="F10" i="55" s="1"/>
  <c r="D9" i="55"/>
  <c r="F9" i="55" s="1"/>
  <c r="AM38" i="55"/>
  <c r="AM37" i="55"/>
  <c r="AM36" i="55"/>
  <c r="AM35" i="55"/>
  <c r="AM34" i="55"/>
  <c r="AM33" i="55"/>
  <c r="AM32" i="55"/>
  <c r="AM31" i="55"/>
  <c r="AM30" i="55"/>
  <c r="AM29" i="55"/>
  <c r="AM28" i="55"/>
  <c r="AM27" i="55"/>
  <c r="AM26" i="55"/>
  <c r="AM25" i="55"/>
  <c r="AM24" i="55"/>
  <c r="AM23" i="55"/>
  <c r="AM22" i="55"/>
  <c r="AM21" i="55"/>
  <c r="AM20" i="55"/>
  <c r="AM19" i="55"/>
  <c r="AM18" i="55"/>
  <c r="AM17" i="55"/>
  <c r="AM16" i="55"/>
  <c r="AM15" i="55"/>
  <c r="AM14" i="55"/>
  <c r="AM13" i="55"/>
  <c r="AM12" i="55"/>
  <c r="AM11" i="55"/>
  <c r="AM10" i="55"/>
  <c r="AM9" i="55"/>
  <c r="AM8" i="55"/>
  <c r="AJ38" i="55"/>
  <c r="AJ37" i="55"/>
  <c r="AJ36" i="55"/>
  <c r="AJ35" i="55"/>
  <c r="AJ34" i="55"/>
  <c r="AJ33" i="55"/>
  <c r="AJ32" i="55"/>
  <c r="AJ31" i="55"/>
  <c r="AJ30" i="55"/>
  <c r="AJ29" i="55"/>
  <c r="AJ28" i="55"/>
  <c r="AJ27" i="55"/>
  <c r="AJ26" i="55"/>
  <c r="AJ25" i="55"/>
  <c r="AJ24" i="55"/>
  <c r="AJ23" i="55"/>
  <c r="AJ22" i="55"/>
  <c r="AJ21" i="55"/>
  <c r="AJ20" i="55"/>
  <c r="AJ19" i="55"/>
  <c r="AJ18" i="55"/>
  <c r="AJ17" i="55"/>
  <c r="AJ16" i="55"/>
  <c r="AJ15" i="55"/>
  <c r="AJ14" i="55"/>
  <c r="AJ13" i="55"/>
  <c r="AJ12" i="55"/>
  <c r="AJ11" i="55"/>
  <c r="AJ10" i="55"/>
  <c r="AJ9" i="55"/>
  <c r="AJ8" i="55"/>
  <c r="AG38" i="55"/>
  <c r="AG37" i="55"/>
  <c r="AG36" i="55"/>
  <c r="AG35" i="55"/>
  <c r="AG34" i="55"/>
  <c r="AG33" i="55"/>
  <c r="AG32" i="55"/>
  <c r="AG31" i="55"/>
  <c r="AG30" i="55"/>
  <c r="AG29" i="55"/>
  <c r="AG28" i="55"/>
  <c r="AG27" i="55"/>
  <c r="AG26" i="55"/>
  <c r="AG25" i="55"/>
  <c r="AG24" i="55"/>
  <c r="AG23" i="55"/>
  <c r="AG22" i="55"/>
  <c r="AG21" i="55"/>
  <c r="AG20" i="55"/>
  <c r="AG19" i="55"/>
  <c r="AG18" i="55"/>
  <c r="AG17" i="55"/>
  <c r="AG16" i="55"/>
  <c r="AG15" i="55"/>
  <c r="AG14" i="55"/>
  <c r="AG13" i="55"/>
  <c r="AG12" i="55"/>
  <c r="AG11" i="55"/>
  <c r="AG10" i="55"/>
  <c r="AG9" i="55"/>
  <c r="AG8" i="55"/>
  <c r="AD38" i="55"/>
  <c r="AD37" i="55"/>
  <c r="AD36" i="55"/>
  <c r="AD35" i="55"/>
  <c r="AD34" i="55"/>
  <c r="AD33" i="55"/>
  <c r="AD32" i="55"/>
  <c r="AD31" i="55"/>
  <c r="AD30" i="55"/>
  <c r="AD29" i="55"/>
  <c r="AD28" i="55"/>
  <c r="AD27" i="55"/>
  <c r="AD26" i="55"/>
  <c r="AD25" i="55"/>
  <c r="AD24" i="55"/>
  <c r="AD23" i="55"/>
  <c r="AD22" i="55"/>
  <c r="AD21" i="55"/>
  <c r="AD20" i="55"/>
  <c r="AD19" i="55"/>
  <c r="AD18" i="55"/>
  <c r="AD17" i="55"/>
  <c r="AD16" i="55"/>
  <c r="AD15" i="55"/>
  <c r="AD14" i="55"/>
  <c r="AD13" i="55"/>
  <c r="AD12" i="55"/>
  <c r="AD11" i="55"/>
  <c r="AD10" i="55"/>
  <c r="AD9" i="55"/>
  <c r="AD8" i="55"/>
  <c r="AA8" i="55"/>
  <c r="F8" i="55"/>
  <c r="Z1169" i="33" l="1"/>
  <c r="L38" i="6"/>
  <c r="AM40" i="55"/>
  <c r="AK40" i="55"/>
  <c r="AJ40" i="55"/>
  <c r="AH40" i="55"/>
  <c r="AG40" i="55"/>
  <c r="AE40" i="55"/>
  <c r="AD40" i="55"/>
  <c r="AB40" i="55"/>
  <c r="AA40" i="55"/>
  <c r="Y40" i="55"/>
  <c r="AA1169" i="33" l="1"/>
  <c r="H38" i="7"/>
  <c r="AL53" i="11"/>
  <c r="AL55" i="11" s="1"/>
  <c r="AL49" i="12" s="1"/>
  <c r="AL53" i="12" s="1"/>
  <c r="AL55" i="12" s="1"/>
  <c r="V36" i="2"/>
  <c r="X36" i="2" s="1"/>
  <c r="T36" i="3" s="1"/>
  <c r="C109" i="54"/>
  <c r="C105" i="54"/>
  <c r="C107" i="54" s="1"/>
  <c r="AD1169" i="33" l="1"/>
  <c r="I38" i="7"/>
  <c r="AL49" i="13"/>
  <c r="AL53" i="13" s="1"/>
  <c r="AL55" i="13" s="1"/>
  <c r="AL49" i="14" s="1"/>
  <c r="AL53" i="14" s="1"/>
  <c r="AL55" i="14" s="1"/>
  <c r="AL49" i="15" s="1"/>
  <c r="AL53" i="15" s="1"/>
  <c r="AL55" i="15" s="1"/>
  <c r="AL49" i="16" s="1"/>
  <c r="AL53" i="16" s="1"/>
  <c r="AL55" i="16" s="1"/>
  <c r="AL49" i="17" s="1"/>
  <c r="AL53" i="17" s="1"/>
  <c r="AL55" i="17" s="1"/>
  <c r="AL49" i="18" s="1"/>
  <c r="AL53" i="18" s="1"/>
  <c r="AL55" i="18" s="1"/>
  <c r="AL49" i="19" s="1"/>
  <c r="AL53" i="19" s="1"/>
  <c r="AL55" i="19" s="1"/>
  <c r="AL49" i="20" s="1"/>
  <c r="AL53" i="20" s="1"/>
  <c r="AL55" i="20" s="1"/>
  <c r="AL49" i="21" s="1"/>
  <c r="AL53" i="21" s="1"/>
  <c r="AL55" i="21" s="1"/>
  <c r="AL49" i="22" s="1"/>
  <c r="AL53" i="22" s="1"/>
  <c r="AL55" i="22" s="1"/>
  <c r="AL49" i="23" s="1"/>
  <c r="AL53" i="23" s="1"/>
  <c r="AL55" i="23" s="1"/>
  <c r="AL49" i="24" s="1"/>
  <c r="AL53" i="24" s="1"/>
  <c r="AL55" i="24" s="1"/>
  <c r="AL49" i="25" s="1"/>
  <c r="AL53" i="25" s="1"/>
  <c r="AL55" i="25" s="1"/>
  <c r="AL49" i="26" s="1"/>
  <c r="AL53" i="26" s="1"/>
  <c r="AL55" i="26" s="1"/>
  <c r="AL49" i="27" s="1"/>
  <c r="AL53" i="27" s="1"/>
  <c r="AL55" i="27" s="1"/>
  <c r="AL49" i="28" s="1"/>
  <c r="AL53" i="28" s="1"/>
  <c r="AL55" i="28" s="1"/>
  <c r="AL49" i="29" s="1"/>
  <c r="AL53" i="29" s="1"/>
  <c r="AL55" i="29" s="1"/>
  <c r="AL49" i="30" s="1"/>
  <c r="AL53" i="30" s="1"/>
  <c r="AL55" i="30" s="1"/>
  <c r="AL49" i="31" s="1"/>
  <c r="AL53" i="31" s="1"/>
  <c r="AL55" i="31" s="1"/>
  <c r="AL49" i="32" s="1"/>
  <c r="AL53" i="32" s="1"/>
  <c r="AL55" i="32" s="1"/>
  <c r="T41" i="54" s="1"/>
  <c r="T43" i="54" s="1"/>
  <c r="C110" i="54"/>
  <c r="K22" i="54"/>
  <c r="L22" i="54"/>
  <c r="M22" i="54" s="1"/>
  <c r="K23" i="54"/>
  <c r="L23" i="54"/>
  <c r="M23" i="54" s="1"/>
  <c r="K24" i="54"/>
  <c r="J24" i="54"/>
  <c r="L24" i="54"/>
  <c r="M24" i="54" s="1"/>
  <c r="K25" i="54"/>
  <c r="L25" i="54"/>
  <c r="M25" i="54" s="1"/>
  <c r="K26" i="54"/>
  <c r="L26" i="54"/>
  <c r="M26" i="54" s="1"/>
  <c r="K27" i="54"/>
  <c r="L27" i="54"/>
  <c r="M27" i="54" s="1"/>
  <c r="K28" i="54"/>
  <c r="L28" i="54"/>
  <c r="M28" i="54" s="1"/>
  <c r="K29" i="54"/>
  <c r="L29" i="54"/>
  <c r="M29" i="54" s="1"/>
  <c r="K30" i="54"/>
  <c r="L30" i="54"/>
  <c r="M30" i="54" s="1"/>
  <c r="K31" i="54"/>
  <c r="L31" i="54"/>
  <c r="M31" i="54" s="1"/>
  <c r="K32" i="54"/>
  <c r="L32" i="54"/>
  <c r="M32" i="54" s="1"/>
  <c r="K33" i="54"/>
  <c r="L33" i="54"/>
  <c r="M33" i="54" s="1"/>
  <c r="J37" i="54"/>
  <c r="B46" i="54"/>
  <c r="C46" i="54"/>
  <c r="D46" i="54"/>
  <c r="E46" i="54"/>
  <c r="F46" i="54"/>
  <c r="G46" i="54"/>
  <c r="H46" i="54"/>
  <c r="I46" i="54"/>
  <c r="J46" i="54"/>
  <c r="K46" i="54"/>
  <c r="L46" i="54"/>
  <c r="M46" i="54"/>
  <c r="N46" i="54"/>
  <c r="O46" i="54"/>
  <c r="P46" i="54"/>
  <c r="Q46" i="54"/>
  <c r="R46" i="54"/>
  <c r="S46" i="54"/>
  <c r="Z46" i="54" l="1"/>
  <c r="Z1170" i="33"/>
  <c r="L38" i="7"/>
  <c r="T43" i="3"/>
  <c r="V43" i="3" s="1"/>
  <c r="X43" i="3" s="1"/>
  <c r="T43" i="4" s="1"/>
  <c r="V43" i="4" s="1"/>
  <c r="X43" i="4" s="1"/>
  <c r="T43" i="5" s="1"/>
  <c r="V43" i="5" s="1"/>
  <c r="X43" i="5" s="1"/>
  <c r="T43" i="6" s="1"/>
  <c r="V43" i="6" s="1"/>
  <c r="X43" i="6" s="1"/>
  <c r="T43" i="7" s="1"/>
  <c r="V43" i="7" s="1"/>
  <c r="X43" i="7" s="1"/>
  <c r="T43" i="8" s="1"/>
  <c r="V43" i="8" s="1"/>
  <c r="X43" i="8" s="1"/>
  <c r="T43" i="9" s="1"/>
  <c r="V43" i="9" s="1"/>
  <c r="X43" i="9" s="1"/>
  <c r="T43" i="37" s="1"/>
  <c r="V43" i="37" s="1"/>
  <c r="X43" i="37" s="1"/>
  <c r="T43" i="11" s="1"/>
  <c r="V43" i="11" s="1"/>
  <c r="X43" i="11" s="1"/>
  <c r="T43" i="12" s="1"/>
  <c r="V43" i="12" s="1"/>
  <c r="X43" i="12" s="1"/>
  <c r="T43" i="13" s="1"/>
  <c r="V43" i="13" s="1"/>
  <c r="X43" i="13" s="1"/>
  <c r="T43" i="14" s="1"/>
  <c r="V43" i="14" s="1"/>
  <c r="X43" i="14" s="1"/>
  <c r="T43" i="15" s="1"/>
  <c r="V43" i="15" s="1"/>
  <c r="X43" i="15" s="1"/>
  <c r="T43" i="16" s="1"/>
  <c r="V43" i="16" s="1"/>
  <c r="X43" i="16" s="1"/>
  <c r="T43" i="17" s="1"/>
  <c r="V43" i="17" s="1"/>
  <c r="X43" i="17" s="1"/>
  <c r="T43" i="18" s="1"/>
  <c r="V43" i="18" s="1"/>
  <c r="X43" i="18" s="1"/>
  <c r="T43" i="19" l="1"/>
  <c r="V43" i="19" s="1"/>
  <c r="X43" i="19" s="1"/>
  <c r="T43" i="20" s="1"/>
  <c r="V43" i="20" s="1"/>
  <c r="X43" i="20" s="1"/>
  <c r="T43" i="21" s="1"/>
  <c r="V43" i="21" s="1"/>
  <c r="X43" i="21" s="1"/>
  <c r="T43" i="22" s="1"/>
  <c r="V43" i="22" s="1"/>
  <c r="X43" i="22" s="1"/>
  <c r="T43" i="23" s="1"/>
  <c r="V43" i="23" s="1"/>
  <c r="X43" i="23" s="1"/>
  <c r="T43" i="24" s="1"/>
  <c r="V43" i="24" s="1"/>
  <c r="X43" i="24" s="1"/>
  <c r="T43" i="25" s="1"/>
  <c r="V43" i="25" s="1"/>
  <c r="X43" i="25" s="1"/>
  <c r="T43" i="26" s="1"/>
  <c r="V43" i="26" s="1"/>
  <c r="X43" i="26" s="1"/>
  <c r="T43" i="27" s="1"/>
  <c r="V43" i="27" s="1"/>
  <c r="X43" i="27" s="1"/>
  <c r="T43" i="28" s="1"/>
  <c r="V43" i="28" s="1"/>
  <c r="X43" i="28" s="1"/>
  <c r="T43" i="29" s="1"/>
  <c r="V43" i="29" s="1"/>
  <c r="X43" i="29" s="1"/>
  <c r="T43" i="30" s="1"/>
  <c r="V43" i="30" s="1"/>
  <c r="X43" i="30" s="1"/>
  <c r="T43" i="31" s="1"/>
  <c r="V43" i="31" s="1"/>
  <c r="X43" i="31" s="1"/>
  <c r="T43" i="32" s="1"/>
  <c r="V43" i="32" s="1"/>
  <c r="X43" i="32" s="1"/>
  <c r="AA1170" i="33"/>
  <c r="H38" i="8"/>
  <c r="S43" i="3"/>
  <c r="S43" i="4" s="1"/>
  <c r="S43" i="5" s="1"/>
  <c r="S43" i="6" s="1"/>
  <c r="S43" i="7" s="1"/>
  <c r="S43" i="8" s="1"/>
  <c r="S43" i="9" s="1"/>
  <c r="S43" i="37" s="1"/>
  <c r="S43" i="11" s="1"/>
  <c r="S43" i="12" s="1"/>
  <c r="S43" i="13" s="1"/>
  <c r="S43" i="14" s="1"/>
  <c r="S43" i="15" s="1"/>
  <c r="S43" i="16" s="1"/>
  <c r="S43" i="17" l="1"/>
  <c r="S43" i="18" s="1"/>
  <c r="S43" i="19" s="1"/>
  <c r="S43" i="20" s="1"/>
  <c r="S43" i="21" s="1"/>
  <c r="S43" i="22" s="1"/>
  <c r="S43" i="23" s="1"/>
  <c r="S43" i="24" s="1"/>
  <c r="S43" i="25" s="1"/>
  <c r="S43" i="26" s="1"/>
  <c r="S43" i="27" s="1"/>
  <c r="S43" i="28" s="1"/>
  <c r="S43" i="29" s="1"/>
  <c r="S43" i="30" s="1"/>
  <c r="S43" i="31" s="1"/>
  <c r="S43" i="32" s="1"/>
  <c r="AD1170" i="33"/>
  <c r="I38" i="8"/>
  <c r="AI22" i="4"/>
  <c r="Z1171" i="33" l="1"/>
  <c r="L38" i="8"/>
  <c r="L22" i="55"/>
  <c r="AA1171" i="33" l="1"/>
  <c r="H38" i="9"/>
  <c r="AH54" i="33"/>
  <c r="AH92" i="33" s="1"/>
  <c r="AH131" i="33" s="1"/>
  <c r="AH169" i="33" s="1"/>
  <c r="AH209" i="33" s="1"/>
  <c r="AH246" i="33" s="1"/>
  <c r="AH286" i="33" s="1"/>
  <c r="AH327" i="33" s="1"/>
  <c r="AH369" i="33" s="1"/>
  <c r="AH408" i="33" s="1"/>
  <c r="AH446" i="33" s="1"/>
  <c r="AH482" i="33" s="1"/>
  <c r="AH519" i="33" s="1"/>
  <c r="AH557" i="33" s="1"/>
  <c r="AH593" i="33" s="1"/>
  <c r="AH631" i="33" s="1"/>
  <c r="AH669" i="33" s="1"/>
  <c r="AH707" i="33" s="1"/>
  <c r="AH745" i="33" s="1"/>
  <c r="AH783" i="33" s="1"/>
  <c r="AH821" i="33" s="1"/>
  <c r="AH859" i="33" s="1"/>
  <c r="AH898" i="33" s="1"/>
  <c r="AH937" i="33" s="1"/>
  <c r="AH975" i="33" s="1"/>
  <c r="AH1013" i="33" s="1"/>
  <c r="AH1051" i="33" s="1"/>
  <c r="AH1089" i="33" s="1"/>
  <c r="AH1127" i="33" s="1"/>
  <c r="AD1171" i="33" l="1"/>
  <c r="I38" i="9"/>
  <c r="L39" i="55"/>
  <c r="L38" i="55"/>
  <c r="L37" i="55"/>
  <c r="L36" i="55"/>
  <c r="L35" i="55"/>
  <c r="L34" i="55"/>
  <c r="L33" i="55"/>
  <c r="L32" i="55"/>
  <c r="L31" i="55"/>
  <c r="L30" i="55"/>
  <c r="L29" i="55"/>
  <c r="L28" i="55"/>
  <c r="L27" i="55"/>
  <c r="L26" i="55"/>
  <c r="L25" i="55"/>
  <c r="L24" i="55"/>
  <c r="L23" i="55"/>
  <c r="L21" i="55"/>
  <c r="L20" i="55"/>
  <c r="L19" i="55"/>
  <c r="L18" i="55"/>
  <c r="L17" i="55"/>
  <c r="L16" i="55"/>
  <c r="L15" i="55"/>
  <c r="L14" i="55"/>
  <c r="L13" i="55"/>
  <c r="L12" i="55"/>
  <c r="L11" i="55"/>
  <c r="L10" i="55"/>
  <c r="L9" i="55"/>
  <c r="L8" i="55"/>
  <c r="Z1172" i="33" l="1"/>
  <c r="L38" i="9"/>
  <c r="L40" i="55"/>
  <c r="J40" i="55"/>
  <c r="AA1172" i="33" l="1"/>
  <c r="H38" i="37"/>
  <c r="B22" i="9"/>
  <c r="AD1172" i="33" l="1"/>
  <c r="I38" i="37"/>
  <c r="AB29" i="17"/>
  <c r="Z1173" i="33" l="1"/>
  <c r="L38" i="37"/>
  <c r="AY1158" i="33"/>
  <c r="AZ1158" i="33"/>
  <c r="AY1120" i="33"/>
  <c r="AY1122" i="33" s="1"/>
  <c r="AZ1120" i="33"/>
  <c r="AZ1122" i="33" s="1"/>
  <c r="AY1082" i="33"/>
  <c r="AY1084" i="33" s="1"/>
  <c r="AZ1082" i="33"/>
  <c r="AZ1084" i="33" s="1"/>
  <c r="AY1044" i="33"/>
  <c r="AY1046" i="33" s="1"/>
  <c r="AZ1044" i="33"/>
  <c r="AZ1046" i="33" s="1"/>
  <c r="AY1006" i="33"/>
  <c r="AY1008" i="33" s="1"/>
  <c r="AZ1006" i="33"/>
  <c r="AZ1008" i="33" s="1"/>
  <c r="AY968" i="33"/>
  <c r="AY970" i="33" s="1"/>
  <c r="AZ968" i="33"/>
  <c r="AZ970" i="33" s="1"/>
  <c r="AY929" i="33"/>
  <c r="AY931" i="33" s="1"/>
  <c r="AZ929" i="33"/>
  <c r="AZ931" i="33" s="1"/>
  <c r="AY890" i="33"/>
  <c r="AY892" i="33" s="1"/>
  <c r="AZ890" i="33"/>
  <c r="AZ892" i="33" s="1"/>
  <c r="AY852" i="33"/>
  <c r="AY854" i="33" s="1"/>
  <c r="AZ852" i="33"/>
  <c r="AZ854" i="33" s="1"/>
  <c r="AY814" i="33"/>
  <c r="AY816" i="33" s="1"/>
  <c r="AZ814" i="33"/>
  <c r="AZ816" i="33" s="1"/>
  <c r="AY776" i="33"/>
  <c r="AY778" i="33" s="1"/>
  <c r="AZ776" i="33"/>
  <c r="AZ778" i="33" s="1"/>
  <c r="AY738" i="33"/>
  <c r="AY740" i="33" s="1"/>
  <c r="AZ738" i="33"/>
  <c r="AZ740" i="33" s="1"/>
  <c r="AY700" i="33"/>
  <c r="AY702" i="33" s="1"/>
  <c r="AZ700" i="33"/>
  <c r="AZ702" i="33" s="1"/>
  <c r="AY662" i="33"/>
  <c r="AY664" i="33" s="1"/>
  <c r="AZ662" i="33"/>
  <c r="AZ664" i="33" s="1"/>
  <c r="AY624" i="33"/>
  <c r="AY626" i="33" s="1"/>
  <c r="AZ624" i="33"/>
  <c r="AZ626" i="33" s="1"/>
  <c r="AY588" i="33"/>
  <c r="AZ588" i="33"/>
  <c r="AY550" i="33"/>
  <c r="AY552" i="33" s="1"/>
  <c r="AZ550" i="33"/>
  <c r="AZ552" i="33" s="1"/>
  <c r="AY513" i="33"/>
  <c r="AZ513" i="33"/>
  <c r="AY477" i="33"/>
  <c r="AZ477" i="33"/>
  <c r="AY439" i="33"/>
  <c r="AY441" i="33" s="1"/>
  <c r="AZ439" i="33"/>
  <c r="AZ441" i="33" s="1"/>
  <c r="AY400" i="33"/>
  <c r="AY402" i="33" s="1"/>
  <c r="AZ400" i="33"/>
  <c r="AZ402" i="33" s="1"/>
  <c r="AY358" i="33"/>
  <c r="AY360" i="33" s="1"/>
  <c r="AZ358" i="33"/>
  <c r="AZ360" i="33" s="1"/>
  <c r="AY317" i="33"/>
  <c r="AY319" i="33" s="1"/>
  <c r="AZ317" i="33"/>
  <c r="AZ319" i="33" s="1"/>
  <c r="AY277" i="33"/>
  <c r="AZ277" i="33"/>
  <c r="AY240" i="33"/>
  <c r="AZ240" i="33"/>
  <c r="AY200" i="33"/>
  <c r="AY202" i="33" s="1"/>
  <c r="AZ200" i="33"/>
  <c r="AZ202" i="33" s="1"/>
  <c r="AY162" i="33"/>
  <c r="AY164" i="33" s="1"/>
  <c r="AZ162" i="33"/>
  <c r="AZ164" i="33" s="1"/>
  <c r="AY123" i="33"/>
  <c r="AY125" i="33" s="1"/>
  <c r="AZ123" i="33"/>
  <c r="AZ125" i="33" s="1"/>
  <c r="AY85" i="33"/>
  <c r="AY87" i="33" s="1"/>
  <c r="AZ85" i="33"/>
  <c r="AZ87" i="33" s="1"/>
  <c r="AY39" i="33"/>
  <c r="AY41" i="33" s="1"/>
  <c r="AZ39" i="33"/>
  <c r="AZ41" i="33" s="1"/>
  <c r="AA1173" i="33" l="1"/>
  <c r="H38" i="11"/>
  <c r="AX39" i="33"/>
  <c r="AX41" i="33" s="1"/>
  <c r="AW39" i="33"/>
  <c r="AW41" i="33" s="1"/>
  <c r="AV39" i="33"/>
  <c r="AV41" i="33" s="1"/>
  <c r="AU39" i="33"/>
  <c r="AU41" i="33" s="1"/>
  <c r="AT39" i="33"/>
  <c r="AT41" i="33" s="1"/>
  <c r="AS39" i="33"/>
  <c r="AS41" i="33" s="1"/>
  <c r="AR39" i="33"/>
  <c r="AR41" i="33" s="1"/>
  <c r="AQ39" i="33"/>
  <c r="AQ41" i="33" s="1"/>
  <c r="AP39" i="33"/>
  <c r="AP41" i="33" s="1"/>
  <c r="AO39" i="33"/>
  <c r="AO41" i="33" s="1"/>
  <c r="AN39" i="33"/>
  <c r="AN41" i="33" s="1"/>
  <c r="AM39" i="33"/>
  <c r="AM41" i="33" s="1"/>
  <c r="AL39" i="33"/>
  <c r="AL41" i="33" s="1"/>
  <c r="AK39" i="33"/>
  <c r="AK41" i="33" s="1"/>
  <c r="AJ39" i="33"/>
  <c r="AJ41" i="33" s="1"/>
  <c r="AI39" i="33"/>
  <c r="AI41" i="33" s="1"/>
  <c r="AH9" i="33"/>
  <c r="AH10" i="33" s="1"/>
  <c r="AH11" i="33" s="1"/>
  <c r="AH12" i="33" s="1"/>
  <c r="AH13" i="33" s="1"/>
  <c r="AH14" i="33" s="1"/>
  <c r="AH15" i="33" s="1"/>
  <c r="AH16" i="33" s="1"/>
  <c r="AH17" i="33" s="1"/>
  <c r="AH18" i="33" s="1"/>
  <c r="AH19" i="33" s="1"/>
  <c r="AH20" i="33" s="1"/>
  <c r="AH21" i="33" s="1"/>
  <c r="AH22" i="33" s="1"/>
  <c r="AH23" i="33" s="1"/>
  <c r="AH24" i="33" s="1"/>
  <c r="AH25" i="33" s="1"/>
  <c r="AH26" i="33" s="1"/>
  <c r="AH27" i="33" s="1"/>
  <c r="AH28" i="33" s="1"/>
  <c r="AH29" i="33" s="1"/>
  <c r="AH30" i="33" s="1"/>
  <c r="AH31" i="33" s="1"/>
  <c r="AH32" i="33" s="1"/>
  <c r="AH33" i="33" s="1"/>
  <c r="AH34" i="33" s="1"/>
  <c r="AH35" i="33" s="1"/>
  <c r="AH36" i="33" s="1"/>
  <c r="AH37" i="33" s="1"/>
  <c r="AH38" i="33" s="1"/>
  <c r="AI5" i="33"/>
  <c r="AI1124" i="33"/>
  <c r="AI1086" i="33"/>
  <c r="AI1048" i="33"/>
  <c r="AI1010" i="33"/>
  <c r="AI972" i="33"/>
  <c r="AI934" i="33"/>
  <c r="AI895" i="33"/>
  <c r="AI856" i="33"/>
  <c r="AI818" i="33"/>
  <c r="AI780" i="33"/>
  <c r="AI742" i="33"/>
  <c r="AI704" i="33"/>
  <c r="AI666" i="33"/>
  <c r="AI628" i="33"/>
  <c r="AI590" i="33"/>
  <c r="AI554" i="33"/>
  <c r="AI516" i="33"/>
  <c r="AI479" i="33"/>
  <c r="AI443" i="33"/>
  <c r="AI405" i="33"/>
  <c r="AI366" i="33"/>
  <c r="AI324" i="33"/>
  <c r="AI283" i="33"/>
  <c r="AI243" i="33"/>
  <c r="AI206" i="33"/>
  <c r="AI166" i="33"/>
  <c r="AI128" i="33"/>
  <c r="AI89" i="33"/>
  <c r="AI51" i="33"/>
  <c r="AX1158" i="33"/>
  <c r="AW1158" i="33"/>
  <c r="AV1158" i="33"/>
  <c r="AU1158" i="33"/>
  <c r="AT1158" i="33"/>
  <c r="AS1158" i="33"/>
  <c r="AR1158" i="33"/>
  <c r="AQ1158" i="33"/>
  <c r="AP1158" i="33"/>
  <c r="AO1158" i="33"/>
  <c r="AN1158" i="33"/>
  <c r="AM1158" i="33"/>
  <c r="AL1158" i="33"/>
  <c r="AK1158" i="33"/>
  <c r="AJ1158" i="33"/>
  <c r="AI1158" i="33"/>
  <c r="AH1128" i="33"/>
  <c r="AH1129" i="33" s="1"/>
  <c r="AH1130" i="33" s="1"/>
  <c r="AH1131" i="33" s="1"/>
  <c r="AH1132" i="33" s="1"/>
  <c r="AH1133" i="33" s="1"/>
  <c r="AH1134" i="33" s="1"/>
  <c r="AH1135" i="33" s="1"/>
  <c r="AH1136" i="33" s="1"/>
  <c r="AH1137" i="33" s="1"/>
  <c r="AH1138" i="33" s="1"/>
  <c r="AH1139" i="33" s="1"/>
  <c r="AH1140" i="33" s="1"/>
  <c r="AH1141" i="33" s="1"/>
  <c r="AH1142" i="33" s="1"/>
  <c r="AH1143" i="33" s="1"/>
  <c r="AH1144" i="33" s="1"/>
  <c r="AH1145" i="33" s="1"/>
  <c r="AH1146" i="33" s="1"/>
  <c r="AH1147" i="33" s="1"/>
  <c r="AH1148" i="33" s="1"/>
  <c r="AH1149" i="33" s="1"/>
  <c r="AH1150" i="33" s="1"/>
  <c r="AH1151" i="33" s="1"/>
  <c r="AH1152" i="33" s="1"/>
  <c r="AH1153" i="33" s="1"/>
  <c r="AH1154" i="33" s="1"/>
  <c r="AH1155" i="33" s="1"/>
  <c r="AH1156" i="33" s="1"/>
  <c r="AH1157" i="33" s="1"/>
  <c r="AX1120" i="33"/>
  <c r="AX1122" i="33" s="1"/>
  <c r="AW1120" i="33"/>
  <c r="AW1122" i="33" s="1"/>
  <c r="AV1120" i="33"/>
  <c r="AV1122" i="33" s="1"/>
  <c r="AU1120" i="33"/>
  <c r="AU1122" i="33" s="1"/>
  <c r="AT1120" i="33"/>
  <c r="AT1122" i="33" s="1"/>
  <c r="AS1120" i="33"/>
  <c r="AS1122" i="33" s="1"/>
  <c r="AR1120" i="33"/>
  <c r="AR1122" i="33" s="1"/>
  <c r="AQ1120" i="33"/>
  <c r="AQ1122" i="33" s="1"/>
  <c r="AP1120" i="33"/>
  <c r="AP1122" i="33" s="1"/>
  <c r="AO1120" i="33"/>
  <c r="AO1122" i="33" s="1"/>
  <c r="AN1120" i="33"/>
  <c r="AN1122" i="33" s="1"/>
  <c r="AM1120" i="33"/>
  <c r="AM1122" i="33" s="1"/>
  <c r="AL1120" i="33"/>
  <c r="AL1122" i="33" s="1"/>
  <c r="AK1120" i="33"/>
  <c r="AK1122" i="33" s="1"/>
  <c r="AJ1120" i="33"/>
  <c r="AJ1122" i="33" s="1"/>
  <c r="AI1120" i="33"/>
  <c r="AI1122" i="33" s="1"/>
  <c r="AH1090" i="33"/>
  <c r="AH1091" i="33" s="1"/>
  <c r="AH1092" i="33" s="1"/>
  <c r="AH1093" i="33" s="1"/>
  <c r="AH1094" i="33" s="1"/>
  <c r="AH1095" i="33" s="1"/>
  <c r="AH1096" i="33" s="1"/>
  <c r="AH1097" i="33" s="1"/>
  <c r="AH1098" i="33" s="1"/>
  <c r="AH1099" i="33" s="1"/>
  <c r="AH1100" i="33" s="1"/>
  <c r="AH1101" i="33" s="1"/>
  <c r="AH1102" i="33" s="1"/>
  <c r="AH1103" i="33" s="1"/>
  <c r="AH1104" i="33" s="1"/>
  <c r="AH1105" i="33" s="1"/>
  <c r="AH1106" i="33" s="1"/>
  <c r="AH1107" i="33" s="1"/>
  <c r="AH1108" i="33" s="1"/>
  <c r="AH1109" i="33" s="1"/>
  <c r="AH1110" i="33" s="1"/>
  <c r="AH1111" i="33" s="1"/>
  <c r="AH1112" i="33" s="1"/>
  <c r="AH1113" i="33" s="1"/>
  <c r="AH1114" i="33" s="1"/>
  <c r="AH1115" i="33" s="1"/>
  <c r="AH1116" i="33" s="1"/>
  <c r="AH1117" i="33" s="1"/>
  <c r="AH1118" i="33" s="1"/>
  <c r="AH1119" i="33" s="1"/>
  <c r="AX1082" i="33"/>
  <c r="AX1084" i="33" s="1"/>
  <c r="AW1082" i="33"/>
  <c r="AW1084" i="33" s="1"/>
  <c r="AV1082" i="33"/>
  <c r="AV1084" i="33" s="1"/>
  <c r="AU1082" i="33"/>
  <c r="AU1084" i="33" s="1"/>
  <c r="AT1082" i="33"/>
  <c r="AT1084" i="33" s="1"/>
  <c r="AS1082" i="33"/>
  <c r="AS1084" i="33" s="1"/>
  <c r="AR1082" i="33"/>
  <c r="AR1084" i="33" s="1"/>
  <c r="AQ1082" i="33"/>
  <c r="AQ1084" i="33" s="1"/>
  <c r="AP1082" i="33"/>
  <c r="AP1084" i="33" s="1"/>
  <c r="AO1082" i="33"/>
  <c r="AO1084" i="33" s="1"/>
  <c r="AN1082" i="33"/>
  <c r="AN1084" i="33" s="1"/>
  <c r="AM1082" i="33"/>
  <c r="AM1084" i="33" s="1"/>
  <c r="AL1082" i="33"/>
  <c r="AL1084" i="33" s="1"/>
  <c r="AK1082" i="33"/>
  <c r="AK1084" i="33" s="1"/>
  <c r="AJ1082" i="33"/>
  <c r="AJ1084" i="33" s="1"/>
  <c r="AI1082" i="33"/>
  <c r="AI1084" i="33" s="1"/>
  <c r="AH1052" i="33"/>
  <c r="AH1053" i="33" s="1"/>
  <c r="AH1054" i="33" s="1"/>
  <c r="AH1055" i="33" s="1"/>
  <c r="AH1056" i="33" s="1"/>
  <c r="AH1057" i="33" s="1"/>
  <c r="AH1058" i="33" s="1"/>
  <c r="AH1059" i="33" s="1"/>
  <c r="AH1060" i="33" s="1"/>
  <c r="AH1061" i="33" s="1"/>
  <c r="AH1062" i="33" s="1"/>
  <c r="AH1063" i="33" s="1"/>
  <c r="AH1064" i="33" s="1"/>
  <c r="AH1065" i="33" s="1"/>
  <c r="AH1066" i="33" s="1"/>
  <c r="AH1067" i="33" s="1"/>
  <c r="AH1068" i="33" s="1"/>
  <c r="AH1069" i="33" s="1"/>
  <c r="AH1070" i="33" s="1"/>
  <c r="AH1071" i="33" s="1"/>
  <c r="AH1072" i="33" s="1"/>
  <c r="AH1073" i="33" s="1"/>
  <c r="AH1074" i="33" s="1"/>
  <c r="AH1075" i="33" s="1"/>
  <c r="AH1076" i="33" s="1"/>
  <c r="AH1077" i="33" s="1"/>
  <c r="AH1078" i="33" s="1"/>
  <c r="AH1079" i="33" s="1"/>
  <c r="AH1080" i="33" s="1"/>
  <c r="AH1081" i="33" s="1"/>
  <c r="AX1044" i="33"/>
  <c r="AX1046" i="33" s="1"/>
  <c r="AW1044" i="33"/>
  <c r="AW1046" i="33" s="1"/>
  <c r="AV1044" i="33"/>
  <c r="AV1046" i="33" s="1"/>
  <c r="AU1044" i="33"/>
  <c r="AU1046" i="33" s="1"/>
  <c r="AT1044" i="33"/>
  <c r="AT1046" i="33" s="1"/>
  <c r="AS1044" i="33"/>
  <c r="AS1046" i="33" s="1"/>
  <c r="AR1044" i="33"/>
  <c r="AR1046" i="33" s="1"/>
  <c r="AQ1044" i="33"/>
  <c r="AQ1046" i="33" s="1"/>
  <c r="AP1044" i="33"/>
  <c r="AP1046" i="33" s="1"/>
  <c r="AO1044" i="33"/>
  <c r="AO1046" i="33" s="1"/>
  <c r="AN1044" i="33"/>
  <c r="AN1046" i="33" s="1"/>
  <c r="AM1044" i="33"/>
  <c r="AM1046" i="33" s="1"/>
  <c r="AL1044" i="33"/>
  <c r="AL1046" i="33" s="1"/>
  <c r="AK1044" i="33"/>
  <c r="AK1046" i="33" s="1"/>
  <c r="AJ1044" i="33"/>
  <c r="AJ1046" i="33" s="1"/>
  <c r="AI1044" i="33"/>
  <c r="AI1046" i="33" s="1"/>
  <c r="AH1014" i="33"/>
  <c r="AH1015" i="33" s="1"/>
  <c r="AH1016" i="33" s="1"/>
  <c r="AH1017" i="33" s="1"/>
  <c r="AH1018" i="33" s="1"/>
  <c r="AH1019" i="33" s="1"/>
  <c r="AH1020" i="33" s="1"/>
  <c r="AH1021" i="33" s="1"/>
  <c r="AH1022" i="33" s="1"/>
  <c r="AH1023" i="33" s="1"/>
  <c r="AH1024" i="33" s="1"/>
  <c r="AH1025" i="33" s="1"/>
  <c r="AH1026" i="33" s="1"/>
  <c r="AH1027" i="33" s="1"/>
  <c r="AH1028" i="33" s="1"/>
  <c r="AH1029" i="33" s="1"/>
  <c r="AH1030" i="33" s="1"/>
  <c r="AH1031" i="33" s="1"/>
  <c r="AH1032" i="33" s="1"/>
  <c r="AH1033" i="33" s="1"/>
  <c r="AH1034" i="33" s="1"/>
  <c r="AH1035" i="33" s="1"/>
  <c r="AH1036" i="33" s="1"/>
  <c r="AH1037" i="33" s="1"/>
  <c r="AH1038" i="33" s="1"/>
  <c r="AH1039" i="33" s="1"/>
  <c r="AH1040" i="33" s="1"/>
  <c r="AH1041" i="33" s="1"/>
  <c r="AH1042" i="33" s="1"/>
  <c r="AH1043" i="33" s="1"/>
  <c r="AX1006" i="33"/>
  <c r="AX1008" i="33" s="1"/>
  <c r="AW1006" i="33"/>
  <c r="AW1008" i="33" s="1"/>
  <c r="AV1006" i="33"/>
  <c r="AV1008" i="33" s="1"/>
  <c r="AU1006" i="33"/>
  <c r="AU1008" i="33" s="1"/>
  <c r="AT1006" i="33"/>
  <c r="AT1008" i="33" s="1"/>
  <c r="AS1006" i="33"/>
  <c r="AS1008" i="33" s="1"/>
  <c r="AR1006" i="33"/>
  <c r="AR1008" i="33" s="1"/>
  <c r="AQ1006" i="33"/>
  <c r="AQ1008" i="33" s="1"/>
  <c r="AP1006" i="33"/>
  <c r="AP1008" i="33" s="1"/>
  <c r="AO1006" i="33"/>
  <c r="AO1008" i="33" s="1"/>
  <c r="AN1006" i="33"/>
  <c r="AN1008" i="33" s="1"/>
  <c r="AM1006" i="33"/>
  <c r="AM1008" i="33" s="1"/>
  <c r="AL1006" i="33"/>
  <c r="AL1008" i="33" s="1"/>
  <c r="AK1006" i="33"/>
  <c r="AK1008" i="33" s="1"/>
  <c r="AJ1006" i="33"/>
  <c r="AJ1008" i="33" s="1"/>
  <c r="AI1006" i="33"/>
  <c r="AI1008" i="33" s="1"/>
  <c r="AH976" i="33"/>
  <c r="AH977" i="33" s="1"/>
  <c r="AH978" i="33" s="1"/>
  <c r="AH979" i="33" s="1"/>
  <c r="AH980" i="33" s="1"/>
  <c r="AH981" i="33" s="1"/>
  <c r="AH982" i="33" s="1"/>
  <c r="AH983" i="33" s="1"/>
  <c r="AH984" i="33" s="1"/>
  <c r="AH985" i="33" s="1"/>
  <c r="AH986" i="33" s="1"/>
  <c r="AH987" i="33" s="1"/>
  <c r="AH988" i="33" s="1"/>
  <c r="AH989" i="33" s="1"/>
  <c r="AH990" i="33" s="1"/>
  <c r="AH991" i="33" s="1"/>
  <c r="AH992" i="33" s="1"/>
  <c r="AH993" i="33" s="1"/>
  <c r="AH994" i="33" s="1"/>
  <c r="AH995" i="33" s="1"/>
  <c r="AH996" i="33" s="1"/>
  <c r="AH997" i="33" s="1"/>
  <c r="AH998" i="33" s="1"/>
  <c r="AH999" i="33" s="1"/>
  <c r="AH1000" i="33" s="1"/>
  <c r="AH1001" i="33" s="1"/>
  <c r="AH1002" i="33" s="1"/>
  <c r="AH1003" i="33" s="1"/>
  <c r="AH1004" i="33" s="1"/>
  <c r="AH1005" i="33" s="1"/>
  <c r="AX968" i="33"/>
  <c r="AX970" i="33" s="1"/>
  <c r="AW968" i="33"/>
  <c r="AW970" i="33" s="1"/>
  <c r="AV968" i="33"/>
  <c r="AV970" i="33" s="1"/>
  <c r="AU968" i="33"/>
  <c r="AU970" i="33" s="1"/>
  <c r="AT968" i="33"/>
  <c r="AT970" i="33" s="1"/>
  <c r="AS968" i="33"/>
  <c r="AS970" i="33" s="1"/>
  <c r="AR968" i="33"/>
  <c r="AR970" i="33" s="1"/>
  <c r="AQ968" i="33"/>
  <c r="AQ970" i="33" s="1"/>
  <c r="AP968" i="33"/>
  <c r="AP970" i="33" s="1"/>
  <c r="AO968" i="33"/>
  <c r="AO970" i="33" s="1"/>
  <c r="AN968" i="33"/>
  <c r="AN970" i="33" s="1"/>
  <c r="AM968" i="33"/>
  <c r="AM970" i="33" s="1"/>
  <c r="AL968" i="33"/>
  <c r="AL970" i="33" s="1"/>
  <c r="AK968" i="33"/>
  <c r="AK970" i="33" s="1"/>
  <c r="AJ968" i="33"/>
  <c r="AJ970" i="33" s="1"/>
  <c r="AI968" i="33"/>
  <c r="AI970" i="33" s="1"/>
  <c r="AH938" i="33"/>
  <c r="AH939" i="33" s="1"/>
  <c r="AH940" i="33" s="1"/>
  <c r="AH941" i="33" s="1"/>
  <c r="AH942" i="33" s="1"/>
  <c r="AH943" i="33" s="1"/>
  <c r="AH944" i="33" s="1"/>
  <c r="AH945" i="33" s="1"/>
  <c r="AH946" i="33" s="1"/>
  <c r="AH947" i="33" s="1"/>
  <c r="AH948" i="33" s="1"/>
  <c r="AH949" i="33" s="1"/>
  <c r="AH950" i="33" s="1"/>
  <c r="AH951" i="33" s="1"/>
  <c r="AH952" i="33" s="1"/>
  <c r="AH953" i="33" s="1"/>
  <c r="AH954" i="33" s="1"/>
  <c r="AH955" i="33" s="1"/>
  <c r="AH956" i="33" s="1"/>
  <c r="AH957" i="33" s="1"/>
  <c r="AH958" i="33" s="1"/>
  <c r="AH959" i="33" s="1"/>
  <c r="AH960" i="33" s="1"/>
  <c r="AH961" i="33" s="1"/>
  <c r="AH962" i="33" s="1"/>
  <c r="AH963" i="33" s="1"/>
  <c r="AH964" i="33" s="1"/>
  <c r="AH965" i="33" s="1"/>
  <c r="AH966" i="33" s="1"/>
  <c r="AH967" i="33" s="1"/>
  <c r="AX929" i="33"/>
  <c r="AX931" i="33" s="1"/>
  <c r="AW929" i="33"/>
  <c r="AW931" i="33" s="1"/>
  <c r="AV929" i="33"/>
  <c r="AV931" i="33" s="1"/>
  <c r="AU929" i="33"/>
  <c r="AU931" i="33" s="1"/>
  <c r="AT929" i="33"/>
  <c r="AT931" i="33" s="1"/>
  <c r="AS929" i="33"/>
  <c r="AS931" i="33" s="1"/>
  <c r="AR929" i="33"/>
  <c r="AR931" i="33" s="1"/>
  <c r="AQ929" i="33"/>
  <c r="AQ931" i="33" s="1"/>
  <c r="AP929" i="33"/>
  <c r="AP931" i="33" s="1"/>
  <c r="AO929" i="33"/>
  <c r="AO931" i="33" s="1"/>
  <c r="AN929" i="33"/>
  <c r="AN931" i="33" s="1"/>
  <c r="AM929" i="33"/>
  <c r="AM931" i="33" s="1"/>
  <c r="AL929" i="33"/>
  <c r="AL931" i="33" s="1"/>
  <c r="AK929" i="33"/>
  <c r="AK931" i="33" s="1"/>
  <c r="AJ929" i="33"/>
  <c r="AJ931" i="33" s="1"/>
  <c r="AI929" i="33"/>
  <c r="AI931" i="33" s="1"/>
  <c r="AH899" i="33"/>
  <c r="AH900" i="33" s="1"/>
  <c r="AH901" i="33" s="1"/>
  <c r="AH902" i="33" s="1"/>
  <c r="AH903" i="33" s="1"/>
  <c r="AH904" i="33" s="1"/>
  <c r="AH905" i="33" s="1"/>
  <c r="AH906" i="33" s="1"/>
  <c r="AH907" i="33" s="1"/>
  <c r="AH908" i="33" s="1"/>
  <c r="AH909" i="33" s="1"/>
  <c r="AH910" i="33" s="1"/>
  <c r="AH911" i="33" s="1"/>
  <c r="AH912" i="33" s="1"/>
  <c r="AH913" i="33" s="1"/>
  <c r="AH914" i="33" s="1"/>
  <c r="AH915" i="33" s="1"/>
  <c r="AH916" i="33" s="1"/>
  <c r="AH917" i="33" s="1"/>
  <c r="AH918" i="33" s="1"/>
  <c r="AH919" i="33" s="1"/>
  <c r="AH920" i="33" s="1"/>
  <c r="AH921" i="33" s="1"/>
  <c r="AH922" i="33" s="1"/>
  <c r="AH923" i="33" s="1"/>
  <c r="AH924" i="33" s="1"/>
  <c r="AH925" i="33" s="1"/>
  <c r="AH926" i="33" s="1"/>
  <c r="AH927" i="33" s="1"/>
  <c r="AH928" i="33" s="1"/>
  <c r="AX890" i="33"/>
  <c r="AX892" i="33" s="1"/>
  <c r="AW890" i="33"/>
  <c r="AW892" i="33" s="1"/>
  <c r="AV890" i="33"/>
  <c r="AV892" i="33" s="1"/>
  <c r="AU890" i="33"/>
  <c r="AU892" i="33" s="1"/>
  <c r="AT890" i="33"/>
  <c r="AT892" i="33" s="1"/>
  <c r="AS890" i="33"/>
  <c r="AS892" i="33" s="1"/>
  <c r="AR890" i="33"/>
  <c r="AR892" i="33" s="1"/>
  <c r="AQ890" i="33"/>
  <c r="AQ892" i="33" s="1"/>
  <c r="AP890" i="33"/>
  <c r="AP892" i="33" s="1"/>
  <c r="AO890" i="33"/>
  <c r="AO892" i="33" s="1"/>
  <c r="AN890" i="33"/>
  <c r="AN892" i="33" s="1"/>
  <c r="AM890" i="33"/>
  <c r="AM892" i="33" s="1"/>
  <c r="AL890" i="33"/>
  <c r="AL892" i="33" s="1"/>
  <c r="AK890" i="33"/>
  <c r="AK892" i="33" s="1"/>
  <c r="AJ890" i="33"/>
  <c r="AJ892" i="33" s="1"/>
  <c r="AI890" i="33"/>
  <c r="AI892" i="33" s="1"/>
  <c r="AH860" i="33"/>
  <c r="AH861" i="33" s="1"/>
  <c r="AH862" i="33" s="1"/>
  <c r="AH863" i="33" s="1"/>
  <c r="AH864" i="33" s="1"/>
  <c r="AH865" i="33" s="1"/>
  <c r="AH866" i="33" s="1"/>
  <c r="AH867" i="33" s="1"/>
  <c r="AH868" i="33" s="1"/>
  <c r="AH869" i="33" s="1"/>
  <c r="AH870" i="33" s="1"/>
  <c r="AH871" i="33" s="1"/>
  <c r="AH872" i="33" s="1"/>
  <c r="AH873" i="33" s="1"/>
  <c r="AH874" i="33" s="1"/>
  <c r="AH875" i="33" s="1"/>
  <c r="AH876" i="33" s="1"/>
  <c r="AH877" i="33" s="1"/>
  <c r="AH878" i="33" s="1"/>
  <c r="AH879" i="33" s="1"/>
  <c r="AH880" i="33" s="1"/>
  <c r="AH881" i="33" s="1"/>
  <c r="AH882" i="33" s="1"/>
  <c r="AH883" i="33" s="1"/>
  <c r="AH884" i="33" s="1"/>
  <c r="AH885" i="33" s="1"/>
  <c r="AH886" i="33" s="1"/>
  <c r="AH887" i="33" s="1"/>
  <c r="AH888" i="33" s="1"/>
  <c r="AH889" i="33" s="1"/>
  <c r="AX852" i="33"/>
  <c r="AX854" i="33" s="1"/>
  <c r="AW852" i="33"/>
  <c r="AW854" i="33" s="1"/>
  <c r="AV852" i="33"/>
  <c r="AV854" i="33" s="1"/>
  <c r="AU852" i="33"/>
  <c r="AU854" i="33" s="1"/>
  <c r="AT852" i="33"/>
  <c r="AT854" i="33" s="1"/>
  <c r="AS852" i="33"/>
  <c r="AS854" i="33" s="1"/>
  <c r="AR852" i="33"/>
  <c r="AR854" i="33" s="1"/>
  <c r="AQ852" i="33"/>
  <c r="AQ854" i="33" s="1"/>
  <c r="AP852" i="33"/>
  <c r="AP854" i="33" s="1"/>
  <c r="AO852" i="33"/>
  <c r="AO854" i="33" s="1"/>
  <c r="AN852" i="33"/>
  <c r="AN854" i="33" s="1"/>
  <c r="AM852" i="33"/>
  <c r="AM854" i="33" s="1"/>
  <c r="AL852" i="33"/>
  <c r="AL854" i="33" s="1"/>
  <c r="AK852" i="33"/>
  <c r="AK854" i="33" s="1"/>
  <c r="AJ852" i="33"/>
  <c r="AJ854" i="33" s="1"/>
  <c r="AI852" i="33"/>
  <c r="AI854" i="33" s="1"/>
  <c r="AH822" i="33"/>
  <c r="AH823" i="33" s="1"/>
  <c r="AH824" i="33" s="1"/>
  <c r="AH825" i="33" s="1"/>
  <c r="AH826" i="33" s="1"/>
  <c r="AH827" i="33" s="1"/>
  <c r="AH828" i="33" s="1"/>
  <c r="AH829" i="33" s="1"/>
  <c r="AH830" i="33" s="1"/>
  <c r="AH831" i="33" s="1"/>
  <c r="AH832" i="33" s="1"/>
  <c r="AH833" i="33" s="1"/>
  <c r="AH834" i="33" s="1"/>
  <c r="AH835" i="33" s="1"/>
  <c r="AH836" i="33" s="1"/>
  <c r="AH837" i="33" s="1"/>
  <c r="AH838" i="33" s="1"/>
  <c r="AH839" i="33" s="1"/>
  <c r="AH840" i="33" s="1"/>
  <c r="AH841" i="33" s="1"/>
  <c r="AH842" i="33" s="1"/>
  <c r="AH843" i="33" s="1"/>
  <c r="AH844" i="33" s="1"/>
  <c r="AH845" i="33" s="1"/>
  <c r="AH846" i="33" s="1"/>
  <c r="AH847" i="33" s="1"/>
  <c r="AH848" i="33" s="1"/>
  <c r="AH849" i="33" s="1"/>
  <c r="AH850" i="33" s="1"/>
  <c r="AH851" i="33" s="1"/>
  <c r="AX814" i="33"/>
  <c r="AX816" i="33" s="1"/>
  <c r="AW814" i="33"/>
  <c r="AW816" i="33" s="1"/>
  <c r="AV814" i="33"/>
  <c r="AV816" i="33" s="1"/>
  <c r="AU814" i="33"/>
  <c r="AU816" i="33" s="1"/>
  <c r="AT814" i="33"/>
  <c r="AT816" i="33" s="1"/>
  <c r="AS814" i="33"/>
  <c r="AS816" i="33" s="1"/>
  <c r="AR814" i="33"/>
  <c r="AR816" i="33" s="1"/>
  <c r="AQ814" i="33"/>
  <c r="AQ816" i="33" s="1"/>
  <c r="AP814" i="33"/>
  <c r="AP816" i="33" s="1"/>
  <c r="AO814" i="33"/>
  <c r="AO816" i="33" s="1"/>
  <c r="AN814" i="33"/>
  <c r="AN816" i="33" s="1"/>
  <c r="AM814" i="33"/>
  <c r="AM816" i="33" s="1"/>
  <c r="AL814" i="33"/>
  <c r="AL816" i="33" s="1"/>
  <c r="AK814" i="33"/>
  <c r="AK816" i="33" s="1"/>
  <c r="AJ814" i="33"/>
  <c r="AJ816" i="33" s="1"/>
  <c r="AI814" i="33"/>
  <c r="AI816" i="33" s="1"/>
  <c r="AH784" i="33"/>
  <c r="AH785" i="33" s="1"/>
  <c r="AH786" i="33" s="1"/>
  <c r="AH787" i="33" s="1"/>
  <c r="AH788" i="33" s="1"/>
  <c r="AH789" i="33" s="1"/>
  <c r="AH790" i="33" s="1"/>
  <c r="AH791" i="33" s="1"/>
  <c r="AH792" i="33" s="1"/>
  <c r="AH793" i="33" s="1"/>
  <c r="AH794" i="33" s="1"/>
  <c r="AH795" i="33" s="1"/>
  <c r="AH796" i="33" s="1"/>
  <c r="AH797" i="33" s="1"/>
  <c r="AH798" i="33" s="1"/>
  <c r="AH799" i="33" s="1"/>
  <c r="AH800" i="33" s="1"/>
  <c r="AH801" i="33" s="1"/>
  <c r="AH802" i="33" s="1"/>
  <c r="AH803" i="33" s="1"/>
  <c r="AH804" i="33" s="1"/>
  <c r="AH805" i="33" s="1"/>
  <c r="AH806" i="33" s="1"/>
  <c r="AH807" i="33" s="1"/>
  <c r="AH808" i="33" s="1"/>
  <c r="AH809" i="33" s="1"/>
  <c r="AH810" i="33" s="1"/>
  <c r="AH811" i="33" s="1"/>
  <c r="AH812" i="33" s="1"/>
  <c r="AH813" i="33" s="1"/>
  <c r="AX776" i="33"/>
  <c r="AX778" i="33" s="1"/>
  <c r="AW776" i="33"/>
  <c r="AW778" i="33" s="1"/>
  <c r="AV776" i="33"/>
  <c r="AV778" i="33" s="1"/>
  <c r="AU776" i="33"/>
  <c r="AU778" i="33" s="1"/>
  <c r="AT776" i="33"/>
  <c r="AT778" i="33" s="1"/>
  <c r="AS776" i="33"/>
  <c r="AS778" i="33" s="1"/>
  <c r="AR776" i="33"/>
  <c r="AR778" i="33" s="1"/>
  <c r="AQ776" i="33"/>
  <c r="AQ778" i="33" s="1"/>
  <c r="AP776" i="33"/>
  <c r="AP778" i="33" s="1"/>
  <c r="AO776" i="33"/>
  <c r="AO778" i="33" s="1"/>
  <c r="AN776" i="33"/>
  <c r="AN778" i="33" s="1"/>
  <c r="AM776" i="33"/>
  <c r="AM778" i="33" s="1"/>
  <c r="AL776" i="33"/>
  <c r="AL778" i="33" s="1"/>
  <c r="AK776" i="33"/>
  <c r="AK778" i="33" s="1"/>
  <c r="AJ776" i="33"/>
  <c r="AJ778" i="33" s="1"/>
  <c r="AI776" i="33"/>
  <c r="AI778" i="33" s="1"/>
  <c r="AH746" i="33"/>
  <c r="AH747" i="33" s="1"/>
  <c r="AH748" i="33" s="1"/>
  <c r="AH749" i="33" s="1"/>
  <c r="AH750" i="33" s="1"/>
  <c r="AH751" i="33" s="1"/>
  <c r="AH752" i="33" s="1"/>
  <c r="AH753" i="33" s="1"/>
  <c r="AH754" i="33" s="1"/>
  <c r="AH755" i="33" s="1"/>
  <c r="AH756" i="33" s="1"/>
  <c r="AH757" i="33" s="1"/>
  <c r="AH758" i="33" s="1"/>
  <c r="AH759" i="33" s="1"/>
  <c r="AH760" i="33" s="1"/>
  <c r="AH761" i="33" s="1"/>
  <c r="AH762" i="33" s="1"/>
  <c r="AH763" i="33" s="1"/>
  <c r="AH764" i="33" s="1"/>
  <c r="AH765" i="33" s="1"/>
  <c r="AH766" i="33" s="1"/>
  <c r="AH767" i="33" s="1"/>
  <c r="AH768" i="33" s="1"/>
  <c r="AH769" i="33" s="1"/>
  <c r="AH770" i="33" s="1"/>
  <c r="AH771" i="33" s="1"/>
  <c r="AH772" i="33" s="1"/>
  <c r="AH773" i="33" s="1"/>
  <c r="AH774" i="33" s="1"/>
  <c r="AH775" i="33" s="1"/>
  <c r="AX738" i="33"/>
  <c r="AX740" i="33" s="1"/>
  <c r="AW738" i="33"/>
  <c r="AW740" i="33" s="1"/>
  <c r="AV738" i="33"/>
  <c r="AV740" i="33" s="1"/>
  <c r="AU738" i="33"/>
  <c r="AU740" i="33" s="1"/>
  <c r="AT738" i="33"/>
  <c r="AT740" i="33" s="1"/>
  <c r="AS738" i="33"/>
  <c r="AS740" i="33" s="1"/>
  <c r="AR738" i="33"/>
  <c r="AR740" i="33" s="1"/>
  <c r="AQ738" i="33"/>
  <c r="AQ740" i="33" s="1"/>
  <c r="AP738" i="33"/>
  <c r="AP740" i="33" s="1"/>
  <c r="AO738" i="33"/>
  <c r="AO740" i="33" s="1"/>
  <c r="AN738" i="33"/>
  <c r="AN740" i="33" s="1"/>
  <c r="AM738" i="33"/>
  <c r="AM740" i="33" s="1"/>
  <c r="AL738" i="33"/>
  <c r="AL740" i="33" s="1"/>
  <c r="AK738" i="33"/>
  <c r="AK740" i="33" s="1"/>
  <c r="AJ738" i="33"/>
  <c r="AJ740" i="33" s="1"/>
  <c r="AI738" i="33"/>
  <c r="AI740" i="33" s="1"/>
  <c r="AH708" i="33"/>
  <c r="AH709" i="33" s="1"/>
  <c r="AH710" i="33" s="1"/>
  <c r="AH711" i="33" s="1"/>
  <c r="AH712" i="33" s="1"/>
  <c r="AH713" i="33" s="1"/>
  <c r="AH714" i="33" s="1"/>
  <c r="AH715" i="33" s="1"/>
  <c r="AH716" i="33" s="1"/>
  <c r="AH717" i="33" s="1"/>
  <c r="AH718" i="33" s="1"/>
  <c r="AH719" i="33" s="1"/>
  <c r="AH720" i="33" s="1"/>
  <c r="AH721" i="33" s="1"/>
  <c r="AH722" i="33" s="1"/>
  <c r="AH723" i="33" s="1"/>
  <c r="AH724" i="33" s="1"/>
  <c r="AH725" i="33" s="1"/>
  <c r="AH726" i="33" s="1"/>
  <c r="AH727" i="33" s="1"/>
  <c r="AH728" i="33" s="1"/>
  <c r="AH729" i="33" s="1"/>
  <c r="AH730" i="33" s="1"/>
  <c r="AH731" i="33" s="1"/>
  <c r="AH732" i="33" s="1"/>
  <c r="AH733" i="33" s="1"/>
  <c r="AH734" i="33" s="1"/>
  <c r="AH735" i="33" s="1"/>
  <c r="AH736" i="33" s="1"/>
  <c r="AH737" i="33" s="1"/>
  <c r="AX700" i="33"/>
  <c r="AX702" i="33" s="1"/>
  <c r="AW700" i="33"/>
  <c r="AW702" i="33" s="1"/>
  <c r="AV700" i="33"/>
  <c r="AV702" i="33" s="1"/>
  <c r="AU700" i="33"/>
  <c r="AU702" i="33" s="1"/>
  <c r="AT700" i="33"/>
  <c r="AT702" i="33" s="1"/>
  <c r="AS700" i="33"/>
  <c r="AS702" i="33" s="1"/>
  <c r="AR700" i="33"/>
  <c r="AR702" i="33" s="1"/>
  <c r="AQ700" i="33"/>
  <c r="AQ702" i="33" s="1"/>
  <c r="AP700" i="33"/>
  <c r="AP702" i="33" s="1"/>
  <c r="AO700" i="33"/>
  <c r="AO702" i="33" s="1"/>
  <c r="AN700" i="33"/>
  <c r="AN702" i="33" s="1"/>
  <c r="AM700" i="33"/>
  <c r="AM702" i="33" s="1"/>
  <c r="AL700" i="33"/>
  <c r="AL702" i="33" s="1"/>
  <c r="AK700" i="33"/>
  <c r="AK702" i="33" s="1"/>
  <c r="AJ700" i="33"/>
  <c r="AJ702" i="33" s="1"/>
  <c r="AI700" i="33"/>
  <c r="AI702" i="33" s="1"/>
  <c r="AH670" i="33"/>
  <c r="AH671" i="33" s="1"/>
  <c r="AH672" i="33" s="1"/>
  <c r="AH673" i="33" s="1"/>
  <c r="AH674" i="33" s="1"/>
  <c r="AH675" i="33" s="1"/>
  <c r="AH676" i="33" s="1"/>
  <c r="AH677" i="33" s="1"/>
  <c r="AH678" i="33" s="1"/>
  <c r="AH679" i="33" s="1"/>
  <c r="AH680" i="33" s="1"/>
  <c r="AH681" i="33" s="1"/>
  <c r="AH682" i="33" s="1"/>
  <c r="AH683" i="33" s="1"/>
  <c r="AH684" i="33" s="1"/>
  <c r="AH685" i="33" s="1"/>
  <c r="AH686" i="33" s="1"/>
  <c r="AH687" i="33" s="1"/>
  <c r="AH688" i="33" s="1"/>
  <c r="AH689" i="33" s="1"/>
  <c r="AH690" i="33" s="1"/>
  <c r="AH691" i="33" s="1"/>
  <c r="AH692" i="33" s="1"/>
  <c r="AH693" i="33" s="1"/>
  <c r="AH694" i="33" s="1"/>
  <c r="AH695" i="33" s="1"/>
  <c r="AH696" i="33" s="1"/>
  <c r="AH697" i="33" s="1"/>
  <c r="AH698" i="33" s="1"/>
  <c r="AH699" i="33" s="1"/>
  <c r="AX662" i="33"/>
  <c r="AX664" i="33" s="1"/>
  <c r="AW662" i="33"/>
  <c r="AW664" i="33" s="1"/>
  <c r="AV662" i="33"/>
  <c r="AV664" i="33" s="1"/>
  <c r="AU662" i="33"/>
  <c r="AU664" i="33" s="1"/>
  <c r="AT662" i="33"/>
  <c r="AT664" i="33" s="1"/>
  <c r="AS662" i="33"/>
  <c r="AS664" i="33" s="1"/>
  <c r="AR662" i="33"/>
  <c r="AR664" i="33" s="1"/>
  <c r="AQ662" i="33"/>
  <c r="AQ664" i="33" s="1"/>
  <c r="AP662" i="33"/>
  <c r="AP664" i="33" s="1"/>
  <c r="AO662" i="33"/>
  <c r="AO664" i="33" s="1"/>
  <c r="AN662" i="33"/>
  <c r="AN664" i="33" s="1"/>
  <c r="AM662" i="33"/>
  <c r="AM664" i="33" s="1"/>
  <c r="AL662" i="33"/>
  <c r="AL664" i="33" s="1"/>
  <c r="AK662" i="33"/>
  <c r="AK664" i="33" s="1"/>
  <c r="AJ662" i="33"/>
  <c r="AJ664" i="33" s="1"/>
  <c r="AI662" i="33"/>
  <c r="AI664" i="33" s="1"/>
  <c r="AH632" i="33"/>
  <c r="AH633" i="33" s="1"/>
  <c r="AH634" i="33" s="1"/>
  <c r="AH635" i="33" s="1"/>
  <c r="AH636" i="33" s="1"/>
  <c r="AH637" i="33" s="1"/>
  <c r="AH638" i="33" s="1"/>
  <c r="AH639" i="33" s="1"/>
  <c r="AH640" i="33" s="1"/>
  <c r="AH641" i="33" s="1"/>
  <c r="AH642" i="33" s="1"/>
  <c r="AH643" i="33" s="1"/>
  <c r="AH644" i="33" s="1"/>
  <c r="AH645" i="33" s="1"/>
  <c r="AH646" i="33" s="1"/>
  <c r="AH647" i="33" s="1"/>
  <c r="AH648" i="33" s="1"/>
  <c r="AH649" i="33" s="1"/>
  <c r="AH650" i="33" s="1"/>
  <c r="AH651" i="33" s="1"/>
  <c r="AH652" i="33" s="1"/>
  <c r="AH653" i="33" s="1"/>
  <c r="AH654" i="33" s="1"/>
  <c r="AH655" i="33" s="1"/>
  <c r="AH656" i="33" s="1"/>
  <c r="AH657" i="33" s="1"/>
  <c r="AH658" i="33" s="1"/>
  <c r="AH659" i="33" s="1"/>
  <c r="AH660" i="33" s="1"/>
  <c r="AH661" i="33" s="1"/>
  <c r="AX624" i="33"/>
  <c r="AX626" i="33" s="1"/>
  <c r="AW624" i="33"/>
  <c r="AW626" i="33" s="1"/>
  <c r="AV624" i="33"/>
  <c r="AV626" i="33" s="1"/>
  <c r="AU624" i="33"/>
  <c r="AU626" i="33" s="1"/>
  <c r="AT624" i="33"/>
  <c r="AT626" i="33" s="1"/>
  <c r="AS624" i="33"/>
  <c r="AS626" i="33" s="1"/>
  <c r="AR624" i="33"/>
  <c r="AR626" i="33" s="1"/>
  <c r="AQ624" i="33"/>
  <c r="AQ626" i="33" s="1"/>
  <c r="AP624" i="33"/>
  <c r="AP626" i="33" s="1"/>
  <c r="AO624" i="33"/>
  <c r="AO626" i="33" s="1"/>
  <c r="AN624" i="33"/>
  <c r="AN626" i="33" s="1"/>
  <c r="AM624" i="33"/>
  <c r="AM626" i="33" s="1"/>
  <c r="AL624" i="33"/>
  <c r="AL626" i="33" s="1"/>
  <c r="AK624" i="33"/>
  <c r="AK626" i="33" s="1"/>
  <c r="AJ624" i="33"/>
  <c r="AJ626" i="33" s="1"/>
  <c r="AI624" i="33"/>
  <c r="AI626" i="33" s="1"/>
  <c r="AH594" i="33"/>
  <c r="AH595" i="33" s="1"/>
  <c r="AH596" i="33" s="1"/>
  <c r="AH597" i="33" s="1"/>
  <c r="AH598" i="33" s="1"/>
  <c r="AH599" i="33" s="1"/>
  <c r="AH600" i="33" s="1"/>
  <c r="AH601" i="33" s="1"/>
  <c r="AH602" i="33" s="1"/>
  <c r="AH603" i="33" s="1"/>
  <c r="AH604" i="33" s="1"/>
  <c r="AH605" i="33" s="1"/>
  <c r="AH606" i="33" s="1"/>
  <c r="AH607" i="33" s="1"/>
  <c r="AH608" i="33" s="1"/>
  <c r="AH609" i="33" s="1"/>
  <c r="AH610" i="33" s="1"/>
  <c r="AH611" i="33" s="1"/>
  <c r="AH612" i="33" s="1"/>
  <c r="AH613" i="33" s="1"/>
  <c r="AH614" i="33" s="1"/>
  <c r="AH615" i="33" s="1"/>
  <c r="AH616" i="33" s="1"/>
  <c r="AH617" i="33" s="1"/>
  <c r="AH618" i="33" s="1"/>
  <c r="AH619" i="33" s="1"/>
  <c r="AH620" i="33" s="1"/>
  <c r="AH621" i="33" s="1"/>
  <c r="AH622" i="33" s="1"/>
  <c r="AH623" i="33" s="1"/>
  <c r="AX588" i="33"/>
  <c r="AW588" i="33"/>
  <c r="AV588" i="33"/>
  <c r="AU588" i="33"/>
  <c r="AT588" i="33"/>
  <c r="AS588" i="33"/>
  <c r="AR588" i="33"/>
  <c r="AQ588" i="33"/>
  <c r="AP588" i="33"/>
  <c r="AO588" i="33"/>
  <c r="AN588" i="33"/>
  <c r="AM588" i="33"/>
  <c r="AL588" i="33"/>
  <c r="AK588" i="33"/>
  <c r="AJ588" i="33"/>
  <c r="AI588" i="33"/>
  <c r="AH558" i="33"/>
  <c r="AH559" i="33" s="1"/>
  <c r="AH560" i="33" s="1"/>
  <c r="AH561" i="33" s="1"/>
  <c r="AH562" i="33" s="1"/>
  <c r="AH563" i="33" s="1"/>
  <c r="AH564" i="33" s="1"/>
  <c r="AH565" i="33" s="1"/>
  <c r="AH566" i="33" s="1"/>
  <c r="AH567" i="33" s="1"/>
  <c r="AH568" i="33" s="1"/>
  <c r="AH569" i="33" s="1"/>
  <c r="AH570" i="33" s="1"/>
  <c r="AH571" i="33" s="1"/>
  <c r="AH572" i="33" s="1"/>
  <c r="AH573" i="33" s="1"/>
  <c r="AH574" i="33" s="1"/>
  <c r="AH575" i="33" s="1"/>
  <c r="AH576" i="33" s="1"/>
  <c r="AH577" i="33" s="1"/>
  <c r="AH578" i="33" s="1"/>
  <c r="AH579" i="33" s="1"/>
  <c r="AH580" i="33" s="1"/>
  <c r="AH581" i="33" s="1"/>
  <c r="AH582" i="33" s="1"/>
  <c r="AH583" i="33" s="1"/>
  <c r="AH584" i="33" s="1"/>
  <c r="AH585" i="33" s="1"/>
  <c r="AH586" i="33" s="1"/>
  <c r="AH587" i="33" s="1"/>
  <c r="AX550" i="33"/>
  <c r="AX552" i="33" s="1"/>
  <c r="AW550" i="33"/>
  <c r="AW552" i="33" s="1"/>
  <c r="AV550" i="33"/>
  <c r="AV552" i="33" s="1"/>
  <c r="AU550" i="33"/>
  <c r="AU552" i="33" s="1"/>
  <c r="AT550" i="33"/>
  <c r="AT552" i="33" s="1"/>
  <c r="AS550" i="33"/>
  <c r="AS552" i="33" s="1"/>
  <c r="AR550" i="33"/>
  <c r="AR552" i="33" s="1"/>
  <c r="AQ550" i="33"/>
  <c r="AQ552" i="33" s="1"/>
  <c r="AP550" i="33"/>
  <c r="AP552" i="33" s="1"/>
  <c r="AO550" i="33"/>
  <c r="AO552" i="33" s="1"/>
  <c r="AN550" i="33"/>
  <c r="AN552" i="33" s="1"/>
  <c r="AM550" i="33"/>
  <c r="AM552" i="33" s="1"/>
  <c r="AL550" i="33"/>
  <c r="AL552" i="33" s="1"/>
  <c r="AK550" i="33"/>
  <c r="AK552" i="33" s="1"/>
  <c r="AJ550" i="33"/>
  <c r="AJ552" i="33" s="1"/>
  <c r="AI550" i="33"/>
  <c r="AI552" i="33" s="1"/>
  <c r="AH520" i="33"/>
  <c r="AH521" i="33" s="1"/>
  <c r="AH522" i="33" s="1"/>
  <c r="AH523" i="33" s="1"/>
  <c r="AH524" i="33" s="1"/>
  <c r="AH525" i="33" s="1"/>
  <c r="AH526" i="33" s="1"/>
  <c r="AH527" i="33" s="1"/>
  <c r="AH528" i="33" s="1"/>
  <c r="AH529" i="33" s="1"/>
  <c r="AH530" i="33" s="1"/>
  <c r="AH531" i="33" s="1"/>
  <c r="AH532" i="33" s="1"/>
  <c r="AH533" i="33" s="1"/>
  <c r="AH534" i="33" s="1"/>
  <c r="AH535" i="33" s="1"/>
  <c r="AH536" i="33" s="1"/>
  <c r="AH537" i="33" s="1"/>
  <c r="AH538" i="33" s="1"/>
  <c r="AH539" i="33" s="1"/>
  <c r="AH540" i="33" s="1"/>
  <c r="AH541" i="33" s="1"/>
  <c r="AH542" i="33" s="1"/>
  <c r="AH543" i="33" s="1"/>
  <c r="AH544" i="33" s="1"/>
  <c r="AH545" i="33" s="1"/>
  <c r="AH546" i="33" s="1"/>
  <c r="AH547" i="33" s="1"/>
  <c r="AH548" i="33" s="1"/>
  <c r="AH549" i="33" s="1"/>
  <c r="AX513" i="33"/>
  <c r="AW513" i="33"/>
  <c r="AV513" i="33"/>
  <c r="AU513" i="33"/>
  <c r="AT513" i="33"/>
  <c r="AS513" i="33"/>
  <c r="AR513" i="33"/>
  <c r="AQ513" i="33"/>
  <c r="AP513" i="33"/>
  <c r="AO513" i="33"/>
  <c r="AN513" i="33"/>
  <c r="AM513" i="33"/>
  <c r="AL513" i="33"/>
  <c r="AK513" i="33"/>
  <c r="AJ513" i="33"/>
  <c r="AI513" i="33"/>
  <c r="AH483" i="33"/>
  <c r="AH484" i="33" s="1"/>
  <c r="AH485" i="33" s="1"/>
  <c r="AH486" i="33" s="1"/>
  <c r="AH487" i="33" s="1"/>
  <c r="AH488" i="33" s="1"/>
  <c r="AH489" i="33" s="1"/>
  <c r="AH490" i="33" s="1"/>
  <c r="AH491" i="33" s="1"/>
  <c r="AH492" i="33" s="1"/>
  <c r="AH493" i="33" s="1"/>
  <c r="AH494" i="33" s="1"/>
  <c r="AH495" i="33" s="1"/>
  <c r="AH496" i="33" s="1"/>
  <c r="AH497" i="33" s="1"/>
  <c r="AH498" i="33" s="1"/>
  <c r="AH499" i="33" s="1"/>
  <c r="AH500" i="33" s="1"/>
  <c r="AH501" i="33" s="1"/>
  <c r="AH502" i="33" s="1"/>
  <c r="AH503" i="33" s="1"/>
  <c r="AH504" i="33" s="1"/>
  <c r="AH505" i="33" s="1"/>
  <c r="AH506" i="33" s="1"/>
  <c r="AH507" i="33" s="1"/>
  <c r="AH508" i="33" s="1"/>
  <c r="AH509" i="33" s="1"/>
  <c r="AH510" i="33" s="1"/>
  <c r="AH511" i="33" s="1"/>
  <c r="AH512" i="33" s="1"/>
  <c r="AX477" i="33"/>
  <c r="AW477" i="33"/>
  <c r="AV477" i="33"/>
  <c r="AU477" i="33"/>
  <c r="AT477" i="33"/>
  <c r="AS477" i="33"/>
  <c r="AR477" i="33"/>
  <c r="AQ477" i="33"/>
  <c r="AP477" i="33"/>
  <c r="AO477" i="33"/>
  <c r="AN477" i="33"/>
  <c r="AM477" i="33"/>
  <c r="AL477" i="33"/>
  <c r="AK477" i="33"/>
  <c r="AJ477" i="33"/>
  <c r="AI477" i="33"/>
  <c r="AH447" i="33"/>
  <c r="AH448" i="33" s="1"/>
  <c r="AH449" i="33" s="1"/>
  <c r="AH450" i="33" s="1"/>
  <c r="AH451" i="33" s="1"/>
  <c r="AH452" i="33" s="1"/>
  <c r="AH453" i="33" s="1"/>
  <c r="AH454" i="33" s="1"/>
  <c r="AH455" i="33" s="1"/>
  <c r="AH456" i="33" s="1"/>
  <c r="AH457" i="33" s="1"/>
  <c r="AH458" i="33" s="1"/>
  <c r="AH459" i="33" s="1"/>
  <c r="AH460" i="33" s="1"/>
  <c r="AH461" i="33" s="1"/>
  <c r="AH462" i="33" s="1"/>
  <c r="AH463" i="33" s="1"/>
  <c r="AH464" i="33" s="1"/>
  <c r="AH465" i="33" s="1"/>
  <c r="AH466" i="33" s="1"/>
  <c r="AH467" i="33" s="1"/>
  <c r="AH468" i="33" s="1"/>
  <c r="AH469" i="33" s="1"/>
  <c r="AH470" i="33" s="1"/>
  <c r="AH471" i="33" s="1"/>
  <c r="AH472" i="33" s="1"/>
  <c r="AH473" i="33" s="1"/>
  <c r="AH474" i="33" s="1"/>
  <c r="AH475" i="33" s="1"/>
  <c r="AH476" i="33" s="1"/>
  <c r="AX439" i="33"/>
  <c r="AX441" i="33" s="1"/>
  <c r="AW439" i="33"/>
  <c r="AW441" i="33" s="1"/>
  <c r="AV439" i="33"/>
  <c r="AV441" i="33" s="1"/>
  <c r="AU439" i="33"/>
  <c r="AU441" i="33" s="1"/>
  <c r="AT439" i="33"/>
  <c r="AT441" i="33" s="1"/>
  <c r="AS439" i="33"/>
  <c r="AS441" i="33" s="1"/>
  <c r="AR439" i="33"/>
  <c r="AR441" i="33" s="1"/>
  <c r="AQ439" i="33"/>
  <c r="AQ441" i="33" s="1"/>
  <c r="AP439" i="33"/>
  <c r="AP441" i="33" s="1"/>
  <c r="AO439" i="33"/>
  <c r="AO441" i="33" s="1"/>
  <c r="AN439" i="33"/>
  <c r="AN441" i="33" s="1"/>
  <c r="AM439" i="33"/>
  <c r="AM441" i="33" s="1"/>
  <c r="AL439" i="33"/>
  <c r="AL441" i="33" s="1"/>
  <c r="AK439" i="33"/>
  <c r="AK441" i="33" s="1"/>
  <c r="AJ439" i="33"/>
  <c r="AJ441" i="33" s="1"/>
  <c r="AI439" i="33"/>
  <c r="AI441" i="33" s="1"/>
  <c r="AH409" i="33"/>
  <c r="AH410" i="33" s="1"/>
  <c r="AH411" i="33" s="1"/>
  <c r="AH412" i="33" s="1"/>
  <c r="AH413" i="33" s="1"/>
  <c r="AH414" i="33" s="1"/>
  <c r="AH415" i="33" s="1"/>
  <c r="AH416" i="33" s="1"/>
  <c r="AH417" i="33" s="1"/>
  <c r="AH418" i="33" s="1"/>
  <c r="AH419" i="33" s="1"/>
  <c r="AH420" i="33" s="1"/>
  <c r="AH421" i="33" s="1"/>
  <c r="AH422" i="33" s="1"/>
  <c r="AH423" i="33" s="1"/>
  <c r="AH424" i="33" s="1"/>
  <c r="AH425" i="33" s="1"/>
  <c r="AH426" i="33" s="1"/>
  <c r="AH427" i="33" s="1"/>
  <c r="AH428" i="33" s="1"/>
  <c r="AH429" i="33" s="1"/>
  <c r="AH430" i="33" s="1"/>
  <c r="AH431" i="33" s="1"/>
  <c r="AH432" i="33" s="1"/>
  <c r="AH433" i="33" s="1"/>
  <c r="AH434" i="33" s="1"/>
  <c r="AH435" i="33" s="1"/>
  <c r="AH436" i="33" s="1"/>
  <c r="AH437" i="33" s="1"/>
  <c r="AH438" i="33" s="1"/>
  <c r="AX400" i="33"/>
  <c r="AX402" i="33" s="1"/>
  <c r="AW400" i="33"/>
  <c r="AW402" i="33" s="1"/>
  <c r="AV400" i="33"/>
  <c r="AV402" i="33" s="1"/>
  <c r="AU400" i="33"/>
  <c r="AU402" i="33" s="1"/>
  <c r="AT400" i="33"/>
  <c r="AT402" i="33" s="1"/>
  <c r="AS400" i="33"/>
  <c r="AS402" i="33" s="1"/>
  <c r="AR400" i="33"/>
  <c r="AR402" i="33" s="1"/>
  <c r="AQ400" i="33"/>
  <c r="AQ402" i="33" s="1"/>
  <c r="AP400" i="33"/>
  <c r="AP402" i="33" s="1"/>
  <c r="AO400" i="33"/>
  <c r="AO402" i="33" s="1"/>
  <c r="AN400" i="33"/>
  <c r="AN402" i="33" s="1"/>
  <c r="AM400" i="33"/>
  <c r="AM402" i="33" s="1"/>
  <c r="AL400" i="33"/>
  <c r="AL402" i="33" s="1"/>
  <c r="AK400" i="33"/>
  <c r="AK402" i="33" s="1"/>
  <c r="AJ400" i="33"/>
  <c r="AJ402" i="33" s="1"/>
  <c r="AI400" i="33"/>
  <c r="AI402" i="33" s="1"/>
  <c r="AH370" i="33"/>
  <c r="AH371" i="33" s="1"/>
  <c r="AH372" i="33" s="1"/>
  <c r="AH373" i="33" s="1"/>
  <c r="AH374" i="33" s="1"/>
  <c r="AH375" i="33" s="1"/>
  <c r="AH376" i="33" s="1"/>
  <c r="AH377" i="33" s="1"/>
  <c r="AH378" i="33" s="1"/>
  <c r="AH379" i="33" s="1"/>
  <c r="AH380" i="33" s="1"/>
  <c r="AH381" i="33" s="1"/>
  <c r="AH382" i="33" s="1"/>
  <c r="AH383" i="33" s="1"/>
  <c r="AH384" i="33" s="1"/>
  <c r="AH385" i="33" s="1"/>
  <c r="AH386" i="33" s="1"/>
  <c r="AH387" i="33" s="1"/>
  <c r="AH388" i="33" s="1"/>
  <c r="AH389" i="33" s="1"/>
  <c r="AH390" i="33" s="1"/>
  <c r="AH391" i="33" s="1"/>
  <c r="AH392" i="33" s="1"/>
  <c r="AH393" i="33" s="1"/>
  <c r="AH394" i="33" s="1"/>
  <c r="AH395" i="33" s="1"/>
  <c r="AH396" i="33" s="1"/>
  <c r="AH397" i="33" s="1"/>
  <c r="AH398" i="33" s="1"/>
  <c r="AH399" i="33" s="1"/>
  <c r="AX358" i="33"/>
  <c r="AX360" i="33" s="1"/>
  <c r="AW358" i="33"/>
  <c r="AW360" i="33" s="1"/>
  <c r="AV358" i="33"/>
  <c r="AV360" i="33" s="1"/>
  <c r="AU358" i="33"/>
  <c r="AU360" i="33" s="1"/>
  <c r="AT358" i="33"/>
  <c r="AT360" i="33" s="1"/>
  <c r="AS358" i="33"/>
  <c r="AS360" i="33" s="1"/>
  <c r="AR358" i="33"/>
  <c r="AR360" i="33" s="1"/>
  <c r="AQ358" i="33"/>
  <c r="AQ360" i="33" s="1"/>
  <c r="AP358" i="33"/>
  <c r="AP360" i="33" s="1"/>
  <c r="AO358" i="33"/>
  <c r="AO360" i="33" s="1"/>
  <c r="AN358" i="33"/>
  <c r="AN360" i="33" s="1"/>
  <c r="AM358" i="33"/>
  <c r="AM360" i="33" s="1"/>
  <c r="AL358" i="33"/>
  <c r="AL360" i="33" s="1"/>
  <c r="AK358" i="33"/>
  <c r="AK360" i="33" s="1"/>
  <c r="AJ358" i="33"/>
  <c r="AJ360" i="33" s="1"/>
  <c r="AI358" i="33"/>
  <c r="AI360" i="33" s="1"/>
  <c r="AH328" i="33"/>
  <c r="AH329" i="33" s="1"/>
  <c r="AH330" i="33" s="1"/>
  <c r="AH331" i="33" s="1"/>
  <c r="AH332" i="33" s="1"/>
  <c r="AH333" i="33" s="1"/>
  <c r="AH334" i="33" s="1"/>
  <c r="AH335" i="33" s="1"/>
  <c r="AH336" i="33" s="1"/>
  <c r="AH337" i="33" s="1"/>
  <c r="AH338" i="33" s="1"/>
  <c r="AH339" i="33" s="1"/>
  <c r="AH340" i="33" s="1"/>
  <c r="AH341" i="33" s="1"/>
  <c r="AH342" i="33" s="1"/>
  <c r="AH343" i="33" s="1"/>
  <c r="AH344" i="33" s="1"/>
  <c r="AH345" i="33" s="1"/>
  <c r="AH346" i="33" s="1"/>
  <c r="AH347" i="33" s="1"/>
  <c r="AH348" i="33" s="1"/>
  <c r="AH349" i="33" s="1"/>
  <c r="AH350" i="33" s="1"/>
  <c r="AH351" i="33" s="1"/>
  <c r="AH352" i="33" s="1"/>
  <c r="AH353" i="33" s="1"/>
  <c r="AH354" i="33" s="1"/>
  <c r="AH355" i="33" s="1"/>
  <c r="AH356" i="33" s="1"/>
  <c r="AH357" i="33" s="1"/>
  <c r="AX317" i="33"/>
  <c r="AX319" i="33" s="1"/>
  <c r="AW317" i="33"/>
  <c r="AW319" i="33" s="1"/>
  <c r="AV317" i="33"/>
  <c r="AV319" i="33" s="1"/>
  <c r="AU317" i="33"/>
  <c r="AU319" i="33" s="1"/>
  <c r="AT317" i="33"/>
  <c r="AT319" i="33" s="1"/>
  <c r="AS317" i="33"/>
  <c r="AS319" i="33" s="1"/>
  <c r="AR317" i="33"/>
  <c r="AR319" i="33" s="1"/>
  <c r="AQ317" i="33"/>
  <c r="AQ319" i="33" s="1"/>
  <c r="AP317" i="33"/>
  <c r="AP319" i="33" s="1"/>
  <c r="AO317" i="33"/>
  <c r="AO319" i="33" s="1"/>
  <c r="AN317" i="33"/>
  <c r="AN319" i="33" s="1"/>
  <c r="AM317" i="33"/>
  <c r="AM319" i="33" s="1"/>
  <c r="AL317" i="33"/>
  <c r="AL319" i="33" s="1"/>
  <c r="AK317" i="33"/>
  <c r="AK319" i="33" s="1"/>
  <c r="AJ317" i="33"/>
  <c r="AJ319" i="33" s="1"/>
  <c r="AI317" i="33"/>
  <c r="AI319" i="33" s="1"/>
  <c r="AH287" i="33"/>
  <c r="AH288" i="33" s="1"/>
  <c r="AH289" i="33" s="1"/>
  <c r="AH290" i="33" s="1"/>
  <c r="AH291" i="33" s="1"/>
  <c r="AH292" i="33" s="1"/>
  <c r="AH293" i="33" s="1"/>
  <c r="AH294" i="33" s="1"/>
  <c r="AH295" i="33" s="1"/>
  <c r="AH296" i="33" s="1"/>
  <c r="AH297" i="33" s="1"/>
  <c r="AH298" i="33" s="1"/>
  <c r="AH299" i="33" s="1"/>
  <c r="AH300" i="33" s="1"/>
  <c r="AH301" i="33" s="1"/>
  <c r="AH302" i="33" s="1"/>
  <c r="AH303" i="33" s="1"/>
  <c r="AH304" i="33" s="1"/>
  <c r="AH305" i="33" s="1"/>
  <c r="AH306" i="33" s="1"/>
  <c r="AH307" i="33" s="1"/>
  <c r="AH308" i="33" s="1"/>
  <c r="AH309" i="33" s="1"/>
  <c r="AH310" i="33" s="1"/>
  <c r="AH311" i="33" s="1"/>
  <c r="AH312" i="33" s="1"/>
  <c r="AH313" i="33" s="1"/>
  <c r="AH314" i="33" s="1"/>
  <c r="AH315" i="33" s="1"/>
  <c r="AH316" i="33" s="1"/>
  <c r="AX277" i="33"/>
  <c r="AW277" i="33"/>
  <c r="AV277" i="33"/>
  <c r="AU277" i="33"/>
  <c r="AT277" i="33"/>
  <c r="AS277" i="33"/>
  <c r="AR277" i="33"/>
  <c r="AQ277" i="33"/>
  <c r="AP277" i="33"/>
  <c r="AO277" i="33"/>
  <c r="AN277" i="33"/>
  <c r="AM277" i="33"/>
  <c r="AL277" i="33"/>
  <c r="AK277" i="33"/>
  <c r="AJ277" i="33"/>
  <c r="AI277" i="33"/>
  <c r="AH247" i="33"/>
  <c r="AH248" i="33" s="1"/>
  <c r="AH249" i="33" s="1"/>
  <c r="AH250" i="33" s="1"/>
  <c r="AH251" i="33" s="1"/>
  <c r="AH252" i="33" s="1"/>
  <c r="AH253" i="33" s="1"/>
  <c r="AH254" i="33" s="1"/>
  <c r="AH255" i="33" s="1"/>
  <c r="AH256" i="33" s="1"/>
  <c r="AH257" i="33" s="1"/>
  <c r="AH258" i="33" s="1"/>
  <c r="AH259" i="33" s="1"/>
  <c r="AH260" i="33" s="1"/>
  <c r="AH261" i="33" s="1"/>
  <c r="AH262" i="33" s="1"/>
  <c r="AH263" i="33" s="1"/>
  <c r="AH264" i="33" s="1"/>
  <c r="AH265" i="33" s="1"/>
  <c r="AH266" i="33" s="1"/>
  <c r="AH267" i="33" s="1"/>
  <c r="AH268" i="33" s="1"/>
  <c r="AH269" i="33" s="1"/>
  <c r="AH270" i="33" s="1"/>
  <c r="AH271" i="33" s="1"/>
  <c r="AH272" i="33" s="1"/>
  <c r="AH273" i="33" s="1"/>
  <c r="AH274" i="33" s="1"/>
  <c r="AH275" i="33" s="1"/>
  <c r="AH276" i="33" s="1"/>
  <c r="AX240" i="33"/>
  <c r="AW240" i="33"/>
  <c r="AV240" i="33"/>
  <c r="AU240" i="33"/>
  <c r="AT240" i="33"/>
  <c r="AS240" i="33"/>
  <c r="AR240" i="33"/>
  <c r="AQ240" i="33"/>
  <c r="AP240" i="33"/>
  <c r="AO240" i="33"/>
  <c r="AN240" i="33"/>
  <c r="AM240" i="33"/>
  <c r="AL240" i="33"/>
  <c r="AK240" i="33"/>
  <c r="AJ240" i="33"/>
  <c r="AI240" i="33"/>
  <c r="AH210" i="33"/>
  <c r="AH211" i="33" s="1"/>
  <c r="AH212" i="33" s="1"/>
  <c r="AH213" i="33" s="1"/>
  <c r="AH214" i="33" s="1"/>
  <c r="AH215" i="33" s="1"/>
  <c r="AH216" i="33" s="1"/>
  <c r="AH217" i="33" s="1"/>
  <c r="AH218" i="33" s="1"/>
  <c r="AH219" i="33" s="1"/>
  <c r="AH220" i="33" s="1"/>
  <c r="AH221" i="33" s="1"/>
  <c r="AH222" i="33" s="1"/>
  <c r="AH223" i="33" s="1"/>
  <c r="AH224" i="33" s="1"/>
  <c r="AH225" i="33" s="1"/>
  <c r="AH226" i="33" s="1"/>
  <c r="AH227" i="33" s="1"/>
  <c r="AH228" i="33" s="1"/>
  <c r="AH229" i="33" s="1"/>
  <c r="AH230" i="33" s="1"/>
  <c r="AH231" i="33" s="1"/>
  <c r="AH232" i="33" s="1"/>
  <c r="AH233" i="33" s="1"/>
  <c r="AH234" i="33" s="1"/>
  <c r="AH235" i="33" s="1"/>
  <c r="AH236" i="33" s="1"/>
  <c r="AH237" i="33" s="1"/>
  <c r="AH238" i="33" s="1"/>
  <c r="AH239" i="33" s="1"/>
  <c r="AX200" i="33"/>
  <c r="AX202" i="33" s="1"/>
  <c r="AW200" i="33"/>
  <c r="AW202" i="33" s="1"/>
  <c r="AV200" i="33"/>
  <c r="AV202" i="33" s="1"/>
  <c r="AU200" i="33"/>
  <c r="AU202" i="33" s="1"/>
  <c r="AT200" i="33"/>
  <c r="AT202" i="33" s="1"/>
  <c r="AS200" i="33"/>
  <c r="AS202" i="33" s="1"/>
  <c r="AR200" i="33"/>
  <c r="AR202" i="33" s="1"/>
  <c r="AQ200" i="33"/>
  <c r="AQ202" i="33" s="1"/>
  <c r="AP200" i="33"/>
  <c r="AP202" i="33" s="1"/>
  <c r="AO200" i="33"/>
  <c r="AO202" i="33" s="1"/>
  <c r="AN200" i="33"/>
  <c r="AN202" i="33" s="1"/>
  <c r="AM200" i="33"/>
  <c r="AM202" i="33" s="1"/>
  <c r="AL200" i="33"/>
  <c r="AL202" i="33" s="1"/>
  <c r="AK200" i="33"/>
  <c r="AK202" i="33" s="1"/>
  <c r="AJ200" i="33"/>
  <c r="AJ202" i="33" s="1"/>
  <c r="AI200" i="33"/>
  <c r="AI202" i="33" s="1"/>
  <c r="AH170" i="33"/>
  <c r="AH171" i="33" s="1"/>
  <c r="AH172" i="33" s="1"/>
  <c r="AH173" i="33" s="1"/>
  <c r="AH174" i="33" s="1"/>
  <c r="AH175" i="33" s="1"/>
  <c r="AH176" i="33" s="1"/>
  <c r="AH177" i="33" s="1"/>
  <c r="AH178" i="33" s="1"/>
  <c r="AH179" i="33" s="1"/>
  <c r="AH180" i="33" s="1"/>
  <c r="AH181" i="33" s="1"/>
  <c r="AH182" i="33" s="1"/>
  <c r="AH183" i="33" s="1"/>
  <c r="AH184" i="33" s="1"/>
  <c r="AH185" i="33" s="1"/>
  <c r="AH186" i="33" s="1"/>
  <c r="AH187" i="33" s="1"/>
  <c r="AH188" i="33" s="1"/>
  <c r="AH189" i="33" s="1"/>
  <c r="AH190" i="33" s="1"/>
  <c r="AH191" i="33" s="1"/>
  <c r="AH192" i="33" s="1"/>
  <c r="AH193" i="33" s="1"/>
  <c r="AH194" i="33" s="1"/>
  <c r="AH195" i="33" s="1"/>
  <c r="AH196" i="33" s="1"/>
  <c r="AH197" i="33" s="1"/>
  <c r="AH198" i="33" s="1"/>
  <c r="AH199" i="33" s="1"/>
  <c r="AX162" i="33"/>
  <c r="AX164" i="33" s="1"/>
  <c r="AW162" i="33"/>
  <c r="AW164" i="33" s="1"/>
  <c r="AV162" i="33"/>
  <c r="AV164" i="33" s="1"/>
  <c r="AU162" i="33"/>
  <c r="AU164" i="33" s="1"/>
  <c r="AT162" i="33"/>
  <c r="AT164" i="33" s="1"/>
  <c r="AS162" i="33"/>
  <c r="AS164" i="33" s="1"/>
  <c r="AR162" i="33"/>
  <c r="AR164" i="33" s="1"/>
  <c r="AQ162" i="33"/>
  <c r="AQ164" i="33" s="1"/>
  <c r="AP162" i="33"/>
  <c r="AP164" i="33" s="1"/>
  <c r="AO162" i="33"/>
  <c r="AO164" i="33" s="1"/>
  <c r="AN162" i="33"/>
  <c r="AN164" i="33" s="1"/>
  <c r="AM162" i="33"/>
  <c r="AM164" i="33" s="1"/>
  <c r="AL162" i="33"/>
  <c r="AL164" i="33" s="1"/>
  <c r="AK162" i="33"/>
  <c r="AK164" i="33" s="1"/>
  <c r="AJ162" i="33"/>
  <c r="AJ164" i="33" s="1"/>
  <c r="AI162" i="33"/>
  <c r="AI164" i="33" s="1"/>
  <c r="AH132" i="33"/>
  <c r="AH133" i="33" s="1"/>
  <c r="AH134" i="33" s="1"/>
  <c r="AH135" i="33" s="1"/>
  <c r="AH136" i="33" s="1"/>
  <c r="AH137" i="33" s="1"/>
  <c r="AH138" i="33" s="1"/>
  <c r="AH139" i="33" s="1"/>
  <c r="AH140" i="33" s="1"/>
  <c r="AH141" i="33" s="1"/>
  <c r="AH142" i="33" s="1"/>
  <c r="AH143" i="33" s="1"/>
  <c r="AH144" i="33" s="1"/>
  <c r="AH145" i="33" s="1"/>
  <c r="AH146" i="33" s="1"/>
  <c r="AH147" i="33" s="1"/>
  <c r="AH148" i="33" s="1"/>
  <c r="AH149" i="33" s="1"/>
  <c r="AH150" i="33" s="1"/>
  <c r="AH151" i="33" s="1"/>
  <c r="AH152" i="33" s="1"/>
  <c r="AH153" i="33" s="1"/>
  <c r="AH154" i="33" s="1"/>
  <c r="AH155" i="33" s="1"/>
  <c r="AH156" i="33" s="1"/>
  <c r="AH157" i="33" s="1"/>
  <c r="AH158" i="33" s="1"/>
  <c r="AH159" i="33" s="1"/>
  <c r="AH160" i="33" s="1"/>
  <c r="AH161" i="33" s="1"/>
  <c r="AX123" i="33"/>
  <c r="AX125" i="33" s="1"/>
  <c r="AW123" i="33"/>
  <c r="AW125" i="33" s="1"/>
  <c r="AV123" i="33"/>
  <c r="AV125" i="33" s="1"/>
  <c r="AU123" i="33"/>
  <c r="AU125" i="33" s="1"/>
  <c r="AT123" i="33"/>
  <c r="AT125" i="33" s="1"/>
  <c r="AS123" i="33"/>
  <c r="AS125" i="33" s="1"/>
  <c r="AR123" i="33"/>
  <c r="AR125" i="33" s="1"/>
  <c r="AQ123" i="33"/>
  <c r="AQ125" i="33" s="1"/>
  <c r="AP123" i="33"/>
  <c r="AP125" i="33" s="1"/>
  <c r="AO123" i="33"/>
  <c r="AO125" i="33" s="1"/>
  <c r="AN123" i="33"/>
  <c r="AN125" i="33" s="1"/>
  <c r="AM123" i="33"/>
  <c r="AM125" i="33" s="1"/>
  <c r="AL123" i="33"/>
  <c r="AL125" i="33" s="1"/>
  <c r="AK123" i="33"/>
  <c r="AK125" i="33" s="1"/>
  <c r="AJ123" i="33"/>
  <c r="AJ125" i="33" s="1"/>
  <c r="AI123" i="33"/>
  <c r="AI125" i="33" s="1"/>
  <c r="AH93" i="33"/>
  <c r="AH94" i="33" s="1"/>
  <c r="AH95" i="33" s="1"/>
  <c r="AH96" i="33" s="1"/>
  <c r="AH97" i="33" s="1"/>
  <c r="AH98" i="33" s="1"/>
  <c r="AH99" i="33" s="1"/>
  <c r="AH100" i="33" s="1"/>
  <c r="AH101" i="33" s="1"/>
  <c r="AH102" i="33" s="1"/>
  <c r="AH103" i="33" s="1"/>
  <c r="AH104" i="33" s="1"/>
  <c r="AH105" i="33" s="1"/>
  <c r="AH106" i="33" s="1"/>
  <c r="AH107" i="33" s="1"/>
  <c r="AH108" i="33" s="1"/>
  <c r="AH109" i="33" s="1"/>
  <c r="AH110" i="33" s="1"/>
  <c r="AH111" i="33" s="1"/>
  <c r="AH112" i="33" s="1"/>
  <c r="AH113" i="33" s="1"/>
  <c r="AH114" i="33" s="1"/>
  <c r="AH115" i="33" s="1"/>
  <c r="AH116" i="33" s="1"/>
  <c r="AH117" i="33" s="1"/>
  <c r="AH118" i="33" s="1"/>
  <c r="AH119" i="33" s="1"/>
  <c r="AH120" i="33" s="1"/>
  <c r="AH121" i="33" s="1"/>
  <c r="AH122" i="33" s="1"/>
  <c r="AX85" i="33"/>
  <c r="AX87" i="33" s="1"/>
  <c r="AW85" i="33"/>
  <c r="AW87" i="33" s="1"/>
  <c r="AV85" i="33"/>
  <c r="AV87" i="33" s="1"/>
  <c r="AU85" i="33"/>
  <c r="AU87" i="33" s="1"/>
  <c r="AT85" i="33"/>
  <c r="AT87" i="33" s="1"/>
  <c r="AS85" i="33"/>
  <c r="AS87" i="33" s="1"/>
  <c r="AR85" i="33"/>
  <c r="AR87" i="33" s="1"/>
  <c r="AQ85" i="33"/>
  <c r="AQ87" i="33" s="1"/>
  <c r="AP85" i="33"/>
  <c r="AP87" i="33" s="1"/>
  <c r="AO85" i="33"/>
  <c r="AO87" i="33" s="1"/>
  <c r="AN85" i="33"/>
  <c r="AN87" i="33" s="1"/>
  <c r="AM85" i="33"/>
  <c r="AM87" i="33" s="1"/>
  <c r="AL85" i="33"/>
  <c r="AL87" i="33" s="1"/>
  <c r="AK85" i="33"/>
  <c r="AK87" i="33" s="1"/>
  <c r="AJ85" i="33"/>
  <c r="AJ87" i="33" s="1"/>
  <c r="AI85" i="33"/>
  <c r="AI87" i="33" s="1"/>
  <c r="AH55" i="33"/>
  <c r="AH56" i="33" s="1"/>
  <c r="AH57" i="33" s="1"/>
  <c r="AH58" i="33" s="1"/>
  <c r="AH59" i="33" s="1"/>
  <c r="AH60" i="33" s="1"/>
  <c r="AH61" i="33" s="1"/>
  <c r="AH62" i="33" s="1"/>
  <c r="AH63" i="33" s="1"/>
  <c r="AH64" i="33" s="1"/>
  <c r="AH65" i="33" s="1"/>
  <c r="AH66" i="33" s="1"/>
  <c r="AH67" i="33" s="1"/>
  <c r="AH68" i="33" s="1"/>
  <c r="AH69" i="33" s="1"/>
  <c r="AH70" i="33" s="1"/>
  <c r="AH71" i="33" s="1"/>
  <c r="AH72" i="33" s="1"/>
  <c r="AH73" i="33" s="1"/>
  <c r="AH74" i="33" s="1"/>
  <c r="AH75" i="33" s="1"/>
  <c r="AH76" i="33" s="1"/>
  <c r="AH77" i="33" s="1"/>
  <c r="AH78" i="33" s="1"/>
  <c r="AH79" i="33" s="1"/>
  <c r="AH80" i="33" s="1"/>
  <c r="AH81" i="33" s="1"/>
  <c r="AH82" i="33" s="1"/>
  <c r="AH83" i="33" s="1"/>
  <c r="AH84" i="33" s="1"/>
  <c r="AD1173" i="33" l="1"/>
  <c r="I38" i="11"/>
  <c r="AZ1123" i="33"/>
  <c r="AZ589" i="33"/>
  <c r="AZ665" i="33"/>
  <c r="AZ741" i="33"/>
  <c r="AZ893" i="33"/>
  <c r="AZ971" i="33"/>
  <c r="AZ403" i="33"/>
  <c r="AZ442" i="33"/>
  <c r="AZ553" i="33"/>
  <c r="AZ627" i="33"/>
  <c r="AZ703" i="33"/>
  <c r="AZ779" i="33"/>
  <c r="AZ855" i="33"/>
  <c r="AZ1009" i="33"/>
  <c r="AZ1085" i="33"/>
  <c r="AZ1159" i="33"/>
  <c r="AZ320" i="33"/>
  <c r="AZ1047" i="33"/>
  <c r="AZ817" i="33"/>
  <c r="AZ932" i="33"/>
  <c r="AZ165" i="33"/>
  <c r="AZ514" i="33"/>
  <c r="AZ361" i="33"/>
  <c r="AZ203" i="33"/>
  <c r="AZ126" i="33"/>
  <c r="AZ88" i="33"/>
  <c r="AZ42" i="33"/>
  <c r="Z1174" i="33" l="1"/>
  <c r="L38" i="11"/>
  <c r="D26" i="2"/>
  <c r="AA1174" i="33" l="1"/>
  <c r="H38" i="12"/>
  <c r="R40" i="56"/>
  <c r="R42" i="56" s="1"/>
  <c r="S15" i="50"/>
  <c r="T15" i="50"/>
  <c r="AI59" i="32"/>
  <c r="AJ59" i="32"/>
  <c r="AI53" i="2"/>
  <c r="AJ53" i="2"/>
  <c r="AI58" i="2"/>
  <c r="AI57" i="2"/>
  <c r="AD1174" i="33" l="1"/>
  <c r="I38" i="12"/>
  <c r="AJ55" i="2"/>
  <c r="T12" i="50"/>
  <c r="S12" i="50"/>
  <c r="S20" i="50" s="1"/>
  <c r="S23" i="50" s="1"/>
  <c r="AI55" i="2"/>
  <c r="Z1175" i="33" l="1"/>
  <c r="L38" i="12"/>
  <c r="T20" i="50"/>
  <c r="T23" i="50" s="1"/>
  <c r="AI49" i="3"/>
  <c r="AK53" i="3"/>
  <c r="AK55" i="3" s="1"/>
  <c r="AK49" i="4" s="1"/>
  <c r="AK53" i="4" s="1"/>
  <c r="AK55" i="4" s="1"/>
  <c r="AJ49" i="3"/>
  <c r="AJ53" i="3" s="1"/>
  <c r="AJ55" i="3" s="1"/>
  <c r="AJ49" i="4" s="1"/>
  <c r="AJ53" i="4" s="1"/>
  <c r="AJ55" i="4" s="1"/>
  <c r="AJ49" i="5" s="1"/>
  <c r="AJ53" i="5" s="1"/>
  <c r="AJ55" i="5" s="1"/>
  <c r="AJ49" i="6" s="1"/>
  <c r="AJ53" i="6" s="1"/>
  <c r="AJ55" i="6" s="1"/>
  <c r="AJ49" i="7" s="1"/>
  <c r="AJ53" i="7" s="1"/>
  <c r="AJ55" i="7" s="1"/>
  <c r="AJ49" i="8" s="1"/>
  <c r="AJ53" i="8" s="1"/>
  <c r="AJ55" i="8" s="1"/>
  <c r="AJ49" i="9" s="1"/>
  <c r="AJ53" i="9" s="1"/>
  <c r="AA1175" i="33" l="1"/>
  <c r="H38" i="13"/>
  <c r="AK49" i="5"/>
  <c r="AK53" i="5" s="1"/>
  <c r="AK55" i="5" s="1"/>
  <c r="AK49" i="6" s="1"/>
  <c r="AK53" i="6" s="1"/>
  <c r="AK55" i="6" s="1"/>
  <c r="AK49" i="7" s="1"/>
  <c r="AK53" i="7" s="1"/>
  <c r="AK55" i="7" s="1"/>
  <c r="AK49" i="8" s="1"/>
  <c r="AK53" i="8" s="1"/>
  <c r="AK55" i="8" s="1"/>
  <c r="AK49" i="9" s="1"/>
  <c r="AK53" i="9" s="1"/>
  <c r="AK55" i="9" s="1"/>
  <c r="AK49" i="37" s="1"/>
  <c r="AK53" i="37" s="1"/>
  <c r="AK55" i="37" s="1"/>
  <c r="AJ55" i="9"/>
  <c r="AJ49" i="37" s="1"/>
  <c r="AJ53" i="37" s="1"/>
  <c r="AJ55" i="37" s="1"/>
  <c r="G40" i="55"/>
  <c r="I38" i="55"/>
  <c r="I37" i="55"/>
  <c r="I36" i="55"/>
  <c r="I35" i="55"/>
  <c r="I34" i="55"/>
  <c r="I33" i="55"/>
  <c r="I32" i="55"/>
  <c r="I31" i="55"/>
  <c r="I30" i="55"/>
  <c r="I29" i="55"/>
  <c r="I28" i="55"/>
  <c r="I27" i="55"/>
  <c r="I26" i="55"/>
  <c r="I25" i="55"/>
  <c r="I24" i="55"/>
  <c r="I23" i="55"/>
  <c r="I22" i="55"/>
  <c r="I21" i="55"/>
  <c r="I20" i="55"/>
  <c r="I19" i="55"/>
  <c r="I18" i="55"/>
  <c r="I17" i="55"/>
  <c r="I16" i="55"/>
  <c r="I15" i="55"/>
  <c r="I14" i="55"/>
  <c r="I13" i="55"/>
  <c r="I12" i="55"/>
  <c r="I11" i="55"/>
  <c r="I10" i="55"/>
  <c r="I9" i="55"/>
  <c r="I8" i="55"/>
  <c r="AD1175" i="33" l="1"/>
  <c r="I38" i="13"/>
  <c r="AK49" i="11"/>
  <c r="AK53" i="11" s="1"/>
  <c r="AK55" i="11" s="1"/>
  <c r="AJ49" i="11"/>
  <c r="AJ53" i="11" s="1"/>
  <c r="AJ55" i="11" s="1"/>
  <c r="I40" i="55"/>
  <c r="Z1176" i="33" l="1"/>
  <c r="L38" i="13"/>
  <c r="AJ49" i="12"/>
  <c r="AJ53" i="12" s="1"/>
  <c r="AJ55" i="12" s="1"/>
  <c r="AK49" i="12"/>
  <c r="AK53" i="12" s="1"/>
  <c r="AK55" i="12" s="1"/>
  <c r="CB34" i="49"/>
  <c r="CB32" i="49"/>
  <c r="AA1176" i="33" l="1"/>
  <c r="H38" i="14"/>
  <c r="AK49" i="13"/>
  <c r="AK53" i="13" s="1"/>
  <c r="AK55" i="13" s="1"/>
  <c r="AK49" i="14" s="1"/>
  <c r="AK53" i="14" s="1"/>
  <c r="AK55" i="14" s="1"/>
  <c r="AK49" i="15" s="1"/>
  <c r="AK53" i="15" s="1"/>
  <c r="AK55" i="15" s="1"/>
  <c r="AK49" i="16" s="1"/>
  <c r="AK53" i="16" s="1"/>
  <c r="AK55" i="16" s="1"/>
  <c r="AK49" i="17" s="1"/>
  <c r="AK53" i="17" s="1"/>
  <c r="AK55" i="17" s="1"/>
  <c r="AK49" i="18" s="1"/>
  <c r="AK53" i="18" s="1"/>
  <c r="AK55" i="18" s="1"/>
  <c r="AK49" i="19" s="1"/>
  <c r="AK53" i="19" s="1"/>
  <c r="AK55" i="19" s="1"/>
  <c r="AK49" i="20" s="1"/>
  <c r="AK53" i="20" s="1"/>
  <c r="AK55" i="20" s="1"/>
  <c r="AK49" i="21" s="1"/>
  <c r="AK53" i="21" s="1"/>
  <c r="AK55" i="21" s="1"/>
  <c r="AK49" i="22" s="1"/>
  <c r="AK53" i="22" s="1"/>
  <c r="AK55" i="22" s="1"/>
  <c r="AK49" i="23" s="1"/>
  <c r="AK53" i="23" s="1"/>
  <c r="AK55" i="23" s="1"/>
  <c r="AK49" i="24" s="1"/>
  <c r="AK53" i="24" s="1"/>
  <c r="AK55" i="24" s="1"/>
  <c r="AK49" i="25" s="1"/>
  <c r="AK53" i="25" s="1"/>
  <c r="AK55" i="25" s="1"/>
  <c r="AK49" i="26" s="1"/>
  <c r="AK53" i="26" s="1"/>
  <c r="AK55" i="26" s="1"/>
  <c r="AK49" i="27" s="1"/>
  <c r="AJ49" i="13"/>
  <c r="AJ53" i="13" s="1"/>
  <c r="AJ55" i="13" s="1"/>
  <c r="AJ49" i="14" s="1"/>
  <c r="AJ53" i="14" s="1"/>
  <c r="AJ55" i="14" s="1"/>
  <c r="AJ49" i="15" s="1"/>
  <c r="AJ53" i="15" s="1"/>
  <c r="AJ55" i="15" s="1"/>
  <c r="AJ49" i="16" s="1"/>
  <c r="AJ53" i="16" s="1"/>
  <c r="AJ55" i="16" s="1"/>
  <c r="AJ49" i="17" s="1"/>
  <c r="AJ53" i="17" s="1"/>
  <c r="AJ55" i="17" s="1"/>
  <c r="AJ49" i="18" s="1"/>
  <c r="AJ53" i="18" s="1"/>
  <c r="AJ55" i="18" s="1"/>
  <c r="AJ49" i="19" s="1"/>
  <c r="AJ53" i="19" s="1"/>
  <c r="BQ14" i="49"/>
  <c r="BQ13" i="49"/>
  <c r="AD1176" i="33" l="1"/>
  <c r="I38" i="14"/>
  <c r="AK53" i="27"/>
  <c r="AK55" i="27" s="1"/>
  <c r="AK49" i="28" s="1"/>
  <c r="AK53" i="28" s="1"/>
  <c r="AK55" i="28" s="1"/>
  <c r="AK49" i="29" s="1"/>
  <c r="AK53" i="29" s="1"/>
  <c r="AK55" i="29" s="1"/>
  <c r="AK49" i="30" s="1"/>
  <c r="AK53" i="30" s="1"/>
  <c r="AK55" i="30" s="1"/>
  <c r="AK49" i="31" s="1"/>
  <c r="AK53" i="31" s="1"/>
  <c r="AK55" i="31" s="1"/>
  <c r="AK49" i="32" s="1"/>
  <c r="AK53" i="32" s="1"/>
  <c r="AK55" i="32" s="1"/>
  <c r="S41" i="54" s="1"/>
  <c r="S43" i="54" s="1"/>
  <c r="AJ55" i="19"/>
  <c r="AJ49" i="20" s="1"/>
  <c r="AJ53" i="20" s="1"/>
  <c r="AJ55" i="20" s="1"/>
  <c r="AJ49" i="21" s="1"/>
  <c r="AJ53" i="21" s="1"/>
  <c r="AJ55" i="21" s="1"/>
  <c r="AJ49" i="22" s="1"/>
  <c r="AJ53" i="22" s="1"/>
  <c r="AJ55" i="22" s="1"/>
  <c r="AJ49" i="23" s="1"/>
  <c r="AJ53" i="23" s="1"/>
  <c r="AJ55" i="23" s="1"/>
  <c r="AJ49" i="24" s="1"/>
  <c r="AJ53" i="24" s="1"/>
  <c r="AJ55" i="24" s="1"/>
  <c r="AJ49" i="25" s="1"/>
  <c r="AJ53" i="25" s="1"/>
  <c r="AJ55" i="25" s="1"/>
  <c r="AJ49" i="26" s="1"/>
  <c r="AJ53" i="26" s="1"/>
  <c r="AJ55" i="26" s="1"/>
  <c r="AJ49" i="27" s="1"/>
  <c r="AJ53" i="27" s="1"/>
  <c r="AJ55" i="27" s="1"/>
  <c r="AJ49" i="28" s="1"/>
  <c r="AJ53" i="28" s="1"/>
  <c r="AJ55" i="28" s="1"/>
  <c r="AJ49" i="29" s="1"/>
  <c r="AJ53" i="29" s="1"/>
  <c r="AJ55" i="29" s="1"/>
  <c r="AJ49" i="30" s="1"/>
  <c r="AJ53" i="30" s="1"/>
  <c r="AJ55" i="30" s="1"/>
  <c r="AJ49" i="31" s="1"/>
  <c r="AJ53" i="31" s="1"/>
  <c r="AJ55" i="31" s="1"/>
  <c r="AJ49" i="32" s="1"/>
  <c r="AJ53" i="32" s="1"/>
  <c r="AJ55" i="32" s="1"/>
  <c r="R41" i="54" s="1"/>
  <c r="R43" i="54" s="1"/>
  <c r="BP14" i="49"/>
  <c r="BP13" i="49"/>
  <c r="Z1177" i="33" l="1"/>
  <c r="L38" i="14"/>
  <c r="BS14" i="49"/>
  <c r="BS13" i="49"/>
  <c r="AA1177" i="33" l="1"/>
  <c r="H38" i="15"/>
  <c r="N57" i="30"/>
  <c r="AD1177" i="33" l="1"/>
  <c r="I38" i="15"/>
  <c r="BW27" i="49"/>
  <c r="BW26" i="49"/>
  <c r="BW25" i="49"/>
  <c r="BW24" i="49"/>
  <c r="BW23" i="49"/>
  <c r="BW22" i="49"/>
  <c r="BW21" i="49"/>
  <c r="BW16" i="49"/>
  <c r="BW15" i="49"/>
  <c r="BW14" i="49"/>
  <c r="BW13" i="49"/>
  <c r="BW12" i="49"/>
  <c r="BW11" i="49"/>
  <c r="BW9" i="49"/>
  <c r="BW8" i="49"/>
  <c r="BU28" i="49"/>
  <c r="BV28" i="49"/>
  <c r="Z1178" i="33" l="1"/>
  <c r="L38" i="15"/>
  <c r="BW28" i="49"/>
  <c r="AA1178" i="33" l="1"/>
  <c r="H38" i="16"/>
  <c r="BM28" i="49"/>
  <c r="AD1178" i="33" l="1"/>
  <c r="I38" i="16"/>
  <c r="AC662" i="33"/>
  <c r="Z1179" i="33" l="1"/>
  <c r="L38" i="16"/>
  <c r="BP25" i="49"/>
  <c r="BP15" i="49"/>
  <c r="AA1179" i="33" l="1"/>
  <c r="H38" i="17"/>
  <c r="U59" i="32"/>
  <c r="V59" i="32"/>
  <c r="W59" i="32"/>
  <c r="X59" i="32"/>
  <c r="Y59" i="32"/>
  <c r="Z59" i="32"/>
  <c r="AA59" i="32"/>
  <c r="AB59" i="32"/>
  <c r="AC59" i="32"/>
  <c r="AD59" i="32"/>
  <c r="AE59" i="32"/>
  <c r="AF59" i="32"/>
  <c r="AG59" i="32"/>
  <c r="AH59" i="32"/>
  <c r="T59" i="32"/>
  <c r="AD1179" i="33" l="1"/>
  <c r="I38" i="17"/>
  <c r="S40" i="56"/>
  <c r="S42" i="56" s="1"/>
  <c r="Z1180" i="33" l="1"/>
  <c r="L38" i="17"/>
  <c r="BI28" i="49"/>
  <c r="AA1180" i="33" l="1"/>
  <c r="H38" i="18"/>
  <c r="O29" i="55"/>
  <c r="AN29" i="55" s="1"/>
  <c r="AB32" i="23" s="1"/>
  <c r="F37" i="55"/>
  <c r="O37" i="55"/>
  <c r="O28" i="49"/>
  <c r="B25" i="8" s="1"/>
  <c r="M28" i="49"/>
  <c r="B25" i="7" s="1"/>
  <c r="AJ9" i="2"/>
  <c r="AJ10" i="2" s="1"/>
  <c r="BP27" i="49"/>
  <c r="BP21" i="49"/>
  <c r="Q47" i="32"/>
  <c r="G9" i="27"/>
  <c r="G9" i="25"/>
  <c r="G8" i="22"/>
  <c r="G9" i="19"/>
  <c r="G8" i="17"/>
  <c r="AJ9" i="32"/>
  <c r="AJ9" i="31"/>
  <c r="AJ9" i="30"/>
  <c r="AJ9" i="29"/>
  <c r="AJ9" i="28"/>
  <c r="AJ9" i="27"/>
  <c r="AJ9" i="26"/>
  <c r="AJ9" i="25"/>
  <c r="AJ9" i="24"/>
  <c r="AJ9" i="23"/>
  <c r="AJ9" i="22"/>
  <c r="AJ9" i="21"/>
  <c r="AJ9" i="20"/>
  <c r="AJ9" i="19"/>
  <c r="AJ9" i="18"/>
  <c r="AJ9" i="17"/>
  <c r="AJ9" i="16"/>
  <c r="AJ9" i="15"/>
  <c r="AJ9" i="14"/>
  <c r="AJ9" i="13"/>
  <c r="AJ9" i="12"/>
  <c r="AJ9" i="11"/>
  <c r="AJ9" i="37"/>
  <c r="AJ9" i="9"/>
  <c r="AJ9" i="8"/>
  <c r="AJ9" i="7"/>
  <c r="AJ9" i="5"/>
  <c r="AJ9" i="4"/>
  <c r="AJ9" i="3"/>
  <c r="AG21" i="2"/>
  <c r="AG25" i="2"/>
  <c r="AG29" i="2"/>
  <c r="AG33" i="2"/>
  <c r="AG37" i="2"/>
  <c r="AG41" i="2"/>
  <c r="AG10" i="2"/>
  <c r="AG19" i="2"/>
  <c r="AG20" i="2"/>
  <c r="AG22" i="2"/>
  <c r="AG23" i="2"/>
  <c r="AG24" i="2"/>
  <c r="AG26" i="2"/>
  <c r="AG27" i="2"/>
  <c r="AG28" i="2"/>
  <c r="AG30" i="2"/>
  <c r="AG31" i="2"/>
  <c r="AG32" i="2"/>
  <c r="AG34" i="2"/>
  <c r="AG35" i="2"/>
  <c r="AG36" i="2"/>
  <c r="AG38" i="2"/>
  <c r="AG39" i="2"/>
  <c r="AG40" i="2"/>
  <c r="AG42" i="2"/>
  <c r="AG9" i="2"/>
  <c r="AG9" i="3" s="1"/>
  <c r="AG9" i="4" s="1"/>
  <c r="AG9" i="5" s="1"/>
  <c r="AG9" i="6" s="1"/>
  <c r="AG9" i="7" s="1"/>
  <c r="AG9" i="8" s="1"/>
  <c r="AG9" i="9" s="1"/>
  <c r="AG9" i="37" s="1"/>
  <c r="AG9" i="11" s="1"/>
  <c r="AG9" i="12" s="1"/>
  <c r="AG9" i="13" s="1"/>
  <c r="AG9" i="14" s="1"/>
  <c r="AG9" i="15" s="1"/>
  <c r="AG9" i="16" s="1"/>
  <c r="AG9" i="17" s="1"/>
  <c r="AG9" i="18" s="1"/>
  <c r="AG9" i="19" s="1"/>
  <c r="AG9" i="20" s="1"/>
  <c r="AG9" i="21" s="1"/>
  <c r="AG9" i="22" s="1"/>
  <c r="AG9" i="23" s="1"/>
  <c r="AG9" i="24" s="1"/>
  <c r="AG9" i="25" s="1"/>
  <c r="AG9" i="26" s="1"/>
  <c r="AG9" i="27" s="1"/>
  <c r="AG9" i="28" s="1"/>
  <c r="AG9" i="29" s="1"/>
  <c r="AG9" i="30" s="1"/>
  <c r="AG9" i="31" s="1"/>
  <c r="AG9" i="32" s="1"/>
  <c r="AG8" i="2"/>
  <c r="AG8" i="3" s="1"/>
  <c r="AF42" i="2"/>
  <c r="AF42" i="3" s="1"/>
  <c r="AF41" i="2"/>
  <c r="AF40" i="2"/>
  <c r="AF39" i="2"/>
  <c r="AF38" i="2"/>
  <c r="AF37" i="2"/>
  <c r="AF36" i="2"/>
  <c r="AF35" i="2"/>
  <c r="AF34" i="2"/>
  <c r="AF31" i="2"/>
  <c r="AF30" i="2"/>
  <c r="AF29" i="2"/>
  <c r="AF28" i="2"/>
  <c r="AF27" i="2"/>
  <c r="AF26" i="2"/>
  <c r="AF25" i="2"/>
  <c r="AF24" i="2"/>
  <c r="AF23" i="2"/>
  <c r="AF22" i="2"/>
  <c r="AF21" i="2"/>
  <c r="AF20" i="2"/>
  <c r="AF19" i="2"/>
  <c r="AF10" i="2"/>
  <c r="AF10" i="3" s="1"/>
  <c r="AF10" i="4" s="1"/>
  <c r="AF10" i="5" s="1"/>
  <c r="AF10" i="6" s="1"/>
  <c r="AF9" i="2"/>
  <c r="AF9" i="3" s="1"/>
  <c r="AF9" i="4" s="1"/>
  <c r="AF8" i="2"/>
  <c r="AF8" i="3" s="1"/>
  <c r="AF8" i="4" s="1"/>
  <c r="AF8" i="5" s="1"/>
  <c r="AF8" i="6" s="1"/>
  <c r="AF8" i="7" s="1"/>
  <c r="AF8" i="8" s="1"/>
  <c r="AF8" i="9" s="1"/>
  <c r="AF8" i="37" s="1"/>
  <c r="AF8" i="11" s="1"/>
  <c r="AF8" i="12" s="1"/>
  <c r="AF8" i="13" s="1"/>
  <c r="AF8" i="14" s="1"/>
  <c r="AF8" i="15" s="1"/>
  <c r="AF8" i="16" s="1"/>
  <c r="AF8" i="17" s="1"/>
  <c r="AF8" i="18" s="1"/>
  <c r="AF8" i="19" s="1"/>
  <c r="AF8" i="20" s="1"/>
  <c r="AF8" i="21" s="1"/>
  <c r="AJ9" i="6"/>
  <c r="C10" i="50"/>
  <c r="C11" i="50"/>
  <c r="X11" i="50" s="1"/>
  <c r="Q4" i="2"/>
  <c r="Q4" i="3" s="1"/>
  <c r="Q4" i="4" s="1"/>
  <c r="Q4" i="5" s="1"/>
  <c r="Q4" i="6" s="1"/>
  <c r="Q4" i="7" s="1"/>
  <c r="Q4" i="8" s="1"/>
  <c r="Q4" i="9" s="1"/>
  <c r="Q4" i="37" s="1"/>
  <c r="Q4" i="11" s="1"/>
  <c r="Q4" i="12" s="1"/>
  <c r="Q4" i="13" s="1"/>
  <c r="Q4" i="14" s="1"/>
  <c r="Q4" i="15" s="1"/>
  <c r="Q4" i="16" s="1"/>
  <c r="Q4" i="17" s="1"/>
  <c r="Q4" i="18" s="1"/>
  <c r="Q4" i="19" s="1"/>
  <c r="Q4" i="20" s="1"/>
  <c r="Q4" i="21" s="1"/>
  <c r="Q4" i="22" s="1"/>
  <c r="Q4" i="23" s="1"/>
  <c r="Q4" i="24" s="1"/>
  <c r="Q4" i="25" s="1"/>
  <c r="Q4" i="26" s="1"/>
  <c r="Q4" i="27" s="1"/>
  <c r="Q4" i="28" s="1"/>
  <c r="Q4" i="29" s="1"/>
  <c r="Q4" i="30" s="1"/>
  <c r="Q4" i="31" s="1"/>
  <c r="Q4" i="32" s="1"/>
  <c r="L9" i="54"/>
  <c r="M9" i="54" s="1"/>
  <c r="L10" i="54"/>
  <c r="M10" i="54" s="1"/>
  <c r="L11" i="54"/>
  <c r="M11" i="54" s="1"/>
  <c r="L12" i="54"/>
  <c r="M12" i="54" s="1"/>
  <c r="L13" i="54"/>
  <c r="M13" i="54" s="1"/>
  <c r="L14" i="54"/>
  <c r="M14" i="54" s="1"/>
  <c r="L15" i="54"/>
  <c r="M15" i="54" s="1"/>
  <c r="L16" i="54"/>
  <c r="M16" i="54" s="1"/>
  <c r="L17" i="54"/>
  <c r="M17" i="54" s="1"/>
  <c r="L18" i="54"/>
  <c r="M18" i="54" s="1"/>
  <c r="L19" i="54"/>
  <c r="M19" i="54" s="1"/>
  <c r="L20" i="54"/>
  <c r="M20" i="54" s="1"/>
  <c r="L21" i="54"/>
  <c r="M21" i="54" s="1"/>
  <c r="L8" i="54"/>
  <c r="M8" i="54" s="1"/>
  <c r="G10" i="32"/>
  <c r="G10" i="31"/>
  <c r="G10" i="29"/>
  <c r="G10" i="28"/>
  <c r="G10" i="27"/>
  <c r="G10" i="26"/>
  <c r="G10" i="25"/>
  <c r="G10" i="24"/>
  <c r="G10" i="23"/>
  <c r="G10" i="22"/>
  <c r="G10" i="21"/>
  <c r="G10" i="20"/>
  <c r="G10" i="19"/>
  <c r="G10" i="17"/>
  <c r="G10" i="16"/>
  <c r="G10" i="15"/>
  <c r="G10" i="14"/>
  <c r="G10" i="13"/>
  <c r="G10" i="12"/>
  <c r="G10" i="11"/>
  <c r="G10" i="37"/>
  <c r="G10" i="9"/>
  <c r="G10" i="8"/>
  <c r="G10" i="7"/>
  <c r="G10" i="6"/>
  <c r="G10" i="4"/>
  <c r="G10" i="3"/>
  <c r="G9" i="32"/>
  <c r="G9" i="31"/>
  <c r="G9" i="30"/>
  <c r="G9" i="29"/>
  <c r="G9" i="28"/>
  <c r="G9" i="26"/>
  <c r="G9" i="24"/>
  <c r="G9" i="23"/>
  <c r="G9" i="22"/>
  <c r="G9" i="21"/>
  <c r="G9" i="20"/>
  <c r="G9" i="18"/>
  <c r="G9" i="17"/>
  <c r="G9" i="16"/>
  <c r="G9" i="15"/>
  <c r="G9" i="14"/>
  <c r="G9" i="13"/>
  <c r="G9" i="12"/>
  <c r="G9" i="11"/>
  <c r="G9" i="37"/>
  <c r="G9" i="9"/>
  <c r="G9" i="8"/>
  <c r="G9" i="6"/>
  <c r="G9" i="5"/>
  <c r="G9" i="4"/>
  <c r="G9" i="3"/>
  <c r="G8" i="32"/>
  <c r="G8" i="31"/>
  <c r="G8" i="30"/>
  <c r="G8" i="29"/>
  <c r="G8" i="28"/>
  <c r="G8" i="27"/>
  <c r="G8" i="26"/>
  <c r="G8" i="25"/>
  <c r="G8" i="24"/>
  <c r="G8" i="23"/>
  <c r="G8" i="21"/>
  <c r="G8" i="20"/>
  <c r="G8" i="19"/>
  <c r="G8" i="18"/>
  <c r="G8" i="16"/>
  <c r="G8" i="15"/>
  <c r="G8" i="14"/>
  <c r="G8" i="13"/>
  <c r="G8" i="12"/>
  <c r="G8" i="11"/>
  <c r="G8" i="37"/>
  <c r="G8" i="9"/>
  <c r="G8" i="8"/>
  <c r="G8" i="7"/>
  <c r="G8" i="6"/>
  <c r="G8" i="5"/>
  <c r="G8" i="4"/>
  <c r="G8" i="3"/>
  <c r="AA1127" i="33"/>
  <c r="I37" i="2" s="1"/>
  <c r="AA1089" i="33"/>
  <c r="I36" i="2" s="1"/>
  <c r="AA408" i="33"/>
  <c r="I18" i="2" s="1"/>
  <c r="AA286" i="33"/>
  <c r="I15" i="2" s="1"/>
  <c r="AA131" i="33"/>
  <c r="I11" i="2" s="1"/>
  <c r="G10" i="2"/>
  <c r="M10" i="2" s="1"/>
  <c r="G9" i="2"/>
  <c r="M9" i="2" s="1"/>
  <c r="AA8" i="33"/>
  <c r="I8" i="2" s="1"/>
  <c r="BC69" i="32"/>
  <c r="BC68" i="32"/>
  <c r="J8" i="32"/>
  <c r="J9" i="32"/>
  <c r="J10" i="32"/>
  <c r="J8" i="31"/>
  <c r="J9" i="31"/>
  <c r="J10" i="31"/>
  <c r="J8" i="30"/>
  <c r="K8" i="30"/>
  <c r="J9" i="30"/>
  <c r="K9" i="30"/>
  <c r="J10" i="30"/>
  <c r="K10" i="30"/>
  <c r="G10" i="30"/>
  <c r="J8" i="29"/>
  <c r="J9" i="29"/>
  <c r="J10" i="29"/>
  <c r="J8" i="28"/>
  <c r="K8" i="28"/>
  <c r="J9" i="28"/>
  <c r="K9" i="28"/>
  <c r="J10" i="28"/>
  <c r="K10" i="28"/>
  <c r="J8" i="27"/>
  <c r="K8" i="27"/>
  <c r="J9" i="27"/>
  <c r="K9" i="27"/>
  <c r="J10" i="27"/>
  <c r="K10" i="27"/>
  <c r="J8" i="26"/>
  <c r="K8" i="26"/>
  <c r="J9" i="26"/>
  <c r="K9" i="26"/>
  <c r="J10" i="26"/>
  <c r="K10" i="26"/>
  <c r="J8" i="25"/>
  <c r="K8" i="25"/>
  <c r="J9" i="25"/>
  <c r="K9" i="25"/>
  <c r="J10" i="25"/>
  <c r="K10" i="25"/>
  <c r="J8" i="24"/>
  <c r="K8" i="24"/>
  <c r="J9" i="24"/>
  <c r="K9" i="24"/>
  <c r="J10" i="24"/>
  <c r="K10" i="24"/>
  <c r="J8" i="23"/>
  <c r="K8" i="23"/>
  <c r="J9" i="23"/>
  <c r="K9" i="23"/>
  <c r="J10" i="23"/>
  <c r="K10" i="23"/>
  <c r="J8" i="22"/>
  <c r="K8" i="22"/>
  <c r="J9" i="22"/>
  <c r="K9" i="22"/>
  <c r="J10" i="22"/>
  <c r="K10" i="22"/>
  <c r="J8" i="21"/>
  <c r="K8" i="21"/>
  <c r="J9" i="21"/>
  <c r="K9" i="21"/>
  <c r="J10" i="21"/>
  <c r="K10" i="21"/>
  <c r="J8" i="20"/>
  <c r="K8" i="20"/>
  <c r="J9" i="20"/>
  <c r="K9" i="20"/>
  <c r="J10" i="20"/>
  <c r="K10" i="20"/>
  <c r="J8" i="19"/>
  <c r="K8" i="19"/>
  <c r="J9" i="19"/>
  <c r="K9" i="19"/>
  <c r="J10" i="19"/>
  <c r="K10" i="19"/>
  <c r="J8" i="18"/>
  <c r="K8" i="18"/>
  <c r="J9" i="18"/>
  <c r="K9" i="18"/>
  <c r="J8" i="17"/>
  <c r="K8" i="17"/>
  <c r="J9" i="17"/>
  <c r="K9" i="17"/>
  <c r="J10" i="17"/>
  <c r="K10" i="17"/>
  <c r="Q5" i="2"/>
  <c r="Q5" i="3" s="1"/>
  <c r="Q5" i="4" s="1"/>
  <c r="Q5" i="5" s="1"/>
  <c r="Q5" i="6" s="1"/>
  <c r="Q5" i="7" s="1"/>
  <c r="Q5" i="8" s="1"/>
  <c r="Q5" i="9" s="1"/>
  <c r="Q5" i="37" s="1"/>
  <c r="Q5" i="11" s="1"/>
  <c r="Q5" i="12" s="1"/>
  <c r="Q5" i="13" s="1"/>
  <c r="Q5" i="14" s="1"/>
  <c r="Q5" i="15" s="1"/>
  <c r="Q5" i="16" s="1"/>
  <c r="Q5" i="17" s="1"/>
  <c r="Q5" i="18" s="1"/>
  <c r="Q5" i="19" s="1"/>
  <c r="Q5" i="20" s="1"/>
  <c r="Q5" i="21" s="1"/>
  <c r="Q5" i="22" s="1"/>
  <c r="Q5" i="23" s="1"/>
  <c r="Q5" i="24" s="1"/>
  <c r="Q5" i="25" s="1"/>
  <c r="Q5" i="26" s="1"/>
  <c r="Q5" i="27" s="1"/>
  <c r="Q5" i="28" s="1"/>
  <c r="Q5" i="29" s="1"/>
  <c r="Q5" i="30" s="1"/>
  <c r="Q5" i="31" s="1"/>
  <c r="Q5" i="32" s="1"/>
  <c r="BC73" i="32" s="1"/>
  <c r="Q39" i="2"/>
  <c r="Q39" i="3" s="1"/>
  <c r="Q39" i="4" s="1"/>
  <c r="Q39" i="5" s="1"/>
  <c r="Q39" i="6" s="1"/>
  <c r="Q39" i="7" s="1"/>
  <c r="Q39" i="8" s="1"/>
  <c r="Q39" i="9" s="1"/>
  <c r="Q39" i="37" s="1"/>
  <c r="Q39" i="11" s="1"/>
  <c r="Q39" i="12" s="1"/>
  <c r="Q39" i="13" s="1"/>
  <c r="Q39" i="14" s="1"/>
  <c r="Q39" i="15" s="1"/>
  <c r="Q39" i="16" s="1"/>
  <c r="Q39" i="17" s="1"/>
  <c r="Q39" i="18" s="1"/>
  <c r="Q39" i="19" s="1"/>
  <c r="Q39" i="20" s="1"/>
  <c r="Q39" i="21" s="1"/>
  <c r="Q39" i="22" s="1"/>
  <c r="Q39" i="23" s="1"/>
  <c r="Q39" i="24" s="1"/>
  <c r="Q39" i="25" s="1"/>
  <c r="Q39" i="26" s="1"/>
  <c r="Q39" i="27" s="1"/>
  <c r="Q39" i="28" s="1"/>
  <c r="Q39" i="29" s="1"/>
  <c r="Q39" i="30" s="1"/>
  <c r="Q39" i="31" s="1"/>
  <c r="Q39" i="32" s="1"/>
  <c r="Q34" i="3"/>
  <c r="Q35" i="4"/>
  <c r="Q35" i="5" s="1"/>
  <c r="Q35" i="6" s="1"/>
  <c r="Q35" i="7" s="1"/>
  <c r="Q35" i="8" s="1"/>
  <c r="Q35" i="9" s="1"/>
  <c r="Q35" i="37" s="1"/>
  <c r="Q35" i="11" s="1"/>
  <c r="Q35" i="12" s="1"/>
  <c r="Q35" i="13" s="1"/>
  <c r="Q35" i="14" s="1"/>
  <c r="Q35" i="15" s="1"/>
  <c r="Q35" i="16" s="1"/>
  <c r="Q35" i="17" s="1"/>
  <c r="Q35" i="18" s="1"/>
  <c r="Q35" i="19" s="1"/>
  <c r="Q35" i="20" s="1"/>
  <c r="Q35" i="21" s="1"/>
  <c r="Q35" i="22" s="1"/>
  <c r="Q35" i="23" s="1"/>
  <c r="Q35" i="24" s="1"/>
  <c r="Q35" i="25" s="1"/>
  <c r="Q35" i="26" s="1"/>
  <c r="Q35" i="27" s="1"/>
  <c r="Q35" i="28" s="1"/>
  <c r="Q35" i="29" s="1"/>
  <c r="Q35" i="30" s="1"/>
  <c r="Q35" i="31" s="1"/>
  <c r="Q35" i="32" s="1"/>
  <c r="J8" i="16"/>
  <c r="K8" i="16"/>
  <c r="J9" i="16"/>
  <c r="K9" i="16"/>
  <c r="J10" i="16"/>
  <c r="K10" i="16"/>
  <c r="J8" i="15"/>
  <c r="K8" i="15"/>
  <c r="J9" i="15"/>
  <c r="K9" i="15"/>
  <c r="J10" i="15"/>
  <c r="K10" i="15"/>
  <c r="J8" i="14"/>
  <c r="K8" i="14"/>
  <c r="J9" i="14"/>
  <c r="K9" i="14"/>
  <c r="J10" i="14"/>
  <c r="K10" i="14"/>
  <c r="J8" i="13"/>
  <c r="K8" i="13"/>
  <c r="J9" i="13"/>
  <c r="K9" i="13"/>
  <c r="J10" i="13"/>
  <c r="K10" i="13"/>
  <c r="J8" i="12"/>
  <c r="K8" i="12"/>
  <c r="J9" i="12"/>
  <c r="K9" i="12"/>
  <c r="J10" i="12"/>
  <c r="K10" i="12"/>
  <c r="J8" i="11"/>
  <c r="K8" i="11"/>
  <c r="J9" i="11"/>
  <c r="K9" i="11"/>
  <c r="J10" i="11"/>
  <c r="K10" i="11"/>
  <c r="J8" i="37"/>
  <c r="K8" i="37"/>
  <c r="J9" i="37"/>
  <c r="K9" i="37"/>
  <c r="J10" i="37"/>
  <c r="K10" i="37"/>
  <c r="J8" i="9"/>
  <c r="K8" i="9"/>
  <c r="J9" i="9"/>
  <c r="K9" i="9"/>
  <c r="J10" i="9"/>
  <c r="K10" i="9"/>
  <c r="J8" i="8"/>
  <c r="K8" i="8"/>
  <c r="J9" i="8"/>
  <c r="K9" i="8"/>
  <c r="J10" i="8"/>
  <c r="K10" i="8"/>
  <c r="J8" i="7"/>
  <c r="K8" i="7"/>
  <c r="J9" i="7"/>
  <c r="K9" i="7"/>
  <c r="J10" i="7"/>
  <c r="K10" i="7"/>
  <c r="G9" i="7"/>
  <c r="J8" i="6"/>
  <c r="K8" i="6"/>
  <c r="J9" i="6"/>
  <c r="K9" i="6"/>
  <c r="J10" i="6"/>
  <c r="K10" i="6"/>
  <c r="J8" i="5"/>
  <c r="K8" i="5"/>
  <c r="J9" i="5"/>
  <c r="K9" i="5"/>
  <c r="J10" i="5"/>
  <c r="K10" i="5"/>
  <c r="J8" i="4"/>
  <c r="K8" i="4"/>
  <c r="J9" i="4"/>
  <c r="K9" i="4"/>
  <c r="J10" i="4"/>
  <c r="K10" i="4"/>
  <c r="J8" i="3"/>
  <c r="K8" i="3"/>
  <c r="J9" i="3"/>
  <c r="K9" i="3"/>
  <c r="J10" i="3"/>
  <c r="K10" i="3"/>
  <c r="N22" i="3"/>
  <c r="N22" i="4" s="1"/>
  <c r="N22" i="5" s="1"/>
  <c r="N22" i="6" s="1"/>
  <c r="N22" i="7" s="1"/>
  <c r="N35" i="3"/>
  <c r="N35" i="4" s="1"/>
  <c r="N35" i="5" s="1"/>
  <c r="N35" i="6" s="1"/>
  <c r="N35" i="7" s="1"/>
  <c r="H9" i="2"/>
  <c r="J9" i="2"/>
  <c r="N9" i="2" s="1"/>
  <c r="K9" i="2"/>
  <c r="H10" i="2"/>
  <c r="J10" i="2"/>
  <c r="N10" i="2" s="1"/>
  <c r="K10" i="2"/>
  <c r="N50" i="15"/>
  <c r="V58" i="2"/>
  <c r="W58" i="2"/>
  <c r="X58" i="2"/>
  <c r="Y58" i="2"/>
  <c r="Z58" i="2"/>
  <c r="AA58" i="2"/>
  <c r="AB58" i="2"/>
  <c r="AC58" i="2"/>
  <c r="AD58" i="2"/>
  <c r="AE58" i="2"/>
  <c r="AG58" i="2"/>
  <c r="AJ58" i="2"/>
  <c r="T58" i="2"/>
  <c r="C28" i="49"/>
  <c r="Q34" i="2"/>
  <c r="Q34" i="4" s="1"/>
  <c r="Q34" i="5" s="1"/>
  <c r="Q34" i="6" s="1"/>
  <c r="Q34" i="7" s="1"/>
  <c r="Q34" i="8" s="1"/>
  <c r="Q34" i="9" s="1"/>
  <c r="Q34" i="37" s="1"/>
  <c r="Q34" i="11" s="1"/>
  <c r="Q34" i="12" s="1"/>
  <c r="Q34" i="13" s="1"/>
  <c r="Q34" i="14" s="1"/>
  <c r="Q34" i="15" s="1"/>
  <c r="Q34" i="16" s="1"/>
  <c r="Q34" i="17" s="1"/>
  <c r="Q34" i="18" s="1"/>
  <c r="Q34" i="19" s="1"/>
  <c r="Q34" i="20" s="1"/>
  <c r="Q34" i="21" s="1"/>
  <c r="Q34" i="22" s="1"/>
  <c r="Q34" i="23" s="1"/>
  <c r="Q34" i="24" s="1"/>
  <c r="Q34" i="25" s="1"/>
  <c r="Q34" i="26" s="1"/>
  <c r="Q34" i="27" s="1"/>
  <c r="Q34" i="28" s="1"/>
  <c r="Q34" i="29" s="1"/>
  <c r="Q34" i="30" s="1"/>
  <c r="Q34" i="31" s="1"/>
  <c r="Q34" i="32" s="1"/>
  <c r="B22" i="2"/>
  <c r="D22" i="2" s="1"/>
  <c r="C22" i="3" s="1"/>
  <c r="B22" i="32"/>
  <c r="B22" i="31"/>
  <c r="B22" i="30"/>
  <c r="B22" i="29"/>
  <c r="B22" i="28"/>
  <c r="B22" i="27"/>
  <c r="B22" i="26"/>
  <c r="B22" i="25"/>
  <c r="B22" i="24"/>
  <c r="B22" i="23"/>
  <c r="B22" i="22"/>
  <c r="B22" i="21"/>
  <c r="B22" i="20"/>
  <c r="B22" i="19"/>
  <c r="B22" i="18"/>
  <c r="B22" i="17"/>
  <c r="B22" i="16"/>
  <c r="B22" i="15"/>
  <c r="B22" i="14"/>
  <c r="B22" i="13"/>
  <c r="B22" i="12"/>
  <c r="B22" i="11"/>
  <c r="B22" i="37"/>
  <c r="B22" i="7"/>
  <c r="B22" i="6"/>
  <c r="B22" i="5"/>
  <c r="B22" i="4"/>
  <c r="B22" i="3"/>
  <c r="Z10" i="3"/>
  <c r="Z10" i="4" s="1"/>
  <c r="Z10" i="5" s="1"/>
  <c r="Z10" i="6" s="1"/>
  <c r="Z10" i="7" s="1"/>
  <c r="Z10" i="8" s="1"/>
  <c r="Z10" i="9" s="1"/>
  <c r="Z10" i="37" s="1"/>
  <c r="Z10" i="11" s="1"/>
  <c r="Z10" i="12" s="1"/>
  <c r="Z10" i="13" s="1"/>
  <c r="Z10" i="14" s="1"/>
  <c r="Z10" i="15" s="1"/>
  <c r="Z10" i="16" s="1"/>
  <c r="Z10" i="17" s="1"/>
  <c r="Z19" i="3"/>
  <c r="Z19" i="4" s="1"/>
  <c r="Z19" i="5" s="1"/>
  <c r="Z20" i="3"/>
  <c r="Z20" i="4" s="1"/>
  <c r="Z20" i="5" s="1"/>
  <c r="Z20" i="6" s="1"/>
  <c r="Z20" i="7" s="1"/>
  <c r="Z20" i="8" s="1"/>
  <c r="Z20" i="9" s="1"/>
  <c r="Z20" i="37" s="1"/>
  <c r="Z20" i="11" s="1"/>
  <c r="Z20" i="12" s="1"/>
  <c r="Z20" i="13" s="1"/>
  <c r="Z21" i="3"/>
  <c r="Z21" i="4" s="1"/>
  <c r="Z21" i="5" s="1"/>
  <c r="Z21" i="6" s="1"/>
  <c r="Z21" i="7" s="1"/>
  <c r="Z21" i="8" s="1"/>
  <c r="Z21" i="9" s="1"/>
  <c r="Z21" i="37" s="1"/>
  <c r="Z21" i="11" s="1"/>
  <c r="Z21" i="12" s="1"/>
  <c r="Z21" i="13" s="1"/>
  <c r="Z22" i="3"/>
  <c r="Z22" i="4" s="1"/>
  <c r="Z22" i="5" s="1"/>
  <c r="Z22" i="6" s="1"/>
  <c r="Z22" i="7" s="1"/>
  <c r="Z22" i="8" s="1"/>
  <c r="Z22" i="9" s="1"/>
  <c r="Z22" i="37" s="1"/>
  <c r="Z22" i="11" s="1"/>
  <c r="Z22" i="12" s="1"/>
  <c r="Z22" i="13" s="1"/>
  <c r="Z23" i="3"/>
  <c r="Z23" i="4" s="1"/>
  <c r="Z23" i="5" s="1"/>
  <c r="Z23" i="6" s="1"/>
  <c r="Z23" i="7" s="1"/>
  <c r="Z23" i="8" s="1"/>
  <c r="Z23" i="9" s="1"/>
  <c r="Z23" i="37" s="1"/>
  <c r="Z23" i="11" s="1"/>
  <c r="Z23" i="12" s="1"/>
  <c r="Z23" i="13" s="1"/>
  <c r="Z24" i="3"/>
  <c r="Z24" i="4" s="1"/>
  <c r="Z24" i="5" s="1"/>
  <c r="Z24" i="6" s="1"/>
  <c r="Z24" i="7" s="1"/>
  <c r="Z24" i="8" s="1"/>
  <c r="Z24" i="9" s="1"/>
  <c r="Z24" i="37" s="1"/>
  <c r="Z24" i="11" s="1"/>
  <c r="Z24" i="12" s="1"/>
  <c r="Z24" i="13" s="1"/>
  <c r="Z25" i="3"/>
  <c r="Z25" i="4" s="1"/>
  <c r="Z25" i="5" s="1"/>
  <c r="Z25" i="6" s="1"/>
  <c r="Z25" i="7" s="1"/>
  <c r="Z25" i="8" s="1"/>
  <c r="Z25" i="9" s="1"/>
  <c r="Z25" i="37" s="1"/>
  <c r="Z25" i="11" s="1"/>
  <c r="Z25" i="12" s="1"/>
  <c r="Z25" i="13" s="1"/>
  <c r="Z26" i="3"/>
  <c r="Z26" i="4" s="1"/>
  <c r="Z26" i="5" s="1"/>
  <c r="Z26" i="6" s="1"/>
  <c r="Z26" i="7" s="1"/>
  <c r="Z26" i="8" s="1"/>
  <c r="Z26" i="9" s="1"/>
  <c r="Z26" i="37" s="1"/>
  <c r="Z26" i="11" s="1"/>
  <c r="Z26" i="12" s="1"/>
  <c r="Z26" i="13" s="1"/>
  <c r="Z27" i="3"/>
  <c r="Z27" i="4" s="1"/>
  <c r="Z27" i="5" s="1"/>
  <c r="Z27" i="6" s="1"/>
  <c r="Z27" i="7" s="1"/>
  <c r="Z27" i="8" s="1"/>
  <c r="Z27" i="9" s="1"/>
  <c r="Z27" i="37" s="1"/>
  <c r="Z27" i="11" s="1"/>
  <c r="Z27" i="12" s="1"/>
  <c r="Z27" i="13" s="1"/>
  <c r="Z28" i="3"/>
  <c r="Z28" i="4" s="1"/>
  <c r="Z28" i="5" s="1"/>
  <c r="Z28" i="6" s="1"/>
  <c r="Z28" i="7" s="1"/>
  <c r="Z28" i="8" s="1"/>
  <c r="Z28" i="9" s="1"/>
  <c r="Z28" i="37" s="1"/>
  <c r="Z28" i="11" s="1"/>
  <c r="Z28" i="12" s="1"/>
  <c r="Z28" i="13" s="1"/>
  <c r="Z29" i="3"/>
  <c r="Z29" i="4" s="1"/>
  <c r="Z29" i="5" s="1"/>
  <c r="Z29" i="6" s="1"/>
  <c r="Z29" i="7" s="1"/>
  <c r="Z29" i="8" s="1"/>
  <c r="Z29" i="9" s="1"/>
  <c r="Z29" i="37" s="1"/>
  <c r="Z29" i="11" s="1"/>
  <c r="Z29" i="12" s="1"/>
  <c r="Z29" i="13" s="1"/>
  <c r="Z30" i="3"/>
  <c r="Z30" i="4" s="1"/>
  <c r="Z30" i="5" s="1"/>
  <c r="Z30" i="6" s="1"/>
  <c r="Z30" i="7" s="1"/>
  <c r="Z30" i="8" s="1"/>
  <c r="Z30" i="9" s="1"/>
  <c r="Z30" i="37" s="1"/>
  <c r="Z30" i="11" s="1"/>
  <c r="Z30" i="12" s="1"/>
  <c r="Z30" i="13" s="1"/>
  <c r="Z30" i="14" s="1"/>
  <c r="Z31" i="3"/>
  <c r="Z31" i="4" s="1"/>
  <c r="Z31" i="5" s="1"/>
  <c r="Z31" i="6" s="1"/>
  <c r="Z31" i="7" s="1"/>
  <c r="Z31" i="8" s="1"/>
  <c r="Z31" i="9" s="1"/>
  <c r="Z31" i="37" s="1"/>
  <c r="Z31" i="11" s="1"/>
  <c r="Z31" i="12" s="1"/>
  <c r="Z31" i="13" s="1"/>
  <c r="Z31" i="14" s="1"/>
  <c r="Z32" i="3"/>
  <c r="Z32" i="4" s="1"/>
  <c r="Z32" i="5" s="1"/>
  <c r="Z32" i="6" s="1"/>
  <c r="Z32" i="7" s="1"/>
  <c r="Z32" i="8" s="1"/>
  <c r="Z32" i="9" s="1"/>
  <c r="Z32" i="37" s="1"/>
  <c r="Z32" i="11" s="1"/>
  <c r="Z32" i="12" s="1"/>
  <c r="Z32" i="13" s="1"/>
  <c r="Z32" i="14" s="1"/>
  <c r="Z33" i="3"/>
  <c r="Z33" i="4" s="1"/>
  <c r="Z33" i="5" s="1"/>
  <c r="Z33" i="6" s="1"/>
  <c r="Z33" i="7" s="1"/>
  <c r="Z33" i="8" s="1"/>
  <c r="Z33" i="9" s="1"/>
  <c r="Z33" i="37" s="1"/>
  <c r="Z33" i="11" s="1"/>
  <c r="Z33" i="12" s="1"/>
  <c r="Z33" i="13" s="1"/>
  <c r="Z34" i="3"/>
  <c r="Z34" i="4" s="1"/>
  <c r="Z34" i="5" s="1"/>
  <c r="Z34" i="6" s="1"/>
  <c r="Z34" i="7" s="1"/>
  <c r="Z34" i="8" s="1"/>
  <c r="Z34" i="9" s="1"/>
  <c r="Z34" i="37" s="1"/>
  <c r="Z34" i="11" s="1"/>
  <c r="Z34" i="12" s="1"/>
  <c r="Z34" i="13" s="1"/>
  <c r="Z35" i="3"/>
  <c r="Z35" i="4" s="1"/>
  <c r="Z35" i="5" s="1"/>
  <c r="Z35" i="6" s="1"/>
  <c r="Z35" i="7" s="1"/>
  <c r="Z35" i="8" s="1"/>
  <c r="Z35" i="9" s="1"/>
  <c r="Z35" i="37" s="1"/>
  <c r="Z35" i="11" s="1"/>
  <c r="Z35" i="12" s="1"/>
  <c r="Z35" i="13" s="1"/>
  <c r="Z36" i="3"/>
  <c r="Z36" i="4" s="1"/>
  <c r="Z36" i="5" s="1"/>
  <c r="Z36" i="6" s="1"/>
  <c r="Z36" i="7" s="1"/>
  <c r="Z36" i="8" s="1"/>
  <c r="Z36" i="9" s="1"/>
  <c r="Z36" i="37" s="1"/>
  <c r="Z36" i="11" s="1"/>
  <c r="Z36" i="12" s="1"/>
  <c r="Z36" i="13" s="1"/>
  <c r="Z37" i="3"/>
  <c r="Z37" i="4" s="1"/>
  <c r="Z37" i="5" s="1"/>
  <c r="Z37" i="6" s="1"/>
  <c r="Z37" i="7" s="1"/>
  <c r="Z37" i="8" s="1"/>
  <c r="Z37" i="9" s="1"/>
  <c r="Z37" i="37" s="1"/>
  <c r="Z37" i="11" s="1"/>
  <c r="Z37" i="12" s="1"/>
  <c r="Z37" i="13" s="1"/>
  <c r="Z38" i="3"/>
  <c r="Z38" i="4" s="1"/>
  <c r="Z38" i="5" s="1"/>
  <c r="Z38" i="6" s="1"/>
  <c r="Z38" i="7" s="1"/>
  <c r="Z38" i="8" s="1"/>
  <c r="Z38" i="9" s="1"/>
  <c r="Z38" i="37" s="1"/>
  <c r="Z38" i="11" s="1"/>
  <c r="Z38" i="12" s="1"/>
  <c r="Z38" i="13" s="1"/>
  <c r="Z39" i="3"/>
  <c r="Z39" i="4" s="1"/>
  <c r="Z39" i="5" s="1"/>
  <c r="Z39" i="6" s="1"/>
  <c r="Z39" i="7" s="1"/>
  <c r="Z39" i="8" s="1"/>
  <c r="Z39" i="9" s="1"/>
  <c r="Z39" i="37" s="1"/>
  <c r="Z39" i="11" s="1"/>
  <c r="Z39" i="12" s="1"/>
  <c r="Z39" i="13" s="1"/>
  <c r="Z40" i="3"/>
  <c r="Z40" i="4" s="1"/>
  <c r="Z40" i="5" s="1"/>
  <c r="Z40" i="6" s="1"/>
  <c r="Z40" i="7" s="1"/>
  <c r="Z40" i="8" s="1"/>
  <c r="Z40" i="9" s="1"/>
  <c r="Z40" i="37" s="1"/>
  <c r="Z40" i="11" s="1"/>
  <c r="Z40" i="12" s="1"/>
  <c r="Z40" i="13" s="1"/>
  <c r="Z41" i="3"/>
  <c r="Z41" i="4" s="1"/>
  <c r="Z41" i="5" s="1"/>
  <c r="Z41" i="6" s="1"/>
  <c r="Z41" i="7" s="1"/>
  <c r="Z41" i="8" s="1"/>
  <c r="Z41" i="9" s="1"/>
  <c r="Z41" i="37" s="1"/>
  <c r="Z41" i="11" s="1"/>
  <c r="Z41" i="12" s="1"/>
  <c r="Z41" i="13" s="1"/>
  <c r="Z42" i="3"/>
  <c r="Z42" i="4" s="1"/>
  <c r="Z42" i="5" s="1"/>
  <c r="Z42" i="6" s="1"/>
  <c r="Z42" i="7" s="1"/>
  <c r="Z42" i="8" s="1"/>
  <c r="Z42" i="9" s="1"/>
  <c r="Z42" i="37" s="1"/>
  <c r="Z42" i="11" s="1"/>
  <c r="Z42" i="12" s="1"/>
  <c r="Z42" i="13" s="1"/>
  <c r="Z9" i="3"/>
  <c r="Z9" i="4" s="1"/>
  <c r="Z9" i="5" s="1"/>
  <c r="Z9" i="6" s="1"/>
  <c r="Z9" i="7" s="1"/>
  <c r="Z9" i="8" s="1"/>
  <c r="Z9" i="9" s="1"/>
  <c r="Z9" i="37" s="1"/>
  <c r="Z9" i="11" s="1"/>
  <c r="Z9" i="12" s="1"/>
  <c r="Z9" i="13" s="1"/>
  <c r="Z9" i="14" s="1"/>
  <c r="Z9" i="15" s="1"/>
  <c r="Z9" i="16" s="1"/>
  <c r="Z9" i="17" s="1"/>
  <c r="Z9" i="18" s="1"/>
  <c r="Z9" i="19" s="1"/>
  <c r="Z9" i="20" s="1"/>
  <c r="Z9" i="21" s="1"/>
  <c r="Z9" i="22" s="1"/>
  <c r="Z9" i="23" s="1"/>
  <c r="Z9" i="24" s="1"/>
  <c r="Z9" i="25" s="1"/>
  <c r="Z9" i="26" s="1"/>
  <c r="Z9" i="27" s="1"/>
  <c r="Z9" i="28" s="1"/>
  <c r="Z9" i="29" s="1"/>
  <c r="Z9" i="30" s="1"/>
  <c r="Z9" i="31" s="1"/>
  <c r="Z9" i="32" s="1"/>
  <c r="Z8" i="3"/>
  <c r="Z8" i="4" s="1"/>
  <c r="Z8" i="5" s="1"/>
  <c r="Z8" i="6" s="1"/>
  <c r="Z8" i="7" s="1"/>
  <c r="Z8" i="8" s="1"/>
  <c r="Z8" i="9" s="1"/>
  <c r="Z8" i="37" s="1"/>
  <c r="Z8" i="11" s="1"/>
  <c r="Z8" i="12" s="1"/>
  <c r="S10" i="3"/>
  <c r="S10" i="4" s="1"/>
  <c r="S10" i="5" s="1"/>
  <c r="S10" i="6" s="1"/>
  <c r="S10" i="7" s="1"/>
  <c r="S10" i="8" s="1"/>
  <c r="S10" i="9" s="1"/>
  <c r="S10" i="37" s="1"/>
  <c r="S10" i="11" s="1"/>
  <c r="S10" i="12" s="1"/>
  <c r="S10" i="13" s="1"/>
  <c r="S10" i="14" s="1"/>
  <c r="S10" i="15" s="1"/>
  <c r="S10" i="16" s="1"/>
  <c r="S10" i="17" s="1"/>
  <c r="S10" i="18" s="1"/>
  <c r="S10" i="19" s="1"/>
  <c r="S10" i="20" s="1"/>
  <c r="S19" i="3"/>
  <c r="S19" i="4" s="1"/>
  <c r="S19" i="5" s="1"/>
  <c r="S19" i="6" s="1"/>
  <c r="S19" i="7" s="1"/>
  <c r="S19" i="8" s="1"/>
  <c r="S19" i="9" s="1"/>
  <c r="S19" i="37" s="1"/>
  <c r="S19" i="11" s="1"/>
  <c r="S19" i="12" s="1"/>
  <c r="S20" i="3"/>
  <c r="S20" i="4" s="1"/>
  <c r="S20" i="5" s="1"/>
  <c r="S20" i="6" s="1"/>
  <c r="S20" i="7" s="1"/>
  <c r="S20" i="8" s="1"/>
  <c r="S20" i="9" s="1"/>
  <c r="S20" i="37" s="1"/>
  <c r="S20" i="11" s="1"/>
  <c r="S20" i="12" s="1"/>
  <c r="S21" i="3"/>
  <c r="S21" i="4" s="1"/>
  <c r="S21" i="5" s="1"/>
  <c r="S21" i="6" s="1"/>
  <c r="S21" i="7" s="1"/>
  <c r="S21" i="8" s="1"/>
  <c r="S21" i="9" s="1"/>
  <c r="S21" i="37" s="1"/>
  <c r="S21" i="11" s="1"/>
  <c r="S21" i="12" s="1"/>
  <c r="S22" i="3"/>
  <c r="S22" i="4" s="1"/>
  <c r="S22" i="5" s="1"/>
  <c r="S22" i="6" s="1"/>
  <c r="S22" i="7" s="1"/>
  <c r="S22" i="8" s="1"/>
  <c r="S22" i="9" s="1"/>
  <c r="S22" i="37" s="1"/>
  <c r="S22" i="11" s="1"/>
  <c r="S22" i="12" s="1"/>
  <c r="S22" i="13" s="1"/>
  <c r="S23" i="3"/>
  <c r="S23" i="4" s="1"/>
  <c r="S23" i="5" s="1"/>
  <c r="S23" i="6" s="1"/>
  <c r="S23" i="7" s="1"/>
  <c r="S23" i="8" s="1"/>
  <c r="S23" i="9" s="1"/>
  <c r="S23" i="37" s="1"/>
  <c r="S23" i="11" s="1"/>
  <c r="S23" i="12" s="1"/>
  <c r="S23" i="13" s="1"/>
  <c r="S24" i="3"/>
  <c r="S24" i="4" s="1"/>
  <c r="S24" i="5" s="1"/>
  <c r="S24" i="6" s="1"/>
  <c r="S24" i="7" s="1"/>
  <c r="S24" i="8" s="1"/>
  <c r="S24" i="9" s="1"/>
  <c r="S24" i="37" s="1"/>
  <c r="S24" i="11" s="1"/>
  <c r="S24" i="12" s="1"/>
  <c r="S24" i="13" s="1"/>
  <c r="S25" i="3"/>
  <c r="S25" i="4" s="1"/>
  <c r="S25" i="5" s="1"/>
  <c r="S25" i="6" s="1"/>
  <c r="S25" i="7" s="1"/>
  <c r="S25" i="8" s="1"/>
  <c r="S25" i="9" s="1"/>
  <c r="S25" i="37" s="1"/>
  <c r="S25" i="11" s="1"/>
  <c r="S25" i="12" s="1"/>
  <c r="S25" i="13" s="1"/>
  <c r="S26" i="3"/>
  <c r="S26" i="4" s="1"/>
  <c r="S26" i="5" s="1"/>
  <c r="S26" i="6" s="1"/>
  <c r="S26" i="7" s="1"/>
  <c r="S26" i="8" s="1"/>
  <c r="S26" i="9" s="1"/>
  <c r="S26" i="37" s="1"/>
  <c r="S26" i="11" s="1"/>
  <c r="S26" i="12" s="1"/>
  <c r="S26" i="13" s="1"/>
  <c r="S27" i="3"/>
  <c r="S27" i="4" s="1"/>
  <c r="S27" i="5" s="1"/>
  <c r="S27" i="6" s="1"/>
  <c r="S27" i="7" s="1"/>
  <c r="S27" i="8" s="1"/>
  <c r="S27" i="9" s="1"/>
  <c r="S27" i="37" s="1"/>
  <c r="S27" i="11" s="1"/>
  <c r="S27" i="12" s="1"/>
  <c r="S27" i="13" s="1"/>
  <c r="S27" i="14" s="1"/>
  <c r="S27" i="15" s="1"/>
  <c r="S27" i="16" s="1"/>
  <c r="S27" i="17" s="1"/>
  <c r="S27" i="18" s="1"/>
  <c r="S28" i="3"/>
  <c r="S28" i="4" s="1"/>
  <c r="S28" i="5" s="1"/>
  <c r="S28" i="6" s="1"/>
  <c r="S28" i="7" s="1"/>
  <c r="S28" i="8" s="1"/>
  <c r="S28" i="9" s="1"/>
  <c r="S28" i="37" s="1"/>
  <c r="S28" i="11" s="1"/>
  <c r="S28" i="12" s="1"/>
  <c r="S28" i="13" s="1"/>
  <c r="S28" i="14" s="1"/>
  <c r="S28" i="15" s="1"/>
  <c r="S28" i="16" s="1"/>
  <c r="S28" i="17" s="1"/>
  <c r="S28" i="18" s="1"/>
  <c r="S29" i="3"/>
  <c r="S29" i="4" s="1"/>
  <c r="S29" i="5" s="1"/>
  <c r="S29" i="6" s="1"/>
  <c r="S29" i="7" s="1"/>
  <c r="S29" i="8" s="1"/>
  <c r="S29" i="9" s="1"/>
  <c r="S29" i="37" s="1"/>
  <c r="S29" i="11" s="1"/>
  <c r="S29" i="12" s="1"/>
  <c r="S29" i="13" s="1"/>
  <c r="S29" i="14" s="1"/>
  <c r="S29" i="15" s="1"/>
  <c r="S29" i="16" s="1"/>
  <c r="S29" i="17" s="1"/>
  <c r="S29" i="18" s="1"/>
  <c r="S30" i="3"/>
  <c r="S30" i="4" s="1"/>
  <c r="S30" i="5" s="1"/>
  <c r="S30" i="6" s="1"/>
  <c r="S30" i="7" s="1"/>
  <c r="S30" i="8" s="1"/>
  <c r="S30" i="9" s="1"/>
  <c r="S30" i="37" s="1"/>
  <c r="S30" i="11" s="1"/>
  <c r="S30" i="12" s="1"/>
  <c r="S30" i="13" s="1"/>
  <c r="S30" i="14" s="1"/>
  <c r="S30" i="15" s="1"/>
  <c r="S30" i="16" s="1"/>
  <c r="S30" i="17" s="1"/>
  <c r="S30" i="18" s="1"/>
  <c r="S31" i="3"/>
  <c r="S31" i="4" s="1"/>
  <c r="S31" i="5" s="1"/>
  <c r="S31" i="6" s="1"/>
  <c r="S31" i="7" s="1"/>
  <c r="S31" i="8" s="1"/>
  <c r="S31" i="9" s="1"/>
  <c r="S31" i="37" s="1"/>
  <c r="S31" i="11" s="1"/>
  <c r="S31" i="12" s="1"/>
  <c r="S31" i="13" s="1"/>
  <c r="S31" i="14" s="1"/>
  <c r="S31" i="15" s="1"/>
  <c r="S31" i="16" s="1"/>
  <c r="S31" i="17" s="1"/>
  <c r="S31" i="18" s="1"/>
  <c r="S32" i="3"/>
  <c r="S32" i="4" s="1"/>
  <c r="S32" i="5" s="1"/>
  <c r="S32" i="6" s="1"/>
  <c r="S32" i="7" s="1"/>
  <c r="S32" i="8" s="1"/>
  <c r="S32" i="9" s="1"/>
  <c r="S32" i="37" s="1"/>
  <c r="S32" i="11" s="1"/>
  <c r="S32" i="12" s="1"/>
  <c r="S32" i="13" s="1"/>
  <c r="S32" i="14" s="1"/>
  <c r="S32" i="15" s="1"/>
  <c r="S32" i="16" s="1"/>
  <c r="S32" i="17" s="1"/>
  <c r="S32" i="18" s="1"/>
  <c r="S33" i="3"/>
  <c r="S33" i="4" s="1"/>
  <c r="S33" i="5" s="1"/>
  <c r="S33" i="6" s="1"/>
  <c r="S33" i="7" s="1"/>
  <c r="S33" i="8" s="1"/>
  <c r="S33" i="9" s="1"/>
  <c r="S33" i="37" s="1"/>
  <c r="S33" i="11" s="1"/>
  <c r="S33" i="12" s="1"/>
  <c r="S33" i="13" s="1"/>
  <c r="S33" i="14" s="1"/>
  <c r="S33" i="15" s="1"/>
  <c r="S33" i="16" s="1"/>
  <c r="S33" i="17" s="1"/>
  <c r="S33" i="18" s="1"/>
  <c r="S34" i="3"/>
  <c r="S34" i="4" s="1"/>
  <c r="S34" i="5" s="1"/>
  <c r="S34" i="6" s="1"/>
  <c r="S34" i="7" s="1"/>
  <c r="S34" i="8" s="1"/>
  <c r="S34" i="9" s="1"/>
  <c r="S34" i="37" s="1"/>
  <c r="S34" i="11" s="1"/>
  <c r="S34" i="12" s="1"/>
  <c r="S34" i="13" s="1"/>
  <c r="S34" i="14" s="1"/>
  <c r="S34" i="15" s="1"/>
  <c r="S34" i="16" s="1"/>
  <c r="S34" i="17" s="1"/>
  <c r="S34" i="18" s="1"/>
  <c r="S35" i="3"/>
  <c r="S35" i="4" s="1"/>
  <c r="S35" i="5" s="1"/>
  <c r="S35" i="6" s="1"/>
  <c r="S35" i="7" s="1"/>
  <c r="S35" i="8" s="1"/>
  <c r="S35" i="9" s="1"/>
  <c r="S35" i="37" s="1"/>
  <c r="S35" i="11" s="1"/>
  <c r="S35" i="12" s="1"/>
  <c r="S35" i="13" s="1"/>
  <c r="S35" i="14" s="1"/>
  <c r="S35" i="15" s="1"/>
  <c r="S35" i="16" s="1"/>
  <c r="S35" i="17" s="1"/>
  <c r="S35" i="18" s="1"/>
  <c r="S36" i="3"/>
  <c r="S36" i="4" s="1"/>
  <c r="S36" i="5" s="1"/>
  <c r="S36" i="6" s="1"/>
  <c r="S36" i="7" s="1"/>
  <c r="S36" i="8" s="1"/>
  <c r="S36" i="9" s="1"/>
  <c r="S36" i="37" s="1"/>
  <c r="S36" i="11" s="1"/>
  <c r="S36" i="12" s="1"/>
  <c r="S36" i="13" s="1"/>
  <c r="S36" i="14" s="1"/>
  <c r="S36" i="15" s="1"/>
  <c r="S36" i="16" s="1"/>
  <c r="S36" i="17" s="1"/>
  <c r="S36" i="18" s="1"/>
  <c r="S37" i="3"/>
  <c r="S37" i="4" s="1"/>
  <c r="S37" i="5" s="1"/>
  <c r="S37" i="6" s="1"/>
  <c r="S37" i="7" s="1"/>
  <c r="S37" i="8" s="1"/>
  <c r="S37" i="9" s="1"/>
  <c r="S37" i="37" s="1"/>
  <c r="S37" i="11" s="1"/>
  <c r="S37" i="12" s="1"/>
  <c r="S37" i="13" s="1"/>
  <c r="S37" i="14" s="1"/>
  <c r="S37" i="15" s="1"/>
  <c r="S37" i="16" s="1"/>
  <c r="S38" i="3"/>
  <c r="S38" i="4" s="1"/>
  <c r="S38" i="5" s="1"/>
  <c r="S38" i="6" s="1"/>
  <c r="S38" i="7" s="1"/>
  <c r="S38" i="8" s="1"/>
  <c r="S38" i="9" s="1"/>
  <c r="S38" i="37" s="1"/>
  <c r="S38" i="11" s="1"/>
  <c r="S38" i="12" s="1"/>
  <c r="S38" i="13" s="1"/>
  <c r="S38" i="14" s="1"/>
  <c r="S38" i="15" s="1"/>
  <c r="S38" i="16" s="1"/>
  <c r="S39" i="3"/>
  <c r="S39" i="4" s="1"/>
  <c r="S39" i="5" s="1"/>
  <c r="S39" i="6" s="1"/>
  <c r="S39" i="7" s="1"/>
  <c r="S39" i="8" s="1"/>
  <c r="S39" i="9" s="1"/>
  <c r="S39" i="37" s="1"/>
  <c r="S39" i="11" s="1"/>
  <c r="S39" i="12" s="1"/>
  <c r="S39" i="13" s="1"/>
  <c r="S39" i="14" s="1"/>
  <c r="S39" i="15" s="1"/>
  <c r="S39" i="16" s="1"/>
  <c r="S40" i="3"/>
  <c r="S40" i="4" s="1"/>
  <c r="S40" i="5" s="1"/>
  <c r="S40" i="6" s="1"/>
  <c r="S40" i="7" s="1"/>
  <c r="S40" i="8" s="1"/>
  <c r="S40" i="9" s="1"/>
  <c r="S40" i="37" s="1"/>
  <c r="S40" i="11" s="1"/>
  <c r="S40" i="12" s="1"/>
  <c r="S40" i="13" s="1"/>
  <c r="S40" i="14" s="1"/>
  <c r="S40" i="15" s="1"/>
  <c r="S40" i="16" s="1"/>
  <c r="S41" i="3"/>
  <c r="S41" i="4" s="1"/>
  <c r="S41" i="5" s="1"/>
  <c r="S41" i="6" s="1"/>
  <c r="S41" i="7" s="1"/>
  <c r="S41" i="8" s="1"/>
  <c r="S41" i="9" s="1"/>
  <c r="S41" i="37" s="1"/>
  <c r="S41" i="11" s="1"/>
  <c r="S41" i="12" s="1"/>
  <c r="S41" i="13" s="1"/>
  <c r="S41" i="14" s="1"/>
  <c r="S41" i="15" s="1"/>
  <c r="S41" i="16" s="1"/>
  <c r="S42" i="3"/>
  <c r="S42" i="4" s="1"/>
  <c r="S42" i="5" s="1"/>
  <c r="S42" i="6" s="1"/>
  <c r="S42" i="7" s="1"/>
  <c r="S42" i="8" s="1"/>
  <c r="S42" i="9" s="1"/>
  <c r="S42" i="37" s="1"/>
  <c r="S42" i="11" s="1"/>
  <c r="S42" i="12" s="1"/>
  <c r="S42" i="13" s="1"/>
  <c r="S42" i="14" s="1"/>
  <c r="S42" i="15" s="1"/>
  <c r="S42" i="16" s="1"/>
  <c r="S9" i="3"/>
  <c r="S9" i="4" s="1"/>
  <c r="S9" i="5" s="1"/>
  <c r="S9" i="6" s="1"/>
  <c r="S9" i="7" s="1"/>
  <c r="S9" i="8" s="1"/>
  <c r="S9" i="9" s="1"/>
  <c r="S9" i="37" s="1"/>
  <c r="S9" i="11" s="1"/>
  <c r="S9" i="12" s="1"/>
  <c r="S9" i="13" s="1"/>
  <c r="S9" i="14" s="1"/>
  <c r="S9" i="15" s="1"/>
  <c r="S9" i="16" s="1"/>
  <c r="S9" i="17" s="1"/>
  <c r="S9" i="18" s="1"/>
  <c r="S8" i="3"/>
  <c r="S8" i="4" s="1"/>
  <c r="S8" i="5" s="1"/>
  <c r="S8" i="6" s="1"/>
  <c r="S8" i="7" s="1"/>
  <c r="S8" i="8" s="1"/>
  <c r="S8" i="9" s="1"/>
  <c r="S8" i="37" s="1"/>
  <c r="S8" i="11" s="1"/>
  <c r="S8" i="12" s="1"/>
  <c r="S8" i="13" s="1"/>
  <c r="S8" i="14" s="1"/>
  <c r="S8" i="15" s="1"/>
  <c r="S8" i="16" s="1"/>
  <c r="S8" i="17" s="1"/>
  <c r="S8" i="18" s="1"/>
  <c r="A24" i="3"/>
  <c r="A24" i="4" s="1"/>
  <c r="A24" i="5" s="1"/>
  <c r="A24" i="6" s="1"/>
  <c r="A24" i="7" s="1"/>
  <c r="A24" i="8" s="1"/>
  <c r="A24" i="9" s="1"/>
  <c r="A24" i="37" s="1"/>
  <c r="A24" i="11" s="1"/>
  <c r="A24" i="12" s="1"/>
  <c r="A24" i="13" s="1"/>
  <c r="A24" i="14" s="1"/>
  <c r="A24" i="15" s="1"/>
  <c r="A24" i="16" s="1"/>
  <c r="A24" i="17" s="1"/>
  <c r="A24" i="18" s="1"/>
  <c r="A24" i="19" s="1"/>
  <c r="A24" i="20" s="1"/>
  <c r="A24" i="21" s="1"/>
  <c r="A24" i="22" s="1"/>
  <c r="A24" i="23" s="1"/>
  <c r="A24" i="24" s="1"/>
  <c r="A24" i="25" s="1"/>
  <c r="A24" i="26" s="1"/>
  <c r="A24" i="27" s="1"/>
  <c r="A24" i="28" s="1"/>
  <c r="A24" i="29" s="1"/>
  <c r="A24" i="30" s="1"/>
  <c r="A24" i="31" s="1"/>
  <c r="A24" i="32" s="1"/>
  <c r="A25" i="3"/>
  <c r="A25" i="4" s="1"/>
  <c r="A25" i="5" s="1"/>
  <c r="A25" i="6" s="1"/>
  <c r="A25" i="7" s="1"/>
  <c r="A25" i="8" s="1"/>
  <c r="A25" i="9" s="1"/>
  <c r="A25" i="37" s="1"/>
  <c r="A25" i="11" s="1"/>
  <c r="A25" i="12" s="1"/>
  <c r="A25" i="13" s="1"/>
  <c r="A25" i="14" s="1"/>
  <c r="A25" i="15" s="1"/>
  <c r="A25" i="16" s="1"/>
  <c r="A25" i="17" s="1"/>
  <c r="A25" i="18" s="1"/>
  <c r="A25" i="19" s="1"/>
  <c r="A25" i="20" s="1"/>
  <c r="A25" i="21" s="1"/>
  <c r="A25" i="22" s="1"/>
  <c r="A25" i="23" s="1"/>
  <c r="A25" i="24" s="1"/>
  <c r="A25" i="25" s="1"/>
  <c r="A25" i="26" s="1"/>
  <c r="A25" i="27" s="1"/>
  <c r="A25" i="28" s="1"/>
  <c r="A25" i="29" s="1"/>
  <c r="A25" i="30" s="1"/>
  <c r="A25" i="31" s="1"/>
  <c r="A25" i="32" s="1"/>
  <c r="A26" i="3"/>
  <c r="A26" i="4" s="1"/>
  <c r="A26" i="5" s="1"/>
  <c r="A26" i="6" s="1"/>
  <c r="A26" i="7" s="1"/>
  <c r="A26" i="8" s="1"/>
  <c r="A26" i="9" s="1"/>
  <c r="A26" i="37" s="1"/>
  <c r="A26" i="11" s="1"/>
  <c r="A26" i="12" s="1"/>
  <c r="A26" i="13" s="1"/>
  <c r="A26" i="14" s="1"/>
  <c r="A26" i="15" s="1"/>
  <c r="A26" i="16" s="1"/>
  <c r="A26" i="17" s="1"/>
  <c r="A26" i="18" s="1"/>
  <c r="A26" i="19" s="1"/>
  <c r="A26" i="20" s="1"/>
  <c r="A26" i="21" s="1"/>
  <c r="A26" i="22" s="1"/>
  <c r="A26" i="23" s="1"/>
  <c r="A26" i="24" s="1"/>
  <c r="A26" i="25" s="1"/>
  <c r="A26" i="26" s="1"/>
  <c r="A26" i="27" s="1"/>
  <c r="A26" i="28" s="1"/>
  <c r="A26" i="29" s="1"/>
  <c r="A26" i="30" s="1"/>
  <c r="A26" i="31" s="1"/>
  <c r="A26" i="32" s="1"/>
  <c r="A27" i="3"/>
  <c r="A27" i="4" s="1"/>
  <c r="A27" i="5" s="1"/>
  <c r="A27" i="6" s="1"/>
  <c r="A27" i="7" s="1"/>
  <c r="A27" i="8" s="1"/>
  <c r="A27" i="9" s="1"/>
  <c r="A27" i="37" s="1"/>
  <c r="A27" i="11" s="1"/>
  <c r="A27" i="12" s="1"/>
  <c r="A27" i="13" s="1"/>
  <c r="A27" i="14" s="1"/>
  <c r="A27" i="15" s="1"/>
  <c r="A27" i="16" s="1"/>
  <c r="A27" i="17" s="1"/>
  <c r="A27" i="18" s="1"/>
  <c r="A27" i="19" s="1"/>
  <c r="A27" i="20" s="1"/>
  <c r="A27" i="21" s="1"/>
  <c r="A27" i="22" s="1"/>
  <c r="A27" i="23" s="1"/>
  <c r="A27" i="24" s="1"/>
  <c r="A27" i="25" s="1"/>
  <c r="A27" i="26" s="1"/>
  <c r="A27" i="27" s="1"/>
  <c r="A27" i="28" s="1"/>
  <c r="A27" i="29" s="1"/>
  <c r="A27" i="30" s="1"/>
  <c r="A27" i="31" s="1"/>
  <c r="A27" i="32" s="1"/>
  <c r="A28" i="3"/>
  <c r="A28" i="4" s="1"/>
  <c r="A28" i="5" s="1"/>
  <c r="A28" i="6" s="1"/>
  <c r="A28" i="7" s="1"/>
  <c r="A28" i="8" s="1"/>
  <c r="A28" i="9" s="1"/>
  <c r="A28" i="37" s="1"/>
  <c r="A28" i="11" s="1"/>
  <c r="A28" i="12" s="1"/>
  <c r="A28" i="13" s="1"/>
  <c r="A28" i="14" s="1"/>
  <c r="A28" i="15" s="1"/>
  <c r="A28" i="16" s="1"/>
  <c r="A28" i="17" s="1"/>
  <c r="A28" i="18" s="1"/>
  <c r="A28" i="19" s="1"/>
  <c r="A28" i="20" s="1"/>
  <c r="A28" i="21" s="1"/>
  <c r="A28" i="22" s="1"/>
  <c r="A28" i="23" s="1"/>
  <c r="A28" i="24" s="1"/>
  <c r="A28" i="25" s="1"/>
  <c r="A28" i="26" s="1"/>
  <c r="A28" i="27" s="1"/>
  <c r="A28" i="28" s="1"/>
  <c r="A28" i="29" s="1"/>
  <c r="A28" i="30" s="1"/>
  <c r="A28" i="31" s="1"/>
  <c r="A28" i="32" s="1"/>
  <c r="A29" i="3"/>
  <c r="A29" i="4" s="1"/>
  <c r="A29" i="5" s="1"/>
  <c r="A29" i="6" s="1"/>
  <c r="A29" i="7" s="1"/>
  <c r="A29" i="8" s="1"/>
  <c r="A29" i="9" s="1"/>
  <c r="A29" i="37" s="1"/>
  <c r="A29" i="11" s="1"/>
  <c r="A29" i="12" s="1"/>
  <c r="A29" i="13" s="1"/>
  <c r="A29" i="14" s="1"/>
  <c r="A29" i="15" s="1"/>
  <c r="A29" i="16" s="1"/>
  <c r="A29" i="17" s="1"/>
  <c r="A29" i="18" s="1"/>
  <c r="A29" i="19" s="1"/>
  <c r="A29" i="20" s="1"/>
  <c r="A29" i="21" s="1"/>
  <c r="A29" i="22" s="1"/>
  <c r="A29" i="23" s="1"/>
  <c r="A29" i="24" s="1"/>
  <c r="A29" i="25" s="1"/>
  <c r="A29" i="26" s="1"/>
  <c r="A29" i="27" s="1"/>
  <c r="A29" i="28" s="1"/>
  <c r="A29" i="29" s="1"/>
  <c r="A29" i="30" s="1"/>
  <c r="A29" i="31" s="1"/>
  <c r="A29" i="32" s="1"/>
  <c r="A30" i="3"/>
  <c r="A30" i="4" s="1"/>
  <c r="A30" i="5" s="1"/>
  <c r="A30" i="6" s="1"/>
  <c r="A30" i="7" s="1"/>
  <c r="A30" i="8" s="1"/>
  <c r="A30" i="9" s="1"/>
  <c r="A30" i="37" s="1"/>
  <c r="A30" i="11" s="1"/>
  <c r="A30" i="12" s="1"/>
  <c r="A30" i="13" s="1"/>
  <c r="A30" i="14" s="1"/>
  <c r="A30" i="15" s="1"/>
  <c r="A30" i="16" s="1"/>
  <c r="A30" i="17" s="1"/>
  <c r="A30" i="18" s="1"/>
  <c r="A30" i="19" s="1"/>
  <c r="A30" i="20" s="1"/>
  <c r="A30" i="21" s="1"/>
  <c r="A30" i="22" s="1"/>
  <c r="A30" i="23" s="1"/>
  <c r="A30" i="24" s="1"/>
  <c r="A30" i="25" s="1"/>
  <c r="A30" i="26" s="1"/>
  <c r="A30" i="27" s="1"/>
  <c r="A30" i="28" s="1"/>
  <c r="A30" i="29" s="1"/>
  <c r="A30" i="30" s="1"/>
  <c r="A30" i="31" s="1"/>
  <c r="A30" i="32" s="1"/>
  <c r="A31" i="3"/>
  <c r="A31" i="4" s="1"/>
  <c r="A31" i="5" s="1"/>
  <c r="A31" i="6" s="1"/>
  <c r="A31" i="7" s="1"/>
  <c r="A31" i="8" s="1"/>
  <c r="A31" i="9" s="1"/>
  <c r="A31" i="37" s="1"/>
  <c r="A31" i="11" s="1"/>
  <c r="A31" i="12" s="1"/>
  <c r="A31" i="13" s="1"/>
  <c r="A31" i="14" s="1"/>
  <c r="A31" i="15" s="1"/>
  <c r="A31" i="16" s="1"/>
  <c r="A31" i="17" s="1"/>
  <c r="A31" i="18" s="1"/>
  <c r="A31" i="19" s="1"/>
  <c r="A31" i="20" s="1"/>
  <c r="A31" i="21" s="1"/>
  <c r="A31" i="22" s="1"/>
  <c r="A31" i="23" s="1"/>
  <c r="A31" i="24" s="1"/>
  <c r="A31" i="25" s="1"/>
  <c r="A31" i="26" s="1"/>
  <c r="A31" i="27" s="1"/>
  <c r="A31" i="28" s="1"/>
  <c r="A31" i="29" s="1"/>
  <c r="A31" i="30" s="1"/>
  <c r="A31" i="31" s="1"/>
  <c r="A31" i="32" s="1"/>
  <c r="A32" i="3"/>
  <c r="A32" i="4" s="1"/>
  <c r="A32" i="5" s="1"/>
  <c r="A32" i="6" s="1"/>
  <c r="A32" i="7" s="1"/>
  <c r="A32" i="8" s="1"/>
  <c r="A32" i="9" s="1"/>
  <c r="A32" i="37" s="1"/>
  <c r="A32" i="11" s="1"/>
  <c r="A32" i="12" s="1"/>
  <c r="A32" i="13" s="1"/>
  <c r="A32" i="14" s="1"/>
  <c r="A32" i="15" s="1"/>
  <c r="A32" i="16" s="1"/>
  <c r="A32" i="17" s="1"/>
  <c r="A32" i="18" s="1"/>
  <c r="A32" i="19" s="1"/>
  <c r="A32" i="20" s="1"/>
  <c r="A32" i="21" s="1"/>
  <c r="A32" i="22" s="1"/>
  <c r="A32" i="23" s="1"/>
  <c r="A32" i="24" s="1"/>
  <c r="A32" i="25" s="1"/>
  <c r="A32" i="26" s="1"/>
  <c r="A32" i="27" s="1"/>
  <c r="A32" i="28" s="1"/>
  <c r="A32" i="29" s="1"/>
  <c r="A32" i="30" s="1"/>
  <c r="A32" i="31" s="1"/>
  <c r="A32" i="32" s="1"/>
  <c r="A33" i="3"/>
  <c r="A33" i="4" s="1"/>
  <c r="A33" i="5" s="1"/>
  <c r="A33" i="6" s="1"/>
  <c r="A33" i="7" s="1"/>
  <c r="A33" i="8" s="1"/>
  <c r="A33" i="9" s="1"/>
  <c r="A33" i="37" s="1"/>
  <c r="A33" i="11" s="1"/>
  <c r="A33" i="12" s="1"/>
  <c r="A33" i="13" s="1"/>
  <c r="A33" i="14" s="1"/>
  <c r="A33" i="15" s="1"/>
  <c r="A33" i="16" s="1"/>
  <c r="A33" i="17" s="1"/>
  <c r="A33" i="18" s="1"/>
  <c r="A33" i="19" s="1"/>
  <c r="A33" i="20" s="1"/>
  <c r="A33" i="21" s="1"/>
  <c r="A33" i="22" s="1"/>
  <c r="A33" i="23" s="1"/>
  <c r="A33" i="24" s="1"/>
  <c r="A33" i="25" s="1"/>
  <c r="A33" i="26" s="1"/>
  <c r="A33" i="27" s="1"/>
  <c r="A33" i="28" s="1"/>
  <c r="A33" i="29" s="1"/>
  <c r="A33" i="30" s="1"/>
  <c r="A33" i="31" s="1"/>
  <c r="A33" i="32" s="1"/>
  <c r="A34" i="3"/>
  <c r="A34" i="4" s="1"/>
  <c r="A34" i="5" s="1"/>
  <c r="A34" i="6" s="1"/>
  <c r="A34" i="7" s="1"/>
  <c r="A34" i="8" s="1"/>
  <c r="A34" i="9" s="1"/>
  <c r="A34" i="37" s="1"/>
  <c r="A34" i="11" s="1"/>
  <c r="A34" i="12" s="1"/>
  <c r="A34" i="13" s="1"/>
  <c r="A34" i="14" s="1"/>
  <c r="A34" i="15" s="1"/>
  <c r="A34" i="16" s="1"/>
  <c r="A34" i="17" s="1"/>
  <c r="A34" i="18" s="1"/>
  <c r="A34" i="19" s="1"/>
  <c r="A34" i="20" s="1"/>
  <c r="A34" i="21" s="1"/>
  <c r="A34" i="22" s="1"/>
  <c r="A34" i="23" s="1"/>
  <c r="A34" i="24" s="1"/>
  <c r="A34" i="25" s="1"/>
  <c r="A34" i="26" s="1"/>
  <c r="A34" i="27" s="1"/>
  <c r="A34" i="28" s="1"/>
  <c r="A34" i="29" s="1"/>
  <c r="A34" i="30" s="1"/>
  <c r="A34" i="31" s="1"/>
  <c r="A34" i="32" s="1"/>
  <c r="A35" i="3"/>
  <c r="A35" i="4" s="1"/>
  <c r="A35" i="5" s="1"/>
  <c r="A35" i="6" s="1"/>
  <c r="A35" i="7" s="1"/>
  <c r="A35" i="8" s="1"/>
  <c r="A35" i="9" s="1"/>
  <c r="A35" i="37" s="1"/>
  <c r="A35" i="11" s="1"/>
  <c r="A35" i="12" s="1"/>
  <c r="A35" i="13" s="1"/>
  <c r="A35" i="14" s="1"/>
  <c r="A35" i="15" s="1"/>
  <c r="A35" i="16" s="1"/>
  <c r="A35" i="17" s="1"/>
  <c r="A35" i="18" s="1"/>
  <c r="A35" i="19" s="1"/>
  <c r="A35" i="20" s="1"/>
  <c r="A35" i="21" s="1"/>
  <c r="A35" i="22" s="1"/>
  <c r="A35" i="23" s="1"/>
  <c r="A35" i="24" s="1"/>
  <c r="A35" i="25" s="1"/>
  <c r="A35" i="26" s="1"/>
  <c r="A35" i="27" s="1"/>
  <c r="A35" i="28" s="1"/>
  <c r="A35" i="29" s="1"/>
  <c r="A35" i="30" s="1"/>
  <c r="A35" i="31" s="1"/>
  <c r="A35" i="32" s="1"/>
  <c r="A36" i="3"/>
  <c r="A36" i="4" s="1"/>
  <c r="A36" i="5" s="1"/>
  <c r="A36" i="6" s="1"/>
  <c r="A36" i="7" s="1"/>
  <c r="A36" i="8" s="1"/>
  <c r="A36" i="9" s="1"/>
  <c r="A37" i="3"/>
  <c r="A38" i="3"/>
  <c r="A38" i="4" s="1"/>
  <c r="A38" i="5" s="1"/>
  <c r="A38" i="6" s="1"/>
  <c r="A38" i="7" s="1"/>
  <c r="A38" i="8" s="1"/>
  <c r="A38" i="9" s="1"/>
  <c r="A38" i="37" s="1"/>
  <c r="A38" i="11" s="1"/>
  <c r="A38" i="12" s="1"/>
  <c r="A38" i="13" s="1"/>
  <c r="A38" i="14" s="1"/>
  <c r="A38" i="15" s="1"/>
  <c r="A38" i="16" s="1"/>
  <c r="A38" i="17" s="1"/>
  <c r="A38" i="18" s="1"/>
  <c r="A38" i="19" s="1"/>
  <c r="A38" i="20" s="1"/>
  <c r="A38" i="21" s="1"/>
  <c r="A38" i="22" s="1"/>
  <c r="A38" i="23" s="1"/>
  <c r="A38" i="24" s="1"/>
  <c r="A38" i="25" s="1"/>
  <c r="A38" i="26" s="1"/>
  <c r="A38" i="27" s="1"/>
  <c r="A38" i="28" s="1"/>
  <c r="A38" i="29" s="1"/>
  <c r="A38" i="30" s="1"/>
  <c r="A38" i="31" s="1"/>
  <c r="A38" i="32" s="1"/>
  <c r="A39" i="3"/>
  <c r="A39" i="4" s="1"/>
  <c r="A39" i="5" s="1"/>
  <c r="A39" i="6" s="1"/>
  <c r="A39" i="7" s="1"/>
  <c r="A39" i="8" s="1"/>
  <c r="A39" i="9" s="1"/>
  <c r="A39" i="37" s="1"/>
  <c r="A39" i="11" s="1"/>
  <c r="A39" i="12" s="1"/>
  <c r="A39" i="13" s="1"/>
  <c r="A39" i="14" s="1"/>
  <c r="A39" i="15" s="1"/>
  <c r="A39" i="16" s="1"/>
  <c r="A39" i="17" s="1"/>
  <c r="A39" i="18" s="1"/>
  <c r="A39" i="19" s="1"/>
  <c r="A39" i="20" s="1"/>
  <c r="A39" i="21" s="1"/>
  <c r="A39" i="22" s="1"/>
  <c r="A39" i="23" s="1"/>
  <c r="A39" i="24" s="1"/>
  <c r="A39" i="25" s="1"/>
  <c r="A39" i="26" s="1"/>
  <c r="A39" i="27" s="1"/>
  <c r="A39" i="28" s="1"/>
  <c r="A39" i="29" s="1"/>
  <c r="A39" i="30" s="1"/>
  <c r="A39" i="31" s="1"/>
  <c r="A39" i="32" s="1"/>
  <c r="A40" i="3"/>
  <c r="A40" i="4" s="1"/>
  <c r="A40" i="5" s="1"/>
  <c r="A40" i="6" s="1"/>
  <c r="A40" i="7" s="1"/>
  <c r="A40" i="8" s="1"/>
  <c r="A40" i="9" s="1"/>
  <c r="A40" i="37" s="1"/>
  <c r="A40" i="11" s="1"/>
  <c r="A40" i="12" s="1"/>
  <c r="A40" i="13" s="1"/>
  <c r="A40" i="14" s="1"/>
  <c r="A40" i="15" s="1"/>
  <c r="A40" i="16" s="1"/>
  <c r="A40" i="17" s="1"/>
  <c r="A40" i="18" s="1"/>
  <c r="A40" i="19" s="1"/>
  <c r="A40" i="20" s="1"/>
  <c r="A40" i="21" s="1"/>
  <c r="A40" i="22" s="1"/>
  <c r="A40" i="23" s="1"/>
  <c r="A40" i="24" s="1"/>
  <c r="A40" i="25" s="1"/>
  <c r="A40" i="26" s="1"/>
  <c r="A40" i="27" s="1"/>
  <c r="A40" i="28" s="1"/>
  <c r="A40" i="29" s="1"/>
  <c r="A40" i="30" s="1"/>
  <c r="A40" i="31" s="1"/>
  <c r="A40" i="32" s="1"/>
  <c r="A41" i="3"/>
  <c r="A41" i="4" s="1"/>
  <c r="A41" i="5" s="1"/>
  <c r="A41" i="6" s="1"/>
  <c r="A41" i="7" s="1"/>
  <c r="A41" i="8" s="1"/>
  <c r="A41" i="9" s="1"/>
  <c r="A41" i="37" s="1"/>
  <c r="A41" i="11" s="1"/>
  <c r="A41" i="12" s="1"/>
  <c r="A41" i="13" s="1"/>
  <c r="A41" i="14" s="1"/>
  <c r="A41" i="15" s="1"/>
  <c r="A41" i="16" s="1"/>
  <c r="A41" i="17" s="1"/>
  <c r="A41" i="18" s="1"/>
  <c r="A41" i="19" s="1"/>
  <c r="A41" i="20" s="1"/>
  <c r="A41" i="21" s="1"/>
  <c r="A41" i="22" s="1"/>
  <c r="A41" i="23" s="1"/>
  <c r="A41" i="24" s="1"/>
  <c r="A41" i="25" s="1"/>
  <c r="A41" i="26" s="1"/>
  <c r="A41" i="27" s="1"/>
  <c r="A41" i="28" s="1"/>
  <c r="A41" i="29" s="1"/>
  <c r="A41" i="30" s="1"/>
  <c r="A41" i="31" s="1"/>
  <c r="A41" i="32" s="1"/>
  <c r="A42" i="3"/>
  <c r="A42" i="4" s="1"/>
  <c r="A42" i="5" s="1"/>
  <c r="A42" i="6" s="1"/>
  <c r="A42" i="7" s="1"/>
  <c r="A42" i="8" s="1"/>
  <c r="A42" i="9" s="1"/>
  <c r="A42" i="37" s="1"/>
  <c r="A42" i="11" s="1"/>
  <c r="A42" i="12" s="1"/>
  <c r="A42" i="13" s="1"/>
  <c r="A42" i="14" s="1"/>
  <c r="A42" i="15" s="1"/>
  <c r="A42" i="16" s="1"/>
  <c r="A42" i="17" s="1"/>
  <c r="A42" i="18" s="1"/>
  <c r="A42" i="19" s="1"/>
  <c r="A42" i="20" s="1"/>
  <c r="A42" i="21" s="1"/>
  <c r="A42" i="22" s="1"/>
  <c r="A42" i="23" s="1"/>
  <c r="A42" i="24" s="1"/>
  <c r="A42" i="25" s="1"/>
  <c r="A42" i="26" s="1"/>
  <c r="A42" i="27" s="1"/>
  <c r="A42" i="28" s="1"/>
  <c r="A42" i="29" s="1"/>
  <c r="A42" i="30" s="1"/>
  <c r="A42" i="31" s="1"/>
  <c r="A42" i="32" s="1"/>
  <c r="A43" i="3"/>
  <c r="A43" i="4" s="1"/>
  <c r="A43" i="5" s="1"/>
  <c r="A43" i="6" s="1"/>
  <c r="A43" i="7" s="1"/>
  <c r="A43" i="8" s="1"/>
  <c r="A43" i="9" s="1"/>
  <c r="A43" i="37" s="1"/>
  <c r="A43" i="11" s="1"/>
  <c r="A43" i="12" s="1"/>
  <c r="A43" i="13" s="1"/>
  <c r="A43" i="14" s="1"/>
  <c r="A43" i="15" s="1"/>
  <c r="A43" i="16" s="1"/>
  <c r="A43" i="17" s="1"/>
  <c r="A43" i="18" s="1"/>
  <c r="A43" i="19" s="1"/>
  <c r="A43" i="20" s="1"/>
  <c r="A43" i="21" s="1"/>
  <c r="A43" i="22" s="1"/>
  <c r="A43" i="23" s="1"/>
  <c r="A43" i="24" s="1"/>
  <c r="A43" i="25" s="1"/>
  <c r="A43" i="26" s="1"/>
  <c r="A43" i="27" s="1"/>
  <c r="A43" i="28" s="1"/>
  <c r="A43" i="29" s="1"/>
  <c r="A43" i="30" s="1"/>
  <c r="A43" i="31" s="1"/>
  <c r="A43" i="32" s="1"/>
  <c r="A44" i="3"/>
  <c r="A44" i="4" s="1"/>
  <c r="A44" i="5" s="1"/>
  <c r="A44" i="6" s="1"/>
  <c r="A44" i="7" s="1"/>
  <c r="A44" i="8" s="1"/>
  <c r="A44" i="9" s="1"/>
  <c r="A44" i="37" s="1"/>
  <c r="A44" i="11" s="1"/>
  <c r="A44" i="12" s="1"/>
  <c r="A44" i="13" s="1"/>
  <c r="A44" i="14" s="1"/>
  <c r="A44" i="15" s="1"/>
  <c r="A44" i="16" s="1"/>
  <c r="A44" i="17" s="1"/>
  <c r="A44" i="18" s="1"/>
  <c r="A44" i="19" s="1"/>
  <c r="A44" i="20" s="1"/>
  <c r="A44" i="21" s="1"/>
  <c r="A44" i="22" s="1"/>
  <c r="A44" i="23" s="1"/>
  <c r="A44" i="24" s="1"/>
  <c r="A44" i="25" s="1"/>
  <c r="A44" i="26" s="1"/>
  <c r="A44" i="27" s="1"/>
  <c r="A44" i="28" s="1"/>
  <c r="A44" i="29" s="1"/>
  <c r="A44" i="30" s="1"/>
  <c r="A44" i="31" s="1"/>
  <c r="A44" i="32" s="1"/>
  <c r="A45" i="3"/>
  <c r="A45" i="4" s="1"/>
  <c r="A45" i="5" s="1"/>
  <c r="A45" i="6" s="1"/>
  <c r="A45" i="7" s="1"/>
  <c r="A45" i="8" s="1"/>
  <c r="A45" i="9" s="1"/>
  <c r="A45" i="37" s="1"/>
  <c r="A45" i="11" s="1"/>
  <c r="A45" i="12" s="1"/>
  <c r="A45" i="13" s="1"/>
  <c r="A45" i="14" s="1"/>
  <c r="A45" i="15" s="1"/>
  <c r="A45" i="16" s="1"/>
  <c r="A45" i="17" s="1"/>
  <c r="A45" i="18" s="1"/>
  <c r="A45" i="19" s="1"/>
  <c r="A45" i="20" s="1"/>
  <c r="A45" i="21" s="1"/>
  <c r="A45" i="22" s="1"/>
  <c r="A45" i="23" s="1"/>
  <c r="A45" i="24" s="1"/>
  <c r="A45" i="25" s="1"/>
  <c r="A45" i="26" s="1"/>
  <c r="A45" i="27" s="1"/>
  <c r="A45" i="28" s="1"/>
  <c r="A45" i="29" s="1"/>
  <c r="A45" i="30" s="1"/>
  <c r="A45" i="31" s="1"/>
  <c r="A45" i="32" s="1"/>
  <c r="A46" i="3"/>
  <c r="A46" i="4" s="1"/>
  <c r="A46" i="5" s="1"/>
  <c r="A46" i="6" s="1"/>
  <c r="A46" i="7" s="1"/>
  <c r="A46" i="8" s="1"/>
  <c r="A46" i="9" s="1"/>
  <c r="A46" i="37" s="1"/>
  <c r="A46" i="11" s="1"/>
  <c r="A46" i="12" s="1"/>
  <c r="A46" i="13" s="1"/>
  <c r="A46" i="14" s="1"/>
  <c r="A46" i="15" s="1"/>
  <c r="A46" i="16" s="1"/>
  <c r="A46" i="17" s="1"/>
  <c r="A46" i="18" s="1"/>
  <c r="A46" i="19" s="1"/>
  <c r="A46" i="20" s="1"/>
  <c r="A46" i="21" s="1"/>
  <c r="A46" i="22" s="1"/>
  <c r="A46" i="23" s="1"/>
  <c r="A46" i="24" s="1"/>
  <c r="A46" i="25" s="1"/>
  <c r="A46" i="26" s="1"/>
  <c r="A46" i="27" s="1"/>
  <c r="A46" i="28" s="1"/>
  <c r="A46" i="29" s="1"/>
  <c r="A46" i="30" s="1"/>
  <c r="A46" i="31" s="1"/>
  <c r="A46" i="32" s="1"/>
  <c r="A47" i="3"/>
  <c r="A47" i="4" s="1"/>
  <c r="A47" i="5" s="1"/>
  <c r="A47" i="6" s="1"/>
  <c r="A47" i="7" s="1"/>
  <c r="A47" i="8" s="1"/>
  <c r="A47" i="9" s="1"/>
  <c r="A47" i="37" s="1"/>
  <c r="A47" i="11" s="1"/>
  <c r="A47" i="12" s="1"/>
  <c r="A47" i="13" s="1"/>
  <c r="A47" i="14" s="1"/>
  <c r="A47" i="15" s="1"/>
  <c r="A47" i="16" s="1"/>
  <c r="A47" i="17" s="1"/>
  <c r="A47" i="18" s="1"/>
  <c r="A47" i="19" s="1"/>
  <c r="A47" i="20" s="1"/>
  <c r="A47" i="21" s="1"/>
  <c r="A47" i="22" s="1"/>
  <c r="A47" i="23" s="1"/>
  <c r="A47" i="24" s="1"/>
  <c r="A47" i="25" s="1"/>
  <c r="A47" i="26" s="1"/>
  <c r="A47" i="27" s="1"/>
  <c r="A47" i="28" s="1"/>
  <c r="A47" i="29" s="1"/>
  <c r="A47" i="30" s="1"/>
  <c r="A47" i="31" s="1"/>
  <c r="A47" i="32" s="1"/>
  <c r="A23" i="3"/>
  <c r="A23" i="4" s="1"/>
  <c r="A23" i="5" s="1"/>
  <c r="A23" i="6" s="1"/>
  <c r="A23" i="7" s="1"/>
  <c r="A23" i="8" s="1"/>
  <c r="A23" i="9" s="1"/>
  <c r="A23" i="37" s="1"/>
  <c r="A23" i="11" s="1"/>
  <c r="A23" i="12" s="1"/>
  <c r="A23" i="13" s="1"/>
  <c r="A23" i="14" s="1"/>
  <c r="A23" i="15" s="1"/>
  <c r="A23" i="16" s="1"/>
  <c r="A23" i="17" s="1"/>
  <c r="A23" i="18" s="1"/>
  <c r="A23" i="19" s="1"/>
  <c r="A23" i="20" s="1"/>
  <c r="A23" i="21" s="1"/>
  <c r="A23" i="22" s="1"/>
  <c r="A23" i="23" s="1"/>
  <c r="A23" i="24" s="1"/>
  <c r="A23" i="25" s="1"/>
  <c r="A23" i="26" s="1"/>
  <c r="A23" i="27" s="1"/>
  <c r="A23" i="28" s="1"/>
  <c r="A23" i="29" s="1"/>
  <c r="A23" i="30" s="1"/>
  <c r="A23" i="31" s="1"/>
  <c r="A23" i="32" s="1"/>
  <c r="F45" i="3"/>
  <c r="F45" i="4" s="1"/>
  <c r="F45" i="5" s="1"/>
  <c r="F45" i="6" s="1"/>
  <c r="F44" i="3"/>
  <c r="F44" i="4" s="1"/>
  <c r="F44" i="5" s="1"/>
  <c r="F44" i="6" s="1"/>
  <c r="F43" i="3"/>
  <c r="F43" i="4" s="1"/>
  <c r="F43" i="5" s="1"/>
  <c r="F43" i="6" s="1"/>
  <c r="F42" i="3"/>
  <c r="F42" i="4" s="1"/>
  <c r="F42" i="5" s="1"/>
  <c r="F42" i="6" s="1"/>
  <c r="F41" i="3"/>
  <c r="F41" i="4" s="1"/>
  <c r="F41" i="5" s="1"/>
  <c r="F41" i="6" s="1"/>
  <c r="F40" i="4"/>
  <c r="F40" i="5" s="1"/>
  <c r="F40" i="6" s="1"/>
  <c r="F39" i="4"/>
  <c r="F39" i="5" s="1"/>
  <c r="F39" i="6" s="1"/>
  <c r="F38" i="4"/>
  <c r="F38" i="5" s="1"/>
  <c r="F38" i="6" s="1"/>
  <c r="F37" i="4"/>
  <c r="F37" i="5" s="1"/>
  <c r="F37" i="6" s="1"/>
  <c r="F36" i="4"/>
  <c r="F36" i="5" s="1"/>
  <c r="F36" i="6" s="1"/>
  <c r="F35" i="4"/>
  <c r="F35" i="5" s="1"/>
  <c r="F35" i="6" s="1"/>
  <c r="F34" i="4"/>
  <c r="F34" i="5" s="1"/>
  <c r="F34" i="6" s="1"/>
  <c r="F33" i="4"/>
  <c r="F33" i="5" s="1"/>
  <c r="F33" i="6" s="1"/>
  <c r="F32" i="4"/>
  <c r="F32" i="5" s="1"/>
  <c r="F32" i="6" s="1"/>
  <c r="F31" i="4"/>
  <c r="F31" i="5" s="1"/>
  <c r="F31" i="6" s="1"/>
  <c r="F30" i="5"/>
  <c r="F30" i="6" s="1"/>
  <c r="F29" i="5"/>
  <c r="F29" i="6" s="1"/>
  <c r="F28" i="5"/>
  <c r="F28" i="6" s="1"/>
  <c r="F27" i="5"/>
  <c r="F27" i="6" s="1"/>
  <c r="F26" i="5"/>
  <c r="F26" i="6" s="1"/>
  <c r="F25" i="5"/>
  <c r="F25" i="6" s="1"/>
  <c r="F24" i="5"/>
  <c r="F24" i="6" s="1"/>
  <c r="F23" i="5"/>
  <c r="F23" i="6" s="1"/>
  <c r="F22" i="5"/>
  <c r="F22" i="6" s="1"/>
  <c r="F21" i="5"/>
  <c r="F21" i="6" s="1"/>
  <c r="F20" i="6"/>
  <c r="F19" i="8"/>
  <c r="F19" i="9" s="1"/>
  <c r="F10" i="3"/>
  <c r="F10" i="4" s="1"/>
  <c r="F10" i="5" s="1"/>
  <c r="F10" i="6" s="1"/>
  <c r="F10" i="7" s="1"/>
  <c r="F10" i="8" s="1"/>
  <c r="F10" i="9" s="1"/>
  <c r="F10" i="37" s="1"/>
  <c r="F10" i="11" s="1"/>
  <c r="F10" i="12" s="1"/>
  <c r="F10" i="13" s="1"/>
  <c r="F10" i="14" s="1"/>
  <c r="F10" i="15" s="1"/>
  <c r="F10" i="16" s="1"/>
  <c r="F10" i="17" s="1"/>
  <c r="F9" i="3"/>
  <c r="F9" i="4" s="1"/>
  <c r="F9" i="5" s="1"/>
  <c r="F9" i="6" s="1"/>
  <c r="F9" i="7" s="1"/>
  <c r="F9" i="8" s="1"/>
  <c r="F9" i="9" s="1"/>
  <c r="F9" i="37" s="1"/>
  <c r="F9" i="11" s="1"/>
  <c r="F9" i="12" s="1"/>
  <c r="F9" i="13" s="1"/>
  <c r="F9" i="14" s="1"/>
  <c r="F9" i="15" s="1"/>
  <c r="F9" i="16" s="1"/>
  <c r="F9" i="17" s="1"/>
  <c r="F9" i="18" s="1"/>
  <c r="F9" i="19" s="1"/>
  <c r="F9" i="20" s="1"/>
  <c r="F9" i="21" s="1"/>
  <c r="F9" i="22" s="1"/>
  <c r="F9" i="23" s="1"/>
  <c r="F9" i="24" s="1"/>
  <c r="F9" i="25" s="1"/>
  <c r="F9" i="26" s="1"/>
  <c r="F9" i="27" s="1"/>
  <c r="F9" i="28" s="1"/>
  <c r="F9" i="29" s="1"/>
  <c r="F9" i="30" s="1"/>
  <c r="F9" i="31" s="1"/>
  <c r="F9" i="32" s="1"/>
  <c r="F8" i="3"/>
  <c r="F8" i="4" s="1"/>
  <c r="F8" i="5" s="1"/>
  <c r="F8" i="6" s="1"/>
  <c r="F8" i="7" s="1"/>
  <c r="F8" i="8" s="1"/>
  <c r="F8" i="9" s="1"/>
  <c r="F8" i="37" s="1"/>
  <c r="F8" i="11" s="1"/>
  <c r="F8" i="12" s="1"/>
  <c r="F8" i="13" s="1"/>
  <c r="F8" i="14" s="1"/>
  <c r="F8" i="15" s="1"/>
  <c r="F8" i="16" s="1"/>
  <c r="F8" i="17" s="1"/>
  <c r="F8" i="18" s="1"/>
  <c r="F8" i="19" s="1"/>
  <c r="F8" i="20" s="1"/>
  <c r="F8" i="21" s="1"/>
  <c r="F8" i="22" s="1"/>
  <c r="F8" i="23" s="1"/>
  <c r="F8" i="24" s="1"/>
  <c r="F8" i="25" s="1"/>
  <c r="F8" i="26" s="1"/>
  <c r="F8" i="27" s="1"/>
  <c r="F8" i="28" s="1"/>
  <c r="F8" i="29" s="1"/>
  <c r="F8" i="30" s="1"/>
  <c r="F8" i="31" s="1"/>
  <c r="F8" i="32" s="1"/>
  <c r="N57" i="32"/>
  <c r="N56" i="32"/>
  <c r="N55" i="32"/>
  <c r="N54" i="32"/>
  <c r="N53" i="32"/>
  <c r="N52" i="32"/>
  <c r="N51" i="32"/>
  <c r="N50" i="32"/>
  <c r="AD43" i="32"/>
  <c r="N57" i="31"/>
  <c r="AI22" i="31"/>
  <c r="N56" i="31"/>
  <c r="N55" i="31"/>
  <c r="N54" i="31"/>
  <c r="N53" i="31"/>
  <c r="N52" i="31"/>
  <c r="N51" i="31"/>
  <c r="N50" i="31"/>
  <c r="Q47" i="31"/>
  <c r="AD43" i="31"/>
  <c r="AI22" i="30"/>
  <c r="N56" i="30"/>
  <c r="N55" i="30"/>
  <c r="N54" i="30"/>
  <c r="N53" i="30"/>
  <c r="N52" i="30"/>
  <c r="N51" i="30"/>
  <c r="N50" i="30"/>
  <c r="Q47" i="30"/>
  <c r="AD43" i="30"/>
  <c r="N57" i="29"/>
  <c r="N56" i="29"/>
  <c r="N55" i="29"/>
  <c r="N54" i="29"/>
  <c r="N53" i="29"/>
  <c r="N52" i="29"/>
  <c r="N51" i="29"/>
  <c r="N50" i="29"/>
  <c r="Q47" i="29"/>
  <c r="AD43" i="29"/>
  <c r="N57" i="28"/>
  <c r="AI22" i="28"/>
  <c r="N56" i="28"/>
  <c r="N55" i="28"/>
  <c r="N54" i="28"/>
  <c r="N53" i="28"/>
  <c r="N52" i="28"/>
  <c r="N51" i="28"/>
  <c r="N50" i="28"/>
  <c r="Q47" i="28"/>
  <c r="AD43" i="28"/>
  <c r="N57" i="27"/>
  <c r="N56" i="27"/>
  <c r="N55" i="27"/>
  <c r="N54" i="27"/>
  <c r="N53" i="27"/>
  <c r="N52" i="27"/>
  <c r="N51" i="27"/>
  <c r="N50" i="27"/>
  <c r="Q47" i="27"/>
  <c r="AD43" i="27"/>
  <c r="N57" i="26"/>
  <c r="N56" i="26"/>
  <c r="N55" i="26"/>
  <c r="N54" i="26"/>
  <c r="N53" i="26"/>
  <c r="N52" i="26"/>
  <c r="N51" i="26"/>
  <c r="N50" i="26"/>
  <c r="Q47" i="26"/>
  <c r="AD43" i="26"/>
  <c r="N57" i="25"/>
  <c r="N56" i="25"/>
  <c r="N55" i="25"/>
  <c r="N54" i="25"/>
  <c r="N53" i="25"/>
  <c r="N52" i="25"/>
  <c r="N51" i="25"/>
  <c r="N50" i="25"/>
  <c r="Q47" i="25"/>
  <c r="AD43" i="25"/>
  <c r="N57" i="24"/>
  <c r="AI22" i="24"/>
  <c r="N56" i="24"/>
  <c r="N55" i="24"/>
  <c r="N54" i="24"/>
  <c r="N53" i="24"/>
  <c r="N52" i="24"/>
  <c r="N51" i="24"/>
  <c r="N50" i="24"/>
  <c r="Q47" i="24"/>
  <c r="AD43" i="24"/>
  <c r="N57" i="23"/>
  <c r="AI22" i="23"/>
  <c r="N56" i="23"/>
  <c r="N55" i="23"/>
  <c r="N54" i="23"/>
  <c r="N53" i="23"/>
  <c r="N52" i="23"/>
  <c r="N51" i="23"/>
  <c r="N50" i="23"/>
  <c r="Q47" i="23"/>
  <c r="AD43" i="23"/>
  <c r="N57" i="22"/>
  <c r="N56" i="22"/>
  <c r="N55" i="22"/>
  <c r="N54" i="22"/>
  <c r="N53" i="22"/>
  <c r="N52" i="22"/>
  <c r="N51" i="22"/>
  <c r="N50" i="22"/>
  <c r="Q47" i="22"/>
  <c r="AD43" i="22"/>
  <c r="N57" i="21"/>
  <c r="N56" i="21"/>
  <c r="N55" i="21"/>
  <c r="N54" i="21"/>
  <c r="N53" i="21"/>
  <c r="N52" i="21"/>
  <c r="N51" i="21"/>
  <c r="N50" i="21"/>
  <c r="Q47" i="21"/>
  <c r="AD43" i="21"/>
  <c r="N57" i="20"/>
  <c r="N56" i="20"/>
  <c r="N55" i="20"/>
  <c r="N54" i="20"/>
  <c r="N53" i="20"/>
  <c r="N52" i="20"/>
  <c r="N51" i="20"/>
  <c r="N50" i="20"/>
  <c r="Q47" i="20"/>
  <c r="AD43" i="20"/>
  <c r="N57" i="19"/>
  <c r="AI22" i="19"/>
  <c r="N56" i="19"/>
  <c r="N55" i="19"/>
  <c r="N54" i="19"/>
  <c r="N53" i="19"/>
  <c r="N52" i="19"/>
  <c r="N51" i="19"/>
  <c r="N50" i="19"/>
  <c r="Q47" i="19"/>
  <c r="AD43" i="19"/>
  <c r="N57" i="18"/>
  <c r="AI22" i="18"/>
  <c r="N56" i="18"/>
  <c r="N55" i="18"/>
  <c r="N54" i="18"/>
  <c r="N53" i="18"/>
  <c r="N52" i="18"/>
  <c r="N51" i="18"/>
  <c r="N50" i="18"/>
  <c r="Q47" i="18"/>
  <c r="AD43" i="18"/>
  <c r="N57" i="17"/>
  <c r="N56" i="17"/>
  <c r="N55" i="17"/>
  <c r="N54" i="17"/>
  <c r="N53" i="17"/>
  <c r="N52" i="17"/>
  <c r="N51" i="17"/>
  <c r="N50" i="17"/>
  <c r="Q47" i="17"/>
  <c r="AD43" i="17"/>
  <c r="N57" i="16"/>
  <c r="AI22" i="16"/>
  <c r="N56" i="16"/>
  <c r="N55" i="16"/>
  <c r="N54" i="16"/>
  <c r="N53" i="16"/>
  <c r="N52" i="16"/>
  <c r="N51" i="16"/>
  <c r="N50" i="16"/>
  <c r="Q47" i="16"/>
  <c r="AD43" i="16"/>
  <c r="N57" i="15"/>
  <c r="N56" i="15"/>
  <c r="N55" i="15"/>
  <c r="N54" i="15"/>
  <c r="N53" i="15"/>
  <c r="N52" i="15"/>
  <c r="N51" i="15"/>
  <c r="Q47" i="15"/>
  <c r="AD43" i="15"/>
  <c r="N57" i="14"/>
  <c r="N56" i="14"/>
  <c r="N55" i="14"/>
  <c r="N54" i="14"/>
  <c r="N53" i="14"/>
  <c r="N52" i="14"/>
  <c r="N51" i="14"/>
  <c r="N50" i="14"/>
  <c r="Q47" i="14"/>
  <c r="AD43" i="14"/>
  <c r="N57" i="13"/>
  <c r="AI22" i="13"/>
  <c r="N56" i="13"/>
  <c r="N55" i="13"/>
  <c r="N54" i="13"/>
  <c r="N53" i="13"/>
  <c r="N52" i="13"/>
  <c r="N51" i="13"/>
  <c r="N50" i="13"/>
  <c r="Q47" i="13"/>
  <c r="AD43" i="13"/>
  <c r="N57" i="12"/>
  <c r="AI22" i="12"/>
  <c r="N56" i="12"/>
  <c r="N55" i="12"/>
  <c r="N54" i="12"/>
  <c r="N53" i="12"/>
  <c r="N52" i="12"/>
  <c r="N51" i="12"/>
  <c r="N50" i="12"/>
  <c r="Q47" i="12"/>
  <c r="AD43" i="12"/>
  <c r="N57" i="11"/>
  <c r="AI22" i="11"/>
  <c r="N56" i="11"/>
  <c r="N55" i="11"/>
  <c r="N54" i="11"/>
  <c r="N53" i="11"/>
  <c r="N52" i="11"/>
  <c r="N51" i="11"/>
  <c r="N50" i="11"/>
  <c r="Q47" i="11"/>
  <c r="AD43" i="11"/>
  <c r="N57" i="37"/>
  <c r="AI22" i="37"/>
  <c r="N56" i="37"/>
  <c r="N55" i="37"/>
  <c r="N54" i="37"/>
  <c r="N53" i="37"/>
  <c r="N52" i="37"/>
  <c r="N51" i="37"/>
  <c r="N50" i="37"/>
  <c r="Q47" i="37"/>
  <c r="AD43" i="37"/>
  <c r="N57" i="9"/>
  <c r="AI22" i="9"/>
  <c r="N56" i="9"/>
  <c r="N55" i="9"/>
  <c r="N54" i="9"/>
  <c r="N53" i="9"/>
  <c r="N52" i="9"/>
  <c r="N51" i="9"/>
  <c r="N50" i="9"/>
  <c r="Q47" i="9"/>
  <c r="AD43" i="9"/>
  <c r="N57" i="8"/>
  <c r="N56" i="8"/>
  <c r="N55" i="8"/>
  <c r="N54" i="8"/>
  <c r="N53" i="8"/>
  <c r="N52" i="8"/>
  <c r="N51" i="8"/>
  <c r="N50" i="8"/>
  <c r="Q47" i="8"/>
  <c r="AD43" i="8"/>
  <c r="N57" i="7"/>
  <c r="AI22" i="7"/>
  <c r="N56" i="7"/>
  <c r="N55" i="7"/>
  <c r="N54" i="7"/>
  <c r="N53" i="7"/>
  <c r="N52" i="7"/>
  <c r="N51" i="7"/>
  <c r="N50" i="7"/>
  <c r="Q47" i="7"/>
  <c r="AD43" i="7"/>
  <c r="N57" i="6"/>
  <c r="N56" i="6"/>
  <c r="N55" i="6"/>
  <c r="N54" i="6"/>
  <c r="N53" i="6"/>
  <c r="N52" i="6"/>
  <c r="N51" i="6"/>
  <c r="N50" i="6"/>
  <c r="Q47" i="6"/>
  <c r="AD43" i="6"/>
  <c r="N57" i="5"/>
  <c r="AI22" i="5"/>
  <c r="N56" i="5"/>
  <c r="N55" i="5"/>
  <c r="N54" i="5"/>
  <c r="N53" i="5"/>
  <c r="N52" i="5"/>
  <c r="N51" i="5"/>
  <c r="N50" i="5"/>
  <c r="Q47" i="5"/>
  <c r="AD43" i="5"/>
  <c r="N57" i="4"/>
  <c r="N56" i="4"/>
  <c r="N55" i="4"/>
  <c r="N54" i="4"/>
  <c r="N53" i="4"/>
  <c r="N52" i="4"/>
  <c r="N51" i="4"/>
  <c r="N50" i="4"/>
  <c r="Q47" i="4"/>
  <c r="AD43" i="4"/>
  <c r="N57" i="3"/>
  <c r="N56" i="3"/>
  <c r="N55" i="3"/>
  <c r="N54" i="3"/>
  <c r="N53" i="3"/>
  <c r="N52" i="3"/>
  <c r="N51" i="3"/>
  <c r="N50" i="3"/>
  <c r="Q47" i="3"/>
  <c r="AD43" i="3"/>
  <c r="AC42" i="2"/>
  <c r="AD43" i="2"/>
  <c r="AD45" i="2" s="1"/>
  <c r="AD44" i="3" s="1"/>
  <c r="AI22" i="32"/>
  <c r="N57" i="2"/>
  <c r="N56" i="2"/>
  <c r="N55" i="2"/>
  <c r="N54" i="2"/>
  <c r="N53" i="2"/>
  <c r="N52" i="2"/>
  <c r="N51" i="2"/>
  <c r="N50" i="2"/>
  <c r="Q47" i="2"/>
  <c r="AJ23" i="2"/>
  <c r="Q23" i="2"/>
  <c r="Q32" i="2" s="1"/>
  <c r="Q8" i="3" s="1"/>
  <c r="AA43" i="2"/>
  <c r="D47" i="2"/>
  <c r="C47" i="3" s="1"/>
  <c r="D47" i="3" s="1"/>
  <c r="C47" i="4" s="1"/>
  <c r="D47" i="4" s="1"/>
  <c r="C47" i="5" s="1"/>
  <c r="D47" i="5" s="1"/>
  <c r="C47" i="6" s="1"/>
  <c r="D47" i="6" s="1"/>
  <c r="C47" i="7" s="1"/>
  <c r="D47" i="7" s="1"/>
  <c r="C47" i="8" s="1"/>
  <c r="D47" i="8" s="1"/>
  <c r="C47" i="9" s="1"/>
  <c r="D47" i="9" s="1"/>
  <c r="C47" i="37" s="1"/>
  <c r="D47" i="37" s="1"/>
  <c r="C47" i="11" s="1"/>
  <c r="D47" i="11" s="1"/>
  <c r="C47" i="12" s="1"/>
  <c r="D47" i="12" s="1"/>
  <c r="C47" i="13" s="1"/>
  <c r="D47" i="13" s="1"/>
  <c r="C47" i="14" s="1"/>
  <c r="D47" i="14" s="1"/>
  <c r="C47" i="15" s="1"/>
  <c r="D47" i="15" s="1"/>
  <c r="C47" i="16" s="1"/>
  <c r="D47" i="16" s="1"/>
  <c r="C47" i="17" s="1"/>
  <c r="D47" i="17" s="1"/>
  <c r="C47" i="18" s="1"/>
  <c r="D47" i="18" s="1"/>
  <c r="C47" i="19" s="1"/>
  <c r="D47" i="19" s="1"/>
  <c r="C47" i="20" s="1"/>
  <c r="D47" i="20" s="1"/>
  <c r="C47" i="21" s="1"/>
  <c r="D47" i="21" s="1"/>
  <c r="C47" i="22" s="1"/>
  <c r="D47" i="22" s="1"/>
  <c r="C47" i="23" s="1"/>
  <c r="D47" i="23" s="1"/>
  <c r="C47" i="24" s="1"/>
  <c r="D47" i="24" s="1"/>
  <c r="C47" i="25" s="1"/>
  <c r="D47" i="25" s="1"/>
  <c r="C47" i="26" s="1"/>
  <c r="D47" i="26" s="1"/>
  <c r="C47" i="27" s="1"/>
  <c r="D47" i="27" s="1"/>
  <c r="C47" i="28" s="1"/>
  <c r="D47" i="28" s="1"/>
  <c r="C47" i="29" s="1"/>
  <c r="D47" i="29" s="1"/>
  <c r="C47" i="30" s="1"/>
  <c r="D47" i="30" s="1"/>
  <c r="C47" i="31" s="1"/>
  <c r="D47" i="31" s="1"/>
  <c r="C47" i="32" s="1"/>
  <c r="D47" i="32" s="1"/>
  <c r="D46" i="2"/>
  <c r="C46" i="3" s="1"/>
  <c r="D46" i="3" s="1"/>
  <c r="C46" i="4" s="1"/>
  <c r="D46" i="4" s="1"/>
  <c r="C46" i="5" s="1"/>
  <c r="D46" i="5" s="1"/>
  <c r="C46" i="6" s="1"/>
  <c r="D46" i="6" s="1"/>
  <c r="C46" i="7" s="1"/>
  <c r="D46" i="7" s="1"/>
  <c r="C46" i="8" s="1"/>
  <c r="D46" i="8" s="1"/>
  <c r="C46" i="9" s="1"/>
  <c r="D46" i="9" s="1"/>
  <c r="C46" i="37" s="1"/>
  <c r="D46" i="37" s="1"/>
  <c r="C46" i="11" s="1"/>
  <c r="D46" i="11" s="1"/>
  <c r="C46" i="12" s="1"/>
  <c r="D46" i="12" s="1"/>
  <c r="C46" i="13" s="1"/>
  <c r="D46" i="13" s="1"/>
  <c r="C46" i="14" s="1"/>
  <c r="D46" i="14" s="1"/>
  <c r="C46" i="15" s="1"/>
  <c r="D46" i="15" s="1"/>
  <c r="C46" i="16" s="1"/>
  <c r="D46" i="16" s="1"/>
  <c r="C46" i="17" s="1"/>
  <c r="D46" i="17" s="1"/>
  <c r="C46" i="18" s="1"/>
  <c r="D46" i="18" s="1"/>
  <c r="C46" i="19" s="1"/>
  <c r="D46" i="19" s="1"/>
  <c r="C46" i="20" s="1"/>
  <c r="D46" i="20" s="1"/>
  <c r="C46" i="21" s="1"/>
  <c r="D46" i="21" s="1"/>
  <c r="C46" i="22" s="1"/>
  <c r="D46" i="22" s="1"/>
  <c r="C46" i="23" s="1"/>
  <c r="D46" i="23" s="1"/>
  <c r="C46" i="24" s="1"/>
  <c r="D46" i="24" s="1"/>
  <c r="C46" i="25" s="1"/>
  <c r="D46" i="25" s="1"/>
  <c r="C46" i="26" s="1"/>
  <c r="D46" i="26" s="1"/>
  <c r="C46" i="27" s="1"/>
  <c r="D46" i="27" s="1"/>
  <c r="C46" i="28" s="1"/>
  <c r="D46" i="28" s="1"/>
  <c r="C46" i="29" s="1"/>
  <c r="D46" i="29" s="1"/>
  <c r="C46" i="30" s="1"/>
  <c r="D46" i="30" s="1"/>
  <c r="C46" i="31" s="1"/>
  <c r="D46" i="31" s="1"/>
  <c r="C46" i="32" s="1"/>
  <c r="D46" i="32" s="1"/>
  <c r="D45" i="2"/>
  <c r="C45" i="3" s="1"/>
  <c r="D45" i="3" s="1"/>
  <c r="C45" i="4" s="1"/>
  <c r="D45" i="4" s="1"/>
  <c r="C45" i="5" s="1"/>
  <c r="D45" i="5" s="1"/>
  <c r="C45" i="6" s="1"/>
  <c r="D45" i="6" s="1"/>
  <c r="C45" i="7" s="1"/>
  <c r="D45" i="7" s="1"/>
  <c r="C45" i="8" s="1"/>
  <c r="D45" i="8" s="1"/>
  <c r="C45" i="9" s="1"/>
  <c r="D45" i="9" s="1"/>
  <c r="C45" i="37" s="1"/>
  <c r="D45" i="37" s="1"/>
  <c r="C45" i="11" s="1"/>
  <c r="D45" i="11" s="1"/>
  <c r="C45" i="12" s="1"/>
  <c r="D45" i="12" s="1"/>
  <c r="C45" i="13" s="1"/>
  <c r="D45" i="13" s="1"/>
  <c r="C45" i="14" s="1"/>
  <c r="D45" i="14" s="1"/>
  <c r="C45" i="15" s="1"/>
  <c r="D45" i="15" s="1"/>
  <c r="C45" i="16" s="1"/>
  <c r="D45" i="16" s="1"/>
  <c r="C45" i="17" s="1"/>
  <c r="D45" i="17" s="1"/>
  <c r="C45" i="18" s="1"/>
  <c r="D45" i="18" s="1"/>
  <c r="C45" i="19" s="1"/>
  <c r="D45" i="19" s="1"/>
  <c r="C45" i="20" s="1"/>
  <c r="D45" i="20" s="1"/>
  <c r="C45" i="21" s="1"/>
  <c r="D45" i="21" s="1"/>
  <c r="C45" i="22" s="1"/>
  <c r="D45" i="22" s="1"/>
  <c r="C45" i="23" s="1"/>
  <c r="D45" i="23" s="1"/>
  <c r="C45" i="24" s="1"/>
  <c r="D45" i="24" s="1"/>
  <c r="C45" i="25" s="1"/>
  <c r="D45" i="25" s="1"/>
  <c r="C45" i="26" s="1"/>
  <c r="D45" i="26" s="1"/>
  <c r="C45" i="27" s="1"/>
  <c r="D45" i="27" s="1"/>
  <c r="C45" i="28" s="1"/>
  <c r="D45" i="28" s="1"/>
  <c r="C45" i="29" s="1"/>
  <c r="D45" i="29" s="1"/>
  <c r="C45" i="30" s="1"/>
  <c r="D45" i="30" s="1"/>
  <c r="C45" i="31" s="1"/>
  <c r="D45" i="31" s="1"/>
  <c r="C45" i="32" s="1"/>
  <c r="D45" i="32" s="1"/>
  <c r="D44" i="2"/>
  <c r="C44" i="3" s="1"/>
  <c r="D44" i="3" s="1"/>
  <c r="C44" i="4" s="1"/>
  <c r="D44" i="4" s="1"/>
  <c r="C44" i="5" s="1"/>
  <c r="D44" i="5" s="1"/>
  <c r="C44" i="6" s="1"/>
  <c r="D44" i="6" s="1"/>
  <c r="C44" i="7" s="1"/>
  <c r="D44" i="7" s="1"/>
  <c r="C44" i="8" s="1"/>
  <c r="D44" i="8" s="1"/>
  <c r="C44" i="9" s="1"/>
  <c r="D44" i="9" s="1"/>
  <c r="C44" i="37" s="1"/>
  <c r="D44" i="37" s="1"/>
  <c r="C44" i="11" s="1"/>
  <c r="D44" i="11" s="1"/>
  <c r="C44" i="12" s="1"/>
  <c r="D44" i="12" s="1"/>
  <c r="C44" i="13" s="1"/>
  <c r="D44" i="13" s="1"/>
  <c r="C44" i="14" s="1"/>
  <c r="D44" i="14" s="1"/>
  <c r="C44" i="15" s="1"/>
  <c r="D44" i="15" s="1"/>
  <c r="C44" i="16" s="1"/>
  <c r="D44" i="16" s="1"/>
  <c r="C44" i="17" s="1"/>
  <c r="D44" i="17" s="1"/>
  <c r="C44" i="18" s="1"/>
  <c r="D44" i="18" s="1"/>
  <c r="C44" i="19" s="1"/>
  <c r="D44" i="19" s="1"/>
  <c r="C44" i="20" s="1"/>
  <c r="D44" i="20" s="1"/>
  <c r="C44" i="21" s="1"/>
  <c r="D44" i="21" s="1"/>
  <c r="C44" i="22" s="1"/>
  <c r="D44" i="22" s="1"/>
  <c r="C44" i="23" s="1"/>
  <c r="D44" i="23" s="1"/>
  <c r="C44" i="24" s="1"/>
  <c r="D44" i="24" s="1"/>
  <c r="C44" i="25" s="1"/>
  <c r="D44" i="25" s="1"/>
  <c r="C44" i="26" s="1"/>
  <c r="D44" i="26" s="1"/>
  <c r="C44" i="27" s="1"/>
  <c r="D44" i="27" s="1"/>
  <c r="C44" i="28" s="1"/>
  <c r="D44" i="28" s="1"/>
  <c r="C44" i="29" s="1"/>
  <c r="D44" i="29" s="1"/>
  <c r="C44" i="30" s="1"/>
  <c r="D44" i="30" s="1"/>
  <c r="C44" i="31" s="1"/>
  <c r="D44" i="31" s="1"/>
  <c r="C44" i="32" s="1"/>
  <c r="D44" i="32" s="1"/>
  <c r="D43" i="2"/>
  <c r="C43" i="3" s="1"/>
  <c r="D43" i="3" s="1"/>
  <c r="C43" i="4" s="1"/>
  <c r="D43" i="4" s="1"/>
  <c r="C43" i="5" s="1"/>
  <c r="D43" i="5" s="1"/>
  <c r="C43" i="6" s="1"/>
  <c r="D43" i="6" s="1"/>
  <c r="C43" i="7" s="1"/>
  <c r="D43" i="7" s="1"/>
  <c r="C43" i="8" s="1"/>
  <c r="D43" i="8" s="1"/>
  <c r="C43" i="9" s="1"/>
  <c r="D43" i="9" s="1"/>
  <c r="C43" i="37" s="1"/>
  <c r="D43" i="37" s="1"/>
  <c r="C43" i="11" s="1"/>
  <c r="D43" i="11" s="1"/>
  <c r="C43" i="12" s="1"/>
  <c r="D43" i="12" s="1"/>
  <c r="C43" i="13" s="1"/>
  <c r="D43" i="13" s="1"/>
  <c r="C43" i="14" s="1"/>
  <c r="D43" i="14" s="1"/>
  <c r="C43" i="15" s="1"/>
  <c r="D43" i="15" s="1"/>
  <c r="C43" i="16" s="1"/>
  <c r="D43" i="16" s="1"/>
  <c r="C43" i="17" s="1"/>
  <c r="D43" i="17" s="1"/>
  <c r="C43" i="18" s="1"/>
  <c r="D43" i="18" s="1"/>
  <c r="C43" i="19" s="1"/>
  <c r="D43" i="19" s="1"/>
  <c r="C43" i="20" s="1"/>
  <c r="D43" i="20" s="1"/>
  <c r="C43" i="21" s="1"/>
  <c r="D43" i="21" s="1"/>
  <c r="C43" i="22" s="1"/>
  <c r="D43" i="22" s="1"/>
  <c r="C43" i="23" s="1"/>
  <c r="D43" i="23" s="1"/>
  <c r="C43" i="24" s="1"/>
  <c r="D43" i="24" s="1"/>
  <c r="C43" i="25" s="1"/>
  <c r="D43" i="25" s="1"/>
  <c r="C43" i="26" s="1"/>
  <c r="D43" i="26" s="1"/>
  <c r="C43" i="27" s="1"/>
  <c r="D43" i="27" s="1"/>
  <c r="C43" i="28" s="1"/>
  <c r="D43" i="28" s="1"/>
  <c r="C43" i="29" s="1"/>
  <c r="D43" i="29" s="1"/>
  <c r="C43" i="30" s="1"/>
  <c r="D43" i="30" s="1"/>
  <c r="C43" i="31" s="1"/>
  <c r="D43" i="31" s="1"/>
  <c r="C43" i="32" s="1"/>
  <c r="D43" i="32" s="1"/>
  <c r="D42" i="2"/>
  <c r="C42" i="3" s="1"/>
  <c r="D42" i="3" s="1"/>
  <c r="C42" i="4" s="1"/>
  <c r="D42" i="4" s="1"/>
  <c r="C42" i="5" s="1"/>
  <c r="D42" i="5" s="1"/>
  <c r="C42" i="6" s="1"/>
  <c r="D42" i="6" s="1"/>
  <c r="C42" i="7" s="1"/>
  <c r="D42" i="7" s="1"/>
  <c r="C42" i="8" s="1"/>
  <c r="D42" i="8" s="1"/>
  <c r="C42" i="9" s="1"/>
  <c r="D42" i="9" s="1"/>
  <c r="C42" i="37" s="1"/>
  <c r="D42" i="37" s="1"/>
  <c r="C42" i="11" s="1"/>
  <c r="D42" i="11" s="1"/>
  <c r="C42" i="12" s="1"/>
  <c r="D42" i="12" s="1"/>
  <c r="C42" i="13" s="1"/>
  <c r="D42" i="13" s="1"/>
  <c r="C42" i="14" s="1"/>
  <c r="D42" i="14" s="1"/>
  <c r="C42" i="15" s="1"/>
  <c r="D42" i="15" s="1"/>
  <c r="C42" i="16" s="1"/>
  <c r="D42" i="16" s="1"/>
  <c r="C42" i="17" s="1"/>
  <c r="D42" i="17" s="1"/>
  <c r="C42" i="18" s="1"/>
  <c r="D42" i="18" s="1"/>
  <c r="C42" i="19" s="1"/>
  <c r="D42" i="19" s="1"/>
  <c r="C42" i="20" s="1"/>
  <c r="D42" i="20" s="1"/>
  <c r="C42" i="21" s="1"/>
  <c r="D42" i="21" s="1"/>
  <c r="C42" i="22" s="1"/>
  <c r="D42" i="22" s="1"/>
  <c r="C42" i="23" s="1"/>
  <c r="D42" i="23" s="1"/>
  <c r="C42" i="24" s="1"/>
  <c r="D42" i="24" s="1"/>
  <c r="C42" i="25" s="1"/>
  <c r="D42" i="25" s="1"/>
  <c r="C42" i="26" s="1"/>
  <c r="D42" i="26" s="1"/>
  <c r="C42" i="27" s="1"/>
  <c r="D42" i="27" s="1"/>
  <c r="C42" i="28" s="1"/>
  <c r="D42" i="28" s="1"/>
  <c r="C42" i="29" s="1"/>
  <c r="D42" i="29" s="1"/>
  <c r="C42" i="30" s="1"/>
  <c r="D42" i="30" s="1"/>
  <c r="C42" i="31" s="1"/>
  <c r="D42" i="31" s="1"/>
  <c r="C42" i="32" s="1"/>
  <c r="D42" i="32" s="1"/>
  <c r="D36" i="2"/>
  <c r="C36" i="3" s="1"/>
  <c r="D36" i="3" s="1"/>
  <c r="C36" i="4" s="1"/>
  <c r="D36" i="4" s="1"/>
  <c r="C36" i="5" s="1"/>
  <c r="D36" i="5" s="1"/>
  <c r="C36" i="6" s="1"/>
  <c r="D36" i="6" s="1"/>
  <c r="C36" i="7" s="1"/>
  <c r="D36" i="7" s="1"/>
  <c r="C36" i="8" s="1"/>
  <c r="D36" i="8" s="1"/>
  <c r="C36" i="9" s="1"/>
  <c r="D36" i="9" s="1"/>
  <c r="C36" i="37" s="1"/>
  <c r="D36" i="37" s="1"/>
  <c r="C36" i="11" s="1"/>
  <c r="D36" i="11" s="1"/>
  <c r="C36" i="12" s="1"/>
  <c r="D36" i="12" s="1"/>
  <c r="C36" i="13" s="1"/>
  <c r="D36" i="13" s="1"/>
  <c r="C36" i="14" s="1"/>
  <c r="D36" i="14" s="1"/>
  <c r="C36" i="15" s="1"/>
  <c r="D36" i="15" s="1"/>
  <c r="C36" i="16" s="1"/>
  <c r="D36" i="16" s="1"/>
  <c r="C36" i="17" s="1"/>
  <c r="D36" i="17" s="1"/>
  <c r="C36" i="18" s="1"/>
  <c r="D36" i="18" s="1"/>
  <c r="C36" i="19" s="1"/>
  <c r="D36" i="19" s="1"/>
  <c r="C36" i="20" s="1"/>
  <c r="D36" i="20" s="1"/>
  <c r="C36" i="21" s="1"/>
  <c r="D36" i="21" s="1"/>
  <c r="C36" i="22" s="1"/>
  <c r="D36" i="22" s="1"/>
  <c r="C36" i="23" s="1"/>
  <c r="D36" i="23" s="1"/>
  <c r="C36" i="24" s="1"/>
  <c r="D36" i="24" s="1"/>
  <c r="C36" i="25" s="1"/>
  <c r="D36" i="25" s="1"/>
  <c r="C36" i="26" s="1"/>
  <c r="D36" i="26" s="1"/>
  <c r="C36" i="27" s="1"/>
  <c r="D36" i="27" s="1"/>
  <c r="C36" i="28" s="1"/>
  <c r="D36" i="28" s="1"/>
  <c r="C36" i="29" s="1"/>
  <c r="D36" i="29" s="1"/>
  <c r="C36" i="30" s="1"/>
  <c r="D36" i="30" s="1"/>
  <c r="C36" i="31" s="1"/>
  <c r="D36" i="31" s="1"/>
  <c r="C36" i="32" s="1"/>
  <c r="D36" i="32" s="1"/>
  <c r="D35" i="2"/>
  <c r="C35" i="3" s="1"/>
  <c r="D35" i="3" s="1"/>
  <c r="C35" i="4" s="1"/>
  <c r="D35" i="4" s="1"/>
  <c r="C35" i="5" s="1"/>
  <c r="D35" i="5" s="1"/>
  <c r="C35" i="6" s="1"/>
  <c r="D35" i="6" s="1"/>
  <c r="C35" i="7" s="1"/>
  <c r="D35" i="7" s="1"/>
  <c r="C35" i="8" s="1"/>
  <c r="D35" i="8" s="1"/>
  <c r="C35" i="9" s="1"/>
  <c r="D35" i="9" s="1"/>
  <c r="C35" i="37" s="1"/>
  <c r="D35" i="37" s="1"/>
  <c r="C35" i="11" s="1"/>
  <c r="D35" i="11" s="1"/>
  <c r="C35" i="12" s="1"/>
  <c r="D35" i="12" s="1"/>
  <c r="C35" i="13" s="1"/>
  <c r="D35" i="13" s="1"/>
  <c r="C35" i="14" s="1"/>
  <c r="D35" i="14" s="1"/>
  <c r="C35" i="15" s="1"/>
  <c r="D35" i="15" s="1"/>
  <c r="C35" i="16" s="1"/>
  <c r="D35" i="16" s="1"/>
  <c r="C35" i="17" s="1"/>
  <c r="D35" i="17" s="1"/>
  <c r="C35" i="18" s="1"/>
  <c r="D35" i="18" s="1"/>
  <c r="C35" i="19" s="1"/>
  <c r="D35" i="19" s="1"/>
  <c r="C35" i="20" s="1"/>
  <c r="D35" i="20" s="1"/>
  <c r="C35" i="21" s="1"/>
  <c r="D35" i="21" s="1"/>
  <c r="C35" i="22" s="1"/>
  <c r="D35" i="22" s="1"/>
  <c r="C35" i="23" s="1"/>
  <c r="D35" i="23" s="1"/>
  <c r="C35" i="24" s="1"/>
  <c r="D35" i="24" s="1"/>
  <c r="C35" i="25" s="1"/>
  <c r="D35" i="25" s="1"/>
  <c r="C35" i="26" s="1"/>
  <c r="D35" i="26" s="1"/>
  <c r="C35" i="27" s="1"/>
  <c r="D35" i="27" s="1"/>
  <c r="C35" i="28" s="1"/>
  <c r="D35" i="28" s="1"/>
  <c r="C35" i="29" s="1"/>
  <c r="D35" i="29" s="1"/>
  <c r="C35" i="30" s="1"/>
  <c r="D35" i="30" s="1"/>
  <c r="C35" i="31" s="1"/>
  <c r="D35" i="31" s="1"/>
  <c r="C35" i="32" s="1"/>
  <c r="D35" i="32" s="1"/>
  <c r="D23" i="2"/>
  <c r="C23" i="3" s="1"/>
  <c r="D23" i="3" s="1"/>
  <c r="C23" i="4" s="1"/>
  <c r="D23" i="4" s="1"/>
  <c r="C23" i="5" s="1"/>
  <c r="D23" i="5" s="1"/>
  <c r="C23" i="6" s="1"/>
  <c r="D23" i="6" s="1"/>
  <c r="C23" i="7" s="1"/>
  <c r="D23" i="7" s="1"/>
  <c r="C23" i="8" s="1"/>
  <c r="D23" i="8" s="1"/>
  <c r="C23" i="9" s="1"/>
  <c r="D23" i="9" s="1"/>
  <c r="C23" i="37" s="1"/>
  <c r="D23" i="37" s="1"/>
  <c r="C23" i="11" s="1"/>
  <c r="D23" i="11" s="1"/>
  <c r="C23" i="12" s="1"/>
  <c r="D23" i="12" s="1"/>
  <c r="C23" i="13" s="1"/>
  <c r="D23" i="13" s="1"/>
  <c r="C23" i="14" s="1"/>
  <c r="D23" i="14" s="1"/>
  <c r="C23" i="15" s="1"/>
  <c r="D23" i="15" s="1"/>
  <c r="C23" i="16" s="1"/>
  <c r="D23" i="16" s="1"/>
  <c r="C23" i="17" s="1"/>
  <c r="D23" i="17" s="1"/>
  <c r="C23" i="18" s="1"/>
  <c r="D23" i="18" s="1"/>
  <c r="C23" i="19" s="1"/>
  <c r="D23" i="19" s="1"/>
  <c r="C23" i="20" s="1"/>
  <c r="D23" i="20" s="1"/>
  <c r="C23" i="21" s="1"/>
  <c r="D23" i="21" s="1"/>
  <c r="C23" i="22" s="1"/>
  <c r="D23" i="22" s="1"/>
  <c r="C23" i="23" s="1"/>
  <c r="D23" i="23" s="1"/>
  <c r="C23" i="24" s="1"/>
  <c r="D23" i="24" s="1"/>
  <c r="C23" i="25" s="1"/>
  <c r="D23" i="25" s="1"/>
  <c r="C23" i="26" s="1"/>
  <c r="D23" i="26" s="1"/>
  <c r="C23" i="27" s="1"/>
  <c r="D23" i="27" s="1"/>
  <c r="C23" i="28" s="1"/>
  <c r="D23" i="28" s="1"/>
  <c r="C23" i="29" s="1"/>
  <c r="D23" i="29" s="1"/>
  <c r="C23" i="30" s="1"/>
  <c r="D23" i="30" s="1"/>
  <c r="C23" i="31" s="1"/>
  <c r="D23" i="31" s="1"/>
  <c r="C23" i="32" s="1"/>
  <c r="D23" i="32" s="1"/>
  <c r="V8" i="3"/>
  <c r="X8" i="3" s="1"/>
  <c r="T8" i="4" s="1"/>
  <c r="V8" i="4" s="1"/>
  <c r="X8" i="4" s="1"/>
  <c r="T8" i="5" s="1"/>
  <c r="V8" i="5" s="1"/>
  <c r="X8" i="5" s="1"/>
  <c r="T8" i="6" s="1"/>
  <c r="V8" i="6" s="1"/>
  <c r="X8" i="6" s="1"/>
  <c r="T8" i="7" s="1"/>
  <c r="V8" i="7" s="1"/>
  <c r="X8" i="7" s="1"/>
  <c r="T8" i="8" s="1"/>
  <c r="V8" i="8" s="1"/>
  <c r="X8" i="8" s="1"/>
  <c r="T8" i="9" s="1"/>
  <c r="V8" i="9" s="1"/>
  <c r="X8" i="9" s="1"/>
  <c r="T8" i="37" s="1"/>
  <c r="V8" i="37" s="1"/>
  <c r="X8" i="37" s="1"/>
  <c r="T8" i="11" s="1"/>
  <c r="V9" i="2"/>
  <c r="X9" i="2" s="1"/>
  <c r="AC9" i="2"/>
  <c r="AE9" i="2" s="1"/>
  <c r="AA9" i="3" s="1"/>
  <c r="V10" i="2"/>
  <c r="X10" i="2" s="1"/>
  <c r="AC10" i="2"/>
  <c r="AE10" i="2" s="1"/>
  <c r="AA10" i="3" s="1"/>
  <c r="V19" i="2"/>
  <c r="X19" i="2" s="1"/>
  <c r="AC19" i="2"/>
  <c r="AE19" i="2" s="1"/>
  <c r="AA19" i="3" s="1"/>
  <c r="V20" i="2"/>
  <c r="X20" i="2" s="1"/>
  <c r="AC20" i="2"/>
  <c r="AE20" i="2" s="1"/>
  <c r="AA20" i="3" s="1"/>
  <c r="V21" i="2"/>
  <c r="X21" i="2" s="1"/>
  <c r="AC21" i="2"/>
  <c r="AE21" i="2" s="1"/>
  <c r="AA21" i="3" s="1"/>
  <c r="V22" i="2"/>
  <c r="X22" i="2" s="1"/>
  <c r="AC22" i="2"/>
  <c r="AE22" i="2" s="1"/>
  <c r="AA22" i="3" s="1"/>
  <c r="V23" i="2"/>
  <c r="X23" i="2" s="1"/>
  <c r="AC23" i="2"/>
  <c r="AE23" i="2" s="1"/>
  <c r="AA23" i="3" s="1"/>
  <c r="V24" i="2"/>
  <c r="X24" i="2" s="1"/>
  <c r="AC24" i="2"/>
  <c r="AE24" i="2" s="1"/>
  <c r="AA24" i="3" s="1"/>
  <c r="V25" i="2"/>
  <c r="X25" i="2" s="1"/>
  <c r="AC25" i="2"/>
  <c r="AE25" i="2" s="1"/>
  <c r="AA25" i="3" s="1"/>
  <c r="V26" i="2"/>
  <c r="X26" i="2" s="1"/>
  <c r="AC26" i="2"/>
  <c r="AE26" i="2" s="1"/>
  <c r="AA26" i="3" s="1"/>
  <c r="V27" i="2"/>
  <c r="X27" i="2" s="1"/>
  <c r="AC27" i="2"/>
  <c r="AE27" i="2" s="1"/>
  <c r="AA27" i="3" s="1"/>
  <c r="V28" i="2"/>
  <c r="X28" i="2" s="1"/>
  <c r="AC28" i="2"/>
  <c r="AE28" i="2" s="1"/>
  <c r="AA28" i="3" s="1"/>
  <c r="V29" i="2"/>
  <c r="X29" i="2" s="1"/>
  <c r="AC29" i="2"/>
  <c r="AE29" i="2" s="1"/>
  <c r="AA29" i="3" s="1"/>
  <c r="V30" i="2"/>
  <c r="X30" i="2" s="1"/>
  <c r="AC30" i="2"/>
  <c r="AE30" i="2" s="1"/>
  <c r="AA30" i="3" s="1"/>
  <c r="V31" i="2"/>
  <c r="X31" i="2" s="1"/>
  <c r="T31" i="3" s="1"/>
  <c r="AC31" i="2"/>
  <c r="AE31" i="2" s="1"/>
  <c r="AA31" i="3" s="1"/>
  <c r="V32" i="2"/>
  <c r="X32" i="2" s="1"/>
  <c r="V33" i="2"/>
  <c r="X33" i="2" s="1"/>
  <c r="V34" i="2"/>
  <c r="X34" i="2" s="1"/>
  <c r="AC34" i="2"/>
  <c r="V35" i="2"/>
  <c r="X35" i="2" s="1"/>
  <c r="AC35" i="2"/>
  <c r="V36" i="3"/>
  <c r="X36" i="3" s="1"/>
  <c r="T36" i="4" s="1"/>
  <c r="V36" i="4" s="1"/>
  <c r="X36" i="4" s="1"/>
  <c r="T36" i="5" s="1"/>
  <c r="V36" i="5" s="1"/>
  <c r="X36" i="5" s="1"/>
  <c r="AC36" i="2"/>
  <c r="V37" i="2"/>
  <c r="X37" i="2" s="1"/>
  <c r="AC37" i="2"/>
  <c r="V38" i="2"/>
  <c r="X38" i="2" s="1"/>
  <c r="T38" i="3" s="1"/>
  <c r="V38" i="3" s="1"/>
  <c r="X38" i="3" s="1"/>
  <c r="T38" i="4" s="1"/>
  <c r="V38" i="4" s="1"/>
  <c r="X38" i="4" s="1"/>
  <c r="T38" i="5" s="1"/>
  <c r="V38" i="5" s="1"/>
  <c r="X38" i="5" s="1"/>
  <c r="T38" i="6" s="1"/>
  <c r="V38" i="6" s="1"/>
  <c r="X38" i="6" s="1"/>
  <c r="T38" i="7" s="1"/>
  <c r="V38" i="7" s="1"/>
  <c r="X38" i="7" s="1"/>
  <c r="T38" i="8" s="1"/>
  <c r="V38" i="8" s="1"/>
  <c r="X38" i="8" s="1"/>
  <c r="T38" i="9" s="1"/>
  <c r="V38" i="9" s="1"/>
  <c r="X38" i="9" s="1"/>
  <c r="T38" i="37" s="1"/>
  <c r="V38" i="37" s="1"/>
  <c r="X38" i="37" s="1"/>
  <c r="T38" i="11" s="1"/>
  <c r="V38" i="11" s="1"/>
  <c r="X38" i="11" s="1"/>
  <c r="T38" i="12" s="1"/>
  <c r="V38" i="12" s="1"/>
  <c r="X38" i="12" s="1"/>
  <c r="T38" i="13" s="1"/>
  <c r="V38" i="13" s="1"/>
  <c r="X38" i="13" s="1"/>
  <c r="T38" i="14" s="1"/>
  <c r="V38" i="14" s="1"/>
  <c r="X38" i="14" s="1"/>
  <c r="T38" i="15" s="1"/>
  <c r="V38" i="15" s="1"/>
  <c r="X38" i="15" s="1"/>
  <c r="T38" i="16" s="1"/>
  <c r="V38" i="16" s="1"/>
  <c r="X38" i="16" s="1"/>
  <c r="T38" i="17" s="1"/>
  <c r="V38" i="17" s="1"/>
  <c r="X38" i="17" s="1"/>
  <c r="T38" i="18" s="1"/>
  <c r="V38" i="18" s="1"/>
  <c r="X38" i="18" s="1"/>
  <c r="AC38" i="2"/>
  <c r="V39" i="2"/>
  <c r="X39" i="2" s="1"/>
  <c r="T39" i="3" s="1"/>
  <c r="V39" i="3" s="1"/>
  <c r="X39" i="3" s="1"/>
  <c r="T39" i="4" s="1"/>
  <c r="V39" i="4" s="1"/>
  <c r="X39" i="4" s="1"/>
  <c r="T39" i="5" s="1"/>
  <c r="V39" i="5" s="1"/>
  <c r="X39" i="5" s="1"/>
  <c r="T39" i="6" s="1"/>
  <c r="V39" i="6" s="1"/>
  <c r="X39" i="6" s="1"/>
  <c r="T39" i="7" s="1"/>
  <c r="V39" i="7" s="1"/>
  <c r="X39" i="7" s="1"/>
  <c r="T39" i="8" s="1"/>
  <c r="V39" i="8" s="1"/>
  <c r="X39" i="8" s="1"/>
  <c r="T39" i="9" s="1"/>
  <c r="V39" i="9" s="1"/>
  <c r="X39" i="9" s="1"/>
  <c r="T39" i="37" s="1"/>
  <c r="V39" i="37" s="1"/>
  <c r="X39" i="37" s="1"/>
  <c r="T39" i="11" s="1"/>
  <c r="V39" i="11" s="1"/>
  <c r="X39" i="11" s="1"/>
  <c r="T39" i="12" s="1"/>
  <c r="V39" i="12" s="1"/>
  <c r="X39" i="12" s="1"/>
  <c r="T39" i="13" s="1"/>
  <c r="V39" i="13" s="1"/>
  <c r="X39" i="13" s="1"/>
  <c r="T39" i="14" s="1"/>
  <c r="V39" i="14" s="1"/>
  <c r="X39" i="14" s="1"/>
  <c r="T39" i="15" s="1"/>
  <c r="V39" i="15" s="1"/>
  <c r="X39" i="15" s="1"/>
  <c r="T39" i="16" s="1"/>
  <c r="V39" i="16" s="1"/>
  <c r="X39" i="16" s="1"/>
  <c r="T39" i="17" s="1"/>
  <c r="V39" i="17" s="1"/>
  <c r="X39" i="17" s="1"/>
  <c r="T39" i="18" s="1"/>
  <c r="V39" i="18" s="1"/>
  <c r="X39" i="18" s="1"/>
  <c r="AC39" i="2"/>
  <c r="V40" i="2"/>
  <c r="X40" i="2" s="1"/>
  <c r="T40" i="3" s="1"/>
  <c r="V40" i="3" s="1"/>
  <c r="X40" i="3" s="1"/>
  <c r="T40" i="4" s="1"/>
  <c r="V40" i="4" s="1"/>
  <c r="X40" i="4" s="1"/>
  <c r="T40" i="5" s="1"/>
  <c r="V40" i="5" s="1"/>
  <c r="X40" i="5" s="1"/>
  <c r="T40" i="6" s="1"/>
  <c r="V40" i="6" s="1"/>
  <c r="X40" i="6" s="1"/>
  <c r="T40" i="7" s="1"/>
  <c r="V40" i="7" s="1"/>
  <c r="X40" i="7" s="1"/>
  <c r="T40" i="8" s="1"/>
  <c r="V40" i="8" s="1"/>
  <c r="X40" i="8" s="1"/>
  <c r="T40" i="9" s="1"/>
  <c r="V40" i="9" s="1"/>
  <c r="X40" i="9" s="1"/>
  <c r="T40" i="37" s="1"/>
  <c r="V40" i="37" s="1"/>
  <c r="X40" i="37" s="1"/>
  <c r="T40" i="11" s="1"/>
  <c r="V40" i="11" s="1"/>
  <c r="X40" i="11" s="1"/>
  <c r="T40" i="12" s="1"/>
  <c r="V40" i="12" s="1"/>
  <c r="X40" i="12" s="1"/>
  <c r="T40" i="13" s="1"/>
  <c r="V40" i="13" s="1"/>
  <c r="X40" i="13" s="1"/>
  <c r="T40" i="14" s="1"/>
  <c r="V40" i="14" s="1"/>
  <c r="X40" i="14" s="1"/>
  <c r="T40" i="15" s="1"/>
  <c r="V40" i="15" s="1"/>
  <c r="X40" i="15" s="1"/>
  <c r="T40" i="16" s="1"/>
  <c r="V40" i="16" s="1"/>
  <c r="X40" i="16" s="1"/>
  <c r="T40" i="17" s="1"/>
  <c r="V40" i="17" s="1"/>
  <c r="X40" i="17" s="1"/>
  <c r="T40" i="18" s="1"/>
  <c r="V40" i="18" s="1"/>
  <c r="X40" i="18" s="1"/>
  <c r="AC40" i="2"/>
  <c r="V41" i="2"/>
  <c r="X41" i="2" s="1"/>
  <c r="T41" i="3" s="1"/>
  <c r="V41" i="3" s="1"/>
  <c r="X41" i="3" s="1"/>
  <c r="T41" i="4" s="1"/>
  <c r="V41" i="4" s="1"/>
  <c r="X41" i="4" s="1"/>
  <c r="T41" i="5" s="1"/>
  <c r="V41" i="5" s="1"/>
  <c r="X41" i="5" s="1"/>
  <c r="T41" i="6" s="1"/>
  <c r="V41" i="6" s="1"/>
  <c r="X41" i="6" s="1"/>
  <c r="T41" i="7" s="1"/>
  <c r="V41" i="7" s="1"/>
  <c r="X41" i="7" s="1"/>
  <c r="T41" i="8" s="1"/>
  <c r="V41" i="8" s="1"/>
  <c r="X41" i="8" s="1"/>
  <c r="T41" i="9" s="1"/>
  <c r="V41" i="9" s="1"/>
  <c r="X41" i="9" s="1"/>
  <c r="T41" i="37" s="1"/>
  <c r="V41" i="37" s="1"/>
  <c r="X41" i="37" s="1"/>
  <c r="T41" i="11" s="1"/>
  <c r="V41" i="11" s="1"/>
  <c r="X41" i="11" s="1"/>
  <c r="T41" i="12" s="1"/>
  <c r="V41" i="12" s="1"/>
  <c r="X41" i="12" s="1"/>
  <c r="T41" i="13" s="1"/>
  <c r="V41" i="13" s="1"/>
  <c r="X41" i="13" s="1"/>
  <c r="T41" i="14" s="1"/>
  <c r="V41" i="14" s="1"/>
  <c r="X41" i="14" s="1"/>
  <c r="T41" i="15" s="1"/>
  <c r="V41" i="15" s="1"/>
  <c r="X41" i="15" s="1"/>
  <c r="T41" i="16" s="1"/>
  <c r="V41" i="16" s="1"/>
  <c r="X41" i="16" s="1"/>
  <c r="T41" i="17" s="1"/>
  <c r="V41" i="17" s="1"/>
  <c r="X41" i="17" s="1"/>
  <c r="T41" i="18" s="1"/>
  <c r="V41" i="18" s="1"/>
  <c r="X41" i="18" s="1"/>
  <c r="AC41" i="2"/>
  <c r="V42" i="2"/>
  <c r="X42" i="2" s="1"/>
  <c r="T42" i="3" s="1"/>
  <c r="V42" i="3" s="1"/>
  <c r="X42" i="3" s="1"/>
  <c r="T42" i="4" s="1"/>
  <c r="V42" i="4" s="1"/>
  <c r="X42" i="4" s="1"/>
  <c r="T42" i="5" s="1"/>
  <c r="V42" i="5" s="1"/>
  <c r="X42" i="5" s="1"/>
  <c r="T42" i="6" s="1"/>
  <c r="V42" i="6" s="1"/>
  <c r="X42" i="6" s="1"/>
  <c r="T42" i="7" s="1"/>
  <c r="V42" i="7" s="1"/>
  <c r="X42" i="7" s="1"/>
  <c r="T42" i="8" s="1"/>
  <c r="V42" i="8" s="1"/>
  <c r="X42" i="8" s="1"/>
  <c r="T42" i="9" s="1"/>
  <c r="V42" i="9" s="1"/>
  <c r="X42" i="9" s="1"/>
  <c r="T42" i="37" s="1"/>
  <c r="V42" i="37" s="1"/>
  <c r="X42" i="37" s="1"/>
  <c r="T42" i="11" s="1"/>
  <c r="V42" i="11" s="1"/>
  <c r="X42" i="11" s="1"/>
  <c r="T42" i="12" s="1"/>
  <c r="V42" i="12" s="1"/>
  <c r="X42" i="12" s="1"/>
  <c r="T42" i="13" s="1"/>
  <c r="V42" i="13" s="1"/>
  <c r="X42" i="13" s="1"/>
  <c r="T42" i="14" s="1"/>
  <c r="V42" i="14" s="1"/>
  <c r="X42" i="14" s="1"/>
  <c r="T42" i="15" s="1"/>
  <c r="V42" i="15" s="1"/>
  <c r="X42" i="15" s="1"/>
  <c r="T42" i="16" s="1"/>
  <c r="V42" i="16" s="1"/>
  <c r="X42" i="16" s="1"/>
  <c r="T42" i="17" s="1"/>
  <c r="V42" i="17" s="1"/>
  <c r="X42" i="17" s="1"/>
  <c r="T42" i="18" s="1"/>
  <c r="V42" i="18" s="1"/>
  <c r="X42" i="18" s="1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J57" i="2"/>
  <c r="A10" i="33"/>
  <c r="A11" i="33" s="1"/>
  <c r="A12" i="33" s="1"/>
  <c r="A13" i="33" s="1"/>
  <c r="A14" i="33" s="1"/>
  <c r="A15" i="33" s="1"/>
  <c r="A16" i="33" s="1"/>
  <c r="A17" i="33" s="1"/>
  <c r="A18" i="33" s="1"/>
  <c r="A19" i="33" s="1"/>
  <c r="A20" i="33" s="1"/>
  <c r="A21" i="33" s="1"/>
  <c r="BQ15" i="49"/>
  <c r="BS15" i="49" s="1"/>
  <c r="BQ26" i="49"/>
  <c r="AG28" i="49"/>
  <c r="B25" i="17" s="1"/>
  <c r="D38" i="57"/>
  <c r="D37" i="57"/>
  <c r="D36" i="57"/>
  <c r="AB33" i="30" s="1"/>
  <c r="D34" i="57"/>
  <c r="D33" i="57"/>
  <c r="D32" i="57"/>
  <c r="D31" i="57"/>
  <c r="D30" i="57"/>
  <c r="D29" i="57"/>
  <c r="D28" i="57"/>
  <c r="D27" i="57"/>
  <c r="D26" i="57"/>
  <c r="D25" i="57"/>
  <c r="D24" i="57"/>
  <c r="D23" i="57"/>
  <c r="D22" i="57"/>
  <c r="D21" i="57"/>
  <c r="D20" i="57"/>
  <c r="D19" i="57"/>
  <c r="D18" i="57"/>
  <c r="D17" i="57"/>
  <c r="D16" i="57"/>
  <c r="D15" i="57"/>
  <c r="D14" i="57"/>
  <c r="D13" i="57"/>
  <c r="D12" i="57"/>
  <c r="D11" i="57"/>
  <c r="D10" i="57"/>
  <c r="D9" i="57"/>
  <c r="D8" i="57"/>
  <c r="G38" i="57"/>
  <c r="G37" i="57"/>
  <c r="G36" i="57"/>
  <c r="G35" i="57"/>
  <c r="G34" i="57"/>
  <c r="G33" i="57"/>
  <c r="G32" i="57"/>
  <c r="G31" i="57"/>
  <c r="G30" i="57"/>
  <c r="G29" i="57"/>
  <c r="G28" i="57"/>
  <c r="G27" i="57"/>
  <c r="G26" i="57"/>
  <c r="G25" i="57"/>
  <c r="G24" i="57"/>
  <c r="G23" i="57"/>
  <c r="G22" i="57"/>
  <c r="G21" i="57"/>
  <c r="G20" i="57"/>
  <c r="G19" i="57"/>
  <c r="G18" i="57"/>
  <c r="G17" i="57"/>
  <c r="G16" i="57"/>
  <c r="G15" i="57"/>
  <c r="G14" i="57"/>
  <c r="G13" i="57"/>
  <c r="G12" i="57"/>
  <c r="G11" i="57"/>
  <c r="G10" i="57"/>
  <c r="G9" i="57"/>
  <c r="G8" i="57"/>
  <c r="A8" i="57"/>
  <c r="A9" i="57" s="1"/>
  <c r="A10" i="57" s="1"/>
  <c r="A11" i="57" s="1"/>
  <c r="A12" i="57" s="1"/>
  <c r="A13" i="57" s="1"/>
  <c r="A14" i="57" s="1"/>
  <c r="A15" i="57" s="1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D35" i="57"/>
  <c r="K21" i="54"/>
  <c r="K20" i="54"/>
  <c r="K19" i="54"/>
  <c r="K18" i="54"/>
  <c r="K17" i="54"/>
  <c r="K16" i="54"/>
  <c r="K15" i="54"/>
  <c r="K14" i="54"/>
  <c r="K13" i="54"/>
  <c r="K12" i="54"/>
  <c r="K11" i="54"/>
  <c r="K10" i="54"/>
  <c r="K9" i="54"/>
  <c r="B8" i="54"/>
  <c r="K8" i="54" s="1"/>
  <c r="S1082" i="33"/>
  <c r="S1044" i="33"/>
  <c r="S1006" i="33"/>
  <c r="S968" i="33"/>
  <c r="S929" i="33"/>
  <c r="S890" i="33"/>
  <c r="S892" i="33" s="1"/>
  <c r="S852" i="33"/>
  <c r="S854" i="33" s="1"/>
  <c r="S776" i="33"/>
  <c r="S778" i="33" s="1"/>
  <c r="S738" i="33"/>
  <c r="S740" i="33" s="1"/>
  <c r="S700" i="33"/>
  <c r="S662" i="33"/>
  <c r="S664" i="33" s="1"/>
  <c r="S588" i="33"/>
  <c r="S550" i="33"/>
  <c r="S513" i="33"/>
  <c r="S477" i="33"/>
  <c r="S439" i="33"/>
  <c r="S400" i="33"/>
  <c r="S358" i="33"/>
  <c r="S360" i="33" s="1"/>
  <c r="S317" i="33"/>
  <c r="S319" i="33" s="1"/>
  <c r="S277" i="33"/>
  <c r="S240" i="33"/>
  <c r="S242" i="33" s="1"/>
  <c r="S39" i="33"/>
  <c r="S41" i="33" s="1"/>
  <c r="S85" i="33"/>
  <c r="S87" i="33" s="1"/>
  <c r="S123" i="33"/>
  <c r="S125" i="33" s="1"/>
  <c r="S162" i="33"/>
  <c r="S164" i="33" s="1"/>
  <c r="S200" i="33"/>
  <c r="S202" i="33" s="1"/>
  <c r="A9" i="56"/>
  <c r="F38" i="55"/>
  <c r="F36" i="55"/>
  <c r="F35" i="55"/>
  <c r="F34" i="55"/>
  <c r="F33" i="55"/>
  <c r="F32" i="55"/>
  <c r="F31" i="55"/>
  <c r="F30" i="55"/>
  <c r="AB890" i="33"/>
  <c r="BQ22" i="49"/>
  <c r="S1158" i="33"/>
  <c r="S1120" i="33"/>
  <c r="R852" i="33"/>
  <c r="R854" i="33" s="1"/>
  <c r="R814" i="33"/>
  <c r="S814" i="33"/>
  <c r="S624" i="33"/>
  <c r="S626" i="33" s="1"/>
  <c r="Y48" i="33"/>
  <c r="O38" i="55"/>
  <c r="V40" i="55"/>
  <c r="BK28" i="49"/>
  <c r="B25" i="32" s="1"/>
  <c r="B25" i="31"/>
  <c r="BG28" i="49"/>
  <c r="B25" i="30" s="1"/>
  <c r="BE28" i="49"/>
  <c r="B25" i="29" s="1"/>
  <c r="BC28" i="49"/>
  <c r="B25" i="28" s="1"/>
  <c r="BA28" i="49"/>
  <c r="B25" i="27" s="1"/>
  <c r="AY28" i="49"/>
  <c r="AW28" i="49"/>
  <c r="B25" i="25" s="1"/>
  <c r="AU28" i="49"/>
  <c r="B25" i="24" s="1"/>
  <c r="AS28" i="49"/>
  <c r="B25" i="23" s="1"/>
  <c r="AQ28" i="49"/>
  <c r="B25" i="22" s="1"/>
  <c r="AO28" i="49"/>
  <c r="B25" i="21" s="1"/>
  <c r="AM28" i="49"/>
  <c r="B25" i="20" s="1"/>
  <c r="AK28" i="49"/>
  <c r="B25" i="19" s="1"/>
  <c r="AI28" i="49"/>
  <c r="B25" i="18" s="1"/>
  <c r="AE28" i="49"/>
  <c r="B25" i="16" s="1"/>
  <c r="AC28" i="49"/>
  <c r="B25" i="15" s="1"/>
  <c r="AA28" i="49"/>
  <c r="Y28" i="49"/>
  <c r="W28" i="49"/>
  <c r="B25" i="12" s="1"/>
  <c r="U28" i="49"/>
  <c r="B25" i="11" s="1"/>
  <c r="S28" i="49"/>
  <c r="K28" i="49"/>
  <c r="B25" i="6" s="1"/>
  <c r="I28" i="49"/>
  <c r="B25" i="5" s="1"/>
  <c r="G28" i="49"/>
  <c r="Q28" i="49"/>
  <c r="B25" i="9" s="1"/>
  <c r="BO28" i="49"/>
  <c r="BR28" i="49"/>
  <c r="BQ12" i="49"/>
  <c r="AA783" i="33"/>
  <c r="I28" i="2" s="1"/>
  <c r="S40" i="55"/>
  <c r="AB1082" i="33"/>
  <c r="X12" i="55"/>
  <c r="X38" i="55"/>
  <c r="X37" i="55"/>
  <c r="X36" i="55"/>
  <c r="X35" i="55"/>
  <c r="X34" i="55"/>
  <c r="X33" i="55"/>
  <c r="X32" i="55"/>
  <c r="X31" i="55"/>
  <c r="X30" i="55"/>
  <c r="X29" i="55"/>
  <c r="X28" i="55"/>
  <c r="X27" i="55"/>
  <c r="X26" i="55"/>
  <c r="X25" i="55"/>
  <c r="X24" i="55"/>
  <c r="X23" i="55"/>
  <c r="X22" i="55"/>
  <c r="X21" i="55"/>
  <c r="X20" i="55"/>
  <c r="X19" i="55"/>
  <c r="X18" i="55"/>
  <c r="X17" i="55"/>
  <c r="X16" i="55"/>
  <c r="X15" i="55"/>
  <c r="X14" i="55"/>
  <c r="X13" i="55"/>
  <c r="X11" i="55"/>
  <c r="X10" i="55"/>
  <c r="X9" i="55"/>
  <c r="X8" i="55"/>
  <c r="P40" i="55"/>
  <c r="BQ25" i="49"/>
  <c r="U8" i="55"/>
  <c r="U38" i="55"/>
  <c r="U37" i="55"/>
  <c r="U36" i="55"/>
  <c r="U35" i="55"/>
  <c r="U34" i="55"/>
  <c r="U33" i="55"/>
  <c r="U32" i="55"/>
  <c r="U31" i="55"/>
  <c r="U30" i="55"/>
  <c r="U29" i="55"/>
  <c r="U28" i="55"/>
  <c r="U27" i="55"/>
  <c r="U26" i="55"/>
  <c r="U25" i="55"/>
  <c r="U24" i="55"/>
  <c r="U23" i="55"/>
  <c r="U22" i="55"/>
  <c r="U21" i="55"/>
  <c r="U20" i="55"/>
  <c r="U19" i="55"/>
  <c r="U18" i="55"/>
  <c r="U17" i="55"/>
  <c r="U16" i="55"/>
  <c r="U15" i="55"/>
  <c r="U14" i="55"/>
  <c r="U13" i="55"/>
  <c r="U12" i="55"/>
  <c r="U11" i="55"/>
  <c r="U10" i="55"/>
  <c r="U9" i="55"/>
  <c r="R38" i="55"/>
  <c r="R37" i="55"/>
  <c r="R36" i="55"/>
  <c r="R35" i="55"/>
  <c r="R34" i="55"/>
  <c r="R33" i="55"/>
  <c r="R32" i="55"/>
  <c r="R31" i="55"/>
  <c r="R30" i="55"/>
  <c r="R29" i="55"/>
  <c r="R28" i="55"/>
  <c r="R27" i="55"/>
  <c r="R26" i="55"/>
  <c r="R25" i="55"/>
  <c r="R24" i="55"/>
  <c r="R23" i="55"/>
  <c r="R22" i="55"/>
  <c r="R21" i="55"/>
  <c r="R20" i="55"/>
  <c r="R19" i="55"/>
  <c r="R18" i="55"/>
  <c r="R17" i="55"/>
  <c r="R16" i="55"/>
  <c r="R15" i="55"/>
  <c r="R14" i="55"/>
  <c r="R13" i="55"/>
  <c r="R12" i="55"/>
  <c r="R11" i="55"/>
  <c r="R10" i="55"/>
  <c r="R9" i="55"/>
  <c r="R8" i="55"/>
  <c r="C400" i="33"/>
  <c r="D400" i="33"/>
  <c r="F400" i="33"/>
  <c r="G400" i="33"/>
  <c r="H400" i="33"/>
  <c r="I400" i="33"/>
  <c r="J400" i="33"/>
  <c r="K400" i="33"/>
  <c r="L400" i="33"/>
  <c r="M400" i="33"/>
  <c r="N400" i="33"/>
  <c r="O400" i="33"/>
  <c r="Q400" i="33"/>
  <c r="O36" i="55"/>
  <c r="O35" i="55"/>
  <c r="AN35" i="55" s="1"/>
  <c r="O34" i="55"/>
  <c r="O33" i="55"/>
  <c r="O32" i="55"/>
  <c r="O31" i="55"/>
  <c r="O30" i="55"/>
  <c r="O28" i="55"/>
  <c r="AN28" i="55" s="1"/>
  <c r="O27" i="55"/>
  <c r="AN27" i="55" s="1"/>
  <c r="O26" i="55"/>
  <c r="AN26" i="55" s="1"/>
  <c r="O25" i="55"/>
  <c r="AN25" i="55" s="1"/>
  <c r="O24" i="55"/>
  <c r="AN24" i="55" s="1"/>
  <c r="O23" i="55"/>
  <c r="AN23" i="55" s="1"/>
  <c r="O22" i="55"/>
  <c r="AN22" i="55" s="1"/>
  <c r="O21" i="55"/>
  <c r="AN21" i="55" s="1"/>
  <c r="O20" i="55"/>
  <c r="AN20" i="55" s="1"/>
  <c r="O19" i="55"/>
  <c r="AN19" i="55" s="1"/>
  <c r="O18" i="55"/>
  <c r="AN18" i="55" s="1"/>
  <c r="O17" i="55"/>
  <c r="AN17" i="55" s="1"/>
  <c r="O16" i="55"/>
  <c r="AN16" i="55" s="1"/>
  <c r="O15" i="55"/>
  <c r="AN15" i="55" s="1"/>
  <c r="O14" i="55"/>
  <c r="AN14" i="55" s="1"/>
  <c r="O13" i="55"/>
  <c r="AN13" i="55" s="1"/>
  <c r="O12" i="55"/>
  <c r="AN12" i="55" s="1"/>
  <c r="O11" i="55"/>
  <c r="AN11" i="55" s="1"/>
  <c r="O10" i="55"/>
  <c r="AN10" i="55" s="1"/>
  <c r="O9" i="55"/>
  <c r="AN9" i="55" s="1"/>
  <c r="O8" i="55"/>
  <c r="AN8" i="55" s="1"/>
  <c r="D34" i="2"/>
  <c r="C34" i="3" s="1"/>
  <c r="D34" i="3" s="1"/>
  <c r="C34" i="4" s="1"/>
  <c r="D34" i="4" s="1"/>
  <c r="C34" i="5" s="1"/>
  <c r="D34" i="5" s="1"/>
  <c r="C34" i="6" s="1"/>
  <c r="D34" i="6" s="1"/>
  <c r="C34" i="7" s="1"/>
  <c r="D34" i="7" s="1"/>
  <c r="C34" i="8" s="1"/>
  <c r="D34" i="8" s="1"/>
  <c r="C34" i="9" s="1"/>
  <c r="D34" i="9" s="1"/>
  <c r="C34" i="37" s="1"/>
  <c r="D34" i="37" s="1"/>
  <c r="C34" i="11" s="1"/>
  <c r="D34" i="11" s="1"/>
  <c r="C34" i="12" s="1"/>
  <c r="D34" i="12" s="1"/>
  <c r="C34" i="13" s="1"/>
  <c r="D34" i="13" s="1"/>
  <c r="C34" i="14" s="1"/>
  <c r="D34" i="14" s="1"/>
  <c r="C34" i="15" s="1"/>
  <c r="D34" i="15" s="1"/>
  <c r="C34" i="16" s="1"/>
  <c r="D34" i="16" s="1"/>
  <c r="C34" i="17" s="1"/>
  <c r="D34" i="17" s="1"/>
  <c r="C34" i="18" s="1"/>
  <c r="D34" i="18" s="1"/>
  <c r="C34" i="19" s="1"/>
  <c r="D34" i="19" s="1"/>
  <c r="C34" i="20" s="1"/>
  <c r="D34" i="20" s="1"/>
  <c r="C34" i="21" s="1"/>
  <c r="D34" i="21" s="1"/>
  <c r="C34" i="22" s="1"/>
  <c r="D34" i="22" s="1"/>
  <c r="C34" i="23" s="1"/>
  <c r="D34" i="23" s="1"/>
  <c r="C34" i="24" s="1"/>
  <c r="D34" i="24" s="1"/>
  <c r="C34" i="25" s="1"/>
  <c r="D34" i="25" s="1"/>
  <c r="C34" i="26" s="1"/>
  <c r="D34" i="26" s="1"/>
  <c r="C34" i="27" s="1"/>
  <c r="D34" i="27" s="1"/>
  <c r="C34" i="28" s="1"/>
  <c r="D34" i="28" s="1"/>
  <c r="C34" i="29" s="1"/>
  <c r="D34" i="29" s="1"/>
  <c r="C34" i="30" s="1"/>
  <c r="D34" i="30" s="1"/>
  <c r="C34" i="31" s="1"/>
  <c r="D34" i="31" s="1"/>
  <c r="C34" i="32" s="1"/>
  <c r="D34" i="32" s="1"/>
  <c r="D33" i="2"/>
  <c r="C33" i="3" s="1"/>
  <c r="D33" i="3" s="1"/>
  <c r="C33" i="4" s="1"/>
  <c r="D33" i="4" s="1"/>
  <c r="C33" i="5" s="1"/>
  <c r="D33" i="5" s="1"/>
  <c r="C33" i="6" s="1"/>
  <c r="D33" i="6" s="1"/>
  <c r="C33" i="7" s="1"/>
  <c r="D33" i="7" s="1"/>
  <c r="C33" i="8" s="1"/>
  <c r="D33" i="8" s="1"/>
  <c r="C33" i="9" s="1"/>
  <c r="D33" i="9" s="1"/>
  <c r="C33" i="37" s="1"/>
  <c r="D33" i="37" s="1"/>
  <c r="C33" i="11" s="1"/>
  <c r="D33" i="11" s="1"/>
  <c r="C33" i="12" s="1"/>
  <c r="D33" i="12" s="1"/>
  <c r="C33" i="13" s="1"/>
  <c r="D33" i="13" s="1"/>
  <c r="C33" i="14" s="1"/>
  <c r="D33" i="14" s="1"/>
  <c r="C33" i="15" s="1"/>
  <c r="D33" i="15" s="1"/>
  <c r="C33" i="16" s="1"/>
  <c r="D33" i="16" s="1"/>
  <c r="C33" i="17" s="1"/>
  <c r="D33" i="17" s="1"/>
  <c r="C33" i="18" s="1"/>
  <c r="D33" i="18" s="1"/>
  <c r="C33" i="19" s="1"/>
  <c r="D33" i="19" s="1"/>
  <c r="C33" i="20" s="1"/>
  <c r="D33" i="20" s="1"/>
  <c r="C33" i="21" s="1"/>
  <c r="D33" i="21" s="1"/>
  <c r="C33" i="22" s="1"/>
  <c r="D33" i="22" s="1"/>
  <c r="C33" i="23" s="1"/>
  <c r="D33" i="23" s="1"/>
  <c r="C33" i="24" s="1"/>
  <c r="D33" i="24" s="1"/>
  <c r="C33" i="25" s="1"/>
  <c r="D33" i="25" s="1"/>
  <c r="C33" i="26" s="1"/>
  <c r="D33" i="26" s="1"/>
  <c r="C33" i="27" s="1"/>
  <c r="D33" i="27" s="1"/>
  <c r="C33" i="28" s="1"/>
  <c r="D33" i="28" s="1"/>
  <c r="C33" i="29" s="1"/>
  <c r="D33" i="29" s="1"/>
  <c r="C33" i="30" s="1"/>
  <c r="D33" i="30" s="1"/>
  <c r="C33" i="31" s="1"/>
  <c r="D33" i="31" s="1"/>
  <c r="C33" i="32" s="1"/>
  <c r="D33" i="32" s="1"/>
  <c r="A6" i="2"/>
  <c r="S6" i="2" s="1"/>
  <c r="C8" i="55"/>
  <c r="C9" i="55" s="1"/>
  <c r="C10" i="55" s="1"/>
  <c r="C11" i="55" s="1"/>
  <c r="C12" i="55" s="1"/>
  <c r="C13" i="55" s="1"/>
  <c r="C14" i="55" s="1"/>
  <c r="C15" i="55" s="1"/>
  <c r="C16" i="55" s="1"/>
  <c r="C17" i="55" s="1"/>
  <c r="C18" i="55" s="1"/>
  <c r="C19" i="55" s="1"/>
  <c r="C20" i="55" s="1"/>
  <c r="C21" i="55" s="1"/>
  <c r="C22" i="55" s="1"/>
  <c r="C23" i="55" s="1"/>
  <c r="C24" i="55" s="1"/>
  <c r="C25" i="55" s="1"/>
  <c r="C26" i="55" s="1"/>
  <c r="C27" i="55" s="1"/>
  <c r="C28" i="55" s="1"/>
  <c r="C29" i="55" s="1"/>
  <c r="C30" i="55" s="1"/>
  <c r="C31" i="55" s="1"/>
  <c r="C32" i="55" s="1"/>
  <c r="C33" i="55" s="1"/>
  <c r="C34" i="55" s="1"/>
  <c r="C35" i="55" s="1"/>
  <c r="C36" i="55" s="1"/>
  <c r="C37" i="55" s="1"/>
  <c r="C38" i="55" s="1"/>
  <c r="P8" i="54"/>
  <c r="C1158" i="33"/>
  <c r="D1158" i="33"/>
  <c r="F1158" i="33"/>
  <c r="G1158" i="33"/>
  <c r="H1158" i="33"/>
  <c r="I1158" i="33"/>
  <c r="J1158" i="33"/>
  <c r="K1158" i="33"/>
  <c r="L1158" i="33"/>
  <c r="M1158" i="33"/>
  <c r="N1158" i="33"/>
  <c r="O1158" i="33"/>
  <c r="Q1158" i="33"/>
  <c r="R1158" i="33"/>
  <c r="B1158" i="33"/>
  <c r="C1120" i="33"/>
  <c r="D1120" i="33"/>
  <c r="F1120" i="33"/>
  <c r="G1120" i="33"/>
  <c r="H1120" i="33"/>
  <c r="I1120" i="33"/>
  <c r="J1120" i="33"/>
  <c r="K1120" i="33"/>
  <c r="L1120" i="33"/>
  <c r="M1120" i="33"/>
  <c r="N1120" i="33"/>
  <c r="O1120" i="33"/>
  <c r="Q1120" i="33"/>
  <c r="R1120" i="33"/>
  <c r="B1120" i="33"/>
  <c r="B1082" i="33"/>
  <c r="B1044" i="33"/>
  <c r="B39" i="33"/>
  <c r="B41" i="33" s="1"/>
  <c r="B85" i="33"/>
  <c r="B87" i="33" s="1"/>
  <c r="C123" i="33"/>
  <c r="C125" i="33" s="1"/>
  <c r="D123" i="33"/>
  <c r="D125" i="33" s="1"/>
  <c r="F123" i="33"/>
  <c r="F125" i="33" s="1"/>
  <c r="G123" i="33"/>
  <c r="G125" i="33" s="1"/>
  <c r="H123" i="33"/>
  <c r="H125" i="33" s="1"/>
  <c r="I123" i="33"/>
  <c r="I125" i="33" s="1"/>
  <c r="J123" i="33"/>
  <c r="J125" i="33" s="1"/>
  <c r="K123" i="33"/>
  <c r="K125" i="33" s="1"/>
  <c r="L123" i="33"/>
  <c r="L125" i="33" s="1"/>
  <c r="M123" i="33"/>
  <c r="M125" i="33" s="1"/>
  <c r="N123" i="33"/>
  <c r="N125" i="33" s="1"/>
  <c r="O123" i="33"/>
  <c r="O125" i="33" s="1"/>
  <c r="Q123" i="33"/>
  <c r="Q125" i="33" s="1"/>
  <c r="R123" i="33"/>
  <c r="R125" i="33" s="1"/>
  <c r="B123" i="33"/>
  <c r="B125" i="33" s="1"/>
  <c r="C162" i="33"/>
  <c r="C164" i="33" s="1"/>
  <c r="D162" i="33"/>
  <c r="D164" i="33" s="1"/>
  <c r="F162" i="33"/>
  <c r="F164" i="33" s="1"/>
  <c r="G162" i="33"/>
  <c r="G164" i="33" s="1"/>
  <c r="H162" i="33"/>
  <c r="H164" i="33" s="1"/>
  <c r="I162" i="33"/>
  <c r="I164" i="33" s="1"/>
  <c r="J162" i="33"/>
  <c r="J164" i="33" s="1"/>
  <c r="K162" i="33"/>
  <c r="K164" i="33" s="1"/>
  <c r="L162" i="33"/>
  <c r="L164" i="33" s="1"/>
  <c r="M162" i="33"/>
  <c r="M164" i="33" s="1"/>
  <c r="N162" i="33"/>
  <c r="N164" i="33" s="1"/>
  <c r="O162" i="33"/>
  <c r="O164" i="33" s="1"/>
  <c r="Q162" i="33"/>
  <c r="Q164" i="33" s="1"/>
  <c r="R162" i="33"/>
  <c r="R164" i="33" s="1"/>
  <c r="B162" i="33"/>
  <c r="B164" i="33" s="1"/>
  <c r="C200" i="33"/>
  <c r="C202" i="33" s="1"/>
  <c r="D200" i="33"/>
  <c r="D202" i="33" s="1"/>
  <c r="F200" i="33"/>
  <c r="F202" i="33" s="1"/>
  <c r="G200" i="33"/>
  <c r="G202" i="33" s="1"/>
  <c r="H200" i="33"/>
  <c r="H202" i="33" s="1"/>
  <c r="I200" i="33"/>
  <c r="I202" i="33" s="1"/>
  <c r="J200" i="33"/>
  <c r="J202" i="33" s="1"/>
  <c r="K200" i="33"/>
  <c r="K202" i="33" s="1"/>
  <c r="L200" i="33"/>
  <c r="L202" i="33" s="1"/>
  <c r="M200" i="33"/>
  <c r="M202" i="33" s="1"/>
  <c r="N200" i="33"/>
  <c r="N202" i="33" s="1"/>
  <c r="O200" i="33"/>
  <c r="O202" i="33" s="1"/>
  <c r="Q200" i="33"/>
  <c r="Q202" i="33" s="1"/>
  <c r="R200" i="33"/>
  <c r="R202" i="33" s="1"/>
  <c r="B200" i="33"/>
  <c r="B202" i="33" s="1"/>
  <c r="C240" i="33"/>
  <c r="C242" i="33" s="1"/>
  <c r="D240" i="33"/>
  <c r="D242" i="33" s="1"/>
  <c r="F240" i="33"/>
  <c r="F242" i="33" s="1"/>
  <c r="G240" i="33"/>
  <c r="G242" i="33" s="1"/>
  <c r="H240" i="33"/>
  <c r="H242" i="33" s="1"/>
  <c r="I240" i="33"/>
  <c r="I242" i="33" s="1"/>
  <c r="J240" i="33"/>
  <c r="J242" i="33" s="1"/>
  <c r="K240" i="33"/>
  <c r="K242" i="33" s="1"/>
  <c r="L240" i="33"/>
  <c r="L242" i="33" s="1"/>
  <c r="M240" i="33"/>
  <c r="M242" i="33" s="1"/>
  <c r="N240" i="33"/>
  <c r="N242" i="33" s="1"/>
  <c r="O240" i="33"/>
  <c r="O242" i="33" s="1"/>
  <c r="Q240" i="33"/>
  <c r="Q242" i="33" s="1"/>
  <c r="R240" i="33"/>
  <c r="R242" i="33" s="1"/>
  <c r="B240" i="33"/>
  <c r="B242" i="33" s="1"/>
  <c r="C277" i="33"/>
  <c r="D277" i="33"/>
  <c r="F277" i="33"/>
  <c r="G277" i="33"/>
  <c r="H277" i="33"/>
  <c r="I277" i="33"/>
  <c r="J277" i="33"/>
  <c r="K277" i="33"/>
  <c r="K279" i="33" s="1"/>
  <c r="L277" i="33"/>
  <c r="M277" i="33"/>
  <c r="N277" i="33"/>
  <c r="O277" i="33"/>
  <c r="Q277" i="33"/>
  <c r="R277" i="33"/>
  <c r="B277" i="33"/>
  <c r="C317" i="33"/>
  <c r="C319" i="33" s="1"/>
  <c r="D317" i="33"/>
  <c r="D319" i="33" s="1"/>
  <c r="F317" i="33"/>
  <c r="F319" i="33" s="1"/>
  <c r="G317" i="33"/>
  <c r="G319" i="33" s="1"/>
  <c r="H317" i="33"/>
  <c r="H319" i="33" s="1"/>
  <c r="I317" i="33"/>
  <c r="I319" i="33" s="1"/>
  <c r="J317" i="33"/>
  <c r="J319" i="33" s="1"/>
  <c r="K317" i="33"/>
  <c r="K319" i="33" s="1"/>
  <c r="L317" i="33"/>
  <c r="L319" i="33" s="1"/>
  <c r="M317" i="33"/>
  <c r="M319" i="33" s="1"/>
  <c r="N317" i="33"/>
  <c r="N319" i="33" s="1"/>
  <c r="O317" i="33"/>
  <c r="O319" i="33" s="1"/>
  <c r="Q317" i="33"/>
  <c r="Q319" i="33" s="1"/>
  <c r="R317" i="33"/>
  <c r="R319" i="33" s="1"/>
  <c r="B317" i="33"/>
  <c r="B319" i="33" s="1"/>
  <c r="C358" i="33"/>
  <c r="C360" i="33" s="1"/>
  <c r="D358" i="33"/>
  <c r="D360" i="33" s="1"/>
  <c r="F358" i="33"/>
  <c r="F360" i="33" s="1"/>
  <c r="G358" i="33"/>
  <c r="G360" i="33" s="1"/>
  <c r="H358" i="33"/>
  <c r="H360" i="33" s="1"/>
  <c r="I358" i="33"/>
  <c r="I360" i="33" s="1"/>
  <c r="J358" i="33"/>
  <c r="J360" i="33" s="1"/>
  <c r="K358" i="33"/>
  <c r="K360" i="33" s="1"/>
  <c r="L358" i="33"/>
  <c r="L360" i="33" s="1"/>
  <c r="M358" i="33"/>
  <c r="M360" i="33" s="1"/>
  <c r="N358" i="33"/>
  <c r="N360" i="33" s="1"/>
  <c r="O358" i="33"/>
  <c r="O360" i="33" s="1"/>
  <c r="Q358" i="33"/>
  <c r="Q360" i="33" s="1"/>
  <c r="R358" i="33"/>
  <c r="R360" i="33" s="1"/>
  <c r="B358" i="33"/>
  <c r="B360" i="33" s="1"/>
  <c r="R400" i="33"/>
  <c r="B400" i="33"/>
  <c r="C439" i="33"/>
  <c r="D439" i="33"/>
  <c r="F439" i="33"/>
  <c r="G439" i="33"/>
  <c r="H439" i="33"/>
  <c r="I439" i="33"/>
  <c r="J439" i="33"/>
  <c r="K439" i="33"/>
  <c r="L439" i="33"/>
  <c r="M439" i="33"/>
  <c r="N439" i="33"/>
  <c r="O439" i="33"/>
  <c r="Q439" i="33"/>
  <c r="R439" i="33"/>
  <c r="B439" i="33"/>
  <c r="C477" i="33"/>
  <c r="D477" i="33"/>
  <c r="F477" i="33"/>
  <c r="G477" i="33"/>
  <c r="H477" i="33"/>
  <c r="I477" i="33"/>
  <c r="J477" i="33"/>
  <c r="K477" i="33"/>
  <c r="L477" i="33"/>
  <c r="M477" i="33"/>
  <c r="N477" i="33"/>
  <c r="O477" i="33"/>
  <c r="Q477" i="33"/>
  <c r="R477" i="33"/>
  <c r="B477" i="33"/>
  <c r="C513" i="33"/>
  <c r="D513" i="33"/>
  <c r="F513" i="33"/>
  <c r="G513" i="33"/>
  <c r="H513" i="33"/>
  <c r="I513" i="33"/>
  <c r="J513" i="33"/>
  <c r="K513" i="33"/>
  <c r="L513" i="33"/>
  <c r="M513" i="33"/>
  <c r="N513" i="33"/>
  <c r="O513" i="33"/>
  <c r="Q513" i="33"/>
  <c r="R513" i="33"/>
  <c r="B513" i="33"/>
  <c r="C550" i="33"/>
  <c r="D550" i="33"/>
  <c r="F550" i="33"/>
  <c r="G550" i="33"/>
  <c r="H550" i="33"/>
  <c r="I550" i="33"/>
  <c r="J550" i="33"/>
  <c r="K550" i="33"/>
  <c r="L550" i="33"/>
  <c r="M550" i="33"/>
  <c r="N550" i="33"/>
  <c r="O550" i="33"/>
  <c r="Q550" i="33"/>
  <c r="R550" i="33"/>
  <c r="B550" i="33"/>
  <c r="C588" i="33"/>
  <c r="D588" i="33"/>
  <c r="F588" i="33"/>
  <c r="G588" i="33"/>
  <c r="H588" i="33"/>
  <c r="I588" i="33"/>
  <c r="J588" i="33"/>
  <c r="K588" i="33"/>
  <c r="L588" i="33"/>
  <c r="M588" i="33"/>
  <c r="N588" i="33"/>
  <c r="O588" i="33"/>
  <c r="Q588" i="33"/>
  <c r="R588" i="33"/>
  <c r="B588" i="33"/>
  <c r="C624" i="33"/>
  <c r="C626" i="33" s="1"/>
  <c r="D624" i="33"/>
  <c r="D626" i="33" s="1"/>
  <c r="F624" i="33"/>
  <c r="F626" i="33" s="1"/>
  <c r="G624" i="33"/>
  <c r="G626" i="33" s="1"/>
  <c r="H624" i="33"/>
  <c r="H626" i="33" s="1"/>
  <c r="I624" i="33"/>
  <c r="I626" i="33" s="1"/>
  <c r="J624" i="33"/>
  <c r="J626" i="33" s="1"/>
  <c r="K624" i="33"/>
  <c r="K626" i="33" s="1"/>
  <c r="L624" i="33"/>
  <c r="L626" i="33" s="1"/>
  <c r="M624" i="33"/>
  <c r="M626" i="33" s="1"/>
  <c r="N624" i="33"/>
  <c r="N626" i="33" s="1"/>
  <c r="O624" i="33"/>
  <c r="O626" i="33" s="1"/>
  <c r="Q624" i="33"/>
  <c r="Q626" i="33" s="1"/>
  <c r="R624" i="33"/>
  <c r="R626" i="33" s="1"/>
  <c r="B624" i="33"/>
  <c r="B626" i="33" s="1"/>
  <c r="C662" i="33"/>
  <c r="C664" i="33" s="1"/>
  <c r="D662" i="33"/>
  <c r="D664" i="33" s="1"/>
  <c r="F662" i="33"/>
  <c r="F664" i="33" s="1"/>
  <c r="G662" i="33"/>
  <c r="G664" i="33" s="1"/>
  <c r="H662" i="33"/>
  <c r="H664" i="33" s="1"/>
  <c r="I662" i="33"/>
  <c r="I664" i="33" s="1"/>
  <c r="J662" i="33"/>
  <c r="J664" i="33" s="1"/>
  <c r="K662" i="33"/>
  <c r="K664" i="33" s="1"/>
  <c r="L662" i="33"/>
  <c r="L664" i="33" s="1"/>
  <c r="M662" i="33"/>
  <c r="M664" i="33" s="1"/>
  <c r="N662" i="33"/>
  <c r="N664" i="33" s="1"/>
  <c r="O662" i="33"/>
  <c r="O664" i="33" s="1"/>
  <c r="Q662" i="33"/>
  <c r="Q664" i="33" s="1"/>
  <c r="R662" i="33"/>
  <c r="R664" i="33" s="1"/>
  <c r="B662" i="33"/>
  <c r="B664" i="33" s="1"/>
  <c r="C700" i="33"/>
  <c r="D700" i="33"/>
  <c r="F700" i="33"/>
  <c r="G700" i="33"/>
  <c r="H700" i="33"/>
  <c r="I700" i="33"/>
  <c r="J700" i="33"/>
  <c r="K700" i="33"/>
  <c r="L700" i="33"/>
  <c r="M700" i="33"/>
  <c r="N700" i="33"/>
  <c r="O700" i="33"/>
  <c r="Q700" i="33"/>
  <c r="R700" i="33"/>
  <c r="B700" i="33"/>
  <c r="C738" i="33"/>
  <c r="C740" i="33" s="1"/>
  <c r="D738" i="33"/>
  <c r="D740" i="33" s="1"/>
  <c r="F738" i="33"/>
  <c r="F740" i="33" s="1"/>
  <c r="G738" i="33"/>
  <c r="G740" i="33" s="1"/>
  <c r="H738" i="33"/>
  <c r="H740" i="33" s="1"/>
  <c r="I738" i="33"/>
  <c r="I740" i="33" s="1"/>
  <c r="J738" i="33"/>
  <c r="J740" i="33" s="1"/>
  <c r="K738" i="33"/>
  <c r="K740" i="33" s="1"/>
  <c r="L738" i="33"/>
  <c r="L740" i="33" s="1"/>
  <c r="M738" i="33"/>
  <c r="M740" i="33" s="1"/>
  <c r="N738" i="33"/>
  <c r="N740" i="33" s="1"/>
  <c r="O738" i="33"/>
  <c r="O740" i="33" s="1"/>
  <c r="Q738" i="33"/>
  <c r="Q740" i="33" s="1"/>
  <c r="R738" i="33"/>
  <c r="R740" i="33" s="1"/>
  <c r="B738" i="33"/>
  <c r="B740" i="33" s="1"/>
  <c r="C776" i="33"/>
  <c r="C778" i="33" s="1"/>
  <c r="D776" i="33"/>
  <c r="D778" i="33" s="1"/>
  <c r="F776" i="33"/>
  <c r="F778" i="33" s="1"/>
  <c r="G776" i="33"/>
  <c r="G778" i="33" s="1"/>
  <c r="H776" i="33"/>
  <c r="H778" i="33" s="1"/>
  <c r="I776" i="33"/>
  <c r="I778" i="33" s="1"/>
  <c r="J776" i="33"/>
  <c r="J778" i="33" s="1"/>
  <c r="K776" i="33"/>
  <c r="L776" i="33"/>
  <c r="L778" i="33" s="1"/>
  <c r="M776" i="33"/>
  <c r="M778" i="33" s="1"/>
  <c r="N776" i="33"/>
  <c r="N778" i="33" s="1"/>
  <c r="O776" i="33"/>
  <c r="O778" i="33" s="1"/>
  <c r="Q776" i="33"/>
  <c r="Q778" i="33" s="1"/>
  <c r="R776" i="33"/>
  <c r="R778" i="33" s="1"/>
  <c r="B814" i="33"/>
  <c r="B776" i="33"/>
  <c r="B778" i="33" s="1"/>
  <c r="B852" i="33"/>
  <c r="B854" i="33" s="1"/>
  <c r="C890" i="33"/>
  <c r="C892" i="33" s="1"/>
  <c r="D890" i="33"/>
  <c r="D892" i="33" s="1"/>
  <c r="F890" i="33"/>
  <c r="F892" i="33" s="1"/>
  <c r="G890" i="33"/>
  <c r="G892" i="33" s="1"/>
  <c r="H890" i="33"/>
  <c r="H892" i="33" s="1"/>
  <c r="I890" i="33"/>
  <c r="I892" i="33" s="1"/>
  <c r="J890" i="33"/>
  <c r="J892" i="33" s="1"/>
  <c r="K890" i="33"/>
  <c r="K892" i="33" s="1"/>
  <c r="L890" i="33"/>
  <c r="L892" i="33" s="1"/>
  <c r="M890" i="33"/>
  <c r="M892" i="33" s="1"/>
  <c r="N890" i="33"/>
  <c r="N892" i="33" s="1"/>
  <c r="O890" i="33"/>
  <c r="O892" i="33" s="1"/>
  <c r="Q890" i="33"/>
  <c r="Q892" i="33" s="1"/>
  <c r="R890" i="33"/>
  <c r="R892" i="33" s="1"/>
  <c r="B890" i="33"/>
  <c r="B892" i="33" s="1"/>
  <c r="C929" i="33"/>
  <c r="D929" i="33"/>
  <c r="F929" i="33"/>
  <c r="G929" i="33"/>
  <c r="H929" i="33"/>
  <c r="I929" i="33"/>
  <c r="J929" i="33"/>
  <c r="K929" i="33"/>
  <c r="L929" i="33"/>
  <c r="M929" i="33"/>
  <c r="N929" i="33"/>
  <c r="O929" i="33"/>
  <c r="Q929" i="33"/>
  <c r="R929" i="33"/>
  <c r="B929" i="33"/>
  <c r="C968" i="33"/>
  <c r="D968" i="33"/>
  <c r="F968" i="33"/>
  <c r="G968" i="33"/>
  <c r="H968" i="33"/>
  <c r="I968" i="33"/>
  <c r="J968" i="33"/>
  <c r="K968" i="33"/>
  <c r="L968" i="33"/>
  <c r="M968" i="33"/>
  <c r="N968" i="33"/>
  <c r="O968" i="33"/>
  <c r="Q968" i="33"/>
  <c r="R968" i="33"/>
  <c r="B968" i="33"/>
  <c r="C1006" i="33"/>
  <c r="D1006" i="33"/>
  <c r="F1006" i="33"/>
  <c r="G1006" i="33"/>
  <c r="H1006" i="33"/>
  <c r="I1006" i="33"/>
  <c r="J1006" i="33"/>
  <c r="K1006" i="33"/>
  <c r="L1006" i="33"/>
  <c r="M1006" i="33"/>
  <c r="N1006" i="33"/>
  <c r="O1006" i="33"/>
  <c r="Q1006" i="33"/>
  <c r="R1006" i="33"/>
  <c r="B1006" i="33"/>
  <c r="C1044" i="33"/>
  <c r="D1044" i="33"/>
  <c r="F1044" i="33"/>
  <c r="G1044" i="33"/>
  <c r="H1044" i="33"/>
  <c r="I1044" i="33"/>
  <c r="J1044" i="33"/>
  <c r="K1044" i="33"/>
  <c r="L1044" i="33"/>
  <c r="M1044" i="33"/>
  <c r="N1044" i="33"/>
  <c r="O1044" i="33"/>
  <c r="Q1044" i="33"/>
  <c r="R1044" i="33"/>
  <c r="C1082" i="33"/>
  <c r="D1082" i="33"/>
  <c r="F1082" i="33"/>
  <c r="G1082" i="33"/>
  <c r="H1082" i="33"/>
  <c r="I1082" i="33"/>
  <c r="J1082" i="33"/>
  <c r="K1082" i="33"/>
  <c r="L1082" i="33"/>
  <c r="M1082" i="33"/>
  <c r="N1082" i="33"/>
  <c r="O1082" i="33"/>
  <c r="Q1082" i="33"/>
  <c r="R1082" i="33"/>
  <c r="AB1158" i="33"/>
  <c r="AB1120" i="33"/>
  <c r="AB1044" i="33"/>
  <c r="AB1006" i="33"/>
  <c r="AA1051" i="33"/>
  <c r="I35" i="2" s="1"/>
  <c r="AA1013" i="33"/>
  <c r="I34" i="2" s="1"/>
  <c r="AA975" i="33"/>
  <c r="I33" i="2" s="1"/>
  <c r="D40" i="2"/>
  <c r="C40" i="3" s="1"/>
  <c r="D40" i="3" s="1"/>
  <c r="C40" i="4" s="1"/>
  <c r="D40" i="4" s="1"/>
  <c r="C40" i="5" s="1"/>
  <c r="D40" i="5" s="1"/>
  <c r="C40" i="6" s="1"/>
  <c r="D40" i="6" s="1"/>
  <c r="C40" i="7" s="1"/>
  <c r="D40" i="7" s="1"/>
  <c r="C40" i="8" s="1"/>
  <c r="D40" i="8" s="1"/>
  <c r="C40" i="9" s="1"/>
  <c r="D40" i="9" s="1"/>
  <c r="C40" i="37" s="1"/>
  <c r="D40" i="37" s="1"/>
  <c r="C40" i="11" s="1"/>
  <c r="D40" i="11" s="1"/>
  <c r="C40" i="12" s="1"/>
  <c r="D40" i="12" s="1"/>
  <c r="C40" i="13" s="1"/>
  <c r="D40" i="13" s="1"/>
  <c r="C40" i="14" s="1"/>
  <c r="D40" i="14" s="1"/>
  <c r="C40" i="15" s="1"/>
  <c r="D40" i="15" s="1"/>
  <c r="C40" i="16" s="1"/>
  <c r="D40" i="16" s="1"/>
  <c r="C40" i="17" s="1"/>
  <c r="D40" i="17" s="1"/>
  <c r="C40" i="18" s="1"/>
  <c r="D40" i="18" s="1"/>
  <c r="C40" i="19" s="1"/>
  <c r="D40" i="19" s="1"/>
  <c r="C40" i="20" s="1"/>
  <c r="D40" i="20" s="1"/>
  <c r="C40" i="21" s="1"/>
  <c r="D40" i="21" s="1"/>
  <c r="C40" i="22" s="1"/>
  <c r="D40" i="22" s="1"/>
  <c r="C40" i="23" s="1"/>
  <c r="D40" i="23" s="1"/>
  <c r="C40" i="24" s="1"/>
  <c r="D40" i="24" s="1"/>
  <c r="C40" i="25" s="1"/>
  <c r="D40" i="25" s="1"/>
  <c r="C40" i="26" s="1"/>
  <c r="D40" i="26" s="1"/>
  <c r="C40" i="27" s="1"/>
  <c r="D40" i="27" s="1"/>
  <c r="C40" i="28" s="1"/>
  <c r="D40" i="28" s="1"/>
  <c r="C40" i="29" s="1"/>
  <c r="D40" i="29" s="1"/>
  <c r="C40" i="30" s="1"/>
  <c r="D40" i="30" s="1"/>
  <c r="C40" i="31" s="1"/>
  <c r="D40" i="31" s="1"/>
  <c r="C40" i="32" s="1"/>
  <c r="D40" i="32" s="1"/>
  <c r="D39" i="2"/>
  <c r="C39" i="3" s="1"/>
  <c r="D39" i="3" s="1"/>
  <c r="C39" i="4" s="1"/>
  <c r="D39" i="4" s="1"/>
  <c r="C39" i="5" s="1"/>
  <c r="D39" i="5" s="1"/>
  <c r="C39" i="6" s="1"/>
  <c r="D39" i="6" s="1"/>
  <c r="C39" i="7" s="1"/>
  <c r="D39" i="7" s="1"/>
  <c r="C39" i="8" s="1"/>
  <c r="D39" i="8" s="1"/>
  <c r="C39" i="9" s="1"/>
  <c r="D39" i="9" s="1"/>
  <c r="C39" i="37" s="1"/>
  <c r="D39" i="37" s="1"/>
  <c r="C39" i="11" s="1"/>
  <c r="D39" i="11" s="1"/>
  <c r="C39" i="12" s="1"/>
  <c r="D39" i="12" s="1"/>
  <c r="C39" i="13" s="1"/>
  <c r="D39" i="13" s="1"/>
  <c r="C39" i="14" s="1"/>
  <c r="D39" i="14" s="1"/>
  <c r="C39" i="15" s="1"/>
  <c r="D39" i="15" s="1"/>
  <c r="C39" i="16" s="1"/>
  <c r="D39" i="16" s="1"/>
  <c r="C39" i="17" s="1"/>
  <c r="D39" i="17" s="1"/>
  <c r="C39" i="18" s="1"/>
  <c r="D39" i="18" s="1"/>
  <c r="C39" i="19" s="1"/>
  <c r="D39" i="19" s="1"/>
  <c r="C39" i="20" s="1"/>
  <c r="D39" i="20" s="1"/>
  <c r="C39" i="21" s="1"/>
  <c r="D39" i="21" s="1"/>
  <c r="C39" i="22" s="1"/>
  <c r="D39" i="22" s="1"/>
  <c r="C39" i="23" s="1"/>
  <c r="D39" i="23" s="1"/>
  <c r="C39" i="24" s="1"/>
  <c r="D39" i="24" s="1"/>
  <c r="C39" i="25" s="1"/>
  <c r="D39" i="25" s="1"/>
  <c r="C39" i="26" s="1"/>
  <c r="D39" i="26" s="1"/>
  <c r="C39" i="27" s="1"/>
  <c r="D39" i="27" s="1"/>
  <c r="C39" i="28" s="1"/>
  <c r="D39" i="28" s="1"/>
  <c r="C39" i="29" s="1"/>
  <c r="D39" i="29" s="1"/>
  <c r="C39" i="30" s="1"/>
  <c r="D39" i="30" s="1"/>
  <c r="C39" i="31" s="1"/>
  <c r="D39" i="31" s="1"/>
  <c r="C39" i="32" s="1"/>
  <c r="D39" i="32" s="1"/>
  <c r="D38" i="2"/>
  <c r="C38" i="3" s="1"/>
  <c r="D38" i="3" s="1"/>
  <c r="C38" i="4" s="1"/>
  <c r="D38" i="4" s="1"/>
  <c r="C38" i="5" s="1"/>
  <c r="D38" i="5" s="1"/>
  <c r="C38" i="6" s="1"/>
  <c r="D38" i="6" s="1"/>
  <c r="C38" i="7" s="1"/>
  <c r="D38" i="7" s="1"/>
  <c r="C38" i="8" s="1"/>
  <c r="D38" i="8" s="1"/>
  <c r="C38" i="9" s="1"/>
  <c r="D38" i="9" s="1"/>
  <c r="C38" i="37" s="1"/>
  <c r="D38" i="37" s="1"/>
  <c r="C38" i="11" s="1"/>
  <c r="D38" i="11" s="1"/>
  <c r="C38" i="12" s="1"/>
  <c r="D38" i="12" s="1"/>
  <c r="C38" i="13" s="1"/>
  <c r="D38" i="13" s="1"/>
  <c r="C38" i="14" s="1"/>
  <c r="D38" i="14" s="1"/>
  <c r="C38" i="15" s="1"/>
  <c r="D38" i="15" s="1"/>
  <c r="C38" i="16" s="1"/>
  <c r="D38" i="16" s="1"/>
  <c r="C38" i="17" s="1"/>
  <c r="D38" i="17" s="1"/>
  <c r="C38" i="18" s="1"/>
  <c r="D38" i="18" s="1"/>
  <c r="C38" i="19" s="1"/>
  <c r="D38" i="19" s="1"/>
  <c r="C38" i="20" s="1"/>
  <c r="D38" i="20" s="1"/>
  <c r="C38" i="21" s="1"/>
  <c r="D38" i="21" s="1"/>
  <c r="C38" i="22" s="1"/>
  <c r="D38" i="22" s="1"/>
  <c r="C38" i="23" s="1"/>
  <c r="D38" i="23" s="1"/>
  <c r="C38" i="24" s="1"/>
  <c r="D38" i="24" s="1"/>
  <c r="C38" i="25" s="1"/>
  <c r="D38" i="25" s="1"/>
  <c r="C38" i="26" s="1"/>
  <c r="D38" i="26" s="1"/>
  <c r="C38" i="27" s="1"/>
  <c r="D38" i="27" s="1"/>
  <c r="C38" i="28" s="1"/>
  <c r="D38" i="28" s="1"/>
  <c r="C38" i="29" s="1"/>
  <c r="D38" i="29" s="1"/>
  <c r="C38" i="30" s="1"/>
  <c r="D38" i="30" s="1"/>
  <c r="C38" i="31" s="1"/>
  <c r="D38" i="31" s="1"/>
  <c r="C38" i="32" s="1"/>
  <c r="D38" i="32" s="1"/>
  <c r="D37" i="2"/>
  <c r="C37" i="3" s="1"/>
  <c r="D37" i="3" s="1"/>
  <c r="C37" i="4" s="1"/>
  <c r="D37" i="4" s="1"/>
  <c r="C37" i="5" s="1"/>
  <c r="D37" i="5" s="1"/>
  <c r="C37" i="6" s="1"/>
  <c r="D37" i="6" s="1"/>
  <c r="C37" i="7" s="1"/>
  <c r="D37" i="7" s="1"/>
  <c r="C37" i="8" s="1"/>
  <c r="D37" i="8" s="1"/>
  <c r="C37" i="9" s="1"/>
  <c r="D37" i="9" s="1"/>
  <c r="C37" i="37" s="1"/>
  <c r="D37" i="37" s="1"/>
  <c r="C37" i="11" s="1"/>
  <c r="D37" i="11" s="1"/>
  <c r="C37" i="12" s="1"/>
  <c r="D37" i="12" s="1"/>
  <c r="C37" i="13" s="1"/>
  <c r="D37" i="13" s="1"/>
  <c r="C37" i="14" s="1"/>
  <c r="D37" i="14" s="1"/>
  <c r="C37" i="15" s="1"/>
  <c r="D37" i="15" s="1"/>
  <c r="C37" i="16" s="1"/>
  <c r="D37" i="16" s="1"/>
  <c r="C37" i="17" s="1"/>
  <c r="D37" i="17" s="1"/>
  <c r="C37" i="18" s="1"/>
  <c r="D37" i="18" s="1"/>
  <c r="C37" i="19" s="1"/>
  <c r="D37" i="19" s="1"/>
  <c r="C37" i="20" s="1"/>
  <c r="D37" i="20" s="1"/>
  <c r="C37" i="21" s="1"/>
  <c r="D37" i="21" s="1"/>
  <c r="C37" i="22" s="1"/>
  <c r="D37" i="22" s="1"/>
  <c r="C37" i="23" s="1"/>
  <c r="D37" i="23" s="1"/>
  <c r="C37" i="24" s="1"/>
  <c r="D37" i="24" s="1"/>
  <c r="C37" i="25" s="1"/>
  <c r="D37" i="25" s="1"/>
  <c r="C37" i="26" s="1"/>
  <c r="D37" i="26" s="1"/>
  <c r="C37" i="27" s="1"/>
  <c r="D37" i="27" s="1"/>
  <c r="C37" i="28" s="1"/>
  <c r="D37" i="28" s="1"/>
  <c r="C37" i="29" s="1"/>
  <c r="D37" i="29" s="1"/>
  <c r="C37" i="30" s="1"/>
  <c r="D37" i="30" s="1"/>
  <c r="C37" i="31" s="1"/>
  <c r="D37" i="31" s="1"/>
  <c r="C37" i="32" s="1"/>
  <c r="D37" i="32" s="1"/>
  <c r="J852" i="33"/>
  <c r="J854" i="33" s="1"/>
  <c r="C852" i="33"/>
  <c r="C854" i="33" s="1"/>
  <c r="D852" i="33"/>
  <c r="D854" i="33" s="1"/>
  <c r="F852" i="33"/>
  <c r="F854" i="33" s="1"/>
  <c r="G852" i="33"/>
  <c r="G854" i="33" s="1"/>
  <c r="H852" i="33"/>
  <c r="H854" i="33" s="1"/>
  <c r="I852" i="33"/>
  <c r="I854" i="33" s="1"/>
  <c r="K852" i="33"/>
  <c r="K854" i="33" s="1"/>
  <c r="L852" i="33"/>
  <c r="L854" i="33" s="1"/>
  <c r="M852" i="33"/>
  <c r="M854" i="33" s="1"/>
  <c r="N852" i="33"/>
  <c r="N854" i="33" s="1"/>
  <c r="BQ11" i="49"/>
  <c r="E28" i="49"/>
  <c r="B25" i="3" s="1"/>
  <c r="A631" i="33"/>
  <c r="A632" i="33" s="1"/>
  <c r="A633" i="33" s="1"/>
  <c r="A634" i="33" s="1"/>
  <c r="A635" i="33" s="1"/>
  <c r="A636" i="33" s="1"/>
  <c r="A637" i="33" s="1"/>
  <c r="A638" i="33" s="1"/>
  <c r="A639" i="33" s="1"/>
  <c r="A640" i="33" s="1"/>
  <c r="A641" i="33" s="1"/>
  <c r="A642" i="33" s="1"/>
  <c r="A643" i="33" s="1"/>
  <c r="A644" i="33" s="1"/>
  <c r="A645" i="33" s="1"/>
  <c r="A646" i="33" s="1"/>
  <c r="A647" i="33" s="1"/>
  <c r="A648" i="33" s="1"/>
  <c r="A649" i="33" s="1"/>
  <c r="A650" i="33" s="1"/>
  <c r="A651" i="33" s="1"/>
  <c r="A652" i="33" s="1"/>
  <c r="A653" i="33" s="1"/>
  <c r="A654" i="33" s="1"/>
  <c r="A655" i="33" s="1"/>
  <c r="A656" i="33" s="1"/>
  <c r="A657" i="33" s="1"/>
  <c r="A658" i="33" s="1"/>
  <c r="A659" i="33" s="1"/>
  <c r="A660" i="33" s="1"/>
  <c r="A661" i="33" s="1"/>
  <c r="A593" i="33"/>
  <c r="A623" i="33" s="1"/>
  <c r="D32" i="2"/>
  <c r="C32" i="3" s="1"/>
  <c r="D32" i="3" s="1"/>
  <c r="C32" i="4" s="1"/>
  <c r="D32" i="4" s="1"/>
  <c r="C32" i="5" s="1"/>
  <c r="D32" i="5" s="1"/>
  <c r="C32" i="6" s="1"/>
  <c r="D32" i="6" s="1"/>
  <c r="C32" i="7" s="1"/>
  <c r="D32" i="7" s="1"/>
  <c r="C32" i="8" s="1"/>
  <c r="D32" i="8" s="1"/>
  <c r="C32" i="9" s="1"/>
  <c r="D32" i="9" s="1"/>
  <c r="C32" i="37" s="1"/>
  <c r="D32" i="37" s="1"/>
  <c r="C32" i="11" s="1"/>
  <c r="D32" i="11" s="1"/>
  <c r="C32" i="12" s="1"/>
  <c r="D32" i="12" s="1"/>
  <c r="C32" i="13" s="1"/>
  <c r="D32" i="13" s="1"/>
  <c r="C32" i="14" s="1"/>
  <c r="D32" i="14" s="1"/>
  <c r="C32" i="15" s="1"/>
  <c r="D32" i="15" s="1"/>
  <c r="C32" i="16" s="1"/>
  <c r="D32" i="16" s="1"/>
  <c r="C32" i="17" s="1"/>
  <c r="D32" i="17" s="1"/>
  <c r="C32" i="18" s="1"/>
  <c r="D32" i="18" s="1"/>
  <c r="C32" i="19" s="1"/>
  <c r="D32" i="19" s="1"/>
  <c r="C32" i="20" s="1"/>
  <c r="D32" i="20" s="1"/>
  <c r="C32" i="21" s="1"/>
  <c r="D32" i="21" s="1"/>
  <c r="C32" i="22" s="1"/>
  <c r="D32" i="22" s="1"/>
  <c r="C32" i="23" s="1"/>
  <c r="D32" i="23" s="1"/>
  <c r="C32" i="24" s="1"/>
  <c r="D32" i="24" s="1"/>
  <c r="C32" i="25" s="1"/>
  <c r="D32" i="25" s="1"/>
  <c r="C32" i="26" s="1"/>
  <c r="D32" i="26" s="1"/>
  <c r="C32" i="27" s="1"/>
  <c r="D32" i="27" s="1"/>
  <c r="C32" i="28" s="1"/>
  <c r="D32" i="28" s="1"/>
  <c r="C32" i="29" s="1"/>
  <c r="D32" i="29" s="1"/>
  <c r="C32" i="30" s="1"/>
  <c r="D32" i="30" s="1"/>
  <c r="C32" i="31" s="1"/>
  <c r="D32" i="31" s="1"/>
  <c r="C32" i="32" s="1"/>
  <c r="D32" i="32" s="1"/>
  <c r="D31" i="2"/>
  <c r="C31" i="3" s="1"/>
  <c r="D31" i="3" s="1"/>
  <c r="C31" i="4" s="1"/>
  <c r="D31" i="4" s="1"/>
  <c r="C31" i="5" s="1"/>
  <c r="D31" i="5" s="1"/>
  <c r="C31" i="6" s="1"/>
  <c r="D31" i="6" s="1"/>
  <c r="C31" i="7" s="1"/>
  <c r="D31" i="7" s="1"/>
  <c r="C31" i="8" s="1"/>
  <c r="D31" i="8" s="1"/>
  <c r="C31" i="9" s="1"/>
  <c r="D31" i="9" s="1"/>
  <c r="C31" i="37" s="1"/>
  <c r="D31" i="37" s="1"/>
  <c r="C31" i="11" s="1"/>
  <c r="D31" i="11" s="1"/>
  <c r="C31" i="12" s="1"/>
  <c r="D31" i="12" s="1"/>
  <c r="C31" i="13" s="1"/>
  <c r="D31" i="13" s="1"/>
  <c r="C31" i="14" s="1"/>
  <c r="D31" i="14" s="1"/>
  <c r="C31" i="15" s="1"/>
  <c r="D31" i="15" s="1"/>
  <c r="C31" i="16" s="1"/>
  <c r="D31" i="16" s="1"/>
  <c r="C31" i="17" s="1"/>
  <c r="D31" i="17" s="1"/>
  <c r="C31" i="18" s="1"/>
  <c r="D31" i="18" s="1"/>
  <c r="C31" i="19" s="1"/>
  <c r="D31" i="19" s="1"/>
  <c r="C31" i="20" s="1"/>
  <c r="D31" i="20" s="1"/>
  <c r="C31" i="21" s="1"/>
  <c r="D31" i="21" s="1"/>
  <c r="C31" i="22" s="1"/>
  <c r="D31" i="22" s="1"/>
  <c r="C31" i="23" s="1"/>
  <c r="D31" i="23" s="1"/>
  <c r="C31" i="24" s="1"/>
  <c r="D31" i="24" s="1"/>
  <c r="C31" i="25" s="1"/>
  <c r="D31" i="25" s="1"/>
  <c r="C31" i="26" s="1"/>
  <c r="D31" i="26" s="1"/>
  <c r="C31" i="27" s="1"/>
  <c r="D31" i="27" s="1"/>
  <c r="C31" i="28" s="1"/>
  <c r="D31" i="28" s="1"/>
  <c r="C31" i="29" s="1"/>
  <c r="D31" i="29" s="1"/>
  <c r="C31" i="30" s="1"/>
  <c r="D31" i="30" s="1"/>
  <c r="C31" i="31" s="1"/>
  <c r="D31" i="31" s="1"/>
  <c r="C31" i="32" s="1"/>
  <c r="D31" i="32" s="1"/>
  <c r="AB662" i="33"/>
  <c r="Y662" i="33"/>
  <c r="AA631" i="33"/>
  <c r="I24" i="2" s="1"/>
  <c r="AA593" i="33"/>
  <c r="I23" i="2" s="1"/>
  <c r="Y624" i="33"/>
  <c r="BQ21" i="49"/>
  <c r="BQ23" i="49"/>
  <c r="C39" i="33"/>
  <c r="C41" i="33" s="1"/>
  <c r="D39" i="33"/>
  <c r="D41" i="33" s="1"/>
  <c r="F39" i="33"/>
  <c r="F41" i="33" s="1"/>
  <c r="G39" i="33"/>
  <c r="G41" i="33" s="1"/>
  <c r="H39" i="33"/>
  <c r="H41" i="33" s="1"/>
  <c r="I39" i="33"/>
  <c r="I41" i="33" s="1"/>
  <c r="J39" i="33"/>
  <c r="J41" i="33" s="1"/>
  <c r="K39" i="33"/>
  <c r="K41" i="33" s="1"/>
  <c r="L39" i="33"/>
  <c r="L41" i="33" s="1"/>
  <c r="M39" i="33"/>
  <c r="M41" i="33" s="1"/>
  <c r="N39" i="33"/>
  <c r="N41" i="33" s="1"/>
  <c r="O39" i="33"/>
  <c r="O41" i="33" s="1"/>
  <c r="Q39" i="33"/>
  <c r="Q41" i="33" s="1"/>
  <c r="R39" i="33"/>
  <c r="R41" i="33" s="1"/>
  <c r="AB738" i="33"/>
  <c r="AA937" i="33"/>
  <c r="I32" i="2" s="1"/>
  <c r="AA898" i="33"/>
  <c r="I31" i="2" s="1"/>
  <c r="AA859" i="33"/>
  <c r="AA669" i="33"/>
  <c r="I25" i="2" s="1"/>
  <c r="AA482" i="33"/>
  <c r="I20" i="2" s="1"/>
  <c r="AB968" i="33"/>
  <c r="AB929" i="33"/>
  <c r="AB852" i="33"/>
  <c r="AA821" i="33"/>
  <c r="I29" i="2" s="1"/>
  <c r="AB814" i="33"/>
  <c r="AB776" i="33"/>
  <c r="AB700" i="33"/>
  <c r="AA557" i="33"/>
  <c r="I22" i="2" s="1"/>
  <c r="AB550" i="33"/>
  <c r="AA519" i="33"/>
  <c r="I21" i="2" s="1"/>
  <c r="AB513" i="33"/>
  <c r="AB477" i="33"/>
  <c r="AB439" i="33"/>
  <c r="AB400" i="33"/>
  <c r="AB358" i="33"/>
  <c r="AB317" i="33"/>
  <c r="AB277" i="33"/>
  <c r="AB240" i="33"/>
  <c r="AA209" i="33"/>
  <c r="AB200" i="33"/>
  <c r="AB162" i="33"/>
  <c r="A92" i="33"/>
  <c r="AA707" i="33"/>
  <c r="AA745" i="33"/>
  <c r="AB39" i="33"/>
  <c r="D41" i="2"/>
  <c r="C41" i="3" s="1"/>
  <c r="D41" i="3" s="1"/>
  <c r="C41" i="4" s="1"/>
  <c r="D41" i="4" s="1"/>
  <c r="C41" i="5" s="1"/>
  <c r="D41" i="5" s="1"/>
  <c r="C41" i="6" s="1"/>
  <c r="D41" i="6" s="1"/>
  <c r="C41" i="7" s="1"/>
  <c r="D41" i="7" s="1"/>
  <c r="C41" i="8" s="1"/>
  <c r="D41" i="8" s="1"/>
  <c r="C41" i="9" s="1"/>
  <c r="D41" i="9" s="1"/>
  <c r="C41" i="37" s="1"/>
  <c r="D41" i="37" s="1"/>
  <c r="C41" i="11" s="1"/>
  <c r="D41" i="11" s="1"/>
  <c r="C41" i="12" s="1"/>
  <c r="D41" i="12" s="1"/>
  <c r="C41" i="13" s="1"/>
  <c r="D41" i="13" s="1"/>
  <c r="C41" i="14" s="1"/>
  <c r="D41" i="14" s="1"/>
  <c r="C41" i="15" s="1"/>
  <c r="D41" i="15" s="1"/>
  <c r="C41" i="16" s="1"/>
  <c r="D41" i="16" s="1"/>
  <c r="C41" i="17" s="1"/>
  <c r="D41" i="17" s="1"/>
  <c r="C41" i="18" s="1"/>
  <c r="D41" i="18" s="1"/>
  <c r="C41" i="19" s="1"/>
  <c r="D41" i="19" s="1"/>
  <c r="C41" i="20" s="1"/>
  <c r="D41" i="20" s="1"/>
  <c r="C41" i="21" s="1"/>
  <c r="D41" i="21" s="1"/>
  <c r="C41" i="22" s="1"/>
  <c r="D41" i="22" s="1"/>
  <c r="C41" i="23" s="1"/>
  <c r="D41" i="23" s="1"/>
  <c r="C41" i="24" s="1"/>
  <c r="D41" i="24" s="1"/>
  <c r="C41" i="25" s="1"/>
  <c r="D41" i="25" s="1"/>
  <c r="C41" i="26" s="1"/>
  <c r="D41" i="26" s="1"/>
  <c r="C41" i="27" s="1"/>
  <c r="D41" i="27" s="1"/>
  <c r="C41" i="28" s="1"/>
  <c r="D41" i="28" s="1"/>
  <c r="C41" i="29" s="1"/>
  <c r="D41" i="29" s="1"/>
  <c r="C41" i="30" s="1"/>
  <c r="D41" i="30" s="1"/>
  <c r="C41" i="31" s="1"/>
  <c r="D41" i="31" s="1"/>
  <c r="C41" i="32" s="1"/>
  <c r="D41" i="32" s="1"/>
  <c r="BQ27" i="49"/>
  <c r="R85" i="33"/>
  <c r="R87" i="33" s="1"/>
  <c r="BQ9" i="49"/>
  <c r="D30" i="2"/>
  <c r="C30" i="3" s="1"/>
  <c r="D30" i="3" s="1"/>
  <c r="C30" i="4" s="1"/>
  <c r="D30" i="4" s="1"/>
  <c r="C30" i="5" s="1"/>
  <c r="D30" i="5" s="1"/>
  <c r="C30" i="6" s="1"/>
  <c r="D30" i="6" s="1"/>
  <c r="C30" i="7" s="1"/>
  <c r="D30" i="7" s="1"/>
  <c r="C30" i="8" s="1"/>
  <c r="D30" i="8" s="1"/>
  <c r="C30" i="9" s="1"/>
  <c r="D30" i="9" s="1"/>
  <c r="C30" i="37" s="1"/>
  <c r="D30" i="37" s="1"/>
  <c r="C30" i="11" s="1"/>
  <c r="D30" i="11" s="1"/>
  <c r="C30" i="12" s="1"/>
  <c r="D30" i="12" s="1"/>
  <c r="C30" i="13" s="1"/>
  <c r="D30" i="13" s="1"/>
  <c r="C30" i="14" s="1"/>
  <c r="D30" i="14" s="1"/>
  <c r="C30" i="15" s="1"/>
  <c r="D30" i="15" s="1"/>
  <c r="C30" i="16" s="1"/>
  <c r="D30" i="16" s="1"/>
  <c r="C30" i="17" s="1"/>
  <c r="D30" i="17" s="1"/>
  <c r="C30" i="18" s="1"/>
  <c r="D30" i="18" s="1"/>
  <c r="C30" i="19" s="1"/>
  <c r="D30" i="19" s="1"/>
  <c r="C30" i="20" s="1"/>
  <c r="D30" i="20" s="1"/>
  <c r="C30" i="21" s="1"/>
  <c r="D30" i="21" s="1"/>
  <c r="C30" i="22" s="1"/>
  <c r="D30" i="22" s="1"/>
  <c r="C30" i="23" s="1"/>
  <c r="D30" i="23" s="1"/>
  <c r="C30" i="24" s="1"/>
  <c r="D30" i="24" s="1"/>
  <c r="C30" i="25" s="1"/>
  <c r="D30" i="25" s="1"/>
  <c r="C30" i="26" s="1"/>
  <c r="D30" i="26" s="1"/>
  <c r="C30" i="27" s="1"/>
  <c r="D30" i="27" s="1"/>
  <c r="C30" i="28" s="1"/>
  <c r="D30" i="28" s="1"/>
  <c r="C30" i="29" s="1"/>
  <c r="D30" i="29" s="1"/>
  <c r="C30" i="30" s="1"/>
  <c r="D30" i="30" s="1"/>
  <c r="C30" i="31" s="1"/>
  <c r="D30" i="31" s="1"/>
  <c r="C30" i="32" s="1"/>
  <c r="D30" i="32" s="1"/>
  <c r="D29" i="2"/>
  <c r="C29" i="3" s="1"/>
  <c r="D29" i="3" s="1"/>
  <c r="C29" i="4" s="1"/>
  <c r="D29" i="4" s="1"/>
  <c r="C29" i="5" s="1"/>
  <c r="D29" i="5" s="1"/>
  <c r="C29" i="6" s="1"/>
  <c r="D29" i="6" s="1"/>
  <c r="C29" i="7" s="1"/>
  <c r="D29" i="7" s="1"/>
  <c r="C29" i="8" s="1"/>
  <c r="D29" i="8" s="1"/>
  <c r="C29" i="9" s="1"/>
  <c r="D29" i="9" s="1"/>
  <c r="C29" i="37" s="1"/>
  <c r="D29" i="37" s="1"/>
  <c r="C29" i="11" s="1"/>
  <c r="D29" i="11" s="1"/>
  <c r="C29" i="12" s="1"/>
  <c r="D29" i="12" s="1"/>
  <c r="C29" i="13" s="1"/>
  <c r="D29" i="13" s="1"/>
  <c r="C29" i="14" s="1"/>
  <c r="D29" i="14" s="1"/>
  <c r="C29" i="15" s="1"/>
  <c r="D29" i="15" s="1"/>
  <c r="C29" i="16" s="1"/>
  <c r="D29" i="16" s="1"/>
  <c r="C29" i="17" s="1"/>
  <c r="D29" i="17" s="1"/>
  <c r="C29" i="18" s="1"/>
  <c r="D29" i="18" s="1"/>
  <c r="C29" i="19" s="1"/>
  <c r="D29" i="19" s="1"/>
  <c r="C29" i="20" s="1"/>
  <c r="D29" i="20" s="1"/>
  <c r="C29" i="21" s="1"/>
  <c r="D29" i="21" s="1"/>
  <c r="C29" i="22" s="1"/>
  <c r="D29" i="22" s="1"/>
  <c r="C29" i="23" s="1"/>
  <c r="D29" i="23" s="1"/>
  <c r="C29" i="24" s="1"/>
  <c r="D29" i="24" s="1"/>
  <c r="C29" i="25" s="1"/>
  <c r="D29" i="25" s="1"/>
  <c r="C29" i="26" s="1"/>
  <c r="D29" i="26" s="1"/>
  <c r="C29" i="27" s="1"/>
  <c r="D29" i="27" s="1"/>
  <c r="C29" i="28" s="1"/>
  <c r="D29" i="28" s="1"/>
  <c r="C29" i="29" s="1"/>
  <c r="D29" i="29" s="1"/>
  <c r="C29" i="30" s="1"/>
  <c r="D29" i="30" s="1"/>
  <c r="C29" i="31" s="1"/>
  <c r="D29" i="31" s="1"/>
  <c r="C29" i="32" s="1"/>
  <c r="D29" i="32" s="1"/>
  <c r="D28" i="2"/>
  <c r="C28" i="3" s="1"/>
  <c r="D28" i="3" s="1"/>
  <c r="C28" i="4" s="1"/>
  <c r="D28" i="4" s="1"/>
  <c r="C28" i="5" s="1"/>
  <c r="D28" i="5" s="1"/>
  <c r="C28" i="6" s="1"/>
  <c r="D28" i="6" s="1"/>
  <c r="C28" i="7" s="1"/>
  <c r="D28" i="7" s="1"/>
  <c r="C28" i="8" s="1"/>
  <c r="D28" i="8" s="1"/>
  <c r="C28" i="9" s="1"/>
  <c r="D28" i="9" s="1"/>
  <c r="C28" i="37" s="1"/>
  <c r="D28" i="37" s="1"/>
  <c r="C28" i="11" s="1"/>
  <c r="D28" i="11" s="1"/>
  <c r="C28" i="12" s="1"/>
  <c r="D28" i="12" s="1"/>
  <c r="C28" i="13" s="1"/>
  <c r="D28" i="13" s="1"/>
  <c r="C28" i="14" s="1"/>
  <c r="D28" i="14" s="1"/>
  <c r="C28" i="15" s="1"/>
  <c r="D28" i="15" s="1"/>
  <c r="C28" i="16" s="1"/>
  <c r="D28" i="16" s="1"/>
  <c r="C28" i="17" s="1"/>
  <c r="D28" i="17" s="1"/>
  <c r="C28" i="18" s="1"/>
  <c r="D28" i="18" s="1"/>
  <c r="C28" i="19" s="1"/>
  <c r="D28" i="19" s="1"/>
  <c r="C28" i="20" s="1"/>
  <c r="D28" i="20" s="1"/>
  <c r="C28" i="21" s="1"/>
  <c r="D28" i="21" s="1"/>
  <c r="C28" i="22" s="1"/>
  <c r="D28" i="22" s="1"/>
  <c r="C28" i="23" s="1"/>
  <c r="D28" i="23" s="1"/>
  <c r="C28" i="24" s="1"/>
  <c r="D28" i="24" s="1"/>
  <c r="C28" i="25" s="1"/>
  <c r="D28" i="25" s="1"/>
  <c r="C28" i="26" s="1"/>
  <c r="D28" i="26" s="1"/>
  <c r="C28" i="27" s="1"/>
  <c r="D28" i="27" s="1"/>
  <c r="C28" i="28" s="1"/>
  <c r="D28" i="28" s="1"/>
  <c r="C28" i="29" s="1"/>
  <c r="D28" i="29" s="1"/>
  <c r="C28" i="30" s="1"/>
  <c r="D28" i="30" s="1"/>
  <c r="C28" i="31" s="1"/>
  <c r="D28" i="31" s="1"/>
  <c r="C28" i="32" s="1"/>
  <c r="D28" i="32" s="1"/>
  <c r="D27" i="2"/>
  <c r="C27" i="3" s="1"/>
  <c r="D27" i="3" s="1"/>
  <c r="C27" i="4" s="1"/>
  <c r="D27" i="4" s="1"/>
  <c r="C27" i="5" s="1"/>
  <c r="D27" i="5" s="1"/>
  <c r="C27" i="6" s="1"/>
  <c r="D27" i="6" s="1"/>
  <c r="C27" i="7" s="1"/>
  <c r="D27" i="7" s="1"/>
  <c r="C27" i="8" s="1"/>
  <c r="D27" i="8" s="1"/>
  <c r="C27" i="9" s="1"/>
  <c r="D27" i="9" s="1"/>
  <c r="C27" i="37" s="1"/>
  <c r="D27" i="37" s="1"/>
  <c r="C27" i="11" s="1"/>
  <c r="D27" i="11" s="1"/>
  <c r="C27" i="12" s="1"/>
  <c r="D27" i="12" s="1"/>
  <c r="C27" i="13" s="1"/>
  <c r="D27" i="13" s="1"/>
  <c r="C27" i="14" s="1"/>
  <c r="D27" i="14" s="1"/>
  <c r="C27" i="15" s="1"/>
  <c r="D27" i="15" s="1"/>
  <c r="C27" i="16" s="1"/>
  <c r="D27" i="16" s="1"/>
  <c r="C27" i="17" s="1"/>
  <c r="D27" i="17" s="1"/>
  <c r="C27" i="18" s="1"/>
  <c r="D27" i="18" s="1"/>
  <c r="C27" i="19" s="1"/>
  <c r="D27" i="19" s="1"/>
  <c r="C27" i="20" s="1"/>
  <c r="D27" i="20" s="1"/>
  <c r="C27" i="21" s="1"/>
  <c r="D27" i="21" s="1"/>
  <c r="C27" i="22" s="1"/>
  <c r="D27" i="22" s="1"/>
  <c r="C27" i="23" s="1"/>
  <c r="D27" i="23" s="1"/>
  <c r="C27" i="24" s="1"/>
  <c r="D27" i="24" s="1"/>
  <c r="C27" i="25" s="1"/>
  <c r="D27" i="25" s="1"/>
  <c r="C27" i="26" s="1"/>
  <c r="D27" i="26" s="1"/>
  <c r="C27" i="27" s="1"/>
  <c r="D27" i="27" s="1"/>
  <c r="C27" i="28" s="1"/>
  <c r="D27" i="28" s="1"/>
  <c r="C27" i="29" s="1"/>
  <c r="D27" i="29" s="1"/>
  <c r="C27" i="30" s="1"/>
  <c r="D27" i="30" s="1"/>
  <c r="C27" i="31" s="1"/>
  <c r="D27" i="31" s="1"/>
  <c r="C27" i="32" s="1"/>
  <c r="D27" i="32" s="1"/>
  <c r="C26" i="3"/>
  <c r="D26" i="3" s="1"/>
  <c r="C26" i="4" s="1"/>
  <c r="D26" i="4" s="1"/>
  <c r="C26" i="5" s="1"/>
  <c r="D26" i="5" s="1"/>
  <c r="C26" i="6" s="1"/>
  <c r="D26" i="6" s="1"/>
  <c r="C26" i="7" s="1"/>
  <c r="D26" i="7" s="1"/>
  <c r="C26" i="8" s="1"/>
  <c r="D26" i="8" s="1"/>
  <c r="C26" i="9" s="1"/>
  <c r="D26" i="9" s="1"/>
  <c r="C26" i="37" s="1"/>
  <c r="D26" i="37" s="1"/>
  <c r="C26" i="11" s="1"/>
  <c r="D26" i="11" s="1"/>
  <c r="C26" i="12" s="1"/>
  <c r="D26" i="12" s="1"/>
  <c r="C26" i="13" s="1"/>
  <c r="D26" i="13" s="1"/>
  <c r="C26" i="14" s="1"/>
  <c r="D26" i="14" s="1"/>
  <c r="C26" i="15" s="1"/>
  <c r="D26" i="15" s="1"/>
  <c r="C26" i="16" s="1"/>
  <c r="D26" i="16" s="1"/>
  <c r="C26" i="17" s="1"/>
  <c r="D26" i="17" s="1"/>
  <c r="C26" i="18" s="1"/>
  <c r="D26" i="18" s="1"/>
  <c r="C26" i="19" s="1"/>
  <c r="D26" i="19" s="1"/>
  <c r="C26" i="20" s="1"/>
  <c r="D26" i="20" s="1"/>
  <c r="C26" i="21" s="1"/>
  <c r="D26" i="21" s="1"/>
  <c r="C26" i="22" s="1"/>
  <c r="D26" i="22" s="1"/>
  <c r="C26" i="23" s="1"/>
  <c r="D26" i="23" s="1"/>
  <c r="C26" i="24" s="1"/>
  <c r="D26" i="24" s="1"/>
  <c r="C26" i="25" s="1"/>
  <c r="D26" i="25" s="1"/>
  <c r="C26" i="26" s="1"/>
  <c r="D26" i="26" s="1"/>
  <c r="C26" i="27" s="1"/>
  <c r="D26" i="27" s="1"/>
  <c r="C26" i="28" s="1"/>
  <c r="D26" i="28" s="1"/>
  <c r="C26" i="29" s="1"/>
  <c r="D26" i="29" s="1"/>
  <c r="C26" i="30" s="1"/>
  <c r="D26" i="30" s="1"/>
  <c r="C26" i="31" s="1"/>
  <c r="D26" i="31" s="1"/>
  <c r="C26" i="32" s="1"/>
  <c r="D26" i="32" s="1"/>
  <c r="D24" i="2"/>
  <c r="C24" i="3" s="1"/>
  <c r="D24" i="3" s="1"/>
  <c r="C24" i="4" s="1"/>
  <c r="D24" i="4" s="1"/>
  <c r="C24" i="5" s="1"/>
  <c r="D24" i="5" s="1"/>
  <c r="C24" i="6" s="1"/>
  <c r="D24" i="6" s="1"/>
  <c r="C24" i="7" s="1"/>
  <c r="D24" i="7" s="1"/>
  <c r="C24" i="8" s="1"/>
  <c r="D24" i="8" s="1"/>
  <c r="C24" i="9" s="1"/>
  <c r="D24" i="9" s="1"/>
  <c r="C24" i="37" s="1"/>
  <c r="D24" i="37" s="1"/>
  <c r="C24" i="11" s="1"/>
  <c r="D24" i="11" s="1"/>
  <c r="C24" i="12" s="1"/>
  <c r="D24" i="12" s="1"/>
  <c r="C24" i="13" s="1"/>
  <c r="D24" i="13" s="1"/>
  <c r="C24" i="14" s="1"/>
  <c r="D24" i="14" s="1"/>
  <c r="BQ8" i="49"/>
  <c r="BQ16" i="49"/>
  <c r="BS16" i="49" s="1"/>
  <c r="BQ24" i="49"/>
  <c r="Q85" i="33"/>
  <c r="Q87" i="33" s="1"/>
  <c r="N85" i="33"/>
  <c r="N87" i="33" s="1"/>
  <c r="L85" i="33"/>
  <c r="L87" i="33" s="1"/>
  <c r="J85" i="33"/>
  <c r="J87" i="33" s="1"/>
  <c r="I85" i="33"/>
  <c r="I87" i="33" s="1"/>
  <c r="G85" i="33"/>
  <c r="G87" i="33" s="1"/>
  <c r="O85" i="33"/>
  <c r="O87" i="33" s="1"/>
  <c r="M85" i="33"/>
  <c r="M87" i="33" s="1"/>
  <c r="K85" i="33"/>
  <c r="K87" i="33" s="1"/>
  <c r="F85" i="33"/>
  <c r="F87" i="33" s="1"/>
  <c r="C85" i="33"/>
  <c r="C87" i="33" s="1"/>
  <c r="H85" i="33"/>
  <c r="H87" i="33" s="1"/>
  <c r="D85" i="33"/>
  <c r="D87" i="33" s="1"/>
  <c r="A821" i="33"/>
  <c r="A822" i="33" s="1"/>
  <c r="A823" i="33" s="1"/>
  <c r="A824" i="33" s="1"/>
  <c r="A825" i="33" s="1"/>
  <c r="A826" i="33" s="1"/>
  <c r="A827" i="33" s="1"/>
  <c r="A828" i="33" s="1"/>
  <c r="A829" i="33" s="1"/>
  <c r="A830" i="33" s="1"/>
  <c r="A831" i="33" s="1"/>
  <c r="A832" i="33" s="1"/>
  <c r="A833" i="33" s="1"/>
  <c r="A834" i="33" s="1"/>
  <c r="A835" i="33" s="1"/>
  <c r="A836" i="33" s="1"/>
  <c r="A837" i="33" s="1"/>
  <c r="A838" i="33" s="1"/>
  <c r="A839" i="33" s="1"/>
  <c r="A840" i="33" s="1"/>
  <c r="A841" i="33" s="1"/>
  <c r="A842" i="33" s="1"/>
  <c r="A843" i="33" s="1"/>
  <c r="A844" i="33" s="1"/>
  <c r="A845" i="33" s="1"/>
  <c r="A846" i="33" s="1"/>
  <c r="A847" i="33" s="1"/>
  <c r="A848" i="33" s="1"/>
  <c r="A849" i="33" s="1"/>
  <c r="A850" i="33" s="1"/>
  <c r="A851" i="33" s="1"/>
  <c r="A54" i="33"/>
  <c r="Q852" i="33"/>
  <c r="Q854" i="33" s="1"/>
  <c r="O852" i="33"/>
  <c r="O854" i="33" s="1"/>
  <c r="O814" i="33"/>
  <c r="M814" i="33"/>
  <c r="K814" i="33"/>
  <c r="H814" i="33"/>
  <c r="F814" i="33"/>
  <c r="C814" i="33"/>
  <c r="Q814" i="33"/>
  <c r="N814" i="33"/>
  <c r="L814" i="33"/>
  <c r="J814" i="33"/>
  <c r="I814" i="33"/>
  <c r="G814" i="33"/>
  <c r="D814" i="33"/>
  <c r="T34" i="3" l="1"/>
  <c r="V34" i="3" s="1"/>
  <c r="X34" i="3" s="1"/>
  <c r="T34" i="4" s="1"/>
  <c r="V34" i="4" s="1"/>
  <c r="X34" i="4" s="1"/>
  <c r="T34" i="5" s="1"/>
  <c r="V34" i="5" s="1"/>
  <c r="X34" i="5" s="1"/>
  <c r="T34" i="6" s="1"/>
  <c r="V34" i="6" s="1"/>
  <c r="X34" i="6" s="1"/>
  <c r="T34" i="7" s="1"/>
  <c r="V34" i="7" s="1"/>
  <c r="X34" i="7" s="1"/>
  <c r="T34" i="8" s="1"/>
  <c r="V34" i="8" s="1"/>
  <c r="X34" i="8" s="1"/>
  <c r="T34" i="9" s="1"/>
  <c r="V34" i="9" s="1"/>
  <c r="X34" i="9" s="1"/>
  <c r="T34" i="37" s="1"/>
  <c r="V34" i="37" s="1"/>
  <c r="X34" i="37" s="1"/>
  <c r="T34" i="11" s="1"/>
  <c r="V34" i="11" s="1"/>
  <c r="X34" i="11" s="1"/>
  <c r="T34" i="12" s="1"/>
  <c r="V34" i="12" s="1"/>
  <c r="X34" i="12" s="1"/>
  <c r="T34" i="13" s="1"/>
  <c r="V34" i="13" s="1"/>
  <c r="X34" i="13" s="1"/>
  <c r="T34" i="14" s="1"/>
  <c r="V34" i="14" s="1"/>
  <c r="X34" i="14" s="1"/>
  <c r="T34" i="15" s="1"/>
  <c r="V34" i="15" s="1"/>
  <c r="X34" i="15" s="1"/>
  <c r="T34" i="16" s="1"/>
  <c r="V34" i="16" s="1"/>
  <c r="X34" i="16" s="1"/>
  <c r="T29" i="3"/>
  <c r="V29" i="3" s="1"/>
  <c r="X29" i="3" s="1"/>
  <c r="T29" i="4" s="1"/>
  <c r="V29" i="4" s="1"/>
  <c r="X29" i="4" s="1"/>
  <c r="T29" i="5" s="1"/>
  <c r="V29" i="5" s="1"/>
  <c r="X29" i="5" s="1"/>
  <c r="T29" i="6" s="1"/>
  <c r="V29" i="6" s="1"/>
  <c r="X29" i="6" s="1"/>
  <c r="T29" i="7" s="1"/>
  <c r="V29" i="7" s="1"/>
  <c r="X29" i="7" s="1"/>
  <c r="T29" i="8" s="1"/>
  <c r="V29" i="8" s="1"/>
  <c r="X29" i="8" s="1"/>
  <c r="T29" i="9" s="1"/>
  <c r="V29" i="9" s="1"/>
  <c r="X29" i="9" s="1"/>
  <c r="T29" i="37" s="1"/>
  <c r="V29" i="37" s="1"/>
  <c r="X29" i="37" s="1"/>
  <c r="T29" i="11" s="1"/>
  <c r="V29" i="11" s="1"/>
  <c r="X29" i="11" s="1"/>
  <c r="T29" i="12" s="1"/>
  <c r="V29" i="12" s="1"/>
  <c r="X29" i="12" s="1"/>
  <c r="T29" i="13" s="1"/>
  <c r="V29" i="13" s="1"/>
  <c r="X29" i="13" s="1"/>
  <c r="T29" i="14" s="1"/>
  <c r="V29" i="14" s="1"/>
  <c r="X29" i="14" s="1"/>
  <c r="T29" i="15" s="1"/>
  <c r="V29" i="15" s="1"/>
  <c r="X29" i="15" s="1"/>
  <c r="T29" i="16" s="1"/>
  <c r="V29" i="16" s="1"/>
  <c r="X29" i="16" s="1"/>
  <c r="T27" i="3"/>
  <c r="V27" i="3" s="1"/>
  <c r="X27" i="3" s="1"/>
  <c r="T27" i="4" s="1"/>
  <c r="V27" i="4" s="1"/>
  <c r="X27" i="4" s="1"/>
  <c r="T27" i="5" s="1"/>
  <c r="V27" i="5" s="1"/>
  <c r="X27" i="5" s="1"/>
  <c r="T25" i="3"/>
  <c r="V25" i="3" s="1"/>
  <c r="X25" i="3" s="1"/>
  <c r="T25" i="4" s="1"/>
  <c r="V25" i="4" s="1"/>
  <c r="X25" i="4" s="1"/>
  <c r="T25" i="5" s="1"/>
  <c r="V25" i="5" s="1"/>
  <c r="X25" i="5" s="1"/>
  <c r="T23" i="3"/>
  <c r="V23" i="3" s="1"/>
  <c r="X23" i="3" s="1"/>
  <c r="T23" i="4" s="1"/>
  <c r="V23" i="4" s="1"/>
  <c r="X23" i="4" s="1"/>
  <c r="T23" i="5" s="1"/>
  <c r="V23" i="5" s="1"/>
  <c r="X23" i="5" s="1"/>
  <c r="T21" i="3"/>
  <c r="V21" i="3" s="1"/>
  <c r="X21" i="3" s="1"/>
  <c r="T21" i="4" s="1"/>
  <c r="V21" i="4" s="1"/>
  <c r="X21" i="4" s="1"/>
  <c r="T21" i="5" s="1"/>
  <c r="V21" i="5" s="1"/>
  <c r="X21" i="5" s="1"/>
  <c r="T19" i="3"/>
  <c r="V19" i="3" s="1"/>
  <c r="X19" i="3" s="1"/>
  <c r="T19" i="4" s="1"/>
  <c r="V19" i="4" s="1"/>
  <c r="X19" i="4" s="1"/>
  <c r="T19" i="5" s="1"/>
  <c r="V19" i="5" s="1"/>
  <c r="X19" i="5" s="1"/>
  <c r="T9" i="3"/>
  <c r="V9" i="3" s="1"/>
  <c r="X9" i="3" s="1"/>
  <c r="T9" i="4" s="1"/>
  <c r="V9" i="4" s="1"/>
  <c r="X9" i="4" s="1"/>
  <c r="T9" i="5" s="1"/>
  <c r="V9" i="5" s="1"/>
  <c r="X9" i="5" s="1"/>
  <c r="T9" i="6" s="1"/>
  <c r="V9" i="6" s="1"/>
  <c r="X9" i="6" s="1"/>
  <c r="T9" i="7" s="1"/>
  <c r="V9" i="7" s="1"/>
  <c r="X9" i="7" s="1"/>
  <c r="T9" i="8" s="1"/>
  <c r="V9" i="8" s="1"/>
  <c r="X9" i="8" s="1"/>
  <c r="T9" i="9" s="1"/>
  <c r="V9" i="9" s="1"/>
  <c r="X9" i="9" s="1"/>
  <c r="T9" i="37" s="1"/>
  <c r="V9" i="37" s="1"/>
  <c r="X9" i="37" s="1"/>
  <c r="T9" i="11" s="1"/>
  <c r="T33" i="3"/>
  <c r="V33" i="3" s="1"/>
  <c r="X33" i="3" s="1"/>
  <c r="T33" i="4" s="1"/>
  <c r="V33" i="4" s="1"/>
  <c r="X33" i="4" s="1"/>
  <c r="T33" i="5" s="1"/>
  <c r="V33" i="5" s="1"/>
  <c r="X33" i="5" s="1"/>
  <c r="T33" i="6" s="1"/>
  <c r="V33" i="6" s="1"/>
  <c r="X33" i="6" s="1"/>
  <c r="T33" i="7" s="1"/>
  <c r="V33" i="7" s="1"/>
  <c r="X33" i="7" s="1"/>
  <c r="T33" i="8" s="1"/>
  <c r="V33" i="8" s="1"/>
  <c r="X33" i="8" s="1"/>
  <c r="T33" i="9" s="1"/>
  <c r="V33" i="9" s="1"/>
  <c r="X33" i="9" s="1"/>
  <c r="T33" i="37" s="1"/>
  <c r="V33" i="37" s="1"/>
  <c r="X33" i="37" s="1"/>
  <c r="T33" i="11" s="1"/>
  <c r="V33" i="11" s="1"/>
  <c r="X33" i="11" s="1"/>
  <c r="T33" i="12" s="1"/>
  <c r="V33" i="12" s="1"/>
  <c r="X33" i="12" s="1"/>
  <c r="T33" i="13" s="1"/>
  <c r="V33" i="13" s="1"/>
  <c r="X33" i="13" s="1"/>
  <c r="T33" i="14" s="1"/>
  <c r="V33" i="14" s="1"/>
  <c r="X33" i="14" s="1"/>
  <c r="T33" i="15" s="1"/>
  <c r="V33" i="15" s="1"/>
  <c r="X33" i="15" s="1"/>
  <c r="T33" i="16" s="1"/>
  <c r="V33" i="16" s="1"/>
  <c r="X33" i="16" s="1"/>
  <c r="T37" i="3"/>
  <c r="V37" i="3" s="1"/>
  <c r="X37" i="3" s="1"/>
  <c r="T37" i="4" s="1"/>
  <c r="V37" i="4" s="1"/>
  <c r="X37" i="4" s="1"/>
  <c r="T37" i="5" s="1"/>
  <c r="V37" i="5" s="1"/>
  <c r="X37" i="5" s="1"/>
  <c r="T37" i="6" s="1"/>
  <c r="V37" i="6" s="1"/>
  <c r="X37" i="6" s="1"/>
  <c r="T37" i="7" s="1"/>
  <c r="V37" i="7" s="1"/>
  <c r="X37" i="7" s="1"/>
  <c r="T37" i="8" s="1"/>
  <c r="V37" i="8" s="1"/>
  <c r="X37" i="8" s="1"/>
  <c r="T37" i="9" s="1"/>
  <c r="V37" i="9" s="1"/>
  <c r="X37" i="9" s="1"/>
  <c r="T37" i="37" s="1"/>
  <c r="V37" i="37" s="1"/>
  <c r="X37" i="37" s="1"/>
  <c r="T37" i="11" s="1"/>
  <c r="V37" i="11" s="1"/>
  <c r="X37" i="11" s="1"/>
  <c r="T37" i="12" s="1"/>
  <c r="V37" i="12" s="1"/>
  <c r="X37" i="12" s="1"/>
  <c r="T37" i="13" s="1"/>
  <c r="V37" i="13" s="1"/>
  <c r="X37" i="13" s="1"/>
  <c r="T37" i="14" s="1"/>
  <c r="V37" i="14" s="1"/>
  <c r="X37" i="14" s="1"/>
  <c r="T37" i="15" s="1"/>
  <c r="V37" i="15" s="1"/>
  <c r="X37" i="15" s="1"/>
  <c r="T37" i="16" s="1"/>
  <c r="V37" i="16" s="1"/>
  <c r="X37" i="16" s="1"/>
  <c r="T37" i="17" s="1"/>
  <c r="V37" i="17" s="1"/>
  <c r="X37" i="17" s="1"/>
  <c r="T37" i="18" s="1"/>
  <c r="V37" i="18" s="1"/>
  <c r="X37" i="18" s="1"/>
  <c r="T37" i="19" s="1"/>
  <c r="V37" i="19" s="1"/>
  <c r="X37" i="19" s="1"/>
  <c r="T37" i="20" s="1"/>
  <c r="V37" i="20" s="1"/>
  <c r="X37" i="20" s="1"/>
  <c r="T37" i="21" s="1"/>
  <c r="V37" i="21" s="1"/>
  <c r="X37" i="21" s="1"/>
  <c r="T37" i="22" s="1"/>
  <c r="V37" i="22" s="1"/>
  <c r="X37" i="22" s="1"/>
  <c r="T37" i="23" s="1"/>
  <c r="V37" i="23" s="1"/>
  <c r="X37" i="23" s="1"/>
  <c r="T37" i="24" s="1"/>
  <c r="V37" i="24" s="1"/>
  <c r="X37" i="24" s="1"/>
  <c r="T37" i="25" s="1"/>
  <c r="V37" i="25" s="1"/>
  <c r="X37" i="25" s="1"/>
  <c r="T37" i="26" s="1"/>
  <c r="V37" i="26" s="1"/>
  <c r="X37" i="26" s="1"/>
  <c r="T37" i="27" s="1"/>
  <c r="V37" i="27" s="1"/>
  <c r="X37" i="27" s="1"/>
  <c r="T37" i="28" s="1"/>
  <c r="V37" i="28" s="1"/>
  <c r="X37" i="28" s="1"/>
  <c r="T37" i="29" s="1"/>
  <c r="V37" i="29" s="1"/>
  <c r="X37" i="29" s="1"/>
  <c r="T37" i="30" s="1"/>
  <c r="V37" i="30" s="1"/>
  <c r="X37" i="30" s="1"/>
  <c r="T37" i="31" s="1"/>
  <c r="V37" i="31" s="1"/>
  <c r="X37" i="31" s="1"/>
  <c r="T37" i="32" s="1"/>
  <c r="V37" i="32" s="1"/>
  <c r="X37" i="32" s="1"/>
  <c r="T35" i="3"/>
  <c r="V35" i="3" s="1"/>
  <c r="X35" i="3" s="1"/>
  <c r="T35" i="4" s="1"/>
  <c r="V35" i="4" s="1"/>
  <c r="X35" i="4" s="1"/>
  <c r="T35" i="5" s="1"/>
  <c r="V35" i="5" s="1"/>
  <c r="X35" i="5" s="1"/>
  <c r="T35" i="6" s="1"/>
  <c r="V35" i="6" s="1"/>
  <c r="X35" i="6" s="1"/>
  <c r="T35" i="7" s="1"/>
  <c r="V35" i="7" s="1"/>
  <c r="X35" i="7" s="1"/>
  <c r="T35" i="8" s="1"/>
  <c r="V35" i="8" s="1"/>
  <c r="X35" i="8" s="1"/>
  <c r="T35" i="9" s="1"/>
  <c r="V35" i="9" s="1"/>
  <c r="X35" i="9" s="1"/>
  <c r="T35" i="37" s="1"/>
  <c r="V35" i="37" s="1"/>
  <c r="X35" i="37" s="1"/>
  <c r="T35" i="11" s="1"/>
  <c r="V35" i="11" s="1"/>
  <c r="X35" i="11" s="1"/>
  <c r="T35" i="12" s="1"/>
  <c r="V35" i="12" s="1"/>
  <c r="X35" i="12" s="1"/>
  <c r="T35" i="13" s="1"/>
  <c r="V35" i="13" s="1"/>
  <c r="X35" i="13" s="1"/>
  <c r="T35" i="14" s="1"/>
  <c r="V35" i="14" s="1"/>
  <c r="X35" i="14" s="1"/>
  <c r="T35" i="15" s="1"/>
  <c r="V35" i="15" s="1"/>
  <c r="X35" i="15" s="1"/>
  <c r="T35" i="16" s="1"/>
  <c r="V35" i="16" s="1"/>
  <c r="X35" i="16" s="1"/>
  <c r="T32" i="3"/>
  <c r="V32" i="3" s="1"/>
  <c r="X32" i="3" s="1"/>
  <c r="T32" i="4" s="1"/>
  <c r="V32" i="4" s="1"/>
  <c r="X32" i="4" s="1"/>
  <c r="T32" i="5" s="1"/>
  <c r="V32" i="5" s="1"/>
  <c r="X32" i="5" s="1"/>
  <c r="T32" i="6" s="1"/>
  <c r="V32" i="6" s="1"/>
  <c r="X32" i="6" s="1"/>
  <c r="T32" i="7" s="1"/>
  <c r="V32" i="7" s="1"/>
  <c r="X32" i="7" s="1"/>
  <c r="T32" i="8" s="1"/>
  <c r="V32" i="8" s="1"/>
  <c r="X32" i="8" s="1"/>
  <c r="T32" i="9" s="1"/>
  <c r="V32" i="9" s="1"/>
  <c r="X32" i="9" s="1"/>
  <c r="T32" i="37" s="1"/>
  <c r="V32" i="37" s="1"/>
  <c r="X32" i="37" s="1"/>
  <c r="T32" i="11" s="1"/>
  <c r="V32" i="11" s="1"/>
  <c r="X32" i="11" s="1"/>
  <c r="T32" i="12" s="1"/>
  <c r="V32" i="12" s="1"/>
  <c r="X32" i="12" s="1"/>
  <c r="T32" i="13" s="1"/>
  <c r="V32" i="13" s="1"/>
  <c r="X32" i="13" s="1"/>
  <c r="T32" i="14" s="1"/>
  <c r="T30" i="3"/>
  <c r="V30" i="3" s="1"/>
  <c r="X30" i="3" s="1"/>
  <c r="T30" i="4" s="1"/>
  <c r="V30" i="4" s="1"/>
  <c r="X30" i="4" s="1"/>
  <c r="T30" i="5" s="1"/>
  <c r="V30" i="5" s="1"/>
  <c r="X30" i="5" s="1"/>
  <c r="T30" i="6" s="1"/>
  <c r="V30" i="6" s="1"/>
  <c r="X30" i="6" s="1"/>
  <c r="T30" i="7" s="1"/>
  <c r="V30" i="7" s="1"/>
  <c r="X30" i="7" s="1"/>
  <c r="T30" i="8" s="1"/>
  <c r="V30" i="8" s="1"/>
  <c r="X30" i="8" s="1"/>
  <c r="T30" i="9" s="1"/>
  <c r="V30" i="9" s="1"/>
  <c r="X30" i="9" s="1"/>
  <c r="T30" i="37" s="1"/>
  <c r="V30" i="37" s="1"/>
  <c r="X30" i="37" s="1"/>
  <c r="T30" i="11" s="1"/>
  <c r="V30" i="11" s="1"/>
  <c r="X30" i="11" s="1"/>
  <c r="T30" i="12" s="1"/>
  <c r="V30" i="12" s="1"/>
  <c r="X30" i="12" s="1"/>
  <c r="T30" i="13" s="1"/>
  <c r="V30" i="13" s="1"/>
  <c r="X30" i="13" s="1"/>
  <c r="T30" i="14" s="1"/>
  <c r="T28" i="3"/>
  <c r="V28" i="3" s="1"/>
  <c r="X28" i="3" s="1"/>
  <c r="T28" i="4" s="1"/>
  <c r="V28" i="4" s="1"/>
  <c r="X28" i="4" s="1"/>
  <c r="T28" i="5" s="1"/>
  <c r="V28" i="5" s="1"/>
  <c r="X28" i="5" s="1"/>
  <c r="T26" i="3"/>
  <c r="V26" i="3" s="1"/>
  <c r="X26" i="3" s="1"/>
  <c r="T26" i="4" s="1"/>
  <c r="V26" i="4" s="1"/>
  <c r="X26" i="4" s="1"/>
  <c r="T26" i="5" s="1"/>
  <c r="V26" i="5" s="1"/>
  <c r="X26" i="5" s="1"/>
  <c r="T24" i="3"/>
  <c r="V24" i="3" s="1"/>
  <c r="X24" i="3" s="1"/>
  <c r="T24" i="4" s="1"/>
  <c r="V24" i="4" s="1"/>
  <c r="X24" i="4" s="1"/>
  <c r="T24" i="5" s="1"/>
  <c r="V24" i="5" s="1"/>
  <c r="X24" i="5" s="1"/>
  <c r="T22" i="3"/>
  <c r="V22" i="3" s="1"/>
  <c r="X22" i="3" s="1"/>
  <c r="T22" i="4" s="1"/>
  <c r="V22" i="4" s="1"/>
  <c r="X22" i="4" s="1"/>
  <c r="T22" i="5" s="1"/>
  <c r="V22" i="5" s="1"/>
  <c r="X22" i="5" s="1"/>
  <c r="T20" i="3"/>
  <c r="V20" i="3" s="1"/>
  <c r="X20" i="3" s="1"/>
  <c r="T20" i="4" s="1"/>
  <c r="V20" i="4" s="1"/>
  <c r="X20" i="4" s="1"/>
  <c r="T20" i="5" s="1"/>
  <c r="V20" i="5" s="1"/>
  <c r="X20" i="5" s="1"/>
  <c r="T10" i="3"/>
  <c r="V10" i="3" s="1"/>
  <c r="X10" i="3" s="1"/>
  <c r="T10" i="4" s="1"/>
  <c r="V10" i="4" s="1"/>
  <c r="X10" i="4" s="1"/>
  <c r="T10" i="5" s="1"/>
  <c r="V10" i="5" s="1"/>
  <c r="X10" i="5" s="1"/>
  <c r="T10" i="6" s="1"/>
  <c r="V10" i="6" s="1"/>
  <c r="X10" i="6" s="1"/>
  <c r="Q23" i="3"/>
  <c r="Q32" i="3" s="1"/>
  <c r="Q8" i="4" s="1"/>
  <c r="Q23" i="4" s="1"/>
  <c r="Q32" i="4" s="1"/>
  <c r="Q8" i="5" s="1"/>
  <c r="Q23" i="5" s="1"/>
  <c r="Q32" i="5" s="1"/>
  <c r="Q8" i="6" s="1"/>
  <c r="Q23" i="6" s="1"/>
  <c r="Q32" i="6" s="1"/>
  <c r="Q8" i="7" s="1"/>
  <c r="Q23" i="7" s="1"/>
  <c r="Q32" i="7" s="1"/>
  <c r="Q8" i="8" s="1"/>
  <c r="Q23" i="8" s="1"/>
  <c r="Q32" i="8" s="1"/>
  <c r="Q8" i="9" s="1"/>
  <c r="Q23" i="9" s="1"/>
  <c r="Q32" i="9" s="1"/>
  <c r="Q8" i="37" s="1"/>
  <c r="Q23" i="37" s="1"/>
  <c r="Q32" i="37" s="1"/>
  <c r="Q8" i="11" s="1"/>
  <c r="Q23" i="11" s="1"/>
  <c r="Q32" i="11" s="1"/>
  <c r="Q8" i="12" s="1"/>
  <c r="Q23" i="12" s="1"/>
  <c r="Q32" i="12" s="1"/>
  <c r="Q8" i="13" s="1"/>
  <c r="Q23" i="13" s="1"/>
  <c r="Q32" i="13" s="1"/>
  <c r="Q8" i="14" s="1"/>
  <c r="Q23" i="14" s="1"/>
  <c r="Q32" i="14" s="1"/>
  <c r="Q8" i="15" s="1"/>
  <c r="Q23" i="15" s="1"/>
  <c r="Q32" i="15" s="1"/>
  <c r="Q8" i="16" s="1"/>
  <c r="Q23" i="16" s="1"/>
  <c r="Q32" i="16" s="1"/>
  <c r="Q8" i="17" s="1"/>
  <c r="Q23" i="17" s="1"/>
  <c r="Q32" i="17" s="1"/>
  <c r="Q8" i="18" s="1"/>
  <c r="Q23" i="18" s="1"/>
  <c r="Q32" i="18" s="1"/>
  <c r="Q8" i="19" s="1"/>
  <c r="Q23" i="19" s="1"/>
  <c r="Q32" i="19" s="1"/>
  <c r="Q8" i="20" s="1"/>
  <c r="Q23" i="20" s="1"/>
  <c r="Q32" i="20" s="1"/>
  <c r="Q8" i="21" s="1"/>
  <c r="Q23" i="21" s="1"/>
  <c r="Q32" i="21" s="1"/>
  <c r="Q8" i="22" s="1"/>
  <c r="Q23" i="22" s="1"/>
  <c r="Q32" i="22" s="1"/>
  <c r="Q8" i="23" s="1"/>
  <c r="Q23" i="23" s="1"/>
  <c r="Q32" i="23" s="1"/>
  <c r="Q8" i="24" s="1"/>
  <c r="Q23" i="24" s="1"/>
  <c r="Q32" i="24" s="1"/>
  <c r="Q8" i="25" s="1"/>
  <c r="Q23" i="25" s="1"/>
  <c r="Q32" i="25" s="1"/>
  <c r="Q8" i="26" s="1"/>
  <c r="Q23" i="26" s="1"/>
  <c r="Q32" i="26" s="1"/>
  <c r="Q8" i="27" s="1"/>
  <c r="Q23" i="27" s="1"/>
  <c r="Q32" i="27" s="1"/>
  <c r="Q8" i="28" s="1"/>
  <c r="Q23" i="28" s="1"/>
  <c r="Q32" i="28" s="1"/>
  <c r="Q8" i="29" s="1"/>
  <c r="Q23" i="29" s="1"/>
  <c r="Q32" i="29" s="1"/>
  <c r="Q8" i="30" s="1"/>
  <c r="Q23" i="30" s="1"/>
  <c r="Q32" i="30" s="1"/>
  <c r="Q8" i="31" s="1"/>
  <c r="Q23" i="31" s="1"/>
  <c r="Q32" i="31" s="1"/>
  <c r="Q8" i="32" s="1"/>
  <c r="Q23" i="32" s="1"/>
  <c r="Q32" i="32" s="1"/>
  <c r="BF69" i="32" s="1"/>
  <c r="A36" i="37"/>
  <c r="A36" i="11" s="1"/>
  <c r="A36" i="12" s="1"/>
  <c r="A36" i="13" s="1"/>
  <c r="A36" i="14" s="1"/>
  <c r="A36" i="15" s="1"/>
  <c r="A36" i="16" s="1"/>
  <c r="A36" i="17" s="1"/>
  <c r="A36" i="18" s="1"/>
  <c r="A36" i="19" s="1"/>
  <c r="A36" i="20" s="1"/>
  <c r="A36" i="21" s="1"/>
  <c r="A36" i="22" s="1"/>
  <c r="A36" i="23" s="1"/>
  <c r="A36" i="24" s="1"/>
  <c r="AJ25" i="2"/>
  <c r="AD707" i="33"/>
  <c r="L26" i="2" s="1"/>
  <c r="I26" i="2"/>
  <c r="AF22" i="3"/>
  <c r="AF22" i="4" s="1"/>
  <c r="AF22" i="5" s="1"/>
  <c r="AF22" i="6" s="1"/>
  <c r="AF22" i="7" s="1"/>
  <c r="AF22" i="8" s="1"/>
  <c r="AF22" i="9" s="1"/>
  <c r="AF22" i="37" s="1"/>
  <c r="AF22" i="11" s="1"/>
  <c r="AF22" i="12" s="1"/>
  <c r="AF22" i="13" s="1"/>
  <c r="AF22" i="14" s="1"/>
  <c r="AF22" i="15" s="1"/>
  <c r="AF22" i="16" s="1"/>
  <c r="AF22" i="17" s="1"/>
  <c r="AF22" i="18" s="1"/>
  <c r="AF22" i="19" s="1"/>
  <c r="AF26" i="3"/>
  <c r="AF26" i="4" s="1"/>
  <c r="AF26" i="5" s="1"/>
  <c r="AF26" i="6" s="1"/>
  <c r="AF26" i="7" s="1"/>
  <c r="AF26" i="8" s="1"/>
  <c r="AF26" i="9" s="1"/>
  <c r="AF26" i="37" s="1"/>
  <c r="AF26" i="11" s="1"/>
  <c r="AF26" i="12" s="1"/>
  <c r="AF26" i="13" s="1"/>
  <c r="AF26" i="14" s="1"/>
  <c r="AF26" i="15" s="1"/>
  <c r="AF26" i="16" s="1"/>
  <c r="AF26" i="17" s="1"/>
  <c r="AF26" i="18" s="1"/>
  <c r="AF26" i="19" s="1"/>
  <c r="AF26" i="20" s="1"/>
  <c r="AF26" i="21" s="1"/>
  <c r="AF26" i="22" s="1"/>
  <c r="AF26" i="23" s="1"/>
  <c r="AF26" i="24" s="1"/>
  <c r="AF26" i="25" s="1"/>
  <c r="AF26" i="26" s="1"/>
  <c r="AF26" i="27" s="1"/>
  <c r="AF26" i="28" s="1"/>
  <c r="AF26" i="29" s="1"/>
  <c r="AF26" i="30" s="1"/>
  <c r="AF26" i="31" s="1"/>
  <c r="AF26" i="32" s="1"/>
  <c r="AF30" i="5"/>
  <c r="AF30" i="6" s="1"/>
  <c r="AF30" i="7" s="1"/>
  <c r="AF30" i="8" s="1"/>
  <c r="AF30" i="9" s="1"/>
  <c r="AF30" i="37" s="1"/>
  <c r="AF30" i="11" s="1"/>
  <c r="AF30" i="12" s="1"/>
  <c r="AF30" i="13" s="1"/>
  <c r="AF30" i="3"/>
  <c r="AF30" i="4" s="1"/>
  <c r="AF36" i="5"/>
  <c r="AF36" i="6" s="1"/>
  <c r="AF36" i="7" s="1"/>
  <c r="AF36" i="8" s="1"/>
  <c r="AF36" i="9" s="1"/>
  <c r="AF36" i="37" s="1"/>
  <c r="AF36" i="11" s="1"/>
  <c r="AF36" i="12" s="1"/>
  <c r="AF36" i="13" s="1"/>
  <c r="AF36" i="3"/>
  <c r="AF36" i="4" s="1"/>
  <c r="AF40" i="5"/>
  <c r="AF40" i="6" s="1"/>
  <c r="AF40" i="7" s="1"/>
  <c r="AF40" i="8" s="1"/>
  <c r="AF40" i="9" s="1"/>
  <c r="AF40" i="37" s="1"/>
  <c r="AF40" i="11" s="1"/>
  <c r="AF40" i="12" s="1"/>
  <c r="AF40" i="13" s="1"/>
  <c r="AF40" i="3"/>
  <c r="AF40" i="4" s="1"/>
  <c r="AG38" i="5"/>
  <c r="AG38" i="6" s="1"/>
  <c r="AG38" i="7" s="1"/>
  <c r="AG38" i="8" s="1"/>
  <c r="AG38" i="9" s="1"/>
  <c r="AG38" i="37" s="1"/>
  <c r="AG38" i="11" s="1"/>
  <c r="AG38" i="12" s="1"/>
  <c r="AG38" i="13" s="1"/>
  <c r="AG38" i="3"/>
  <c r="AG38" i="4" s="1"/>
  <c r="AG32" i="3"/>
  <c r="AG32" i="4" s="1"/>
  <c r="AG32" i="5" s="1"/>
  <c r="AG32" i="6" s="1"/>
  <c r="AG32" i="7" s="1"/>
  <c r="AG32" i="8" s="1"/>
  <c r="AG32" i="9" s="1"/>
  <c r="AG32" i="37" s="1"/>
  <c r="AG32" i="11" s="1"/>
  <c r="AG32" i="12" s="1"/>
  <c r="AG32" i="13" s="1"/>
  <c r="AG32" i="14" s="1"/>
  <c r="AG32" i="15" s="1"/>
  <c r="AG32" i="16" s="1"/>
  <c r="AG32" i="17" s="1"/>
  <c r="AG32" i="18" s="1"/>
  <c r="AG32" i="19" s="1"/>
  <c r="AG32" i="20" s="1"/>
  <c r="AG32" i="21" s="1"/>
  <c r="AG32" i="22" s="1"/>
  <c r="AG32" i="23" s="1"/>
  <c r="AG32" i="24" s="1"/>
  <c r="AG32" i="25" s="1"/>
  <c r="AG32" i="26" s="1"/>
  <c r="AG32" i="27" s="1"/>
  <c r="AG32" i="28" s="1"/>
  <c r="AG32" i="29" s="1"/>
  <c r="AG32" i="30" s="1"/>
  <c r="AG32" i="31" s="1"/>
  <c r="AG32" i="32" s="1"/>
  <c r="AG27" i="3"/>
  <c r="AG27" i="4" s="1"/>
  <c r="AG27" i="5" s="1"/>
  <c r="AG27" i="6" s="1"/>
  <c r="AG27" i="7" s="1"/>
  <c r="AG27" i="8" s="1"/>
  <c r="AG27" i="9" s="1"/>
  <c r="AG27" i="37" s="1"/>
  <c r="AG27" i="11" s="1"/>
  <c r="AG27" i="12" s="1"/>
  <c r="AG27" i="13" s="1"/>
  <c r="AG27" i="14" s="1"/>
  <c r="AG27" i="15" s="1"/>
  <c r="AG27" i="16" s="1"/>
  <c r="AG27" i="17" s="1"/>
  <c r="AG27" i="18" s="1"/>
  <c r="AG27" i="19" s="1"/>
  <c r="AG27" i="20" s="1"/>
  <c r="AG27" i="21" s="1"/>
  <c r="AG27" i="22" s="1"/>
  <c r="AG27" i="23" s="1"/>
  <c r="AG27" i="24" s="1"/>
  <c r="AG27" i="25" s="1"/>
  <c r="AG27" i="26" s="1"/>
  <c r="AG27" i="27" s="1"/>
  <c r="AG27" i="28" s="1"/>
  <c r="AG27" i="29" s="1"/>
  <c r="AG27" i="30" s="1"/>
  <c r="AG27" i="31" s="1"/>
  <c r="AG27" i="32" s="1"/>
  <c r="AG22" i="3"/>
  <c r="AG22" i="4" s="1"/>
  <c r="AG22" i="5" s="1"/>
  <c r="AG22" i="6" s="1"/>
  <c r="AG22" i="7" s="1"/>
  <c r="AG22" i="8" s="1"/>
  <c r="AG22" i="9" s="1"/>
  <c r="AG22" i="37" s="1"/>
  <c r="AG22" i="11" s="1"/>
  <c r="AG22" i="12" s="1"/>
  <c r="AG41" i="5"/>
  <c r="AG41" i="6" s="1"/>
  <c r="AG41" i="7" s="1"/>
  <c r="AG41" i="8" s="1"/>
  <c r="AG41" i="9" s="1"/>
  <c r="AG41" i="37" s="1"/>
  <c r="AG41" i="11" s="1"/>
  <c r="AG41" i="12" s="1"/>
  <c r="AG41" i="13" s="1"/>
  <c r="AG41" i="3"/>
  <c r="AG41" i="4" s="1"/>
  <c r="AG25" i="3"/>
  <c r="AG25" i="4" s="1"/>
  <c r="AG25" i="5" s="1"/>
  <c r="AG25" i="6" s="1"/>
  <c r="AG25" i="7" s="1"/>
  <c r="AG25" i="8" s="1"/>
  <c r="AG25" i="9" s="1"/>
  <c r="AG25" i="37" s="1"/>
  <c r="AG25" i="11" s="1"/>
  <c r="AG25" i="12" s="1"/>
  <c r="AG25" i="13" s="1"/>
  <c r="AG25" i="14" s="1"/>
  <c r="AG25" i="15" s="1"/>
  <c r="AF19" i="7"/>
  <c r="AF19" i="8" s="1"/>
  <c r="AF19" i="9" s="1"/>
  <c r="AF19" i="37" s="1"/>
  <c r="AF19" i="11" s="1"/>
  <c r="AF19" i="12" s="1"/>
  <c r="AF19" i="13" s="1"/>
  <c r="AF19" i="14" s="1"/>
  <c r="AF19" i="15" s="1"/>
  <c r="AF19" i="16" s="1"/>
  <c r="AF19" i="17" s="1"/>
  <c r="AF19" i="18" s="1"/>
  <c r="AF19" i="19" s="1"/>
  <c r="AF19" i="20" s="1"/>
  <c r="AF19" i="21" s="1"/>
  <c r="AF19" i="22" s="1"/>
  <c r="AF19" i="23" s="1"/>
  <c r="AF19" i="24" s="1"/>
  <c r="AF19" i="3"/>
  <c r="AF19" i="4" s="1"/>
  <c r="AF19" i="5" s="1"/>
  <c r="AF19" i="6" s="1"/>
  <c r="AF23" i="3"/>
  <c r="AF23" i="4" s="1"/>
  <c r="AF23" i="5" s="1"/>
  <c r="AF23" i="6" s="1"/>
  <c r="AF23" i="7" s="1"/>
  <c r="AF23" i="8" s="1"/>
  <c r="AF23" i="9" s="1"/>
  <c r="AF23" i="37" s="1"/>
  <c r="AF23" i="11" s="1"/>
  <c r="AF23" i="12" s="1"/>
  <c r="AF23" i="13" s="1"/>
  <c r="AF23" i="14" s="1"/>
  <c r="AF23" i="15" s="1"/>
  <c r="AF23" i="16" s="1"/>
  <c r="AF23" i="17" s="1"/>
  <c r="AF23" i="18" s="1"/>
  <c r="AF23" i="19" s="1"/>
  <c r="AF27" i="3"/>
  <c r="AF27" i="4" s="1"/>
  <c r="AF27" i="5" s="1"/>
  <c r="AF27" i="6" s="1"/>
  <c r="AF27" i="7" s="1"/>
  <c r="AF27" i="8" s="1"/>
  <c r="AF27" i="9" s="1"/>
  <c r="AF27" i="37" s="1"/>
  <c r="AF27" i="11" s="1"/>
  <c r="AF27" i="12" s="1"/>
  <c r="AF27" i="13" s="1"/>
  <c r="AF27" i="14" s="1"/>
  <c r="AF27" i="15" s="1"/>
  <c r="AF27" i="16" s="1"/>
  <c r="AF27" i="17" s="1"/>
  <c r="AF27" i="18" s="1"/>
  <c r="AF27" i="19" s="1"/>
  <c r="AF27" i="20" s="1"/>
  <c r="AF27" i="21" s="1"/>
  <c r="AF27" i="22" s="1"/>
  <c r="AF27" i="23" s="1"/>
  <c r="AF27" i="24" s="1"/>
  <c r="AF27" i="25" s="1"/>
  <c r="AF27" i="26" s="1"/>
  <c r="AF27" i="27" s="1"/>
  <c r="AF27" i="28" s="1"/>
  <c r="AF27" i="29" s="1"/>
  <c r="AF27" i="30" s="1"/>
  <c r="AF27" i="31" s="1"/>
  <c r="AF27" i="32" s="1"/>
  <c r="AF31" i="5"/>
  <c r="AF31" i="6" s="1"/>
  <c r="AF31" i="7" s="1"/>
  <c r="AF31" i="8" s="1"/>
  <c r="AF31" i="9" s="1"/>
  <c r="AF31" i="37" s="1"/>
  <c r="AF31" i="11" s="1"/>
  <c r="AF31" i="12" s="1"/>
  <c r="AF31" i="13" s="1"/>
  <c r="AF31" i="3"/>
  <c r="AF31" i="4" s="1"/>
  <c r="AF37" i="5"/>
  <c r="AF37" i="6" s="1"/>
  <c r="AF37" i="7" s="1"/>
  <c r="AF37" i="8" s="1"/>
  <c r="AF37" i="9" s="1"/>
  <c r="AF37" i="37" s="1"/>
  <c r="AF37" i="11" s="1"/>
  <c r="AF37" i="12" s="1"/>
  <c r="AF37" i="13" s="1"/>
  <c r="AF37" i="3"/>
  <c r="AF37" i="4" s="1"/>
  <c r="AF41" i="5"/>
  <c r="AF41" i="6" s="1"/>
  <c r="AF41" i="7" s="1"/>
  <c r="AF41" i="8" s="1"/>
  <c r="AF41" i="9" s="1"/>
  <c r="AF41" i="37" s="1"/>
  <c r="AF41" i="11" s="1"/>
  <c r="AF41" i="12" s="1"/>
  <c r="AF41" i="13" s="1"/>
  <c r="AF41" i="3"/>
  <c r="AF41" i="4" s="1"/>
  <c r="AG42" i="5"/>
  <c r="AG42" i="6" s="1"/>
  <c r="AG42" i="7" s="1"/>
  <c r="AG42" i="8" s="1"/>
  <c r="AG42" i="9" s="1"/>
  <c r="AG42" i="37" s="1"/>
  <c r="AG42" i="11" s="1"/>
  <c r="AG42" i="12" s="1"/>
  <c r="AG42" i="13" s="1"/>
  <c r="AG42" i="3"/>
  <c r="AG42" i="4" s="1"/>
  <c r="AG36" i="5"/>
  <c r="AG36" i="6" s="1"/>
  <c r="AG36" i="7" s="1"/>
  <c r="AG36" i="8" s="1"/>
  <c r="AG36" i="9" s="1"/>
  <c r="AG36" i="37" s="1"/>
  <c r="AG36" i="11" s="1"/>
  <c r="AG36" i="12" s="1"/>
  <c r="AG36" i="13" s="1"/>
  <c r="AG36" i="3"/>
  <c r="AG36" i="4" s="1"/>
  <c r="AG31" i="5"/>
  <c r="AG31" i="6" s="1"/>
  <c r="AG31" i="7" s="1"/>
  <c r="AG31" i="3"/>
  <c r="AG31" i="4" s="1"/>
  <c r="AG26" i="3"/>
  <c r="AG26" i="4" s="1"/>
  <c r="AG26" i="5" s="1"/>
  <c r="AG26" i="6" s="1"/>
  <c r="AG26" i="7" s="1"/>
  <c r="AG26" i="8" s="1"/>
  <c r="AG26" i="9" s="1"/>
  <c r="AG26" i="37" s="1"/>
  <c r="AG26" i="11" s="1"/>
  <c r="AG26" i="12" s="1"/>
  <c r="AG26" i="13" s="1"/>
  <c r="AG26" i="14" s="1"/>
  <c r="AG26" i="15" s="1"/>
  <c r="AG26" i="16" s="1"/>
  <c r="AG26" i="17" s="1"/>
  <c r="AG26" i="18" s="1"/>
  <c r="AG26" i="19" s="1"/>
  <c r="AG26" i="20" s="1"/>
  <c r="AG26" i="21" s="1"/>
  <c r="AG26" i="22" s="1"/>
  <c r="AG26" i="23" s="1"/>
  <c r="AG26" i="24" s="1"/>
  <c r="AG26" i="25" s="1"/>
  <c r="AG26" i="26" s="1"/>
  <c r="AG26" i="27" s="1"/>
  <c r="AG26" i="28" s="1"/>
  <c r="AG26" i="29" s="1"/>
  <c r="AG26" i="30" s="1"/>
  <c r="AG26" i="31" s="1"/>
  <c r="AG26" i="32" s="1"/>
  <c r="AG20" i="3"/>
  <c r="AG20" i="4" s="1"/>
  <c r="AG20" i="5" s="1"/>
  <c r="AG20" i="6" s="1"/>
  <c r="AG20" i="7" s="1"/>
  <c r="AG20" i="8" s="1"/>
  <c r="AG20" i="9" s="1"/>
  <c r="AG20" i="37" s="1"/>
  <c r="AG20" i="11" s="1"/>
  <c r="AG20" i="12" s="1"/>
  <c r="AG20" i="13" s="1"/>
  <c r="AG20" i="14" s="1"/>
  <c r="AG20" i="15" s="1"/>
  <c r="AG20" i="16" s="1"/>
  <c r="AG20" i="17" s="1"/>
  <c r="AG37" i="5"/>
  <c r="AG37" i="6" s="1"/>
  <c r="AG37" i="7" s="1"/>
  <c r="AG37" i="8" s="1"/>
  <c r="AG37" i="9" s="1"/>
  <c r="AG37" i="37" s="1"/>
  <c r="AG37" i="11" s="1"/>
  <c r="AG37" i="12" s="1"/>
  <c r="AG37" i="13" s="1"/>
  <c r="AG37" i="3"/>
  <c r="AG37" i="4" s="1"/>
  <c r="AG21" i="3"/>
  <c r="AG21" i="4" s="1"/>
  <c r="AG21" i="5" s="1"/>
  <c r="AG21" i="6" s="1"/>
  <c r="AG21" i="7" s="1"/>
  <c r="AG21" i="8" s="1"/>
  <c r="AG21" i="9" s="1"/>
  <c r="AG21" i="37" s="1"/>
  <c r="AG21" i="11" s="1"/>
  <c r="AG21" i="12" s="1"/>
  <c r="AG21" i="13" s="1"/>
  <c r="AG21" i="14" s="1"/>
  <c r="AG21" i="15" s="1"/>
  <c r="AG21" i="16" s="1"/>
  <c r="AG21" i="17" s="1"/>
  <c r="AG21" i="18" s="1"/>
  <c r="AF20" i="3"/>
  <c r="AF20" i="4" s="1"/>
  <c r="AF20" i="5" s="1"/>
  <c r="AF20" i="6" s="1"/>
  <c r="AF20" i="7" s="1"/>
  <c r="AF20" i="8" s="1"/>
  <c r="AF20" i="9" s="1"/>
  <c r="AF20" i="37" s="1"/>
  <c r="AF24" i="6"/>
  <c r="AF24" i="7" s="1"/>
  <c r="AF24" i="8" s="1"/>
  <c r="AF24" i="9" s="1"/>
  <c r="AF24" i="37" s="1"/>
  <c r="AF24" i="11" s="1"/>
  <c r="AF24" i="12" s="1"/>
  <c r="AF24" i="13" s="1"/>
  <c r="AF24" i="14" s="1"/>
  <c r="AF24" i="15" s="1"/>
  <c r="AF24" i="3"/>
  <c r="AF24" i="4" s="1"/>
  <c r="AF24" i="5" s="1"/>
  <c r="AF28" i="3"/>
  <c r="AF28" i="4" s="1"/>
  <c r="AF28" i="5" s="1"/>
  <c r="AF28" i="6" s="1"/>
  <c r="AF28" i="7" s="1"/>
  <c r="AF28" i="8" s="1"/>
  <c r="AF28" i="9" s="1"/>
  <c r="AF28" i="37" s="1"/>
  <c r="AF28" i="11" s="1"/>
  <c r="AF28" i="12" s="1"/>
  <c r="AF28" i="13" s="1"/>
  <c r="AF28" i="14" s="1"/>
  <c r="AF28" i="15" s="1"/>
  <c r="AF28" i="16" s="1"/>
  <c r="AF28" i="17" s="1"/>
  <c r="AF28" i="18" s="1"/>
  <c r="AF28" i="19" s="1"/>
  <c r="AF28" i="20" s="1"/>
  <c r="AF28" i="21" s="1"/>
  <c r="AF28" i="22" s="1"/>
  <c r="AF28" i="23" s="1"/>
  <c r="AF28" i="24" s="1"/>
  <c r="AF28" i="25" s="1"/>
  <c r="AF28" i="26" s="1"/>
  <c r="AF28" i="27" s="1"/>
  <c r="AF28" i="28" s="1"/>
  <c r="AF28" i="29" s="1"/>
  <c r="AF28" i="30" s="1"/>
  <c r="AF28" i="31" s="1"/>
  <c r="AF28" i="32" s="1"/>
  <c r="AF34" i="5"/>
  <c r="AF34" i="6" s="1"/>
  <c r="AF34" i="7" s="1"/>
  <c r="AF34" i="8" s="1"/>
  <c r="AF34" i="9" s="1"/>
  <c r="AF34" i="37" s="1"/>
  <c r="AF34" i="11" s="1"/>
  <c r="AF34" i="12" s="1"/>
  <c r="AF34" i="13" s="1"/>
  <c r="AF34" i="3"/>
  <c r="AF34" i="4" s="1"/>
  <c r="AF38" i="5"/>
  <c r="AF38" i="6" s="1"/>
  <c r="AF38" i="7" s="1"/>
  <c r="AF38" i="8" s="1"/>
  <c r="AF38" i="9" s="1"/>
  <c r="AF38" i="37" s="1"/>
  <c r="AF38" i="11" s="1"/>
  <c r="AF38" i="12" s="1"/>
  <c r="AF38" i="13" s="1"/>
  <c r="AF38" i="3"/>
  <c r="AF38" i="4" s="1"/>
  <c r="AG40" i="5"/>
  <c r="AG40" i="6" s="1"/>
  <c r="AG40" i="7" s="1"/>
  <c r="AG40" i="8" s="1"/>
  <c r="AG40" i="9" s="1"/>
  <c r="AG40" i="37" s="1"/>
  <c r="AG40" i="11" s="1"/>
  <c r="AG40" i="12" s="1"/>
  <c r="AG40" i="13" s="1"/>
  <c r="AG40" i="3"/>
  <c r="AG40" i="4" s="1"/>
  <c r="AG35" i="5"/>
  <c r="AG35" i="6" s="1"/>
  <c r="AG35" i="7" s="1"/>
  <c r="AG35" i="8" s="1"/>
  <c r="AG35" i="9" s="1"/>
  <c r="AG35" i="37" s="1"/>
  <c r="AG35" i="11" s="1"/>
  <c r="AG35" i="12" s="1"/>
  <c r="AG35" i="13" s="1"/>
  <c r="AG35" i="3"/>
  <c r="AG35" i="4" s="1"/>
  <c r="AG30" i="3"/>
  <c r="AG30" i="4" s="1"/>
  <c r="AG30" i="5" s="1"/>
  <c r="AG30" i="6" s="1"/>
  <c r="AG30" i="7" s="1"/>
  <c r="AG30" i="8" s="1"/>
  <c r="AG30" i="9" s="1"/>
  <c r="AG30" i="37" s="1"/>
  <c r="AG30" i="11" s="1"/>
  <c r="AG30" i="12" s="1"/>
  <c r="AG30" i="13" s="1"/>
  <c r="AG30" i="14" s="1"/>
  <c r="AG30" i="15" s="1"/>
  <c r="AG30" i="16" s="1"/>
  <c r="AG30" i="17" s="1"/>
  <c r="AG30" i="18" s="1"/>
  <c r="AG30" i="19" s="1"/>
  <c r="AG30" i="20" s="1"/>
  <c r="AG30" i="21" s="1"/>
  <c r="AG30" i="22" s="1"/>
  <c r="AG30" i="23" s="1"/>
  <c r="AG30" i="24" s="1"/>
  <c r="AG30" i="25" s="1"/>
  <c r="AG30" i="26" s="1"/>
  <c r="AG30" i="27" s="1"/>
  <c r="AG30" i="28" s="1"/>
  <c r="AG30" i="29" s="1"/>
  <c r="AG30" i="30" s="1"/>
  <c r="AG30" i="31" s="1"/>
  <c r="AG30" i="32" s="1"/>
  <c r="AG24" i="3"/>
  <c r="AG24" i="4" s="1"/>
  <c r="AG24" i="5" s="1"/>
  <c r="AG24" i="6" s="1"/>
  <c r="AG24" i="7" s="1"/>
  <c r="AG24" i="8" s="1"/>
  <c r="AG24" i="9" s="1"/>
  <c r="AG24" i="37" s="1"/>
  <c r="AG24" i="11" s="1"/>
  <c r="AG24" i="12" s="1"/>
  <c r="AG24" i="13" s="1"/>
  <c r="AG24" i="14" s="1"/>
  <c r="AG24" i="15" s="1"/>
  <c r="AG19" i="3"/>
  <c r="AG19" i="4" s="1"/>
  <c r="AG19" i="5" s="1"/>
  <c r="AG19" i="6" s="1"/>
  <c r="AG19" i="7" s="1"/>
  <c r="AG19" i="8" s="1"/>
  <c r="AG19" i="9" s="1"/>
  <c r="AG19" i="37" s="1"/>
  <c r="AG19" i="11" s="1"/>
  <c r="AG19" i="12" s="1"/>
  <c r="AG19" i="13" s="1"/>
  <c r="AG19" i="14" s="1"/>
  <c r="AG19" i="15" s="1"/>
  <c r="AG19" i="16" s="1"/>
  <c r="AG19" i="17" s="1"/>
  <c r="AG19" i="18" s="1"/>
  <c r="AG19" i="19" s="1"/>
  <c r="AG19" i="20" s="1"/>
  <c r="AG19" i="21" s="1"/>
  <c r="AG19" i="22" s="1"/>
  <c r="AG19" i="23" s="1"/>
  <c r="AG19" i="24" s="1"/>
  <c r="AG19" i="25" s="1"/>
  <c r="AG33" i="5"/>
  <c r="AG33" i="6" s="1"/>
  <c r="AG33" i="7" s="1"/>
  <c r="AG33" i="8" s="1"/>
  <c r="AG33" i="9" s="1"/>
  <c r="AG33" i="37" s="1"/>
  <c r="AG33" i="11" s="1"/>
  <c r="AG33" i="12" s="1"/>
  <c r="AG33" i="13" s="1"/>
  <c r="AG33" i="3"/>
  <c r="AG33" i="4" s="1"/>
  <c r="AF21" i="3"/>
  <c r="AF21" i="4" s="1"/>
  <c r="AF21" i="5" s="1"/>
  <c r="AF21" i="6" s="1"/>
  <c r="AF21" i="7" s="1"/>
  <c r="AF21" i="8" s="1"/>
  <c r="AF21" i="9" s="1"/>
  <c r="AF21" i="37" s="1"/>
  <c r="AF21" i="11" s="1"/>
  <c r="AF21" i="12" s="1"/>
  <c r="AF21" i="13" s="1"/>
  <c r="AF21" i="14" s="1"/>
  <c r="AF21" i="15" s="1"/>
  <c r="AF21" i="16" s="1"/>
  <c r="AF21" i="17" s="1"/>
  <c r="AF21" i="18" s="1"/>
  <c r="AF25" i="3"/>
  <c r="AF25" i="4" s="1"/>
  <c r="AF25" i="5" s="1"/>
  <c r="AF25" i="6" s="1"/>
  <c r="AF25" i="7" s="1"/>
  <c r="AF25" i="8" s="1"/>
  <c r="AF25" i="9" s="1"/>
  <c r="AF25" i="37" s="1"/>
  <c r="AF25" i="11" s="1"/>
  <c r="AF25" i="12" s="1"/>
  <c r="AF25" i="13" s="1"/>
  <c r="AF25" i="14" s="1"/>
  <c r="AF25" i="15" s="1"/>
  <c r="AF29" i="3"/>
  <c r="AF29" i="4" s="1"/>
  <c r="AF29" i="5" s="1"/>
  <c r="AF29" i="6" s="1"/>
  <c r="AF29" i="7" s="1"/>
  <c r="AF29" i="8" s="1"/>
  <c r="AF29" i="9" s="1"/>
  <c r="AF29" i="37" s="1"/>
  <c r="AF29" i="11" s="1"/>
  <c r="AF29" i="12" s="1"/>
  <c r="AF29" i="13" s="1"/>
  <c r="AF29" i="14" s="1"/>
  <c r="AF29" i="15" s="1"/>
  <c r="AF29" i="16" s="1"/>
  <c r="AF29" i="17" s="1"/>
  <c r="AF29" i="18" s="1"/>
  <c r="AF29" i="19" s="1"/>
  <c r="AF29" i="20" s="1"/>
  <c r="AF29" i="21" s="1"/>
  <c r="AF29" i="22" s="1"/>
  <c r="AF29" i="23" s="1"/>
  <c r="AF29" i="24" s="1"/>
  <c r="AF29" i="25" s="1"/>
  <c r="AF29" i="26" s="1"/>
  <c r="AF29" i="27" s="1"/>
  <c r="AF29" i="28" s="1"/>
  <c r="AF29" i="29" s="1"/>
  <c r="AF29" i="30" s="1"/>
  <c r="AF29" i="31" s="1"/>
  <c r="AF29" i="32" s="1"/>
  <c r="AF35" i="5"/>
  <c r="AF35" i="6" s="1"/>
  <c r="AF35" i="7" s="1"/>
  <c r="AF35" i="8" s="1"/>
  <c r="AF35" i="9" s="1"/>
  <c r="AF35" i="37" s="1"/>
  <c r="AF35" i="11" s="1"/>
  <c r="AF35" i="12" s="1"/>
  <c r="AF35" i="13" s="1"/>
  <c r="AF35" i="3"/>
  <c r="AF35" i="4" s="1"/>
  <c r="AF39" i="5"/>
  <c r="AF39" i="6" s="1"/>
  <c r="AF39" i="7" s="1"/>
  <c r="AF39" i="8" s="1"/>
  <c r="AF39" i="9" s="1"/>
  <c r="AF39" i="37" s="1"/>
  <c r="AF39" i="11" s="1"/>
  <c r="AF39" i="12" s="1"/>
  <c r="AF39" i="13" s="1"/>
  <c r="AF39" i="3"/>
  <c r="AF39" i="4" s="1"/>
  <c r="AG39" i="5"/>
  <c r="AG39" i="6" s="1"/>
  <c r="AG39" i="7" s="1"/>
  <c r="AG39" i="8" s="1"/>
  <c r="AG39" i="9" s="1"/>
  <c r="AG39" i="37" s="1"/>
  <c r="AG39" i="11" s="1"/>
  <c r="AG39" i="12" s="1"/>
  <c r="AG39" i="13" s="1"/>
  <c r="AG39" i="3"/>
  <c r="AG39" i="4" s="1"/>
  <c r="AG34" i="5"/>
  <c r="AG34" i="6" s="1"/>
  <c r="AG34" i="7" s="1"/>
  <c r="AG34" i="8" s="1"/>
  <c r="AG34" i="9" s="1"/>
  <c r="AG34" i="37" s="1"/>
  <c r="AG34" i="11" s="1"/>
  <c r="AG34" i="12" s="1"/>
  <c r="AG34" i="13" s="1"/>
  <c r="AG34" i="3"/>
  <c r="AG34" i="4" s="1"/>
  <c r="AG28" i="3"/>
  <c r="AG28" i="4" s="1"/>
  <c r="AG28" i="5" s="1"/>
  <c r="AG28" i="6" s="1"/>
  <c r="AG28" i="7" s="1"/>
  <c r="AG28" i="8" s="1"/>
  <c r="AG28" i="9" s="1"/>
  <c r="AG28" i="37" s="1"/>
  <c r="AG28" i="11" s="1"/>
  <c r="AG28" i="12" s="1"/>
  <c r="AG28" i="13" s="1"/>
  <c r="AG28" i="14" s="1"/>
  <c r="AG28" i="15" s="1"/>
  <c r="AG28" i="16" s="1"/>
  <c r="AG28" i="17" s="1"/>
  <c r="AG28" i="18" s="1"/>
  <c r="AG28" i="19" s="1"/>
  <c r="AG28" i="20" s="1"/>
  <c r="AG28" i="21" s="1"/>
  <c r="AG28" i="22" s="1"/>
  <c r="AG28" i="23" s="1"/>
  <c r="AG28" i="24" s="1"/>
  <c r="AG28" i="25" s="1"/>
  <c r="AG28" i="26" s="1"/>
  <c r="AG28" i="27" s="1"/>
  <c r="AG28" i="28" s="1"/>
  <c r="AG28" i="29" s="1"/>
  <c r="AG28" i="30" s="1"/>
  <c r="AG28" i="31" s="1"/>
  <c r="AG28" i="32" s="1"/>
  <c r="AG23" i="5"/>
  <c r="AG23" i="6" s="1"/>
  <c r="AG23" i="7" s="1"/>
  <c r="AG23" i="8" s="1"/>
  <c r="AG23" i="9" s="1"/>
  <c r="AG23" i="37" s="1"/>
  <c r="AG23" i="11" s="1"/>
  <c r="AG23" i="12" s="1"/>
  <c r="AG23" i="3"/>
  <c r="AG23" i="4" s="1"/>
  <c r="AG10" i="3"/>
  <c r="AG10" i="4" s="1"/>
  <c r="AG10" i="5" s="1"/>
  <c r="AG10" i="6" s="1"/>
  <c r="AG10" i="7" s="1"/>
  <c r="AG10" i="8" s="1"/>
  <c r="AG10" i="9" s="1"/>
  <c r="AG10" i="37" s="1"/>
  <c r="AG10" i="11" s="1"/>
  <c r="AG10" i="12" s="1"/>
  <c r="AG10" i="13" s="1"/>
  <c r="AG10" i="14" s="1"/>
  <c r="AG10" i="15" s="1"/>
  <c r="AG10" i="16" s="1"/>
  <c r="AG10" i="17" s="1"/>
  <c r="AG29" i="3"/>
  <c r="AG29" i="4" s="1"/>
  <c r="AG29" i="5" s="1"/>
  <c r="AG29" i="6" s="1"/>
  <c r="AG29" i="7" s="1"/>
  <c r="AG29" i="8" s="1"/>
  <c r="AG29" i="9" s="1"/>
  <c r="AG29" i="37" s="1"/>
  <c r="AG29" i="11" s="1"/>
  <c r="AG29" i="12" s="1"/>
  <c r="AG29" i="13" s="1"/>
  <c r="AG29" i="14" s="1"/>
  <c r="AG29" i="15" s="1"/>
  <c r="AG29" i="16" s="1"/>
  <c r="AG29" i="17" s="1"/>
  <c r="AG29" i="18" s="1"/>
  <c r="AG29" i="19" s="1"/>
  <c r="AG29" i="20" s="1"/>
  <c r="AG29" i="21" s="1"/>
  <c r="AG29" i="22" s="1"/>
  <c r="AG29" i="23" s="1"/>
  <c r="AG29" i="24" s="1"/>
  <c r="AG29" i="25" s="1"/>
  <c r="AG29" i="26" s="1"/>
  <c r="AG29" i="27" s="1"/>
  <c r="AG29" i="28" s="1"/>
  <c r="AG29" i="29" s="1"/>
  <c r="AG29" i="30" s="1"/>
  <c r="AG29" i="31" s="1"/>
  <c r="AG29" i="32" s="1"/>
  <c r="T39" i="19"/>
  <c r="V39" i="19" s="1"/>
  <c r="X39" i="19" s="1"/>
  <c r="T39" i="20" s="1"/>
  <c r="V39" i="20" s="1"/>
  <c r="X39" i="20" s="1"/>
  <c r="T39" i="21" s="1"/>
  <c r="V39" i="21" s="1"/>
  <c r="X39" i="21" s="1"/>
  <c r="T39" i="22" s="1"/>
  <c r="V39" i="22" s="1"/>
  <c r="X39" i="22" s="1"/>
  <c r="T39" i="23" s="1"/>
  <c r="V39" i="23" s="1"/>
  <c r="X39" i="23" s="1"/>
  <c r="T39" i="24" s="1"/>
  <c r="V39" i="24" s="1"/>
  <c r="X39" i="24" s="1"/>
  <c r="T39" i="25" s="1"/>
  <c r="V39" i="25" s="1"/>
  <c r="X39" i="25" s="1"/>
  <c r="T39" i="26" s="1"/>
  <c r="V39" i="26" s="1"/>
  <c r="X39" i="26" s="1"/>
  <c r="T39" i="27" s="1"/>
  <c r="V39" i="27" s="1"/>
  <c r="X39" i="27" s="1"/>
  <c r="T39" i="28" s="1"/>
  <c r="V39" i="28" s="1"/>
  <c r="X39" i="28" s="1"/>
  <c r="T39" i="29" s="1"/>
  <c r="V39" i="29" s="1"/>
  <c r="X39" i="29" s="1"/>
  <c r="T39" i="30" s="1"/>
  <c r="V39" i="30" s="1"/>
  <c r="X39" i="30" s="1"/>
  <c r="T39" i="31" s="1"/>
  <c r="V39" i="31" s="1"/>
  <c r="X39" i="31" s="1"/>
  <c r="T39" i="32" s="1"/>
  <c r="V39" i="32" s="1"/>
  <c r="X39" i="32" s="1"/>
  <c r="F21" i="7"/>
  <c r="F21" i="8" s="1"/>
  <c r="F21" i="9" s="1"/>
  <c r="S42" i="17"/>
  <c r="S42" i="18" s="1"/>
  <c r="S42" i="19" s="1"/>
  <c r="S42" i="20" s="1"/>
  <c r="S42" i="21" s="1"/>
  <c r="S42" i="22" s="1"/>
  <c r="S42" i="23" s="1"/>
  <c r="S42" i="24" s="1"/>
  <c r="S42" i="25" s="1"/>
  <c r="S42" i="26" s="1"/>
  <c r="S42" i="27" s="1"/>
  <c r="S42" i="28" s="1"/>
  <c r="S42" i="29" s="1"/>
  <c r="S42" i="30" s="1"/>
  <c r="S42" i="31" s="1"/>
  <c r="S42" i="32" s="1"/>
  <c r="S38" i="17"/>
  <c r="S38" i="18" s="1"/>
  <c r="S38" i="19" s="1"/>
  <c r="S38" i="20" s="1"/>
  <c r="S38" i="21" s="1"/>
  <c r="S38" i="22" s="1"/>
  <c r="S38" i="23" s="1"/>
  <c r="S38" i="24" s="1"/>
  <c r="S38" i="25" s="1"/>
  <c r="S38" i="26" s="1"/>
  <c r="S38" i="27" s="1"/>
  <c r="S38" i="28" s="1"/>
  <c r="S38" i="29" s="1"/>
  <c r="S38" i="30" s="1"/>
  <c r="S38" i="31" s="1"/>
  <c r="S38" i="32" s="1"/>
  <c r="S26" i="14"/>
  <c r="S26" i="15" s="1"/>
  <c r="S26" i="16" s="1"/>
  <c r="S26" i="17" s="1"/>
  <c r="S26" i="18" s="1"/>
  <c r="S26" i="19" s="1"/>
  <c r="S26" i="20" s="1"/>
  <c r="S26" i="21" s="1"/>
  <c r="S26" i="22" s="1"/>
  <c r="S26" i="23" s="1"/>
  <c r="S26" i="24" s="1"/>
  <c r="S26" i="25" s="1"/>
  <c r="S26" i="26" s="1"/>
  <c r="S26" i="27" s="1"/>
  <c r="S26" i="28" s="1"/>
  <c r="S26" i="29" s="1"/>
  <c r="S26" i="30" s="1"/>
  <c r="S26" i="31" s="1"/>
  <c r="S26" i="32" s="1"/>
  <c r="S22" i="14"/>
  <c r="S22" i="15" s="1"/>
  <c r="S22" i="16" s="1"/>
  <c r="S22" i="17" s="1"/>
  <c r="S22" i="18" s="1"/>
  <c r="S22" i="19" s="1"/>
  <c r="S22" i="20" s="1"/>
  <c r="S22" i="21" s="1"/>
  <c r="S22" i="22" s="1"/>
  <c r="S22" i="23" s="1"/>
  <c r="S22" i="24" s="1"/>
  <c r="Z41" i="14"/>
  <c r="Z41" i="15" s="1"/>
  <c r="Z41" i="16" s="1"/>
  <c r="Z41" i="17" s="1"/>
  <c r="Z41" i="18" s="1"/>
  <c r="Z41" i="19" s="1"/>
  <c r="Z41" i="20" s="1"/>
  <c r="Z41" i="21" s="1"/>
  <c r="Z41" i="22" s="1"/>
  <c r="Z41" i="23" s="1"/>
  <c r="Z41" i="24" s="1"/>
  <c r="Z41" i="25" s="1"/>
  <c r="Z41" i="26" s="1"/>
  <c r="Z41" i="27" s="1"/>
  <c r="Z41" i="28" s="1"/>
  <c r="Z41" i="29" s="1"/>
  <c r="Z41" i="30" s="1"/>
  <c r="Z41" i="31" s="1"/>
  <c r="Z41" i="32" s="1"/>
  <c r="Z37" i="14"/>
  <c r="Z37" i="15" s="1"/>
  <c r="Z37" i="16" s="1"/>
  <c r="Z37" i="17" s="1"/>
  <c r="Z37" i="18" s="1"/>
  <c r="Z37" i="19" s="1"/>
  <c r="Z37" i="20" s="1"/>
  <c r="Z37" i="21" s="1"/>
  <c r="Z37" i="22" s="1"/>
  <c r="Z37" i="23" s="1"/>
  <c r="Z37" i="24" s="1"/>
  <c r="Z37" i="25" s="1"/>
  <c r="Z37" i="26" s="1"/>
  <c r="Z37" i="27" s="1"/>
  <c r="Z37" i="28" s="1"/>
  <c r="Z37" i="29" s="1"/>
  <c r="Z37" i="30" s="1"/>
  <c r="Z37" i="31" s="1"/>
  <c r="Z37" i="32" s="1"/>
  <c r="Z33" i="14"/>
  <c r="Z33" i="15" s="1"/>
  <c r="Z33" i="16" s="1"/>
  <c r="Z33" i="17" s="1"/>
  <c r="Z33" i="18" s="1"/>
  <c r="Z33" i="19" s="1"/>
  <c r="Z33" i="20" s="1"/>
  <c r="Z33" i="21" s="1"/>
  <c r="Z33" i="22" s="1"/>
  <c r="Z33" i="23" s="1"/>
  <c r="Z33" i="24" s="1"/>
  <c r="Z33" i="25" s="1"/>
  <c r="Z33" i="26" s="1"/>
  <c r="Z33" i="27" s="1"/>
  <c r="Z33" i="28" s="1"/>
  <c r="Z33" i="29" s="1"/>
  <c r="Z33" i="30" s="1"/>
  <c r="Z33" i="31" s="1"/>
  <c r="Z33" i="32" s="1"/>
  <c r="Z29" i="14"/>
  <c r="Z29" i="15" s="1"/>
  <c r="Z29" i="16" s="1"/>
  <c r="Z29" i="17" s="1"/>
  <c r="Z29" i="18" s="1"/>
  <c r="Z29" i="19" s="1"/>
  <c r="Z29" i="20" s="1"/>
  <c r="Z29" i="21" s="1"/>
  <c r="Z29" i="22" s="1"/>
  <c r="Z29" i="23" s="1"/>
  <c r="Z29" i="24" s="1"/>
  <c r="Z29" i="25" s="1"/>
  <c r="Z29" i="26" s="1"/>
  <c r="Z29" i="27" s="1"/>
  <c r="Z29" i="28" s="1"/>
  <c r="Z29" i="29" s="1"/>
  <c r="Z29" i="30" s="1"/>
  <c r="Z29" i="31" s="1"/>
  <c r="Z29" i="32" s="1"/>
  <c r="Z25" i="14"/>
  <c r="Z25" i="15" s="1"/>
  <c r="Z25" i="16" s="1"/>
  <c r="Z25" i="17" s="1"/>
  <c r="Z25" i="18" s="1"/>
  <c r="Z25" i="19" s="1"/>
  <c r="Z25" i="20" s="1"/>
  <c r="Z25" i="21" s="1"/>
  <c r="Z25" i="22" s="1"/>
  <c r="AF30" i="14"/>
  <c r="AF30" i="15" s="1"/>
  <c r="AF30" i="16" s="1"/>
  <c r="AF30" i="17" s="1"/>
  <c r="AF30" i="18" s="1"/>
  <c r="AF30" i="19" s="1"/>
  <c r="AF30" i="20" s="1"/>
  <c r="AF30" i="21" s="1"/>
  <c r="AF30" i="22" s="1"/>
  <c r="AF30" i="23" s="1"/>
  <c r="AF30" i="24" s="1"/>
  <c r="AF30" i="25" s="1"/>
  <c r="AF30" i="26" s="1"/>
  <c r="AF30" i="27" s="1"/>
  <c r="AF30" i="28" s="1"/>
  <c r="AF30" i="29" s="1"/>
  <c r="AF30" i="30" s="1"/>
  <c r="AF30" i="31" s="1"/>
  <c r="AF30" i="32" s="1"/>
  <c r="AF36" i="14"/>
  <c r="AF36" i="15" s="1"/>
  <c r="AF36" i="16" s="1"/>
  <c r="AF36" i="17" s="1"/>
  <c r="AF36" i="18" s="1"/>
  <c r="AF36" i="19" s="1"/>
  <c r="AF36" i="20" s="1"/>
  <c r="AF36" i="21" s="1"/>
  <c r="AF36" i="22" s="1"/>
  <c r="AF36" i="23" s="1"/>
  <c r="AF36" i="24" s="1"/>
  <c r="AF36" i="25" s="1"/>
  <c r="AF36" i="26" s="1"/>
  <c r="AF36" i="27" s="1"/>
  <c r="AF36" i="28" s="1"/>
  <c r="AF36" i="29" s="1"/>
  <c r="AF36" i="30" s="1"/>
  <c r="AF36" i="31" s="1"/>
  <c r="AF36" i="32" s="1"/>
  <c r="AF40" i="14"/>
  <c r="AF40" i="15" s="1"/>
  <c r="AF40" i="16" s="1"/>
  <c r="AF40" i="17" s="1"/>
  <c r="AF40" i="18" s="1"/>
  <c r="AF40" i="19" s="1"/>
  <c r="AF40" i="20" s="1"/>
  <c r="AF40" i="21" s="1"/>
  <c r="AF40" i="22" s="1"/>
  <c r="AF40" i="23" s="1"/>
  <c r="AF40" i="24" s="1"/>
  <c r="AF40" i="25" s="1"/>
  <c r="AF40" i="26" s="1"/>
  <c r="AF40" i="27" s="1"/>
  <c r="AF40" i="28" s="1"/>
  <c r="AF40" i="29" s="1"/>
  <c r="AF40" i="30" s="1"/>
  <c r="AF40" i="31" s="1"/>
  <c r="AF40" i="32" s="1"/>
  <c r="AG38" i="14"/>
  <c r="AG38" i="15" s="1"/>
  <c r="AG38" i="16" s="1"/>
  <c r="AG38" i="17" s="1"/>
  <c r="AG38" i="18" s="1"/>
  <c r="AG38" i="19" s="1"/>
  <c r="AG38" i="20" s="1"/>
  <c r="AG38" i="21" s="1"/>
  <c r="AG38" i="22" s="1"/>
  <c r="AG38" i="23" s="1"/>
  <c r="AG38" i="24" s="1"/>
  <c r="AG38" i="25" s="1"/>
  <c r="AG38" i="26" s="1"/>
  <c r="AG38" i="27" s="1"/>
  <c r="AG38" i="28" s="1"/>
  <c r="AG38" i="29" s="1"/>
  <c r="AG38" i="30" s="1"/>
  <c r="AG38" i="31" s="1"/>
  <c r="AG38" i="32" s="1"/>
  <c r="AG41" i="14"/>
  <c r="AG41" i="15" s="1"/>
  <c r="AG41" i="16" s="1"/>
  <c r="AG41" i="17" s="1"/>
  <c r="AG41" i="18" s="1"/>
  <c r="AG41" i="19" s="1"/>
  <c r="AG41" i="20" s="1"/>
  <c r="AG41" i="21" s="1"/>
  <c r="AG41" i="22" s="1"/>
  <c r="AG41" i="23" s="1"/>
  <c r="AG41" i="24" s="1"/>
  <c r="AG41" i="25" s="1"/>
  <c r="AG41" i="26" s="1"/>
  <c r="AG41" i="27" s="1"/>
  <c r="AG41" i="28" s="1"/>
  <c r="AG41" i="29" s="1"/>
  <c r="AG41" i="30" s="1"/>
  <c r="AG41" i="31" s="1"/>
  <c r="AG41" i="32" s="1"/>
  <c r="T42" i="19"/>
  <c r="V42" i="19" s="1"/>
  <c r="X42" i="19" s="1"/>
  <c r="T42" i="20" s="1"/>
  <c r="V42" i="20" s="1"/>
  <c r="X42" i="20" s="1"/>
  <c r="T42" i="21" s="1"/>
  <c r="V42" i="21" s="1"/>
  <c r="X42" i="21" s="1"/>
  <c r="T42" i="22" s="1"/>
  <c r="V42" i="22" s="1"/>
  <c r="X42" i="22" s="1"/>
  <c r="T42" i="23" s="1"/>
  <c r="V42" i="23" s="1"/>
  <c r="X42" i="23" s="1"/>
  <c r="T42" i="24" s="1"/>
  <c r="V42" i="24" s="1"/>
  <c r="X42" i="24" s="1"/>
  <c r="T42" i="25" s="1"/>
  <c r="V42" i="25" s="1"/>
  <c r="X42" i="25" s="1"/>
  <c r="T42" i="26" s="1"/>
  <c r="V42" i="26" s="1"/>
  <c r="X42" i="26" s="1"/>
  <c r="T42" i="27" s="1"/>
  <c r="V42" i="27" s="1"/>
  <c r="X42" i="27" s="1"/>
  <c r="T42" i="28" s="1"/>
  <c r="V42" i="28" s="1"/>
  <c r="X42" i="28" s="1"/>
  <c r="T42" i="29" s="1"/>
  <c r="V42" i="29" s="1"/>
  <c r="X42" i="29" s="1"/>
  <c r="T42" i="30" s="1"/>
  <c r="V42" i="30" s="1"/>
  <c r="X42" i="30" s="1"/>
  <c r="T42" i="31" s="1"/>
  <c r="V42" i="31" s="1"/>
  <c r="X42" i="31" s="1"/>
  <c r="T42" i="32" s="1"/>
  <c r="V42" i="32" s="1"/>
  <c r="X42" i="32" s="1"/>
  <c r="T40" i="19"/>
  <c r="V40" i="19" s="1"/>
  <c r="X40" i="19" s="1"/>
  <c r="T40" i="20" s="1"/>
  <c r="V40" i="20" s="1"/>
  <c r="X40" i="20" s="1"/>
  <c r="T40" i="21" s="1"/>
  <c r="V40" i="21" s="1"/>
  <c r="X40" i="21" s="1"/>
  <c r="T40" i="22" s="1"/>
  <c r="V40" i="22" s="1"/>
  <c r="X40" i="22" s="1"/>
  <c r="T40" i="23" s="1"/>
  <c r="V40" i="23" s="1"/>
  <c r="X40" i="23" s="1"/>
  <c r="T40" i="24" s="1"/>
  <c r="V40" i="24" s="1"/>
  <c r="X40" i="24" s="1"/>
  <c r="T40" i="25" s="1"/>
  <c r="V40" i="25" s="1"/>
  <c r="X40" i="25" s="1"/>
  <c r="T40" i="26" s="1"/>
  <c r="V40" i="26" s="1"/>
  <c r="X40" i="26" s="1"/>
  <c r="T40" i="27" s="1"/>
  <c r="V40" i="27" s="1"/>
  <c r="X40" i="27" s="1"/>
  <c r="T40" i="28" s="1"/>
  <c r="V40" i="28" s="1"/>
  <c r="X40" i="28" s="1"/>
  <c r="T40" i="29" s="1"/>
  <c r="V40" i="29" s="1"/>
  <c r="X40" i="29" s="1"/>
  <c r="T40" i="30" s="1"/>
  <c r="V40" i="30" s="1"/>
  <c r="X40" i="30" s="1"/>
  <c r="T40" i="31" s="1"/>
  <c r="V40" i="31" s="1"/>
  <c r="X40" i="31" s="1"/>
  <c r="T40" i="32" s="1"/>
  <c r="V40" i="32" s="1"/>
  <c r="X40" i="32" s="1"/>
  <c r="T38" i="19"/>
  <c r="V38" i="19" s="1"/>
  <c r="X38" i="19" s="1"/>
  <c r="T38" i="20" s="1"/>
  <c r="V38" i="20" s="1"/>
  <c r="X38" i="20" s="1"/>
  <c r="T38" i="21" s="1"/>
  <c r="V38" i="21" s="1"/>
  <c r="X38" i="21" s="1"/>
  <c r="T38" i="22" s="1"/>
  <c r="V38" i="22" s="1"/>
  <c r="X38" i="22" s="1"/>
  <c r="T38" i="23" s="1"/>
  <c r="V38" i="23" s="1"/>
  <c r="X38" i="23" s="1"/>
  <c r="T38" i="24" s="1"/>
  <c r="V38" i="24" s="1"/>
  <c r="X38" i="24" s="1"/>
  <c r="T38" i="25" s="1"/>
  <c r="V38" i="25" s="1"/>
  <c r="X38" i="25" s="1"/>
  <c r="T38" i="26" s="1"/>
  <c r="V38" i="26" s="1"/>
  <c r="X38" i="26" s="1"/>
  <c r="T38" i="27" s="1"/>
  <c r="V38" i="27" s="1"/>
  <c r="X38" i="27" s="1"/>
  <c r="T38" i="28" s="1"/>
  <c r="V38" i="28" s="1"/>
  <c r="X38" i="28" s="1"/>
  <c r="T38" i="29" s="1"/>
  <c r="V38" i="29" s="1"/>
  <c r="X38" i="29" s="1"/>
  <c r="T38" i="30" s="1"/>
  <c r="V38" i="30" s="1"/>
  <c r="X38" i="30" s="1"/>
  <c r="T38" i="31" s="1"/>
  <c r="V38" i="31" s="1"/>
  <c r="X38" i="31" s="1"/>
  <c r="T38" i="32" s="1"/>
  <c r="V38" i="32" s="1"/>
  <c r="X38" i="32" s="1"/>
  <c r="F10" i="18"/>
  <c r="F10" i="19" s="1"/>
  <c r="F10" i="20" s="1"/>
  <c r="F10" i="21" s="1"/>
  <c r="F10" i="22" s="1"/>
  <c r="F10" i="23" s="1"/>
  <c r="F10" i="24" s="1"/>
  <c r="F10" i="25" s="1"/>
  <c r="F10" i="26" s="1"/>
  <c r="F10" i="27" s="1"/>
  <c r="F10" i="28" s="1"/>
  <c r="F10" i="29" s="1"/>
  <c r="F10" i="30" s="1"/>
  <c r="F10" i="31" s="1"/>
  <c r="F10" i="32" s="1"/>
  <c r="F22" i="7"/>
  <c r="F22" i="8" s="1"/>
  <c r="F22" i="9" s="1"/>
  <c r="F26" i="7"/>
  <c r="F26" i="8" s="1"/>
  <c r="F26" i="9" s="1"/>
  <c r="F30" i="7"/>
  <c r="F30" i="8" s="1"/>
  <c r="F30" i="9" s="1"/>
  <c r="F34" i="7"/>
  <c r="F34" i="8" s="1"/>
  <c r="F34" i="9" s="1"/>
  <c r="F38" i="7"/>
  <c r="F38" i="8" s="1"/>
  <c r="F38" i="9" s="1"/>
  <c r="S41" i="17"/>
  <c r="S41" i="18" s="1"/>
  <c r="S41" i="19" s="1"/>
  <c r="S41" i="20" s="1"/>
  <c r="S41" i="21" s="1"/>
  <c r="S41" i="22" s="1"/>
  <c r="S41" i="23" s="1"/>
  <c r="S41" i="24" s="1"/>
  <c r="S41" i="25" s="1"/>
  <c r="S41" i="26" s="1"/>
  <c r="S41" i="27" s="1"/>
  <c r="S41" i="28" s="1"/>
  <c r="S41" i="29" s="1"/>
  <c r="S41" i="30" s="1"/>
  <c r="S41" i="31" s="1"/>
  <c r="S41" i="32" s="1"/>
  <c r="S37" i="17"/>
  <c r="S37" i="18" s="1"/>
  <c r="S37" i="19" s="1"/>
  <c r="S37" i="20" s="1"/>
  <c r="S37" i="21" s="1"/>
  <c r="S37" i="22" s="1"/>
  <c r="S37" i="23" s="1"/>
  <c r="S37" i="24" s="1"/>
  <c r="S37" i="25" s="1"/>
  <c r="S37" i="26" s="1"/>
  <c r="S37" i="27" s="1"/>
  <c r="S37" i="28" s="1"/>
  <c r="S37" i="29" s="1"/>
  <c r="S37" i="30" s="1"/>
  <c r="S37" i="31" s="1"/>
  <c r="S37" i="32" s="1"/>
  <c r="S25" i="14"/>
  <c r="S25" i="15" s="1"/>
  <c r="S25" i="16" s="1"/>
  <c r="S25" i="17" s="1"/>
  <c r="S25" i="18" s="1"/>
  <c r="S25" i="19" s="1"/>
  <c r="S25" i="20" s="1"/>
  <c r="S25" i="21" s="1"/>
  <c r="S25" i="22" s="1"/>
  <c r="S25" i="23" s="1"/>
  <c r="S25" i="24" s="1"/>
  <c r="S25" i="25" s="1"/>
  <c r="S25" i="26" s="1"/>
  <c r="S25" i="27" s="1"/>
  <c r="S25" i="28" s="1"/>
  <c r="S25" i="29" s="1"/>
  <c r="S25" i="30" s="1"/>
  <c r="S25" i="31" s="1"/>
  <c r="S25" i="32" s="1"/>
  <c r="S21" i="13"/>
  <c r="S21" i="14" s="1"/>
  <c r="S21" i="15" s="1"/>
  <c r="Z40" i="14"/>
  <c r="Z40" i="15" s="1"/>
  <c r="Z40" i="16" s="1"/>
  <c r="Z40" i="17" s="1"/>
  <c r="Z40" i="18" s="1"/>
  <c r="Z40" i="19" s="1"/>
  <c r="Z40" i="20" s="1"/>
  <c r="Z40" i="21" s="1"/>
  <c r="Z40" i="22" s="1"/>
  <c r="Z40" i="23" s="1"/>
  <c r="Z40" i="24" s="1"/>
  <c r="Z40" i="25" s="1"/>
  <c r="Z40" i="26" s="1"/>
  <c r="Z40" i="27" s="1"/>
  <c r="Z40" i="28" s="1"/>
  <c r="Z40" i="29" s="1"/>
  <c r="Z40" i="30" s="1"/>
  <c r="Z40" i="31" s="1"/>
  <c r="Z40" i="32" s="1"/>
  <c r="Z36" i="14"/>
  <c r="Z36" i="15" s="1"/>
  <c r="Z36" i="16" s="1"/>
  <c r="Z36" i="17" s="1"/>
  <c r="Z36" i="18" s="1"/>
  <c r="Z36" i="19" s="1"/>
  <c r="Z36" i="20" s="1"/>
  <c r="Z36" i="21" s="1"/>
  <c r="Z36" i="22" s="1"/>
  <c r="Z36" i="23" s="1"/>
  <c r="Z36" i="24" s="1"/>
  <c r="Z36" i="25" s="1"/>
  <c r="Z36" i="26" s="1"/>
  <c r="Z36" i="27" s="1"/>
  <c r="Z36" i="28" s="1"/>
  <c r="Z36" i="29" s="1"/>
  <c r="Z36" i="30" s="1"/>
  <c r="Z36" i="31" s="1"/>
  <c r="Z36" i="32" s="1"/>
  <c r="Z28" i="14"/>
  <c r="Z28" i="15" s="1"/>
  <c r="Z28" i="16" s="1"/>
  <c r="Z28" i="17" s="1"/>
  <c r="Z28" i="18" s="1"/>
  <c r="Z28" i="19" s="1"/>
  <c r="Z28" i="20" s="1"/>
  <c r="Z28" i="21" s="1"/>
  <c r="Z28" i="22" s="1"/>
  <c r="Z28" i="23" s="1"/>
  <c r="Z28" i="24" s="1"/>
  <c r="Z28" i="25" s="1"/>
  <c r="Z28" i="26" s="1"/>
  <c r="Z28" i="27" s="1"/>
  <c r="Z28" i="28" s="1"/>
  <c r="Z28" i="29" s="1"/>
  <c r="Z28" i="30" s="1"/>
  <c r="Z28" i="31" s="1"/>
  <c r="Z28" i="32" s="1"/>
  <c r="Z24" i="14"/>
  <c r="Z24" i="15" s="1"/>
  <c r="Z24" i="16" s="1"/>
  <c r="Z24" i="17" s="1"/>
  <c r="Z24" i="18" s="1"/>
  <c r="Z24" i="19" s="1"/>
  <c r="Z20" i="14"/>
  <c r="Z20" i="15" s="1"/>
  <c r="Z20" i="16" s="1"/>
  <c r="Z20" i="17" s="1"/>
  <c r="AF31" i="14"/>
  <c r="AF31" i="15" s="1"/>
  <c r="AF31" i="16" s="1"/>
  <c r="AF31" i="17" s="1"/>
  <c r="AF31" i="18" s="1"/>
  <c r="AF31" i="19" s="1"/>
  <c r="AF31" i="20" s="1"/>
  <c r="AF31" i="21" s="1"/>
  <c r="AF31" i="22" s="1"/>
  <c r="AF31" i="23" s="1"/>
  <c r="AF31" i="24" s="1"/>
  <c r="AF31" i="25" s="1"/>
  <c r="AF31" i="26" s="1"/>
  <c r="AF31" i="27" s="1"/>
  <c r="AF31" i="28" s="1"/>
  <c r="AF31" i="29" s="1"/>
  <c r="AF31" i="30" s="1"/>
  <c r="AF31" i="31" s="1"/>
  <c r="AF31" i="32" s="1"/>
  <c r="AF37" i="14"/>
  <c r="AF37" i="15" s="1"/>
  <c r="AF37" i="16" s="1"/>
  <c r="AF37" i="17" s="1"/>
  <c r="AF37" i="18" s="1"/>
  <c r="AF37" i="19" s="1"/>
  <c r="AF37" i="20" s="1"/>
  <c r="AF37" i="21" s="1"/>
  <c r="AF37" i="22" s="1"/>
  <c r="AF37" i="23" s="1"/>
  <c r="AF37" i="24" s="1"/>
  <c r="AF37" i="25" s="1"/>
  <c r="AF37" i="26" s="1"/>
  <c r="AF37" i="27" s="1"/>
  <c r="AF37" i="28" s="1"/>
  <c r="AF37" i="29" s="1"/>
  <c r="AF37" i="30" s="1"/>
  <c r="AF37" i="31" s="1"/>
  <c r="AF37" i="32" s="1"/>
  <c r="AF41" i="14"/>
  <c r="AF41" i="15" s="1"/>
  <c r="AF41" i="16" s="1"/>
  <c r="AF41" i="17" s="1"/>
  <c r="AF41" i="18" s="1"/>
  <c r="AF41" i="19" s="1"/>
  <c r="AF41" i="20" s="1"/>
  <c r="AF41" i="21" s="1"/>
  <c r="AF41" i="22" s="1"/>
  <c r="AF41" i="23" s="1"/>
  <c r="AF41" i="24" s="1"/>
  <c r="AF41" i="25" s="1"/>
  <c r="AF41" i="26" s="1"/>
  <c r="AF41" i="27" s="1"/>
  <c r="AF41" i="28" s="1"/>
  <c r="AF41" i="29" s="1"/>
  <c r="AF41" i="30" s="1"/>
  <c r="AF41" i="31" s="1"/>
  <c r="AF41" i="32" s="1"/>
  <c r="AG42" i="14"/>
  <c r="AG42" i="15" s="1"/>
  <c r="AG42" i="16" s="1"/>
  <c r="AG42" i="17" s="1"/>
  <c r="AG42" i="18" s="1"/>
  <c r="AG42" i="19" s="1"/>
  <c r="AG42" i="20" s="1"/>
  <c r="AG42" i="21" s="1"/>
  <c r="AG42" i="22" s="1"/>
  <c r="AG42" i="23" s="1"/>
  <c r="AG42" i="24" s="1"/>
  <c r="AG42" i="25" s="1"/>
  <c r="AG42" i="26" s="1"/>
  <c r="AG42" i="27" s="1"/>
  <c r="AG42" i="28" s="1"/>
  <c r="AG42" i="29" s="1"/>
  <c r="AG42" i="30" s="1"/>
  <c r="AG42" i="31" s="1"/>
  <c r="AG42" i="32" s="1"/>
  <c r="AG36" i="14"/>
  <c r="AG36" i="15" s="1"/>
  <c r="AG36" i="16" s="1"/>
  <c r="AG36" i="17" s="1"/>
  <c r="AG36" i="18" s="1"/>
  <c r="AG36" i="19" s="1"/>
  <c r="AG36" i="20" s="1"/>
  <c r="AG36" i="21" s="1"/>
  <c r="AG36" i="22" s="1"/>
  <c r="AG36" i="23" s="1"/>
  <c r="AG36" i="24" s="1"/>
  <c r="AG36" i="25" s="1"/>
  <c r="AG36" i="26" s="1"/>
  <c r="AG36" i="27" s="1"/>
  <c r="AG36" i="28" s="1"/>
  <c r="AG36" i="29" s="1"/>
  <c r="AG36" i="30" s="1"/>
  <c r="AG36" i="31" s="1"/>
  <c r="AG36" i="32" s="1"/>
  <c r="AG37" i="14"/>
  <c r="AG37" i="15" s="1"/>
  <c r="AG37" i="16" s="1"/>
  <c r="AG37" i="17" s="1"/>
  <c r="AG37" i="18" s="1"/>
  <c r="AG37" i="19" s="1"/>
  <c r="AG37" i="20" s="1"/>
  <c r="AG37" i="21" s="1"/>
  <c r="AG37" i="22" s="1"/>
  <c r="AG37" i="23" s="1"/>
  <c r="AG37" i="24" s="1"/>
  <c r="AG37" i="25" s="1"/>
  <c r="AG37" i="26" s="1"/>
  <c r="AG37" i="27" s="1"/>
  <c r="AG37" i="28" s="1"/>
  <c r="AG37" i="29" s="1"/>
  <c r="AG37" i="30" s="1"/>
  <c r="AG37" i="31" s="1"/>
  <c r="AG37" i="32" s="1"/>
  <c r="T41" i="19"/>
  <c r="V41" i="19" s="1"/>
  <c r="X41" i="19" s="1"/>
  <c r="T41" i="20" s="1"/>
  <c r="V41" i="20" s="1"/>
  <c r="X41" i="20" s="1"/>
  <c r="T41" i="21" s="1"/>
  <c r="V41" i="21" s="1"/>
  <c r="X41" i="21" s="1"/>
  <c r="T41" i="22" s="1"/>
  <c r="V41" i="22" s="1"/>
  <c r="X41" i="22" s="1"/>
  <c r="T41" i="23" s="1"/>
  <c r="V41" i="23" s="1"/>
  <c r="X41" i="23" s="1"/>
  <c r="T41" i="24" s="1"/>
  <c r="V41" i="24" s="1"/>
  <c r="X41" i="24" s="1"/>
  <c r="T41" i="25" s="1"/>
  <c r="V41" i="25" s="1"/>
  <c r="X41" i="25" s="1"/>
  <c r="T41" i="26" s="1"/>
  <c r="V41" i="26" s="1"/>
  <c r="X41" i="26" s="1"/>
  <c r="T41" i="27" s="1"/>
  <c r="V41" i="27" s="1"/>
  <c r="X41" i="27" s="1"/>
  <c r="T41" i="28" s="1"/>
  <c r="V41" i="28" s="1"/>
  <c r="X41" i="28" s="1"/>
  <c r="T41" i="29" s="1"/>
  <c r="V41" i="29" s="1"/>
  <c r="X41" i="29" s="1"/>
  <c r="T41" i="30" s="1"/>
  <c r="V41" i="30" s="1"/>
  <c r="X41" i="30" s="1"/>
  <c r="T41" i="31" s="1"/>
  <c r="V41" i="31" s="1"/>
  <c r="X41" i="31" s="1"/>
  <c r="T41" i="32" s="1"/>
  <c r="V41" i="32" s="1"/>
  <c r="X41" i="32" s="1"/>
  <c r="F25" i="7"/>
  <c r="F25" i="8" s="1"/>
  <c r="F25" i="9" s="1"/>
  <c r="F29" i="7"/>
  <c r="F29" i="8" s="1"/>
  <c r="F29" i="9" s="1"/>
  <c r="F33" i="7"/>
  <c r="F33" i="8" s="1"/>
  <c r="F33" i="9" s="1"/>
  <c r="F37" i="7"/>
  <c r="F37" i="8" s="1"/>
  <c r="F37" i="9" s="1"/>
  <c r="F45" i="7"/>
  <c r="F45" i="8" s="1"/>
  <c r="F45" i="9" s="1"/>
  <c r="F19" i="37"/>
  <c r="F19" i="11" s="1"/>
  <c r="F19" i="12" s="1"/>
  <c r="F19" i="13" s="1"/>
  <c r="F19" i="14" s="1"/>
  <c r="F19" i="15" s="1"/>
  <c r="F19" i="16" s="1"/>
  <c r="F19" i="17" s="1"/>
  <c r="F19" i="18" s="1"/>
  <c r="F19" i="19" s="1"/>
  <c r="F19" i="20" s="1"/>
  <c r="F19" i="21" s="1"/>
  <c r="F19" i="22" s="1"/>
  <c r="F19" i="23" s="1"/>
  <c r="F19" i="24" s="1"/>
  <c r="F19" i="25" s="1"/>
  <c r="F19" i="26" s="1"/>
  <c r="F19" i="27" s="1"/>
  <c r="F19" i="28" s="1"/>
  <c r="F19" i="29" s="1"/>
  <c r="F19" i="30" s="1"/>
  <c r="F19" i="31" s="1"/>
  <c r="F19" i="32" s="1"/>
  <c r="F23" i="7"/>
  <c r="F23" i="8" s="1"/>
  <c r="F23" i="9" s="1"/>
  <c r="F27" i="7"/>
  <c r="F27" i="8" s="1"/>
  <c r="F27" i="9" s="1"/>
  <c r="F31" i="7"/>
  <c r="F31" i="8" s="1"/>
  <c r="F31" i="9" s="1"/>
  <c r="F35" i="7"/>
  <c r="F35" i="8" s="1"/>
  <c r="F35" i="9" s="1"/>
  <c r="F43" i="7"/>
  <c r="F43" i="8" s="1"/>
  <c r="F43" i="9" s="1"/>
  <c r="S8" i="19"/>
  <c r="S8" i="20" s="1"/>
  <c r="S8" i="21" s="1"/>
  <c r="S8" i="22" s="1"/>
  <c r="S8" i="23" s="1"/>
  <c r="S8" i="24" s="1"/>
  <c r="S8" i="25" s="1"/>
  <c r="S8" i="26" s="1"/>
  <c r="S8" i="27" s="1"/>
  <c r="S8" i="28" s="1"/>
  <c r="S8" i="29" s="1"/>
  <c r="S8" i="30" s="1"/>
  <c r="S8" i="31" s="1"/>
  <c r="S8" i="32" s="1"/>
  <c r="S40" i="17"/>
  <c r="S40" i="18" s="1"/>
  <c r="S40" i="19" s="1"/>
  <c r="S40" i="20" s="1"/>
  <c r="S40" i="21" s="1"/>
  <c r="S40" i="22" s="1"/>
  <c r="S40" i="23" s="1"/>
  <c r="S40" i="24" s="1"/>
  <c r="S40" i="25" s="1"/>
  <c r="S40" i="26" s="1"/>
  <c r="S40" i="27" s="1"/>
  <c r="S40" i="28" s="1"/>
  <c r="S40" i="29" s="1"/>
  <c r="S40" i="30" s="1"/>
  <c r="S40" i="31" s="1"/>
  <c r="S40" i="32" s="1"/>
  <c r="S24" i="14"/>
  <c r="S24" i="15" s="1"/>
  <c r="S24" i="16" s="1"/>
  <c r="S24" i="17" s="1"/>
  <c r="S24" i="18" s="1"/>
  <c r="S24" i="19" s="1"/>
  <c r="S24" i="20" s="1"/>
  <c r="S24" i="21" s="1"/>
  <c r="S24" i="22" s="1"/>
  <c r="S24" i="23" s="1"/>
  <c r="S24" i="24" s="1"/>
  <c r="S24" i="25" s="1"/>
  <c r="S24" i="26" s="1"/>
  <c r="S24" i="27" s="1"/>
  <c r="S24" i="28" s="1"/>
  <c r="S24" i="29" s="1"/>
  <c r="S24" i="30" s="1"/>
  <c r="S24" i="31" s="1"/>
  <c r="S24" i="32" s="1"/>
  <c r="S20" i="13"/>
  <c r="S20" i="14" s="1"/>
  <c r="S20" i="15" s="1"/>
  <c r="S20" i="16" s="1"/>
  <c r="S20" i="17" s="1"/>
  <c r="S20" i="18" s="1"/>
  <c r="S20" i="19" s="1"/>
  <c r="S20" i="20" s="1"/>
  <c r="S20" i="21" s="1"/>
  <c r="S20" i="22" s="1"/>
  <c r="Z39" i="14"/>
  <c r="Z39" i="15" s="1"/>
  <c r="Z39" i="16" s="1"/>
  <c r="Z39" i="17" s="1"/>
  <c r="Z39" i="18" s="1"/>
  <c r="Z39" i="19" s="1"/>
  <c r="Z39" i="20" s="1"/>
  <c r="Z39" i="21" s="1"/>
  <c r="Z39" i="22" s="1"/>
  <c r="Z39" i="23" s="1"/>
  <c r="Z39" i="24" s="1"/>
  <c r="Z39" i="25" s="1"/>
  <c r="Z39" i="26" s="1"/>
  <c r="Z39" i="27" s="1"/>
  <c r="Z39" i="28" s="1"/>
  <c r="Z39" i="29" s="1"/>
  <c r="Z39" i="30" s="1"/>
  <c r="Z39" i="31" s="1"/>
  <c r="Z39" i="32" s="1"/>
  <c r="Z35" i="14"/>
  <c r="Z35" i="15" s="1"/>
  <c r="Z35" i="16" s="1"/>
  <c r="Z35" i="17" s="1"/>
  <c r="Z35" i="18" s="1"/>
  <c r="Z35" i="19" s="1"/>
  <c r="Z35" i="20" s="1"/>
  <c r="Z35" i="21" s="1"/>
  <c r="Z35" i="22" s="1"/>
  <c r="Z35" i="23" s="1"/>
  <c r="Z35" i="24" s="1"/>
  <c r="Z35" i="25" s="1"/>
  <c r="Z35" i="26" s="1"/>
  <c r="Z35" i="27" s="1"/>
  <c r="Z35" i="28" s="1"/>
  <c r="Z35" i="29" s="1"/>
  <c r="Z35" i="30" s="1"/>
  <c r="Z35" i="31" s="1"/>
  <c r="Z35" i="32" s="1"/>
  <c r="Z27" i="14"/>
  <c r="Z27" i="15" s="1"/>
  <c r="Z27" i="16" s="1"/>
  <c r="Z27" i="17" s="1"/>
  <c r="Z27" i="18" s="1"/>
  <c r="Z27" i="19" s="1"/>
  <c r="Z27" i="20" s="1"/>
  <c r="Z27" i="21" s="1"/>
  <c r="Z27" i="22" s="1"/>
  <c r="Z27" i="23" s="1"/>
  <c r="Z27" i="24" s="1"/>
  <c r="Z27" i="25" s="1"/>
  <c r="Z27" i="26" s="1"/>
  <c r="Z27" i="27" s="1"/>
  <c r="Z27" i="28" s="1"/>
  <c r="Z27" i="29" s="1"/>
  <c r="Z27" i="30" s="1"/>
  <c r="Z27" i="31" s="1"/>
  <c r="Z27" i="32" s="1"/>
  <c r="Z23" i="14"/>
  <c r="Z23" i="15" s="1"/>
  <c r="Z23" i="16" s="1"/>
  <c r="Z23" i="17" s="1"/>
  <c r="Z23" i="18" s="1"/>
  <c r="Z23" i="19" s="1"/>
  <c r="Z19" i="6"/>
  <c r="Z19" i="7" s="1"/>
  <c r="Z19" i="8" s="1"/>
  <c r="Z19" i="9" s="1"/>
  <c r="AF34" i="14"/>
  <c r="AF34" i="15" s="1"/>
  <c r="AF34" i="16" s="1"/>
  <c r="AF34" i="17" s="1"/>
  <c r="AF34" i="18" s="1"/>
  <c r="AF34" i="19" s="1"/>
  <c r="AF34" i="20" s="1"/>
  <c r="AF34" i="21" s="1"/>
  <c r="AF34" i="22" s="1"/>
  <c r="AF34" i="23" s="1"/>
  <c r="AF34" i="24" s="1"/>
  <c r="AF34" i="25" s="1"/>
  <c r="AF34" i="26" s="1"/>
  <c r="AF34" i="27" s="1"/>
  <c r="AF34" i="28" s="1"/>
  <c r="AF34" i="29" s="1"/>
  <c r="AF34" i="30" s="1"/>
  <c r="AF34" i="31" s="1"/>
  <c r="AF34" i="32" s="1"/>
  <c r="AF38" i="14"/>
  <c r="AF38" i="15" s="1"/>
  <c r="AF38" i="16" s="1"/>
  <c r="AF38" i="17" s="1"/>
  <c r="AF38" i="18" s="1"/>
  <c r="AF38" i="19" s="1"/>
  <c r="AF38" i="20" s="1"/>
  <c r="AF38" i="21" s="1"/>
  <c r="AF38" i="22" s="1"/>
  <c r="AF38" i="23" s="1"/>
  <c r="AF38" i="24" s="1"/>
  <c r="AF38" i="25" s="1"/>
  <c r="AF38" i="26" s="1"/>
  <c r="AF38" i="27" s="1"/>
  <c r="AF38" i="28" s="1"/>
  <c r="AF38" i="29" s="1"/>
  <c r="AF38" i="30" s="1"/>
  <c r="AF38" i="31" s="1"/>
  <c r="AF38" i="32" s="1"/>
  <c r="AF42" i="4"/>
  <c r="AF42" i="5" s="1"/>
  <c r="AF42" i="6" s="1"/>
  <c r="AF42" i="7" s="1"/>
  <c r="AF42" i="8" s="1"/>
  <c r="AF42" i="9" s="1"/>
  <c r="AF42" i="37" s="1"/>
  <c r="AF42" i="11" s="1"/>
  <c r="AF42" i="12" s="1"/>
  <c r="AF42" i="13" s="1"/>
  <c r="AG40" i="14"/>
  <c r="AG40" i="15" s="1"/>
  <c r="AG40" i="16" s="1"/>
  <c r="AG40" i="17" s="1"/>
  <c r="AG40" i="18" s="1"/>
  <c r="AG40" i="19" s="1"/>
  <c r="AG40" i="20" s="1"/>
  <c r="AG40" i="21" s="1"/>
  <c r="AG40" i="22" s="1"/>
  <c r="AG40" i="23" s="1"/>
  <c r="AG40" i="24" s="1"/>
  <c r="AG40" i="25" s="1"/>
  <c r="AG40" i="26" s="1"/>
  <c r="AG40" i="27" s="1"/>
  <c r="AG40" i="28" s="1"/>
  <c r="AG40" i="29" s="1"/>
  <c r="AG40" i="30" s="1"/>
  <c r="AG40" i="31" s="1"/>
  <c r="AG40" i="32" s="1"/>
  <c r="AG35" i="14"/>
  <c r="AG35" i="15" s="1"/>
  <c r="AG35" i="16" s="1"/>
  <c r="AG35" i="17" s="1"/>
  <c r="AG35" i="18" s="1"/>
  <c r="AG35" i="19" s="1"/>
  <c r="AG35" i="20" s="1"/>
  <c r="AG35" i="21" s="1"/>
  <c r="AG35" i="22" s="1"/>
  <c r="AG35" i="23" s="1"/>
  <c r="AG35" i="24" s="1"/>
  <c r="AG35" i="25" s="1"/>
  <c r="AG35" i="26" s="1"/>
  <c r="AG35" i="27" s="1"/>
  <c r="AG35" i="28" s="1"/>
  <c r="AG35" i="29" s="1"/>
  <c r="AG35" i="30" s="1"/>
  <c r="AG35" i="31" s="1"/>
  <c r="AG35" i="32" s="1"/>
  <c r="AG33" i="14"/>
  <c r="AG33" i="15" s="1"/>
  <c r="AG33" i="16" s="1"/>
  <c r="AG33" i="17" s="1"/>
  <c r="AG33" i="18" s="1"/>
  <c r="AG33" i="19" s="1"/>
  <c r="AG33" i="20" s="1"/>
  <c r="AG33" i="21" s="1"/>
  <c r="AG33" i="22" s="1"/>
  <c r="AG33" i="23" s="1"/>
  <c r="AG33" i="24" s="1"/>
  <c r="AG33" i="25" s="1"/>
  <c r="AG33" i="26" s="1"/>
  <c r="AG33" i="27" s="1"/>
  <c r="AG33" i="28" s="1"/>
  <c r="AG33" i="29" s="1"/>
  <c r="AG33" i="30" s="1"/>
  <c r="AG33" i="31" s="1"/>
  <c r="AG33" i="32" s="1"/>
  <c r="F20" i="7"/>
  <c r="F20" i="8" s="1"/>
  <c r="F20" i="9" s="1"/>
  <c r="F24" i="7"/>
  <c r="F24" i="8" s="1"/>
  <c r="F24" i="9" s="1"/>
  <c r="F28" i="7"/>
  <c r="F28" i="8" s="1"/>
  <c r="F28" i="9" s="1"/>
  <c r="F32" i="7"/>
  <c r="F32" i="8" s="1"/>
  <c r="F32" i="9" s="1"/>
  <c r="F36" i="7"/>
  <c r="F36" i="8" s="1"/>
  <c r="F36" i="9" s="1"/>
  <c r="F44" i="7"/>
  <c r="F44" i="8" s="1"/>
  <c r="F44" i="9" s="1"/>
  <c r="S39" i="17"/>
  <c r="S39" i="18" s="1"/>
  <c r="S39" i="19" s="1"/>
  <c r="S39" i="20" s="1"/>
  <c r="S39" i="21" s="1"/>
  <c r="S39" i="22" s="1"/>
  <c r="S39" i="23" s="1"/>
  <c r="S39" i="24" s="1"/>
  <c r="S39" i="25" s="1"/>
  <c r="S39" i="26" s="1"/>
  <c r="S39" i="27" s="1"/>
  <c r="S39" i="28" s="1"/>
  <c r="S39" i="29" s="1"/>
  <c r="S39" i="30" s="1"/>
  <c r="S39" i="31" s="1"/>
  <c r="S39" i="32" s="1"/>
  <c r="S23" i="14"/>
  <c r="S23" i="15" s="1"/>
  <c r="S23" i="16" s="1"/>
  <c r="S23" i="17" s="1"/>
  <c r="S23" i="18" s="1"/>
  <c r="S23" i="19" s="1"/>
  <c r="S23" i="20" s="1"/>
  <c r="S23" i="21" s="1"/>
  <c r="S23" i="22" s="1"/>
  <c r="S23" i="23" s="1"/>
  <c r="S23" i="24" s="1"/>
  <c r="S23" i="25" s="1"/>
  <c r="S23" i="26" s="1"/>
  <c r="S23" i="27" s="1"/>
  <c r="S23" i="28" s="1"/>
  <c r="S23" i="29" s="1"/>
  <c r="S23" i="30" s="1"/>
  <c r="S23" i="31" s="1"/>
  <c r="S23" i="32" s="1"/>
  <c r="S19" i="13"/>
  <c r="S19" i="14" s="1"/>
  <c r="S19" i="15" s="1"/>
  <c r="S19" i="16" s="1"/>
  <c r="S19" i="17" s="1"/>
  <c r="S19" i="18" s="1"/>
  <c r="S19" i="19" s="1"/>
  <c r="S19" i="20" s="1"/>
  <c r="S19" i="21" s="1"/>
  <c r="S19" i="22" s="1"/>
  <c r="S19" i="23" s="1"/>
  <c r="S19" i="24" s="1"/>
  <c r="S19" i="25" s="1"/>
  <c r="S19" i="26" s="1"/>
  <c r="S19" i="27" s="1"/>
  <c r="S19" i="28" s="1"/>
  <c r="S19" i="29" s="1"/>
  <c r="S19" i="30" s="1"/>
  <c r="S19" i="31" s="1"/>
  <c r="S19" i="32" s="1"/>
  <c r="Z42" i="14"/>
  <c r="Z42" i="15" s="1"/>
  <c r="Z42" i="16" s="1"/>
  <c r="Z42" i="17" s="1"/>
  <c r="Z42" i="18" s="1"/>
  <c r="Z42" i="19" s="1"/>
  <c r="Z42" i="20" s="1"/>
  <c r="Z42" i="21" s="1"/>
  <c r="Z42" i="22" s="1"/>
  <c r="Z42" i="23" s="1"/>
  <c r="Z42" i="24" s="1"/>
  <c r="Z42" i="25" s="1"/>
  <c r="Z42" i="26" s="1"/>
  <c r="Z42" i="27" s="1"/>
  <c r="Z42" i="28" s="1"/>
  <c r="Z42" i="29" s="1"/>
  <c r="Z42" i="30" s="1"/>
  <c r="Z42" i="31" s="1"/>
  <c r="Z42" i="32" s="1"/>
  <c r="Z38" i="14"/>
  <c r="Z38" i="15" s="1"/>
  <c r="Z38" i="16" s="1"/>
  <c r="Z38" i="17" s="1"/>
  <c r="Z38" i="18" s="1"/>
  <c r="Z38" i="19" s="1"/>
  <c r="Z38" i="20" s="1"/>
  <c r="Z38" i="21" s="1"/>
  <c r="Z38" i="22" s="1"/>
  <c r="Z38" i="23" s="1"/>
  <c r="Z38" i="24" s="1"/>
  <c r="Z38" i="25" s="1"/>
  <c r="Z38" i="26" s="1"/>
  <c r="Z38" i="27" s="1"/>
  <c r="Z38" i="28" s="1"/>
  <c r="Z38" i="29" s="1"/>
  <c r="Z38" i="30" s="1"/>
  <c r="Z38" i="31" s="1"/>
  <c r="Z38" i="32" s="1"/>
  <c r="Z34" i="14"/>
  <c r="Z34" i="15" s="1"/>
  <c r="Z34" i="16" s="1"/>
  <c r="Z34" i="17" s="1"/>
  <c r="Z34" i="18" s="1"/>
  <c r="Z34" i="19" s="1"/>
  <c r="Z34" i="20" s="1"/>
  <c r="Z34" i="21" s="1"/>
  <c r="Z34" i="22" s="1"/>
  <c r="Z34" i="23" s="1"/>
  <c r="Z34" i="24" s="1"/>
  <c r="Z34" i="25" s="1"/>
  <c r="Z34" i="26" s="1"/>
  <c r="Z34" i="27" s="1"/>
  <c r="Z34" i="28" s="1"/>
  <c r="Z34" i="29" s="1"/>
  <c r="Z34" i="30" s="1"/>
  <c r="Z34" i="31" s="1"/>
  <c r="Z34" i="32" s="1"/>
  <c r="Z26" i="14"/>
  <c r="Z26" i="15" s="1"/>
  <c r="Z26" i="16" s="1"/>
  <c r="Z26" i="17" s="1"/>
  <c r="Z26" i="18" s="1"/>
  <c r="Z26" i="19" s="1"/>
  <c r="Z26" i="20" s="1"/>
  <c r="Z26" i="21" s="1"/>
  <c r="Z26" i="22" s="1"/>
  <c r="Z26" i="23" s="1"/>
  <c r="Z26" i="24" s="1"/>
  <c r="Z26" i="25" s="1"/>
  <c r="Z26" i="26" s="1"/>
  <c r="Z26" i="27" s="1"/>
  <c r="Z26" i="28" s="1"/>
  <c r="Z26" i="29" s="1"/>
  <c r="Z26" i="30" s="1"/>
  <c r="Z26" i="31" s="1"/>
  <c r="Z26" i="32" s="1"/>
  <c r="Z22" i="14"/>
  <c r="Z22" i="15" s="1"/>
  <c r="Z22" i="16" s="1"/>
  <c r="Z22" i="17" s="1"/>
  <c r="Z22" i="18" s="1"/>
  <c r="Z22" i="19" s="1"/>
  <c r="Z10" i="18"/>
  <c r="Z10" i="19" s="1"/>
  <c r="Z10" i="20" s="1"/>
  <c r="Z10" i="21" s="1"/>
  <c r="Z10" i="22" s="1"/>
  <c r="Z10" i="23" s="1"/>
  <c r="Z10" i="24" s="1"/>
  <c r="Z10" i="25" s="1"/>
  <c r="Z10" i="26" s="1"/>
  <c r="Z10" i="27" s="1"/>
  <c r="Z10" i="28" s="1"/>
  <c r="Z10" i="29" s="1"/>
  <c r="Z10" i="30" s="1"/>
  <c r="Z10" i="31" s="1"/>
  <c r="Z10" i="32" s="1"/>
  <c r="AF35" i="14"/>
  <c r="AF35" i="15" s="1"/>
  <c r="AF35" i="16" s="1"/>
  <c r="AF35" i="17" s="1"/>
  <c r="AF35" i="18" s="1"/>
  <c r="AF35" i="19" s="1"/>
  <c r="AF35" i="20" s="1"/>
  <c r="AF35" i="21" s="1"/>
  <c r="AF35" i="22" s="1"/>
  <c r="AF35" i="23" s="1"/>
  <c r="AF35" i="24" s="1"/>
  <c r="AF35" i="25" s="1"/>
  <c r="AF35" i="26" s="1"/>
  <c r="AF35" i="27" s="1"/>
  <c r="AF35" i="28" s="1"/>
  <c r="AF35" i="29" s="1"/>
  <c r="AF35" i="30" s="1"/>
  <c r="AF35" i="31" s="1"/>
  <c r="AF35" i="32" s="1"/>
  <c r="AF39" i="14"/>
  <c r="AF39" i="15" s="1"/>
  <c r="AF39" i="16" s="1"/>
  <c r="AF39" i="17" s="1"/>
  <c r="AF39" i="18" s="1"/>
  <c r="AF39" i="19" s="1"/>
  <c r="AF39" i="20" s="1"/>
  <c r="AF39" i="21" s="1"/>
  <c r="AF39" i="22" s="1"/>
  <c r="AF39" i="23" s="1"/>
  <c r="AF39" i="24" s="1"/>
  <c r="AF39" i="25" s="1"/>
  <c r="AF39" i="26" s="1"/>
  <c r="AF39" i="27" s="1"/>
  <c r="AF39" i="28" s="1"/>
  <c r="AF39" i="29" s="1"/>
  <c r="AF39" i="30" s="1"/>
  <c r="AF39" i="31" s="1"/>
  <c r="AF39" i="32" s="1"/>
  <c r="AG39" i="14"/>
  <c r="AG39" i="15" s="1"/>
  <c r="AG39" i="16" s="1"/>
  <c r="AG39" i="17" s="1"/>
  <c r="AG39" i="18" s="1"/>
  <c r="AG39" i="19" s="1"/>
  <c r="AG39" i="20" s="1"/>
  <c r="AG39" i="21" s="1"/>
  <c r="AG39" i="22" s="1"/>
  <c r="AG39" i="23" s="1"/>
  <c r="AG39" i="24" s="1"/>
  <c r="AG39" i="25" s="1"/>
  <c r="AG39" i="26" s="1"/>
  <c r="AG39" i="27" s="1"/>
  <c r="AG39" i="28" s="1"/>
  <c r="AG39" i="29" s="1"/>
  <c r="AG39" i="30" s="1"/>
  <c r="AG39" i="31" s="1"/>
  <c r="AG39" i="32" s="1"/>
  <c r="AG34" i="14"/>
  <c r="AG34" i="15" s="1"/>
  <c r="AG34" i="16" s="1"/>
  <c r="AG34" i="17" s="1"/>
  <c r="AG34" i="18" s="1"/>
  <c r="AG34" i="19" s="1"/>
  <c r="AG34" i="20" s="1"/>
  <c r="AG34" i="21" s="1"/>
  <c r="AG34" i="22" s="1"/>
  <c r="AG34" i="23" s="1"/>
  <c r="AG34" i="24" s="1"/>
  <c r="AG34" i="25" s="1"/>
  <c r="AG34" i="26" s="1"/>
  <c r="AG34" i="27" s="1"/>
  <c r="AG34" i="28" s="1"/>
  <c r="AG34" i="29" s="1"/>
  <c r="AG34" i="30" s="1"/>
  <c r="AG34" i="31" s="1"/>
  <c r="AG34" i="32" s="1"/>
  <c r="AD1180" i="33"/>
  <c r="I38" i="18"/>
  <c r="S9" i="19"/>
  <c r="S9" i="20" s="1"/>
  <c r="S9" i="21" s="1"/>
  <c r="S9" i="22" s="1"/>
  <c r="S9" i="23" s="1"/>
  <c r="S9" i="24" s="1"/>
  <c r="S9" i="25" s="1"/>
  <c r="S9" i="26" s="1"/>
  <c r="S9" i="27" s="1"/>
  <c r="S9" i="28" s="1"/>
  <c r="S9" i="29" s="1"/>
  <c r="S9" i="30" s="1"/>
  <c r="S9" i="31" s="1"/>
  <c r="S9" i="32" s="1"/>
  <c r="S31" i="19"/>
  <c r="S31" i="20" s="1"/>
  <c r="S31" i="21" s="1"/>
  <c r="S31" i="22" s="1"/>
  <c r="S31" i="23" s="1"/>
  <c r="S31" i="24" s="1"/>
  <c r="S31" i="25" s="1"/>
  <c r="S31" i="26" s="1"/>
  <c r="S31" i="27" s="1"/>
  <c r="S31" i="28" s="1"/>
  <c r="S31" i="29" s="1"/>
  <c r="S31" i="30" s="1"/>
  <c r="S31" i="31" s="1"/>
  <c r="S31" i="32" s="1"/>
  <c r="S27" i="19"/>
  <c r="S27" i="20" s="1"/>
  <c r="S27" i="21" s="1"/>
  <c r="S27" i="22" s="1"/>
  <c r="S27" i="23" s="1"/>
  <c r="S27" i="24" s="1"/>
  <c r="S27" i="25" s="1"/>
  <c r="S27" i="26" s="1"/>
  <c r="S27" i="27" s="1"/>
  <c r="S27" i="28" s="1"/>
  <c r="S27" i="29" s="1"/>
  <c r="S27" i="30" s="1"/>
  <c r="S27" i="31" s="1"/>
  <c r="S27" i="32" s="1"/>
  <c r="S34" i="19"/>
  <c r="S34" i="20" s="1"/>
  <c r="S34" i="21" s="1"/>
  <c r="S34" i="22" s="1"/>
  <c r="S34" i="23" s="1"/>
  <c r="S34" i="24" s="1"/>
  <c r="S34" i="25" s="1"/>
  <c r="S34" i="26" s="1"/>
  <c r="S34" i="27" s="1"/>
  <c r="S34" i="28" s="1"/>
  <c r="S34" i="29" s="1"/>
  <c r="S34" i="30" s="1"/>
  <c r="S34" i="31" s="1"/>
  <c r="S34" i="32" s="1"/>
  <c r="S30" i="19"/>
  <c r="S30" i="20" s="1"/>
  <c r="S30" i="21" s="1"/>
  <c r="S30" i="22" s="1"/>
  <c r="S30" i="23" s="1"/>
  <c r="S30" i="24" s="1"/>
  <c r="S30" i="25" s="1"/>
  <c r="S30" i="26" s="1"/>
  <c r="S30" i="27" s="1"/>
  <c r="S30" i="28" s="1"/>
  <c r="S30" i="29" s="1"/>
  <c r="S30" i="30" s="1"/>
  <c r="S30" i="31" s="1"/>
  <c r="S30" i="32" s="1"/>
  <c r="S10" i="21"/>
  <c r="S10" i="22" s="1"/>
  <c r="S10" i="23" s="1"/>
  <c r="S10" i="24" s="1"/>
  <c r="S10" i="25" s="1"/>
  <c r="S10" i="26" s="1"/>
  <c r="S10" i="27" s="1"/>
  <c r="S10" i="28" s="1"/>
  <c r="S10" i="29" s="1"/>
  <c r="S10" i="30" s="1"/>
  <c r="S10" i="31" s="1"/>
  <c r="S10" i="32" s="1"/>
  <c r="S18" i="19"/>
  <c r="S18" i="20" s="1"/>
  <c r="S18" i="21" s="1"/>
  <c r="S18" i="22" s="1"/>
  <c r="S18" i="23" s="1"/>
  <c r="S18" i="24" s="1"/>
  <c r="S18" i="25" s="1"/>
  <c r="S18" i="26" s="1"/>
  <c r="S18" i="27" s="1"/>
  <c r="S18" i="28" s="1"/>
  <c r="S18" i="29" s="1"/>
  <c r="S18" i="30" s="1"/>
  <c r="S18" i="31" s="1"/>
  <c r="S18" i="32" s="1"/>
  <c r="S35" i="19"/>
  <c r="S35" i="20" s="1"/>
  <c r="S35" i="21" s="1"/>
  <c r="S35" i="22" s="1"/>
  <c r="S35" i="23" s="1"/>
  <c r="S35" i="24" s="1"/>
  <c r="S35" i="25" s="1"/>
  <c r="S35" i="26" s="1"/>
  <c r="S35" i="27" s="1"/>
  <c r="S35" i="28" s="1"/>
  <c r="S35" i="29" s="1"/>
  <c r="S35" i="30" s="1"/>
  <c r="S35" i="31" s="1"/>
  <c r="S35" i="32" s="1"/>
  <c r="S33" i="19"/>
  <c r="S33" i="20" s="1"/>
  <c r="S33" i="21" s="1"/>
  <c r="S33" i="22" s="1"/>
  <c r="S33" i="23" s="1"/>
  <c r="S33" i="24" s="1"/>
  <c r="S33" i="25" s="1"/>
  <c r="S33" i="26" s="1"/>
  <c r="S33" i="27" s="1"/>
  <c r="S33" i="28" s="1"/>
  <c r="S33" i="29" s="1"/>
  <c r="S33" i="30" s="1"/>
  <c r="S33" i="31" s="1"/>
  <c r="S33" i="32" s="1"/>
  <c r="S29" i="19"/>
  <c r="S29" i="20" s="1"/>
  <c r="S29" i="21" s="1"/>
  <c r="S29" i="22" s="1"/>
  <c r="S29" i="23" s="1"/>
  <c r="S29" i="24" s="1"/>
  <c r="S29" i="25" s="1"/>
  <c r="S29" i="26" s="1"/>
  <c r="S29" i="27" s="1"/>
  <c r="S29" i="28" s="1"/>
  <c r="S29" i="29" s="1"/>
  <c r="S29" i="30" s="1"/>
  <c r="S29" i="31" s="1"/>
  <c r="S29" i="32" s="1"/>
  <c r="S36" i="19"/>
  <c r="S36" i="20" s="1"/>
  <c r="S36" i="21" s="1"/>
  <c r="S36" i="22" s="1"/>
  <c r="S36" i="23" s="1"/>
  <c r="S36" i="24" s="1"/>
  <c r="S36" i="25" s="1"/>
  <c r="S36" i="26" s="1"/>
  <c r="S36" i="27" s="1"/>
  <c r="S36" i="28" s="1"/>
  <c r="S36" i="29" s="1"/>
  <c r="S36" i="30" s="1"/>
  <c r="S36" i="31" s="1"/>
  <c r="S36" i="32" s="1"/>
  <c r="S32" i="19"/>
  <c r="S32" i="20" s="1"/>
  <c r="S32" i="21" s="1"/>
  <c r="S32" i="22" s="1"/>
  <c r="S32" i="23" s="1"/>
  <c r="S32" i="24" s="1"/>
  <c r="S32" i="25" s="1"/>
  <c r="S32" i="26" s="1"/>
  <c r="S32" i="27" s="1"/>
  <c r="S32" i="28" s="1"/>
  <c r="S32" i="29" s="1"/>
  <c r="S32" i="30" s="1"/>
  <c r="S32" i="31" s="1"/>
  <c r="S32" i="32" s="1"/>
  <c r="S28" i="19"/>
  <c r="S28" i="20" s="1"/>
  <c r="S28" i="21" s="1"/>
  <c r="S28" i="22" s="1"/>
  <c r="S28" i="23" s="1"/>
  <c r="S28" i="24" s="1"/>
  <c r="S28" i="25" s="1"/>
  <c r="S28" i="26" s="1"/>
  <c r="S28" i="27" s="1"/>
  <c r="S28" i="28" s="1"/>
  <c r="S28" i="29" s="1"/>
  <c r="S28" i="30" s="1"/>
  <c r="S28" i="31" s="1"/>
  <c r="S28" i="32" s="1"/>
  <c r="F42" i="7"/>
  <c r="F42" i="8" s="1"/>
  <c r="F42" i="9" s="1"/>
  <c r="F41" i="7"/>
  <c r="F41" i="8" s="1"/>
  <c r="F41" i="9" s="1"/>
  <c r="F40" i="7"/>
  <c r="F40" i="8" s="1"/>
  <c r="F40" i="9" s="1"/>
  <c r="AD209" i="33"/>
  <c r="L13" i="2" s="1"/>
  <c r="I13" i="2"/>
  <c r="AD859" i="33"/>
  <c r="L30" i="2" s="1"/>
  <c r="I30" i="2"/>
  <c r="AD745" i="33"/>
  <c r="L27" i="2" s="1"/>
  <c r="I27" i="2"/>
  <c r="H49" i="2"/>
  <c r="AG23" i="13"/>
  <c r="AG23" i="14" s="1"/>
  <c r="AG23" i="15" s="1"/>
  <c r="AG23" i="16" s="1"/>
  <c r="AG23" i="17" s="1"/>
  <c r="AG23" i="18" s="1"/>
  <c r="AG23" i="19" s="1"/>
  <c r="T36" i="6"/>
  <c r="V36" i="6" s="1"/>
  <c r="X36" i="6" s="1"/>
  <c r="T36" i="7" s="1"/>
  <c r="V36" i="7" s="1"/>
  <c r="X36" i="7" s="1"/>
  <c r="T36" i="8" s="1"/>
  <c r="V36" i="8" s="1"/>
  <c r="X36" i="8" s="1"/>
  <c r="T36" i="9" s="1"/>
  <c r="V36" i="9" s="1"/>
  <c r="X36" i="9" s="1"/>
  <c r="T36" i="37" s="1"/>
  <c r="V36" i="37" s="1"/>
  <c r="X36" i="37" s="1"/>
  <c r="T36" i="11" s="1"/>
  <c r="V36" i="11" s="1"/>
  <c r="X36" i="11" s="1"/>
  <c r="T36" i="12" s="1"/>
  <c r="V36" i="12" s="1"/>
  <c r="X36" i="12" s="1"/>
  <c r="T36" i="13" s="1"/>
  <c r="V36" i="13" s="1"/>
  <c r="X36" i="13" s="1"/>
  <c r="T36" i="14" s="1"/>
  <c r="V36" i="14" s="1"/>
  <c r="X36" i="14" s="1"/>
  <c r="T36" i="15" s="1"/>
  <c r="V36" i="15" s="1"/>
  <c r="X36" i="15" s="1"/>
  <c r="T36" i="16" s="1"/>
  <c r="V36" i="16" s="1"/>
  <c r="X36" i="16" s="1"/>
  <c r="Z21" i="14"/>
  <c r="Z21" i="15" s="1"/>
  <c r="Z21" i="16" s="1"/>
  <c r="Z21" i="17" s="1"/>
  <c r="Z21" i="18" s="1"/>
  <c r="F39" i="7"/>
  <c r="F39" i="8" s="1"/>
  <c r="F39" i="9" s="1"/>
  <c r="V31" i="3"/>
  <c r="X31" i="3" s="1"/>
  <c r="T31" i="4" s="1"/>
  <c r="V31" i="4" s="1"/>
  <c r="X31" i="4" s="1"/>
  <c r="T31" i="5" s="1"/>
  <c r="V31" i="5" s="1"/>
  <c r="X31" i="5" s="1"/>
  <c r="Y44" i="2"/>
  <c r="CB36" i="49"/>
  <c r="AJ8" i="3"/>
  <c r="AJ10" i="3" s="1"/>
  <c r="AJ8" i="4" s="1"/>
  <c r="AJ10" i="4" s="1"/>
  <c r="AJ8" i="5" s="1"/>
  <c r="AJ10" i="5" s="1"/>
  <c r="AJ8" i="6" s="1"/>
  <c r="AJ10" i="6" s="1"/>
  <c r="AJ8" i="7" s="1"/>
  <c r="AJ10" i="7" s="1"/>
  <c r="AJ8" i="8" s="1"/>
  <c r="AJ10" i="8" s="1"/>
  <c r="AE42" i="2"/>
  <c r="AA42" i="3" s="1"/>
  <c r="AC42" i="3" s="1"/>
  <c r="AE42" i="3" s="1"/>
  <c r="AA42" i="4" s="1"/>
  <c r="AC42" i="4" s="1"/>
  <c r="AE42" i="4" s="1"/>
  <c r="AA42" i="5" s="1"/>
  <c r="AC42" i="5" s="1"/>
  <c r="AE42" i="5" s="1"/>
  <c r="AA42" i="6" s="1"/>
  <c r="AC42" i="6" s="1"/>
  <c r="AE42" i="6" s="1"/>
  <c r="AA42" i="7" s="1"/>
  <c r="AC42" i="7" s="1"/>
  <c r="AE42" i="7" s="1"/>
  <c r="AA42" i="8" s="1"/>
  <c r="AC42" i="8" s="1"/>
  <c r="AE42" i="8" s="1"/>
  <c r="AA42" i="9" s="1"/>
  <c r="AC42" i="9" s="1"/>
  <c r="AE42" i="9" s="1"/>
  <c r="AA42" i="37" s="1"/>
  <c r="AC42" i="37" s="1"/>
  <c r="AE42" i="37" s="1"/>
  <c r="AA42" i="11" s="1"/>
  <c r="AC42" i="11" s="1"/>
  <c r="AE42" i="11" s="1"/>
  <c r="AA42" i="12" s="1"/>
  <c r="AC42" i="12" s="1"/>
  <c r="AE42" i="12" s="1"/>
  <c r="AA42" i="13" s="1"/>
  <c r="AC42" i="13" s="1"/>
  <c r="AE42" i="13" s="1"/>
  <c r="AE38" i="2"/>
  <c r="AA38" i="3" s="1"/>
  <c r="AC38" i="3" s="1"/>
  <c r="AE38" i="3" s="1"/>
  <c r="AA38" i="4" s="1"/>
  <c r="AC38" i="4" s="1"/>
  <c r="AE38" i="4" s="1"/>
  <c r="AA38" i="5" s="1"/>
  <c r="AC38" i="5" s="1"/>
  <c r="AE38" i="5" s="1"/>
  <c r="AA38" i="6" s="1"/>
  <c r="AC38" i="6" s="1"/>
  <c r="AE38" i="6" s="1"/>
  <c r="AA38" i="7" s="1"/>
  <c r="AC38" i="7" s="1"/>
  <c r="AE38" i="7" s="1"/>
  <c r="AA38" i="8" s="1"/>
  <c r="AC38" i="8" s="1"/>
  <c r="AE38" i="8" s="1"/>
  <c r="AA38" i="9" s="1"/>
  <c r="AC38" i="9" s="1"/>
  <c r="AE38" i="9" s="1"/>
  <c r="AA38" i="37" s="1"/>
  <c r="AC38" i="37" s="1"/>
  <c r="AE38" i="37" s="1"/>
  <c r="AA38" i="11" s="1"/>
  <c r="AC38" i="11" s="1"/>
  <c r="AE38" i="11" s="1"/>
  <c r="AA38" i="12" s="1"/>
  <c r="AC38" i="12" s="1"/>
  <c r="AE38" i="12" s="1"/>
  <c r="AA38" i="13" s="1"/>
  <c r="AC38" i="13" s="1"/>
  <c r="AE38" i="13" s="1"/>
  <c r="AE34" i="2"/>
  <c r="AA34" i="3" s="1"/>
  <c r="AC34" i="3" s="1"/>
  <c r="AE34" i="3" s="1"/>
  <c r="AA34" i="4" s="1"/>
  <c r="AC34" i="4" s="1"/>
  <c r="AE34" i="4" s="1"/>
  <c r="AA34" i="5" s="1"/>
  <c r="AC34" i="5" s="1"/>
  <c r="AE34" i="5" s="1"/>
  <c r="AA34" i="6" s="1"/>
  <c r="AC34" i="6" s="1"/>
  <c r="AE34" i="6" s="1"/>
  <c r="AA34" i="7" s="1"/>
  <c r="AC34" i="7" s="1"/>
  <c r="AE34" i="7" s="1"/>
  <c r="AA34" i="8" s="1"/>
  <c r="AC34" i="8" s="1"/>
  <c r="AE34" i="8" s="1"/>
  <c r="AA34" i="9" s="1"/>
  <c r="AC34" i="9" s="1"/>
  <c r="AE34" i="9" s="1"/>
  <c r="AA34" i="37" s="1"/>
  <c r="AC34" i="37" s="1"/>
  <c r="AE34" i="37" s="1"/>
  <c r="AA34" i="11" s="1"/>
  <c r="AC34" i="11" s="1"/>
  <c r="AE34" i="11" s="1"/>
  <c r="AA34" i="12" s="1"/>
  <c r="AC34" i="12" s="1"/>
  <c r="AE34" i="12" s="1"/>
  <c r="AA34" i="13" s="1"/>
  <c r="AC34" i="13" s="1"/>
  <c r="AE34" i="13" s="1"/>
  <c r="AE40" i="2"/>
  <c r="AA40" i="3" s="1"/>
  <c r="AC40" i="3" s="1"/>
  <c r="AE40" i="3" s="1"/>
  <c r="AA40" i="4" s="1"/>
  <c r="AC40" i="4" s="1"/>
  <c r="AE40" i="4" s="1"/>
  <c r="AA40" i="5" s="1"/>
  <c r="AC40" i="5" s="1"/>
  <c r="AE40" i="5" s="1"/>
  <c r="AA40" i="6" s="1"/>
  <c r="AC40" i="6" s="1"/>
  <c r="AE40" i="6" s="1"/>
  <c r="AA40" i="7" s="1"/>
  <c r="AC40" i="7" s="1"/>
  <c r="AE40" i="7" s="1"/>
  <c r="AA40" i="8" s="1"/>
  <c r="AC40" i="8" s="1"/>
  <c r="AE40" i="8" s="1"/>
  <c r="AA40" i="9" s="1"/>
  <c r="AC40" i="9" s="1"/>
  <c r="AE40" i="9" s="1"/>
  <c r="AA40" i="37" s="1"/>
  <c r="AC40" i="37" s="1"/>
  <c r="AE40" i="37" s="1"/>
  <c r="AA40" i="11" s="1"/>
  <c r="AC40" i="11" s="1"/>
  <c r="AE40" i="11" s="1"/>
  <c r="AA40" i="12" s="1"/>
  <c r="AC40" i="12" s="1"/>
  <c r="AE40" i="12" s="1"/>
  <c r="AA40" i="13" s="1"/>
  <c r="AC40" i="13" s="1"/>
  <c r="AE40" i="13" s="1"/>
  <c r="AE36" i="2"/>
  <c r="AA36" i="3" s="1"/>
  <c r="AC36" i="3" s="1"/>
  <c r="AE36" i="3" s="1"/>
  <c r="AA36" i="4" s="1"/>
  <c r="AC36" i="4" s="1"/>
  <c r="AE36" i="4" s="1"/>
  <c r="AA36" i="5" s="1"/>
  <c r="AC36" i="5" s="1"/>
  <c r="AE36" i="5" s="1"/>
  <c r="AA36" i="6" s="1"/>
  <c r="AC36" i="6" s="1"/>
  <c r="AE36" i="6" s="1"/>
  <c r="AA36" i="7" s="1"/>
  <c r="AC36" i="7" s="1"/>
  <c r="AE36" i="7" s="1"/>
  <c r="AA36" i="8" s="1"/>
  <c r="AC36" i="8" s="1"/>
  <c r="AE36" i="8" s="1"/>
  <c r="AA36" i="9" s="1"/>
  <c r="AC36" i="9" s="1"/>
  <c r="AE36" i="9" s="1"/>
  <c r="AA36" i="37" s="1"/>
  <c r="AC36" i="37" s="1"/>
  <c r="AE36" i="37" s="1"/>
  <c r="AA36" i="11" s="1"/>
  <c r="AC36" i="11" s="1"/>
  <c r="AE36" i="11" s="1"/>
  <c r="AA36" i="12" s="1"/>
  <c r="AC36" i="12" s="1"/>
  <c r="AE36" i="12" s="1"/>
  <c r="AA36" i="13" s="1"/>
  <c r="AC36" i="13" s="1"/>
  <c r="AE36" i="13" s="1"/>
  <c r="AE41" i="2"/>
  <c r="AA41" i="3" s="1"/>
  <c r="AC41" i="3" s="1"/>
  <c r="AE41" i="3" s="1"/>
  <c r="AA41" i="4" s="1"/>
  <c r="AC41" i="4" s="1"/>
  <c r="AE41" i="4" s="1"/>
  <c r="AA41" i="5" s="1"/>
  <c r="AC41" i="5" s="1"/>
  <c r="AE41" i="5" s="1"/>
  <c r="AA41" i="6" s="1"/>
  <c r="AC41" i="6" s="1"/>
  <c r="AE41" i="6" s="1"/>
  <c r="AA41" i="7" s="1"/>
  <c r="AC41" i="7" s="1"/>
  <c r="AE41" i="7" s="1"/>
  <c r="AA41" i="8" s="1"/>
  <c r="AC41" i="8" s="1"/>
  <c r="AE41" i="8" s="1"/>
  <c r="AA41" i="9" s="1"/>
  <c r="AC41" i="9" s="1"/>
  <c r="AE41" i="9" s="1"/>
  <c r="AA41" i="37" s="1"/>
  <c r="AC41" i="37" s="1"/>
  <c r="AE41" i="37" s="1"/>
  <c r="AA41" i="11" s="1"/>
  <c r="AC41" i="11" s="1"/>
  <c r="AE41" i="11" s="1"/>
  <c r="AA41" i="12" s="1"/>
  <c r="AC41" i="12" s="1"/>
  <c r="AE41" i="12" s="1"/>
  <c r="AA41" i="13" s="1"/>
  <c r="AC41" i="13" s="1"/>
  <c r="AE41" i="13" s="1"/>
  <c r="AE39" i="2"/>
  <c r="AA39" i="3" s="1"/>
  <c r="AC39" i="3" s="1"/>
  <c r="AE39" i="3" s="1"/>
  <c r="AA39" i="4" s="1"/>
  <c r="AC39" i="4" s="1"/>
  <c r="AE39" i="4" s="1"/>
  <c r="AA39" i="5" s="1"/>
  <c r="AC39" i="5" s="1"/>
  <c r="AE39" i="5" s="1"/>
  <c r="AA39" i="6" s="1"/>
  <c r="AC39" i="6" s="1"/>
  <c r="AE39" i="6" s="1"/>
  <c r="AA39" i="7" s="1"/>
  <c r="AC39" i="7" s="1"/>
  <c r="AE39" i="7" s="1"/>
  <c r="AA39" i="8" s="1"/>
  <c r="AC39" i="8" s="1"/>
  <c r="AE39" i="8" s="1"/>
  <c r="AA39" i="9" s="1"/>
  <c r="AC39" i="9" s="1"/>
  <c r="AE39" i="9" s="1"/>
  <c r="AA39" i="37" s="1"/>
  <c r="AC39" i="37" s="1"/>
  <c r="AE39" i="37" s="1"/>
  <c r="AA39" i="11" s="1"/>
  <c r="AC39" i="11" s="1"/>
  <c r="AE39" i="11" s="1"/>
  <c r="AA39" i="12" s="1"/>
  <c r="AC39" i="12" s="1"/>
  <c r="AE39" i="12" s="1"/>
  <c r="AA39" i="13" s="1"/>
  <c r="AC39" i="13" s="1"/>
  <c r="AE39" i="13" s="1"/>
  <c r="AE37" i="2"/>
  <c r="AA37" i="3" s="1"/>
  <c r="AC37" i="3" s="1"/>
  <c r="AE37" i="3" s="1"/>
  <c r="AA37" i="4" s="1"/>
  <c r="AC37" i="4" s="1"/>
  <c r="AE37" i="4" s="1"/>
  <c r="AA37" i="5" s="1"/>
  <c r="AC37" i="5" s="1"/>
  <c r="AE37" i="5" s="1"/>
  <c r="AA37" i="6" s="1"/>
  <c r="AC37" i="6" s="1"/>
  <c r="AE37" i="6" s="1"/>
  <c r="AA37" i="7" s="1"/>
  <c r="AC37" i="7" s="1"/>
  <c r="AE37" i="7" s="1"/>
  <c r="AA37" i="8" s="1"/>
  <c r="AC37" i="8" s="1"/>
  <c r="AE37" i="8" s="1"/>
  <c r="AA37" i="9" s="1"/>
  <c r="AC37" i="9" s="1"/>
  <c r="AE37" i="9" s="1"/>
  <c r="AA37" i="37" s="1"/>
  <c r="AC37" i="37" s="1"/>
  <c r="AE37" i="37" s="1"/>
  <c r="AA37" i="11" s="1"/>
  <c r="AC37" i="11" s="1"/>
  <c r="AE37" i="11" s="1"/>
  <c r="AA37" i="12" s="1"/>
  <c r="AC37" i="12" s="1"/>
  <c r="AE37" i="12" s="1"/>
  <c r="AA37" i="13" s="1"/>
  <c r="AC37" i="13" s="1"/>
  <c r="AE37" i="13" s="1"/>
  <c r="AE35" i="2"/>
  <c r="AA35" i="3" s="1"/>
  <c r="AC35" i="3" s="1"/>
  <c r="AE35" i="3" s="1"/>
  <c r="AA35" i="4" s="1"/>
  <c r="AC35" i="4" s="1"/>
  <c r="AE35" i="4" s="1"/>
  <c r="AA35" i="5" s="1"/>
  <c r="AC35" i="5" s="1"/>
  <c r="AE35" i="5" s="1"/>
  <c r="AA35" i="6" s="1"/>
  <c r="AC35" i="6" s="1"/>
  <c r="AE35" i="6" s="1"/>
  <c r="AA35" i="7" s="1"/>
  <c r="AC35" i="7" s="1"/>
  <c r="AE35" i="7" s="1"/>
  <c r="AA35" i="8" s="1"/>
  <c r="AC35" i="8" s="1"/>
  <c r="AE35" i="8" s="1"/>
  <c r="AA35" i="9" s="1"/>
  <c r="AC35" i="9" s="1"/>
  <c r="AE35" i="9" s="1"/>
  <c r="AA35" i="37" s="1"/>
  <c r="AC35" i="37" s="1"/>
  <c r="AE35" i="37" s="1"/>
  <c r="AA35" i="11" s="1"/>
  <c r="AC35" i="11" s="1"/>
  <c r="AE35" i="11" s="1"/>
  <c r="AA35" i="12" s="1"/>
  <c r="AC35" i="12" s="1"/>
  <c r="AE35" i="12" s="1"/>
  <c r="AA35" i="13" s="1"/>
  <c r="AC35" i="13" s="1"/>
  <c r="AE35" i="13" s="1"/>
  <c r="AE8" i="2"/>
  <c r="AA8" i="3" s="1"/>
  <c r="AC8" i="3" s="1"/>
  <c r="AE8" i="3" s="1"/>
  <c r="AA8" i="4" s="1"/>
  <c r="AC8" i="4" s="1"/>
  <c r="AE8" i="4" s="1"/>
  <c r="AA8" i="5" s="1"/>
  <c r="AC8" i="5" s="1"/>
  <c r="AE8" i="5" s="1"/>
  <c r="AA8" i="6" s="1"/>
  <c r="AC8" i="6" s="1"/>
  <c r="AE8" i="6" s="1"/>
  <c r="AA8" i="7" s="1"/>
  <c r="AC8" i="7" s="1"/>
  <c r="AE8" i="7" s="1"/>
  <c r="AA8" i="8" s="1"/>
  <c r="AC8" i="8" s="1"/>
  <c r="AE8" i="8" s="1"/>
  <c r="AA8" i="9" s="1"/>
  <c r="AC8" i="9" s="1"/>
  <c r="AE8" i="9" s="1"/>
  <c r="AA8" i="37" s="1"/>
  <c r="AC8" i="37" s="1"/>
  <c r="AE8" i="37" s="1"/>
  <c r="AA8" i="11" s="1"/>
  <c r="AC8" i="11" s="1"/>
  <c r="AE8" i="11" s="1"/>
  <c r="AA8" i="12" s="1"/>
  <c r="AC8" i="12" s="1"/>
  <c r="AE8" i="12" s="1"/>
  <c r="AA8" i="13" s="1"/>
  <c r="AC8" i="13" s="1"/>
  <c r="AE8" i="13" s="1"/>
  <c r="AA8" i="14" s="1"/>
  <c r="AC8" i="14" s="1"/>
  <c r="AE8" i="14" s="1"/>
  <c r="AA8" i="15" s="1"/>
  <c r="AC8" i="15" s="1"/>
  <c r="AE8" i="15" s="1"/>
  <c r="AA8" i="16" s="1"/>
  <c r="AC8" i="16" s="1"/>
  <c r="AE8" i="16" s="1"/>
  <c r="AA8" i="17" s="1"/>
  <c r="AC8" i="17" s="1"/>
  <c r="AE8" i="17" s="1"/>
  <c r="AA8" i="18" s="1"/>
  <c r="AC8" i="18" s="1"/>
  <c r="AE8" i="18" s="1"/>
  <c r="AA8" i="19" s="1"/>
  <c r="AC8" i="19" s="1"/>
  <c r="AF8" i="22"/>
  <c r="AF8" i="23" s="1"/>
  <c r="AF8" i="24" s="1"/>
  <c r="AF8" i="25" s="1"/>
  <c r="AF8" i="26" s="1"/>
  <c r="AF8" i="27" s="1"/>
  <c r="AF8" i="28" s="1"/>
  <c r="AF8" i="29" s="1"/>
  <c r="AF8" i="30" s="1"/>
  <c r="AF8" i="31" s="1"/>
  <c r="AF8" i="32" s="1"/>
  <c r="Y242" i="33"/>
  <c r="B48" i="32"/>
  <c r="Q46" i="32" s="1"/>
  <c r="BS27" i="49"/>
  <c r="AN34" i="55"/>
  <c r="AN36" i="55"/>
  <c r="AB43" i="30" s="1"/>
  <c r="AD1013" i="33"/>
  <c r="L34" i="2" s="1"/>
  <c r="A859" i="33"/>
  <c r="A860" i="33" s="1"/>
  <c r="A861" i="33" s="1"/>
  <c r="A862" i="33" s="1"/>
  <c r="A863" i="33" s="1"/>
  <c r="A864" i="33" s="1"/>
  <c r="A865" i="33" s="1"/>
  <c r="A866" i="33" s="1"/>
  <c r="A867" i="33" s="1"/>
  <c r="A868" i="33" s="1"/>
  <c r="A869" i="33" s="1"/>
  <c r="A870" i="33" s="1"/>
  <c r="A871" i="33" s="1"/>
  <c r="A872" i="33" s="1"/>
  <c r="A873" i="33" s="1"/>
  <c r="A874" i="33" s="1"/>
  <c r="A875" i="33" s="1"/>
  <c r="A876" i="33" s="1"/>
  <c r="A877" i="33" s="1"/>
  <c r="A878" i="33" s="1"/>
  <c r="A879" i="33" s="1"/>
  <c r="A880" i="33" s="1"/>
  <c r="A881" i="33" s="1"/>
  <c r="A882" i="33" s="1"/>
  <c r="A883" i="33" s="1"/>
  <c r="A884" i="33" s="1"/>
  <c r="A885" i="33" s="1"/>
  <c r="A886" i="33" s="1"/>
  <c r="A887" i="33" s="1"/>
  <c r="A888" i="33" s="1"/>
  <c r="A889" i="33" s="1"/>
  <c r="A37" i="4"/>
  <c r="A37" i="5" s="1"/>
  <c r="A37" i="6" s="1"/>
  <c r="A37" i="7" s="1"/>
  <c r="A37" i="8" s="1"/>
  <c r="A37" i="9" s="1"/>
  <c r="A37" i="37" s="1"/>
  <c r="A37" i="11" s="1"/>
  <c r="A37" i="12" s="1"/>
  <c r="A37" i="13" s="1"/>
  <c r="A37" i="14" s="1"/>
  <c r="A37" i="15" s="1"/>
  <c r="A37" i="16" s="1"/>
  <c r="A37" i="17" s="1"/>
  <c r="A37" i="18" s="1"/>
  <c r="A37" i="19" s="1"/>
  <c r="A37" i="20" s="1"/>
  <c r="A37" i="21" s="1"/>
  <c r="A37" i="22" s="1"/>
  <c r="A37" i="23" s="1"/>
  <c r="A37" i="24" s="1"/>
  <c r="A37" i="25" s="1"/>
  <c r="A37" i="26" s="1"/>
  <c r="A37" i="27" s="1"/>
  <c r="A37" i="28" s="1"/>
  <c r="A37" i="29" s="1"/>
  <c r="A37" i="30" s="1"/>
  <c r="A37" i="31" s="1"/>
  <c r="A37" i="32" s="1"/>
  <c r="Y778" i="33"/>
  <c r="AC775" i="33" s="1"/>
  <c r="K27" i="32" s="1"/>
  <c r="AN38" i="55"/>
  <c r="AN37" i="55"/>
  <c r="AN32" i="55"/>
  <c r="AN33" i="55"/>
  <c r="AN31" i="55"/>
  <c r="AN30" i="55"/>
  <c r="N58" i="30"/>
  <c r="M37" i="54"/>
  <c r="B48" i="28"/>
  <c r="Q46" i="28" s="1"/>
  <c r="B48" i="19"/>
  <c r="Q46" i="19" s="1"/>
  <c r="B48" i="24"/>
  <c r="Q46" i="24" s="1"/>
  <c r="AC32" i="2"/>
  <c r="AE32" i="2" s="1"/>
  <c r="AC31" i="3"/>
  <c r="AE31" i="3" s="1"/>
  <c r="AA31" i="4" s="1"/>
  <c r="AC31" i="4" s="1"/>
  <c r="AE31" i="4" s="1"/>
  <c r="AA31" i="5" s="1"/>
  <c r="AC31" i="5" s="1"/>
  <c r="AE31" i="5" s="1"/>
  <c r="AA31" i="6" s="1"/>
  <c r="AC31" i="6" s="1"/>
  <c r="AE31" i="6" s="1"/>
  <c r="AA31" i="7" s="1"/>
  <c r="AC31" i="7" s="1"/>
  <c r="AE31" i="7" s="1"/>
  <c r="AA31" i="8" s="1"/>
  <c r="AC31" i="8" s="1"/>
  <c r="AE31" i="8" s="1"/>
  <c r="AA31" i="9" s="1"/>
  <c r="AC31" i="9" s="1"/>
  <c r="AE31" i="9" s="1"/>
  <c r="AA31" i="37" s="1"/>
  <c r="AC31" i="37" s="1"/>
  <c r="AE31" i="37" s="1"/>
  <c r="AA31" i="11" s="1"/>
  <c r="AC31" i="11" s="1"/>
  <c r="AE31" i="11" s="1"/>
  <c r="AA31" i="12" s="1"/>
  <c r="AC31" i="12" s="1"/>
  <c r="AE31" i="12" s="1"/>
  <c r="AA31" i="13" s="1"/>
  <c r="AC31" i="13" s="1"/>
  <c r="AE31" i="13" s="1"/>
  <c r="AC30" i="3"/>
  <c r="AE30" i="3" s="1"/>
  <c r="AA30" i="4" s="1"/>
  <c r="AC30" i="4" s="1"/>
  <c r="AE30" i="4" s="1"/>
  <c r="AA30" i="5" s="1"/>
  <c r="AC30" i="5" s="1"/>
  <c r="AE30" i="5" s="1"/>
  <c r="AA30" i="6" s="1"/>
  <c r="AC30" i="6" s="1"/>
  <c r="AE30" i="6" s="1"/>
  <c r="AA30" i="7" s="1"/>
  <c r="AC30" i="7" s="1"/>
  <c r="AE30" i="7" s="1"/>
  <c r="AA30" i="8" s="1"/>
  <c r="AC30" i="8" s="1"/>
  <c r="AE30" i="8" s="1"/>
  <c r="AA30" i="9" s="1"/>
  <c r="AC30" i="9" s="1"/>
  <c r="AE30" i="9" s="1"/>
  <c r="AA30" i="37" s="1"/>
  <c r="AC30" i="37" s="1"/>
  <c r="AE30" i="37" s="1"/>
  <c r="AA30" i="11" s="1"/>
  <c r="AC30" i="11" s="1"/>
  <c r="AE30" i="11" s="1"/>
  <c r="AA30" i="12" s="1"/>
  <c r="AC30" i="12" s="1"/>
  <c r="AE30" i="12" s="1"/>
  <c r="AA30" i="13" s="1"/>
  <c r="AC30" i="13" s="1"/>
  <c r="AE30" i="13" s="1"/>
  <c r="AC29" i="3"/>
  <c r="AE29" i="3" s="1"/>
  <c r="AA29" i="4" s="1"/>
  <c r="AC29" i="4" s="1"/>
  <c r="AE29" i="4" s="1"/>
  <c r="AA29" i="5" s="1"/>
  <c r="AC29" i="5" s="1"/>
  <c r="AE29" i="5" s="1"/>
  <c r="AA29" i="6" s="1"/>
  <c r="AC29" i="6" s="1"/>
  <c r="AE29" i="6" s="1"/>
  <c r="AA29" i="7" s="1"/>
  <c r="AC29" i="7" s="1"/>
  <c r="AE29" i="7" s="1"/>
  <c r="AA29" i="8" s="1"/>
  <c r="AC29" i="8" s="1"/>
  <c r="AE29" i="8" s="1"/>
  <c r="AA29" i="9" s="1"/>
  <c r="AC29" i="9" s="1"/>
  <c r="AE29" i="9" s="1"/>
  <c r="AA29" i="37" s="1"/>
  <c r="AC29" i="37" s="1"/>
  <c r="AE29" i="37" s="1"/>
  <c r="AA29" i="11" s="1"/>
  <c r="AC29" i="11" s="1"/>
  <c r="AE29" i="11" s="1"/>
  <c r="AA29" i="12" s="1"/>
  <c r="AC29" i="12" s="1"/>
  <c r="AE29" i="12" s="1"/>
  <c r="AA29" i="13" s="1"/>
  <c r="AC29" i="13" s="1"/>
  <c r="AE29" i="13" s="1"/>
  <c r="AC28" i="3"/>
  <c r="AE28" i="3" s="1"/>
  <c r="AA28" i="4" s="1"/>
  <c r="AC28" i="4" s="1"/>
  <c r="AE28" i="4" s="1"/>
  <c r="AA28" i="5" s="1"/>
  <c r="AC28" i="5" s="1"/>
  <c r="AE28" i="5" s="1"/>
  <c r="AA28" i="6" s="1"/>
  <c r="AC28" i="6" s="1"/>
  <c r="AE28" i="6" s="1"/>
  <c r="AA28" i="7" s="1"/>
  <c r="AC28" i="7" s="1"/>
  <c r="AE28" i="7" s="1"/>
  <c r="AA28" i="8" s="1"/>
  <c r="AC28" i="8" s="1"/>
  <c r="AE28" i="8" s="1"/>
  <c r="AA28" i="9" s="1"/>
  <c r="AC28" i="9" s="1"/>
  <c r="AE28" i="9" s="1"/>
  <c r="AA28" i="37" s="1"/>
  <c r="AC28" i="37" s="1"/>
  <c r="AE28" i="37" s="1"/>
  <c r="AA28" i="11" s="1"/>
  <c r="AC28" i="11" s="1"/>
  <c r="AE28" i="11" s="1"/>
  <c r="AA28" i="12" s="1"/>
  <c r="AC28" i="12" s="1"/>
  <c r="AE28" i="12" s="1"/>
  <c r="AA28" i="13" s="1"/>
  <c r="AC28" i="13" s="1"/>
  <c r="AE28" i="13" s="1"/>
  <c r="AC27" i="3"/>
  <c r="AE27" i="3" s="1"/>
  <c r="AA27" i="4" s="1"/>
  <c r="AC27" i="4" s="1"/>
  <c r="AE27" i="4" s="1"/>
  <c r="AA27" i="5" s="1"/>
  <c r="AC27" i="5" s="1"/>
  <c r="AE27" i="5" s="1"/>
  <c r="AA27" i="6" s="1"/>
  <c r="AC27" i="6" s="1"/>
  <c r="AE27" i="6" s="1"/>
  <c r="AA27" i="7" s="1"/>
  <c r="AC27" i="7" s="1"/>
  <c r="AE27" i="7" s="1"/>
  <c r="AA27" i="8" s="1"/>
  <c r="AC27" i="8" s="1"/>
  <c r="AE27" i="8" s="1"/>
  <c r="AA27" i="9" s="1"/>
  <c r="AC27" i="9" s="1"/>
  <c r="AE27" i="9" s="1"/>
  <c r="AA27" i="37" s="1"/>
  <c r="AC27" i="37" s="1"/>
  <c r="AE27" i="37" s="1"/>
  <c r="AA27" i="11" s="1"/>
  <c r="AC27" i="11" s="1"/>
  <c r="AE27" i="11" s="1"/>
  <c r="AA27" i="12" s="1"/>
  <c r="AC27" i="12" s="1"/>
  <c r="AE27" i="12" s="1"/>
  <c r="AA27" i="13" s="1"/>
  <c r="AC27" i="13" s="1"/>
  <c r="AE27" i="13" s="1"/>
  <c r="AC26" i="3"/>
  <c r="AE26" i="3" s="1"/>
  <c r="AA26" i="4" s="1"/>
  <c r="AC26" i="4" s="1"/>
  <c r="AE26" i="4" s="1"/>
  <c r="AA26" i="5" s="1"/>
  <c r="AC26" i="5" s="1"/>
  <c r="AE26" i="5" s="1"/>
  <c r="AA26" i="6" s="1"/>
  <c r="AC26" i="6" s="1"/>
  <c r="AE26" i="6" s="1"/>
  <c r="AA26" i="7" s="1"/>
  <c r="AC26" i="7" s="1"/>
  <c r="AE26" i="7" s="1"/>
  <c r="AA26" i="8" s="1"/>
  <c r="AC26" i="8" s="1"/>
  <c r="AE26" i="8" s="1"/>
  <c r="AA26" i="9" s="1"/>
  <c r="AC26" i="9" s="1"/>
  <c r="AE26" i="9" s="1"/>
  <c r="AA26" i="37" s="1"/>
  <c r="AC26" i="37" s="1"/>
  <c r="AE26" i="37" s="1"/>
  <c r="AA26" i="11" s="1"/>
  <c r="AC26" i="11" s="1"/>
  <c r="AE26" i="11" s="1"/>
  <c r="AA26" i="12" s="1"/>
  <c r="AC26" i="12" s="1"/>
  <c r="AE26" i="12" s="1"/>
  <c r="AA26" i="13" s="1"/>
  <c r="AC26" i="13" s="1"/>
  <c r="AE26" i="13" s="1"/>
  <c r="AC24" i="3"/>
  <c r="AE24" i="3" s="1"/>
  <c r="AA24" i="4" s="1"/>
  <c r="AC24" i="4" s="1"/>
  <c r="AE24" i="4" s="1"/>
  <c r="AA24" i="5" s="1"/>
  <c r="AC24" i="5" s="1"/>
  <c r="AE24" i="5" s="1"/>
  <c r="AA24" i="6" s="1"/>
  <c r="AC24" i="6" s="1"/>
  <c r="AE24" i="6" s="1"/>
  <c r="AA24" i="7" s="1"/>
  <c r="AC24" i="7" s="1"/>
  <c r="AE24" i="7" s="1"/>
  <c r="AA24" i="8" s="1"/>
  <c r="AC24" i="8" s="1"/>
  <c r="AE24" i="8" s="1"/>
  <c r="AA24" i="9" s="1"/>
  <c r="AC24" i="9" s="1"/>
  <c r="AE24" i="9" s="1"/>
  <c r="AA24" i="37" s="1"/>
  <c r="AC24" i="37" s="1"/>
  <c r="AE24" i="37" s="1"/>
  <c r="AA24" i="11" s="1"/>
  <c r="AC24" i="11" s="1"/>
  <c r="AE24" i="11" s="1"/>
  <c r="AA24" i="12" s="1"/>
  <c r="AC24" i="12" s="1"/>
  <c r="AE24" i="12" s="1"/>
  <c r="AA24" i="13" s="1"/>
  <c r="AC24" i="13" s="1"/>
  <c r="AE24" i="13" s="1"/>
  <c r="AC23" i="3"/>
  <c r="AE23" i="3" s="1"/>
  <c r="AA23" i="4" s="1"/>
  <c r="AC23" i="4" s="1"/>
  <c r="AE23" i="4" s="1"/>
  <c r="AA23" i="5" s="1"/>
  <c r="AC23" i="5" s="1"/>
  <c r="AE23" i="5" s="1"/>
  <c r="AA23" i="6" s="1"/>
  <c r="AC23" i="6" s="1"/>
  <c r="AE23" i="6" s="1"/>
  <c r="AA23" i="7" s="1"/>
  <c r="AC23" i="7" s="1"/>
  <c r="AE23" i="7" s="1"/>
  <c r="AA23" i="8" s="1"/>
  <c r="AC23" i="8" s="1"/>
  <c r="AE23" i="8" s="1"/>
  <c r="AA23" i="9" s="1"/>
  <c r="AC23" i="9" s="1"/>
  <c r="AE23" i="9" s="1"/>
  <c r="AA23" i="37" s="1"/>
  <c r="AC23" i="37" s="1"/>
  <c r="AE23" i="37" s="1"/>
  <c r="AA23" i="11" s="1"/>
  <c r="AC23" i="11" s="1"/>
  <c r="AE23" i="11" s="1"/>
  <c r="AA23" i="12" s="1"/>
  <c r="AC23" i="12" s="1"/>
  <c r="AE23" i="12" s="1"/>
  <c r="AA23" i="13" s="1"/>
  <c r="AC23" i="13" s="1"/>
  <c r="AC22" i="3"/>
  <c r="AE22" i="3" s="1"/>
  <c r="AA22" i="4" s="1"/>
  <c r="AC22" i="4" s="1"/>
  <c r="AE22" i="4" s="1"/>
  <c r="AA22" i="5" s="1"/>
  <c r="AC22" i="5" s="1"/>
  <c r="AE22" i="5" s="1"/>
  <c r="AA22" i="6" s="1"/>
  <c r="AC22" i="6" s="1"/>
  <c r="AE22" i="6" s="1"/>
  <c r="AA22" i="7" s="1"/>
  <c r="AC22" i="7" s="1"/>
  <c r="AE22" i="7" s="1"/>
  <c r="AC21" i="3"/>
  <c r="AE21" i="3" s="1"/>
  <c r="AA21" i="4" s="1"/>
  <c r="AC21" i="4" s="1"/>
  <c r="AE21" i="4" s="1"/>
  <c r="AA21" i="5" s="1"/>
  <c r="AC21" i="5" s="1"/>
  <c r="AE21" i="5" s="1"/>
  <c r="AA21" i="6" s="1"/>
  <c r="AC21" i="6" s="1"/>
  <c r="AE21" i="6" s="1"/>
  <c r="AA21" i="7" s="1"/>
  <c r="AC21" i="7" s="1"/>
  <c r="AE21" i="7" s="1"/>
  <c r="AA21" i="8" s="1"/>
  <c r="AC21" i="8" s="1"/>
  <c r="AE21" i="8" s="1"/>
  <c r="AA21" i="9" s="1"/>
  <c r="AC21" i="9" s="1"/>
  <c r="AE21" i="9" s="1"/>
  <c r="AA21" i="37" s="1"/>
  <c r="AC21" i="37" s="1"/>
  <c r="AE21" i="37" s="1"/>
  <c r="AA21" i="11" s="1"/>
  <c r="AC21" i="11" s="1"/>
  <c r="AE21" i="11" s="1"/>
  <c r="AA21" i="12" s="1"/>
  <c r="AC21" i="12" s="1"/>
  <c r="AE21" i="12" s="1"/>
  <c r="AA21" i="13" s="1"/>
  <c r="AC20" i="3"/>
  <c r="AE20" i="3" s="1"/>
  <c r="AA20" i="4" s="1"/>
  <c r="AC20" i="4" s="1"/>
  <c r="AE20" i="4" s="1"/>
  <c r="AA20" i="5" s="1"/>
  <c r="AC20" i="5" s="1"/>
  <c r="AE20" i="5" s="1"/>
  <c r="AA20" i="6" s="1"/>
  <c r="AC20" i="6" s="1"/>
  <c r="AE20" i="6" s="1"/>
  <c r="AA20" i="7" s="1"/>
  <c r="AC20" i="7" s="1"/>
  <c r="AE20" i="7" s="1"/>
  <c r="AA20" i="8" s="1"/>
  <c r="AC20" i="8" s="1"/>
  <c r="AE20" i="8" s="1"/>
  <c r="AA20" i="9" s="1"/>
  <c r="AC20" i="9" s="1"/>
  <c r="AE20" i="9" s="1"/>
  <c r="AA20" i="37" s="1"/>
  <c r="AC20" i="37" s="1"/>
  <c r="AE20" i="37" s="1"/>
  <c r="AA20" i="11" s="1"/>
  <c r="AC20" i="11" s="1"/>
  <c r="AE20" i="11" s="1"/>
  <c r="AC19" i="3"/>
  <c r="AE19" i="3" s="1"/>
  <c r="AA19" i="4" s="1"/>
  <c r="AC19" i="4" s="1"/>
  <c r="AE19" i="4" s="1"/>
  <c r="AA19" i="5" s="1"/>
  <c r="AC19" i="5" s="1"/>
  <c r="AE19" i="5" s="1"/>
  <c r="AA19" i="6" s="1"/>
  <c r="AC19" i="6" s="1"/>
  <c r="AC10" i="3"/>
  <c r="AE10" i="3" s="1"/>
  <c r="AA10" i="4" s="1"/>
  <c r="AC10" i="4" s="1"/>
  <c r="AE10" i="4" s="1"/>
  <c r="AA10" i="5" s="1"/>
  <c r="AC10" i="5" s="1"/>
  <c r="AE10" i="5" s="1"/>
  <c r="AA10" i="6" s="1"/>
  <c r="AC10" i="6" s="1"/>
  <c r="AE10" i="6" s="1"/>
  <c r="AC9" i="3"/>
  <c r="AE9" i="3" s="1"/>
  <c r="AA9" i="4" s="1"/>
  <c r="AD898" i="33"/>
  <c r="K46" i="3"/>
  <c r="AD557" i="33"/>
  <c r="N46" i="2"/>
  <c r="J46" i="2"/>
  <c r="N58" i="19"/>
  <c r="AB33" i="22"/>
  <c r="AB43" i="22" s="1"/>
  <c r="AB33" i="32"/>
  <c r="AC25" i="3"/>
  <c r="AE25" i="3" s="1"/>
  <c r="AA25" i="4" s="1"/>
  <c r="AC25" i="4" s="1"/>
  <c r="AE25" i="4" s="1"/>
  <c r="AA25" i="5" s="1"/>
  <c r="AC25" i="5" s="1"/>
  <c r="AE25" i="5" s="1"/>
  <c r="AA25" i="6" s="1"/>
  <c r="AC25" i="6" s="1"/>
  <c r="AE25" i="6" s="1"/>
  <c r="AA25" i="7" s="1"/>
  <c r="AC25" i="7" s="1"/>
  <c r="AE25" i="7" s="1"/>
  <c r="AA25" i="8" s="1"/>
  <c r="AC25" i="8" s="1"/>
  <c r="AE25" i="8" s="1"/>
  <c r="AA25" i="9" s="1"/>
  <c r="AC25" i="9" s="1"/>
  <c r="AE25" i="9" s="1"/>
  <c r="AA25" i="37" s="1"/>
  <c r="AC25" i="37" s="1"/>
  <c r="AE25" i="37" s="1"/>
  <c r="AA25" i="11" s="1"/>
  <c r="AC25" i="11" s="1"/>
  <c r="AE25" i="11" s="1"/>
  <c r="AA25" i="12" s="1"/>
  <c r="AC25" i="12" s="1"/>
  <c r="AE25" i="12" s="1"/>
  <c r="AA25" i="13" s="1"/>
  <c r="AC25" i="13" s="1"/>
  <c r="AE25" i="13" s="1"/>
  <c r="AB33" i="17"/>
  <c r="AB43" i="17" s="1"/>
  <c r="Y1082" i="33"/>
  <c r="N58" i="22"/>
  <c r="AD45" i="3"/>
  <c r="AD44" i="4" s="1"/>
  <c r="AD45" i="4" s="1"/>
  <c r="AD44" i="5" s="1"/>
  <c r="AD45" i="5" s="1"/>
  <c r="AD44" i="6" s="1"/>
  <c r="AD45" i="6" s="1"/>
  <c r="AD44" i="7" s="1"/>
  <c r="AD45" i="7" s="1"/>
  <c r="AD44" i="8" s="1"/>
  <c r="AD45" i="8" s="1"/>
  <c r="AD44" i="9" s="1"/>
  <c r="AD45" i="9" s="1"/>
  <c r="AD44" i="37" s="1"/>
  <c r="AD45" i="37" s="1"/>
  <c r="AD44" i="11" s="1"/>
  <c r="AD45" i="11" s="1"/>
  <c r="AD44" i="12" s="1"/>
  <c r="AD45" i="12" s="1"/>
  <c r="AD44" i="13" s="1"/>
  <c r="AD45" i="13" s="1"/>
  <c r="AD44" i="14" s="1"/>
  <c r="AD45" i="14" s="1"/>
  <c r="AD44" i="15" s="1"/>
  <c r="AD45" i="15" s="1"/>
  <c r="AD44" i="16" s="1"/>
  <c r="AD45" i="16" s="1"/>
  <c r="AD44" i="17" s="1"/>
  <c r="AD45" i="17" s="1"/>
  <c r="AD44" i="18" s="1"/>
  <c r="AD45" i="18" s="1"/>
  <c r="AD44" i="19" s="1"/>
  <c r="AD45" i="19" s="1"/>
  <c r="AD44" i="20" s="1"/>
  <c r="AD45" i="20" s="1"/>
  <c r="AD44" i="21" s="1"/>
  <c r="AD45" i="21" s="1"/>
  <c r="AD44" i="22" s="1"/>
  <c r="AD45" i="22" s="1"/>
  <c r="AD44" i="23" s="1"/>
  <c r="AD45" i="23" s="1"/>
  <c r="AD44" i="24" s="1"/>
  <c r="AD45" i="24" s="1"/>
  <c r="AD44" i="25" s="1"/>
  <c r="AD45" i="25" s="1"/>
  <c r="AD44" i="26" s="1"/>
  <c r="AD45" i="26" s="1"/>
  <c r="AD44" i="27" s="1"/>
  <c r="AD45" i="27" s="1"/>
  <c r="AD44" i="28" s="1"/>
  <c r="AD45" i="28" s="1"/>
  <c r="AD44" i="29" s="1"/>
  <c r="AD45" i="29" s="1"/>
  <c r="AD44" i="30" s="1"/>
  <c r="AD45" i="30" s="1"/>
  <c r="AD44" i="31" s="1"/>
  <c r="AD45" i="31" s="1"/>
  <c r="AD44" i="32" s="1"/>
  <c r="AD45" i="32" s="1"/>
  <c r="Z31" i="15"/>
  <c r="Z31" i="16" s="1"/>
  <c r="Z31" i="17" s="1"/>
  <c r="Z31" i="18" s="1"/>
  <c r="Z31" i="19" s="1"/>
  <c r="Z31" i="20" s="1"/>
  <c r="Z31" i="21" s="1"/>
  <c r="Z31" i="22" s="1"/>
  <c r="Z31" i="23" s="1"/>
  <c r="Z31" i="24" s="1"/>
  <c r="Z31" i="25" s="1"/>
  <c r="Z31" i="26" s="1"/>
  <c r="Z31" i="27" s="1"/>
  <c r="Z31" i="28" s="1"/>
  <c r="Z31" i="29" s="1"/>
  <c r="Z31" i="30" s="1"/>
  <c r="Z31" i="31" s="1"/>
  <c r="Z31" i="32" s="1"/>
  <c r="Z32" i="15"/>
  <c r="Z32" i="16" s="1"/>
  <c r="Z32" i="17" s="1"/>
  <c r="Z32" i="18" s="1"/>
  <c r="Z32" i="19" s="1"/>
  <c r="Z32" i="20" s="1"/>
  <c r="Z32" i="21" s="1"/>
  <c r="Z32" i="22" s="1"/>
  <c r="Z32" i="23" s="1"/>
  <c r="Z32" i="24" s="1"/>
  <c r="Z32" i="25" s="1"/>
  <c r="Z32" i="26" s="1"/>
  <c r="Z32" i="27" s="1"/>
  <c r="Z32" i="28" s="1"/>
  <c r="Z32" i="29" s="1"/>
  <c r="Z32" i="30" s="1"/>
  <c r="Z32" i="31" s="1"/>
  <c r="Z32" i="32" s="1"/>
  <c r="Z30" i="15"/>
  <c r="Z30" i="16" s="1"/>
  <c r="Z30" i="17" s="1"/>
  <c r="Z30" i="18" s="1"/>
  <c r="Z30" i="19" s="1"/>
  <c r="Z30" i="20" s="1"/>
  <c r="Z30" i="21" s="1"/>
  <c r="Z30" i="22" s="1"/>
  <c r="Z30" i="23" s="1"/>
  <c r="Z30" i="24" s="1"/>
  <c r="Z30" i="25" s="1"/>
  <c r="Z30" i="26" s="1"/>
  <c r="Z30" i="27" s="1"/>
  <c r="Z30" i="28" s="1"/>
  <c r="Z30" i="29" s="1"/>
  <c r="Z30" i="30" s="1"/>
  <c r="Z30" i="31" s="1"/>
  <c r="Z30" i="32" s="1"/>
  <c r="AB33" i="27"/>
  <c r="B48" i="4"/>
  <c r="Q46" i="4" s="1"/>
  <c r="Y929" i="33"/>
  <c r="N10" i="3"/>
  <c r="N10" i="4" s="1"/>
  <c r="A64" i="33"/>
  <c r="Y814" i="33"/>
  <c r="Y852" i="33"/>
  <c r="AD408" i="33"/>
  <c r="L18" i="2" s="1"/>
  <c r="Y588" i="33"/>
  <c r="K46" i="2"/>
  <c r="K48" i="2" s="1"/>
  <c r="K47" i="3" s="1"/>
  <c r="B48" i="14"/>
  <c r="Q46" i="14" s="1"/>
  <c r="N58" i="14"/>
  <c r="Y700" i="33"/>
  <c r="N9" i="3"/>
  <c r="N9" i="4" s="1"/>
  <c r="N9" i="5" s="1"/>
  <c r="N9" i="6" s="1"/>
  <c r="N9" i="7" s="1"/>
  <c r="N9" i="8" s="1"/>
  <c r="N9" i="9" s="1"/>
  <c r="N9" i="37" s="1"/>
  <c r="N9" i="11" s="1"/>
  <c r="N9" i="12" s="1"/>
  <c r="N9" i="13" s="1"/>
  <c r="N9" i="14" s="1"/>
  <c r="N9" i="15" s="1"/>
  <c r="N9" i="16" s="1"/>
  <c r="N9" i="17" s="1"/>
  <c r="N9" i="18" s="1"/>
  <c r="N9" i="19" s="1"/>
  <c r="N9" i="20" s="1"/>
  <c r="N9" i="21" s="1"/>
  <c r="N9" i="22" s="1"/>
  <c r="N9" i="23" s="1"/>
  <c r="N9" i="24" s="1"/>
  <c r="N9" i="25" s="1"/>
  <c r="N9" i="26" s="1"/>
  <c r="N9" i="27" s="1"/>
  <c r="N9" i="28" s="1"/>
  <c r="N9" i="29" s="1"/>
  <c r="N9" i="30" s="1"/>
  <c r="N9" i="31" s="1"/>
  <c r="N9" i="32" s="1"/>
  <c r="Y890" i="33"/>
  <c r="AB43" i="28"/>
  <c r="AB43" i="5"/>
  <c r="CB35" i="49"/>
  <c r="CB33" i="49"/>
  <c r="R40" i="55"/>
  <c r="X40" i="55"/>
  <c r="E12" i="50"/>
  <c r="B48" i="18"/>
  <c r="Q46" i="18" s="1"/>
  <c r="Y776" i="33"/>
  <c r="N58" i="24"/>
  <c r="Y968" i="33"/>
  <c r="Y1006" i="33"/>
  <c r="Y892" i="33"/>
  <c r="AC889" i="33" s="1"/>
  <c r="K30" i="32" s="1"/>
  <c r="B48" i="2"/>
  <c r="Q46" i="2" s="1"/>
  <c r="AD519" i="33"/>
  <c r="L21" i="2" s="1"/>
  <c r="AB33" i="31"/>
  <c r="Q12" i="50"/>
  <c r="O12" i="50"/>
  <c r="O20" i="50" s="1"/>
  <c r="M12" i="50"/>
  <c r="M20" i="50" s="1"/>
  <c r="K12" i="50"/>
  <c r="P12" i="50"/>
  <c r="N12" i="50"/>
  <c r="N20" i="50" s="1"/>
  <c r="J12" i="50"/>
  <c r="D12" i="50"/>
  <c r="I15" i="50"/>
  <c r="I12" i="50"/>
  <c r="I20" i="50" s="1"/>
  <c r="G15" i="50"/>
  <c r="G12" i="50"/>
  <c r="G20" i="50" s="1"/>
  <c r="C15" i="50"/>
  <c r="C12" i="50"/>
  <c r="C20" i="50" s="1"/>
  <c r="C23" i="50" s="1"/>
  <c r="R15" i="50"/>
  <c r="R12" i="50"/>
  <c r="L15" i="50"/>
  <c r="L12" i="50"/>
  <c r="L20" i="50" s="1"/>
  <c r="H15" i="50"/>
  <c r="H12" i="50"/>
  <c r="H20" i="50" s="1"/>
  <c r="F15" i="50"/>
  <c r="F12" i="50"/>
  <c r="F20" i="50" s="1"/>
  <c r="AD631" i="33"/>
  <c r="L24" i="2" s="1"/>
  <c r="A56" i="33"/>
  <c r="N58" i="25"/>
  <c r="A58" i="33"/>
  <c r="A55" i="33"/>
  <c r="N58" i="20"/>
  <c r="B48" i="13"/>
  <c r="Q46" i="13" s="1"/>
  <c r="N58" i="3"/>
  <c r="N58" i="2"/>
  <c r="B48" i="25"/>
  <c r="Q46" i="25" s="1"/>
  <c r="N58" i="27"/>
  <c r="N58" i="26"/>
  <c r="N58" i="4"/>
  <c r="AD482" i="33"/>
  <c r="L20" i="2" s="1"/>
  <c r="Y550" i="33"/>
  <c r="AA92" i="33"/>
  <c r="I10" i="2" s="1"/>
  <c r="BS23" i="49"/>
  <c r="B48" i="9"/>
  <c r="Q46" i="9" s="1"/>
  <c r="AD1089" i="33"/>
  <c r="L36" i="2" s="1"/>
  <c r="K46" i="30"/>
  <c r="K46" i="4"/>
  <c r="M10" i="3"/>
  <c r="M10" i="4" s="1"/>
  <c r="A61" i="33"/>
  <c r="A57" i="33"/>
  <c r="B48" i="27"/>
  <c r="Q46" i="27" s="1"/>
  <c r="N58" i="28"/>
  <c r="AI22" i="25"/>
  <c r="N58" i="23"/>
  <c r="AI22" i="21"/>
  <c r="B48" i="16"/>
  <c r="Q46" i="16" s="1"/>
  <c r="B48" i="6"/>
  <c r="Q46" i="6" s="1"/>
  <c r="D25" i="2"/>
  <c r="C25" i="3" s="1"/>
  <c r="D25" i="3" s="1"/>
  <c r="C25" i="4" s="1"/>
  <c r="D25" i="4" s="1"/>
  <c r="C25" i="5" s="1"/>
  <c r="D25" i="5" s="1"/>
  <c r="C25" i="6" s="1"/>
  <c r="D25" i="6" s="1"/>
  <c r="C25" i="7" s="1"/>
  <c r="D25" i="7" s="1"/>
  <c r="C25" i="8" s="1"/>
  <c r="D25" i="8" s="1"/>
  <c r="C25" i="9" s="1"/>
  <c r="D25" i="9" s="1"/>
  <c r="C25" i="37" s="1"/>
  <c r="D25" i="37" s="1"/>
  <c r="C25" i="11" s="1"/>
  <c r="D25" i="11" s="1"/>
  <c r="C25" i="12" s="1"/>
  <c r="D25" i="12" s="1"/>
  <c r="C25" i="13" s="1"/>
  <c r="D25" i="13" s="1"/>
  <c r="C25" i="14" s="1"/>
  <c r="D25" i="14" s="1"/>
  <c r="C25" i="15" s="1"/>
  <c r="D25" i="15" s="1"/>
  <c r="C25" i="16" s="1"/>
  <c r="D25" i="16" s="1"/>
  <c r="C25" i="17" s="1"/>
  <c r="D25" i="17" s="1"/>
  <c r="C25" i="18" s="1"/>
  <c r="D25" i="18" s="1"/>
  <c r="C25" i="19" s="1"/>
  <c r="D25" i="19" s="1"/>
  <c r="C25" i="20" s="1"/>
  <c r="D25" i="20" s="1"/>
  <c r="C25" i="21" s="1"/>
  <c r="D25" i="21" s="1"/>
  <c r="C25" i="22" s="1"/>
  <c r="D25" i="22" s="1"/>
  <c r="C25" i="23" s="1"/>
  <c r="D25" i="23" s="1"/>
  <c r="C25" i="24" s="1"/>
  <c r="D25" i="24" s="1"/>
  <c r="C25" i="25" s="1"/>
  <c r="D25" i="25" s="1"/>
  <c r="C25" i="26" s="1"/>
  <c r="V8" i="11"/>
  <c r="X8" i="11" s="1"/>
  <c r="T8" i="12" s="1"/>
  <c r="V8" i="12" s="1"/>
  <c r="X8" i="12" s="1"/>
  <c r="T8" i="13" s="1"/>
  <c r="V8" i="13" s="1"/>
  <c r="X8" i="13" s="1"/>
  <c r="T8" i="14" s="1"/>
  <c r="V8" i="14" s="1"/>
  <c r="X8" i="14" s="1"/>
  <c r="T8" i="15" s="1"/>
  <c r="V8" i="15" s="1"/>
  <c r="X8" i="15" s="1"/>
  <c r="T8" i="16" s="1"/>
  <c r="V8" i="16" s="1"/>
  <c r="X8" i="16" s="1"/>
  <c r="T8" i="17" s="1"/>
  <c r="V8" i="17" s="1"/>
  <c r="X8" i="17" s="1"/>
  <c r="T8" i="18" s="1"/>
  <c r="V8" i="18" s="1"/>
  <c r="X8" i="18" s="1"/>
  <c r="Q35" i="3"/>
  <c r="N58" i="29"/>
  <c r="B48" i="23"/>
  <c r="Q46" i="23" s="1"/>
  <c r="B48" i="11"/>
  <c r="Q46" i="11" s="1"/>
  <c r="K46" i="7"/>
  <c r="K46" i="12"/>
  <c r="K46" i="9"/>
  <c r="AA369" i="33"/>
  <c r="I17" i="2" s="1"/>
  <c r="K46" i="20"/>
  <c r="E15" i="50"/>
  <c r="B48" i="20"/>
  <c r="Q46" i="20" s="1"/>
  <c r="B25" i="26"/>
  <c r="B48" i="26" s="1"/>
  <c r="Q46" i="26" s="1"/>
  <c r="M15" i="50"/>
  <c r="Y738" i="33"/>
  <c r="D15" i="50"/>
  <c r="C24" i="15"/>
  <c r="D24" i="15" s="1"/>
  <c r="C24" i="16" s="1"/>
  <c r="D24" i="16" s="1"/>
  <c r="C24" i="17" s="1"/>
  <c r="D24" i="17" s="1"/>
  <c r="C24" i="18" s="1"/>
  <c r="D24" i="18" s="1"/>
  <c r="C24" i="19" s="1"/>
  <c r="D24" i="19" s="1"/>
  <c r="C24" i="20" s="1"/>
  <c r="D24" i="20" s="1"/>
  <c r="C24" i="21" s="1"/>
  <c r="D24" i="21" s="1"/>
  <c r="C24" i="22" s="1"/>
  <c r="D24" i="22" s="1"/>
  <c r="C24" i="23" s="1"/>
  <c r="D24" i="23" s="1"/>
  <c r="C24" i="24" s="1"/>
  <c r="D24" i="24" s="1"/>
  <c r="C24" i="25" s="1"/>
  <c r="D24" i="25" s="1"/>
  <c r="C24" i="26" s="1"/>
  <c r="D24" i="26" s="1"/>
  <c r="C24" i="27" s="1"/>
  <c r="D24" i="27" s="1"/>
  <c r="C24" i="28" s="1"/>
  <c r="D24" i="28" s="1"/>
  <c r="C24" i="29" s="1"/>
  <c r="D24" i="29" s="1"/>
  <c r="C24" i="30" s="1"/>
  <c r="D24" i="30" s="1"/>
  <c r="C24" i="31" s="1"/>
  <c r="D24" i="31" s="1"/>
  <c r="C24" i="32" s="1"/>
  <c r="D24" i="32" s="1"/>
  <c r="AA446" i="33"/>
  <c r="I19" i="2" s="1"/>
  <c r="Z708" i="33"/>
  <c r="H26" i="3" s="1"/>
  <c r="B48" i="21"/>
  <c r="Q46" i="21" s="1"/>
  <c r="AB33" i="4"/>
  <c r="K46" i="22"/>
  <c r="K46" i="26"/>
  <c r="AA327" i="33"/>
  <c r="I16" i="2" s="1"/>
  <c r="AA169" i="33"/>
  <c r="K46" i="28"/>
  <c r="J46" i="22"/>
  <c r="Q44" i="22" s="1"/>
  <c r="N58" i="21"/>
  <c r="K46" i="18"/>
  <c r="AI22" i="14"/>
  <c r="AA54" i="33"/>
  <c r="I9" i="2" s="1"/>
  <c r="B48" i="22"/>
  <c r="Q46" i="22" s="1"/>
  <c r="B48" i="5"/>
  <c r="Q46" i="5" s="1"/>
  <c r="AI22" i="3"/>
  <c r="AF33" i="2"/>
  <c r="K46" i="8"/>
  <c r="K46" i="37"/>
  <c r="K46" i="13"/>
  <c r="K46" i="16"/>
  <c r="K46" i="21"/>
  <c r="K46" i="23"/>
  <c r="Y317" i="33"/>
  <c r="J46" i="32"/>
  <c r="Q44" i="32" s="1"/>
  <c r="B48" i="31"/>
  <c r="Q46" i="31" s="1"/>
  <c r="Y513" i="33"/>
  <c r="B48" i="30"/>
  <c r="Q46" i="30" s="1"/>
  <c r="B48" i="29"/>
  <c r="Q46" i="29" s="1"/>
  <c r="AI22" i="29"/>
  <c r="N58" i="18"/>
  <c r="N58" i="17"/>
  <c r="AD937" i="33"/>
  <c r="L32" i="2" s="1"/>
  <c r="U40" i="55"/>
  <c r="AD783" i="33"/>
  <c r="L28" i="2" s="1"/>
  <c r="Z8" i="13"/>
  <c r="Z8" i="14"/>
  <c r="Z8" i="15" s="1"/>
  <c r="Z8" i="16" s="1"/>
  <c r="Z8" i="17" s="1"/>
  <c r="Z8" i="18" s="1"/>
  <c r="Z8" i="19" s="1"/>
  <c r="Z8" i="20" s="1"/>
  <c r="Z8" i="21" s="1"/>
  <c r="Z8" i="22" s="1"/>
  <c r="Z8" i="23" s="1"/>
  <c r="Z8" i="24" s="1"/>
  <c r="Z8" i="25" s="1"/>
  <c r="Z8" i="26" s="1"/>
  <c r="Z8" i="27" s="1"/>
  <c r="Z8" i="28" s="1"/>
  <c r="Z8" i="29" s="1"/>
  <c r="Z8" i="30" s="1"/>
  <c r="Z8" i="31" s="1"/>
  <c r="Z8" i="32" s="1"/>
  <c r="AD975" i="33"/>
  <c r="L33" i="2" s="1"/>
  <c r="Z860" i="33"/>
  <c r="H30" i="3" s="1"/>
  <c r="A131" i="33"/>
  <c r="A169" i="33" s="1"/>
  <c r="A93" i="33"/>
  <c r="A94" i="33" s="1"/>
  <c r="A95" i="33" s="1"/>
  <c r="A96" i="33" s="1"/>
  <c r="A97" i="33" s="1"/>
  <c r="A98" i="33" s="1"/>
  <c r="A99" i="33" s="1"/>
  <c r="A100" i="33" s="1"/>
  <c r="A101" i="33" s="1"/>
  <c r="A102" i="33" s="1"/>
  <c r="A103" i="33" s="1"/>
  <c r="AD821" i="33"/>
  <c r="L29" i="2" s="1"/>
  <c r="AD669" i="33"/>
  <c r="L25" i="2" s="1"/>
  <c r="AI22" i="17"/>
  <c r="AI22" i="27"/>
  <c r="B48" i="17"/>
  <c r="Q46" i="17" s="1"/>
  <c r="N58" i="6"/>
  <c r="N58" i="8"/>
  <c r="N58" i="11"/>
  <c r="P59" i="11" s="1"/>
  <c r="N58" i="15"/>
  <c r="AD1127" i="33"/>
  <c r="L37" i="2" s="1"/>
  <c r="A66" i="33"/>
  <c r="A62" i="33"/>
  <c r="A60" i="33"/>
  <c r="Y740" i="33"/>
  <c r="AD1051" i="33"/>
  <c r="L35" i="2" s="1"/>
  <c r="AJ21" i="3"/>
  <c r="AJ23" i="3" s="1"/>
  <c r="AB43" i="12"/>
  <c r="AI22" i="2"/>
  <c r="R55" i="3"/>
  <c r="R57" i="3" s="1"/>
  <c r="R55" i="4" s="1"/>
  <c r="R57" i="4" s="1"/>
  <c r="R55" i="5" s="1"/>
  <c r="R57" i="5" s="1"/>
  <c r="R55" i="6" s="1"/>
  <c r="R57" i="6" s="1"/>
  <c r="R55" i="7" s="1"/>
  <c r="R57" i="7" s="1"/>
  <c r="R55" i="8" s="1"/>
  <c r="R57" i="8" s="1"/>
  <c r="R55" i="9" s="1"/>
  <c r="R57" i="9" s="1"/>
  <c r="R55" i="37" s="1"/>
  <c r="R57" i="37" s="1"/>
  <c r="R55" i="11" s="1"/>
  <c r="R57" i="11" s="1"/>
  <c r="R55" i="12" s="1"/>
  <c r="R57" i="12" s="1"/>
  <c r="R55" i="13" s="1"/>
  <c r="R57" i="13" s="1"/>
  <c r="R55" i="14" s="1"/>
  <c r="R57" i="14" s="1"/>
  <c r="R55" i="15" s="1"/>
  <c r="R57" i="15" s="1"/>
  <c r="R55" i="16" s="1"/>
  <c r="R57" i="16" s="1"/>
  <c r="R55" i="17" s="1"/>
  <c r="R57" i="17" s="1"/>
  <c r="R55" i="18" s="1"/>
  <c r="R57" i="18" s="1"/>
  <c r="R55" i="19" s="1"/>
  <c r="R57" i="19" s="1"/>
  <c r="R55" i="20" s="1"/>
  <c r="R57" i="20" s="1"/>
  <c r="R55" i="21" s="1"/>
  <c r="R57" i="21" s="1"/>
  <c r="R55" i="22" s="1"/>
  <c r="R57" i="22" s="1"/>
  <c r="R55" i="23" s="1"/>
  <c r="R57" i="23" s="1"/>
  <c r="R55" i="24" s="1"/>
  <c r="R57" i="24" s="1"/>
  <c r="R55" i="25" s="1"/>
  <c r="R57" i="25" s="1"/>
  <c r="R55" i="26" s="1"/>
  <c r="R57" i="26" s="1"/>
  <c r="R55" i="27" s="1"/>
  <c r="R57" i="27" s="1"/>
  <c r="R55" i="28" s="1"/>
  <c r="R57" i="28" s="1"/>
  <c r="R55" i="29" s="1"/>
  <c r="R57" i="29" s="1"/>
  <c r="R55" i="30" s="1"/>
  <c r="R57" i="30" s="1"/>
  <c r="R55" i="31" s="1"/>
  <c r="R57" i="31" s="1"/>
  <c r="R55" i="32" s="1"/>
  <c r="R57" i="32" s="1"/>
  <c r="AI22" i="22"/>
  <c r="AI22" i="20"/>
  <c r="B48" i="12"/>
  <c r="Q46" i="12" s="1"/>
  <c r="D22" i="3"/>
  <c r="C22" i="4" s="1"/>
  <c r="D22" i="4" s="1"/>
  <c r="C22" i="5" s="1"/>
  <c r="D22" i="5" s="1"/>
  <c r="C22" i="6" s="1"/>
  <c r="D22" i="6" s="1"/>
  <c r="C22" i="7" s="1"/>
  <c r="D22" i="7" s="1"/>
  <c r="C22" i="8" s="1"/>
  <c r="D22" i="8" s="1"/>
  <c r="C22" i="9" s="1"/>
  <c r="D22" i="9" s="1"/>
  <c r="C22" i="37" s="1"/>
  <c r="D22" i="37" s="1"/>
  <c r="C22" i="11" s="1"/>
  <c r="D22" i="11" s="1"/>
  <c r="C22" i="12" s="1"/>
  <c r="D22" i="12" s="1"/>
  <c r="C22" i="13" s="1"/>
  <c r="D22" i="13" s="1"/>
  <c r="C22" i="14" s="1"/>
  <c r="D22" i="14" s="1"/>
  <c r="C22" i="15" s="1"/>
  <c r="D22" i="15" s="1"/>
  <c r="C22" i="16" s="1"/>
  <c r="D22" i="16" s="1"/>
  <c r="C22" i="17" s="1"/>
  <c r="D22" i="17" s="1"/>
  <c r="C22" i="18" s="1"/>
  <c r="D22" i="18" s="1"/>
  <c r="C22" i="19" s="1"/>
  <c r="D22" i="19" s="1"/>
  <c r="C22" i="20" s="1"/>
  <c r="D22" i="20" s="1"/>
  <c r="C22" i="21" s="1"/>
  <c r="D22" i="21" s="1"/>
  <c r="C22" i="22" s="1"/>
  <c r="D22" i="22" s="1"/>
  <c r="C22" i="23" s="1"/>
  <c r="D22" i="23" s="1"/>
  <c r="C22" i="24" s="1"/>
  <c r="D22" i="24" s="1"/>
  <c r="C22" i="25" s="1"/>
  <c r="D22" i="25" s="1"/>
  <c r="C22" i="26" s="1"/>
  <c r="D22" i="26" s="1"/>
  <c r="C22" i="27" s="1"/>
  <c r="D22" i="27" s="1"/>
  <c r="C22" i="28" s="1"/>
  <c r="D22" i="28" s="1"/>
  <c r="C22" i="29" s="1"/>
  <c r="D22" i="29" s="1"/>
  <c r="C22" i="30" s="1"/>
  <c r="D22" i="30" s="1"/>
  <c r="C22" i="31" s="1"/>
  <c r="D22" i="31" s="1"/>
  <c r="C22" i="32" s="1"/>
  <c r="D22" i="32" s="1"/>
  <c r="J46" i="17"/>
  <c r="Q44" i="17" s="1"/>
  <c r="K46" i="14"/>
  <c r="K46" i="17"/>
  <c r="K46" i="24"/>
  <c r="K46" i="27"/>
  <c r="AG8" i="4"/>
  <c r="AG43" i="2"/>
  <c r="BS26" i="49"/>
  <c r="AI22" i="15"/>
  <c r="Y854" i="33"/>
  <c r="N58" i="13"/>
  <c r="N58" i="12"/>
  <c r="AI22" i="6"/>
  <c r="B48" i="3"/>
  <c r="Q46" i="3" s="1"/>
  <c r="AD286" i="33"/>
  <c r="G19" i="2"/>
  <c r="M19" i="2" s="1"/>
  <c r="M19" i="3" s="1"/>
  <c r="M19" i="4" s="1"/>
  <c r="M19" i="5" s="1"/>
  <c r="M19" i="6" s="1"/>
  <c r="M19" i="7" s="1"/>
  <c r="N20" i="8"/>
  <c r="N20" i="9" s="1"/>
  <c r="N20" i="37" s="1"/>
  <c r="N20" i="11" s="1"/>
  <c r="N20" i="12" s="1"/>
  <c r="N20" i="13" s="1"/>
  <c r="N20" i="14" s="1"/>
  <c r="N20" i="15" s="1"/>
  <c r="N20" i="16" s="1"/>
  <c r="N20" i="17" s="1"/>
  <c r="N20" i="18" s="1"/>
  <c r="N20" i="19" s="1"/>
  <c r="N20" i="20" s="1"/>
  <c r="AD593" i="33"/>
  <c r="L23" i="2" s="1"/>
  <c r="J46" i="5"/>
  <c r="Q44" i="5" s="1"/>
  <c r="Y1158" i="33"/>
  <c r="M9" i="3"/>
  <c r="M9" i="4" s="1"/>
  <c r="M9" i="5" s="1"/>
  <c r="M9" i="6" s="1"/>
  <c r="M9" i="7" s="1"/>
  <c r="M9" i="8" s="1"/>
  <c r="M9" i="9" s="1"/>
  <c r="M9" i="37" s="1"/>
  <c r="M9" i="11" s="1"/>
  <c r="M9" i="12" s="1"/>
  <c r="M9" i="13" s="1"/>
  <c r="M9" i="14" s="1"/>
  <c r="M9" i="15" s="1"/>
  <c r="M9" i="16" s="1"/>
  <c r="M9" i="17" s="1"/>
  <c r="M9" i="18" s="1"/>
  <c r="M9" i="19" s="1"/>
  <c r="M9" i="20" s="1"/>
  <c r="M9" i="21" s="1"/>
  <c r="M9" i="22" s="1"/>
  <c r="M9" i="23" s="1"/>
  <c r="M9" i="24" s="1"/>
  <c r="M9" i="25" s="1"/>
  <c r="M9" i="26" s="1"/>
  <c r="M9" i="27" s="1"/>
  <c r="M9" i="28" s="1"/>
  <c r="M9" i="29" s="1"/>
  <c r="M9" i="30" s="1"/>
  <c r="M9" i="31" s="1"/>
  <c r="M9" i="32" s="1"/>
  <c r="Y477" i="33"/>
  <c r="M8" i="3"/>
  <c r="N58" i="5"/>
  <c r="AI22" i="26"/>
  <c r="AB33" i="26"/>
  <c r="E40" i="57"/>
  <c r="I40" i="56"/>
  <c r="I42" i="56" s="1"/>
  <c r="O40" i="55"/>
  <c r="AN40" i="55" s="1"/>
  <c r="AU40" i="55" s="1"/>
  <c r="G40" i="57"/>
  <c r="P40" i="56"/>
  <c r="P42" i="56" s="1"/>
  <c r="C40" i="56"/>
  <c r="C42" i="56" s="1"/>
  <c r="B40" i="56"/>
  <c r="B42" i="56" s="1"/>
  <c r="L40" i="56"/>
  <c r="L42" i="56" s="1"/>
  <c r="N40" i="56"/>
  <c r="N42" i="56" s="1"/>
  <c r="J40" i="56"/>
  <c r="J42" i="56" s="1"/>
  <c r="D40" i="56"/>
  <c r="D42" i="56" s="1"/>
  <c r="P15" i="50"/>
  <c r="J15" i="50"/>
  <c r="N15" i="50"/>
  <c r="F40" i="56"/>
  <c r="F42" i="56" s="1"/>
  <c r="Q40" i="56"/>
  <c r="Q42" i="56" s="1"/>
  <c r="O40" i="56"/>
  <c r="O42" i="56" s="1"/>
  <c r="M40" i="56"/>
  <c r="M42" i="56" s="1"/>
  <c r="Q15" i="50"/>
  <c r="O15" i="50"/>
  <c r="K15" i="50"/>
  <c r="B48" i="15"/>
  <c r="Q46" i="15" s="1"/>
  <c r="B48" i="37"/>
  <c r="Q46" i="37" s="1"/>
  <c r="B48" i="8"/>
  <c r="Q46" i="8" s="1"/>
  <c r="K46" i="19"/>
  <c r="K46" i="25"/>
  <c r="K46" i="6"/>
  <c r="K46" i="11"/>
  <c r="K46" i="15"/>
  <c r="J46" i="3"/>
  <c r="Q44" i="3" s="1"/>
  <c r="J46" i="12"/>
  <c r="Q44" i="12" s="1"/>
  <c r="J46" i="25"/>
  <c r="Q44" i="25" s="1"/>
  <c r="J46" i="4"/>
  <c r="Q44" i="4" s="1"/>
  <c r="J46" i="16"/>
  <c r="Q44" i="16" s="1"/>
  <c r="J46" i="11"/>
  <c r="Q44" i="11" s="1"/>
  <c r="J46" i="15"/>
  <c r="Q44" i="15" s="1"/>
  <c r="J46" i="30"/>
  <c r="Q44" i="30" s="1"/>
  <c r="J46" i="28"/>
  <c r="Q44" i="28" s="1"/>
  <c r="J46" i="18"/>
  <c r="Q44" i="18" s="1"/>
  <c r="J46" i="9"/>
  <c r="Q44" i="9" s="1"/>
  <c r="J46" i="14"/>
  <c r="Q44" i="14" s="1"/>
  <c r="J46" i="20"/>
  <c r="Q44" i="20" s="1"/>
  <c r="J46" i="21"/>
  <c r="Q44" i="21" s="1"/>
  <c r="J46" i="23"/>
  <c r="Q44" i="23" s="1"/>
  <c r="Y1044" i="33"/>
  <c r="Y664" i="33"/>
  <c r="Y665" i="33" s="1"/>
  <c r="G46" i="32"/>
  <c r="Y319" i="33"/>
  <c r="AA246" i="33"/>
  <c r="I14" i="2" s="1"/>
  <c r="AE55" i="2"/>
  <c r="V55" i="2"/>
  <c r="AD131" i="33"/>
  <c r="T55" i="2"/>
  <c r="T49" i="3" s="1"/>
  <c r="T53" i="3" s="1"/>
  <c r="T55" i="3" s="1"/>
  <c r="T49" i="4" s="1"/>
  <c r="T53" i="4" s="1"/>
  <c r="T55" i="4" s="1"/>
  <c r="T49" i="5" s="1"/>
  <c r="T53" i="5" s="1"/>
  <c r="T55" i="5" s="1"/>
  <c r="T49" i="6" s="1"/>
  <c r="T53" i="6" s="1"/>
  <c r="T55" i="6" s="1"/>
  <c r="T49" i="7" s="1"/>
  <c r="T53" i="7" s="1"/>
  <c r="T55" i="7" s="1"/>
  <c r="T49" i="8" s="1"/>
  <c r="T53" i="8" s="1"/>
  <c r="T55" i="8" s="1"/>
  <c r="T49" i="9" s="1"/>
  <c r="T53" i="9" s="1"/>
  <c r="T55" i="9" s="1"/>
  <c r="T49" i="37" s="1"/>
  <c r="T53" i="37" s="1"/>
  <c r="T55" i="37" s="1"/>
  <c r="T49" i="11" s="1"/>
  <c r="T53" i="11" s="1"/>
  <c r="T55" i="11" s="1"/>
  <c r="T49" i="12" s="1"/>
  <c r="T53" i="12" s="1"/>
  <c r="T55" i="12" s="1"/>
  <c r="T49" i="13" s="1"/>
  <c r="T53" i="13" s="1"/>
  <c r="T55" i="13" s="1"/>
  <c r="T49" i="14" s="1"/>
  <c r="T53" i="14" s="1"/>
  <c r="AB55" i="2"/>
  <c r="AB49" i="3" s="1"/>
  <c r="Y55" i="2"/>
  <c r="G46" i="11"/>
  <c r="AG55" i="2"/>
  <c r="AC55" i="2"/>
  <c r="Z55" i="2"/>
  <c r="X55" i="2"/>
  <c r="G46" i="18"/>
  <c r="AD55" i="2"/>
  <c r="AA55" i="2"/>
  <c r="W55" i="2"/>
  <c r="BS25" i="49"/>
  <c r="B48" i="7"/>
  <c r="Q46" i="7" s="1"/>
  <c r="A6" i="4"/>
  <c r="S6" i="4" s="1"/>
  <c r="A11" i="56"/>
  <c r="A6" i="3"/>
  <c r="S6" i="3" s="1"/>
  <c r="A10" i="56"/>
  <c r="N58" i="32"/>
  <c r="BS11" i="49"/>
  <c r="J46" i="31"/>
  <c r="Q44" i="31" s="1"/>
  <c r="N58" i="31"/>
  <c r="BS9" i="49"/>
  <c r="BP28" i="49"/>
  <c r="Y626" i="33"/>
  <c r="G46" i="17"/>
  <c r="BS22" i="49"/>
  <c r="B40" i="57"/>
  <c r="E40" i="56"/>
  <c r="E42" i="56" s="1"/>
  <c r="G46" i="3"/>
  <c r="J46" i="29"/>
  <c r="Q44" i="29" s="1"/>
  <c r="Y162" i="33"/>
  <c r="J46" i="27"/>
  <c r="Q44" i="27" s="1"/>
  <c r="Y400" i="33"/>
  <c r="J46" i="26"/>
  <c r="Q44" i="26" s="1"/>
  <c r="G46" i="24"/>
  <c r="J46" i="24"/>
  <c r="Q44" i="24" s="1"/>
  <c r="Y360" i="33"/>
  <c r="G46" i="23"/>
  <c r="G46" i="22"/>
  <c r="G46" i="21"/>
  <c r="G46" i="20"/>
  <c r="J46" i="19"/>
  <c r="Q44" i="19" s="1"/>
  <c r="Y439" i="33"/>
  <c r="Y163" i="33"/>
  <c r="AC161" i="33" s="1"/>
  <c r="K11" i="32" s="1"/>
  <c r="G46" i="19"/>
  <c r="G46" i="16"/>
  <c r="N58" i="16"/>
  <c r="BS12" i="49"/>
  <c r="BS8" i="49"/>
  <c r="BS21" i="49"/>
  <c r="G46" i="15"/>
  <c r="G46" i="14"/>
  <c r="AI22" i="8"/>
  <c r="D40" i="55"/>
  <c r="M40" i="55"/>
  <c r="Y240" i="33"/>
  <c r="J46" i="13"/>
  <c r="Q44" i="13" s="1"/>
  <c r="G46" i="13"/>
  <c r="G46" i="12"/>
  <c r="AD8" i="33"/>
  <c r="L8" i="2" s="1"/>
  <c r="A65" i="33"/>
  <c r="A63" i="33"/>
  <c r="A59" i="33"/>
  <c r="AH58" i="2"/>
  <c r="AH55" i="2"/>
  <c r="AF58" i="2"/>
  <c r="AF55" i="2"/>
  <c r="U58" i="2"/>
  <c r="U55" i="2"/>
  <c r="G46" i="25"/>
  <c r="G46" i="27"/>
  <c r="G46" i="29"/>
  <c r="G46" i="31"/>
  <c r="G46" i="26"/>
  <c r="G46" i="28"/>
  <c r="G46" i="30"/>
  <c r="D40" i="57"/>
  <c r="AB33" i="3"/>
  <c r="AF33" i="3" s="1"/>
  <c r="AF33" i="4" s="1"/>
  <c r="AB33" i="23"/>
  <c r="AB33" i="15"/>
  <c r="A22" i="33"/>
  <c r="A67" i="33"/>
  <c r="K46" i="5"/>
  <c r="J46" i="8"/>
  <c r="Q44" i="8" s="1"/>
  <c r="Y200" i="33"/>
  <c r="Y358" i="33"/>
  <c r="BQ28" i="49"/>
  <c r="J46" i="37"/>
  <c r="Q44" i="37" s="1"/>
  <c r="G46" i="37"/>
  <c r="N58" i="37"/>
  <c r="H40" i="56"/>
  <c r="H42" i="56" s="1"/>
  <c r="G46" i="9"/>
  <c r="N58" i="9"/>
  <c r="P59" i="9" s="1"/>
  <c r="G46" i="7"/>
  <c r="K40" i="56"/>
  <c r="K42" i="56" s="1"/>
  <c r="G40" i="56"/>
  <c r="G42" i="56" s="1"/>
  <c r="BS24" i="49"/>
  <c r="Y125" i="33"/>
  <c r="AC122" i="33" s="1"/>
  <c r="Y202" i="33"/>
  <c r="G46" i="8"/>
  <c r="J46" i="7"/>
  <c r="Q44" i="7" s="1"/>
  <c r="AG31" i="8"/>
  <c r="Y1120" i="33"/>
  <c r="J46" i="6"/>
  <c r="Q44" i="6" s="1"/>
  <c r="G46" i="6"/>
  <c r="Y41" i="33"/>
  <c r="Y47" i="33" s="1"/>
  <c r="Y49" i="33" s="1"/>
  <c r="N58" i="7"/>
  <c r="AF9" i="5"/>
  <c r="AF9" i="6" s="1"/>
  <c r="AF9" i="7" s="1"/>
  <c r="AF9" i="8" s="1"/>
  <c r="AF9" i="9" s="1"/>
  <c r="AF9" i="37" s="1"/>
  <c r="AF9" i="11" s="1"/>
  <c r="AF9" i="12" s="1"/>
  <c r="AF9" i="13" s="1"/>
  <c r="AF9" i="14" s="1"/>
  <c r="AF9" i="15" s="1"/>
  <c r="AF9" i="16" s="1"/>
  <c r="AF9" i="17" s="1"/>
  <c r="AF9" i="18" s="1"/>
  <c r="AF9" i="19" s="1"/>
  <c r="AF9" i="20" s="1"/>
  <c r="AF9" i="21" s="1"/>
  <c r="AF10" i="7"/>
  <c r="G10" i="5"/>
  <c r="Y123" i="33"/>
  <c r="Y87" i="33"/>
  <c r="AC84" i="33" s="1"/>
  <c r="Y85" i="33"/>
  <c r="A36" i="26" l="1"/>
  <c r="A36" i="27" s="1"/>
  <c r="A36" i="28" s="1"/>
  <c r="A36" i="29" s="1"/>
  <c r="A36" i="30" s="1"/>
  <c r="A36" i="31" s="1"/>
  <c r="A36" i="32" s="1"/>
  <c r="A36" i="25"/>
  <c r="AF20" i="11"/>
  <c r="AF20" i="12" s="1"/>
  <c r="AF20" i="13" s="1"/>
  <c r="AF20" i="14" s="1"/>
  <c r="AF20" i="15" s="1"/>
  <c r="AF20" i="16" s="1"/>
  <c r="AF20" i="17" s="1"/>
  <c r="AF20" i="18" s="1"/>
  <c r="AF20" i="19" s="1"/>
  <c r="AF20" i="20" s="1"/>
  <c r="AF20" i="21" s="1"/>
  <c r="AF20" i="22" s="1"/>
  <c r="AF20" i="23" s="1"/>
  <c r="AF20" i="24" s="1"/>
  <c r="AF20" i="25" s="1"/>
  <c r="A104" i="33"/>
  <c r="A105" i="33" s="1"/>
  <c r="A106" i="33" s="1"/>
  <c r="A107" i="33" s="1"/>
  <c r="A108" i="33" s="1"/>
  <c r="A109" i="33" s="1"/>
  <c r="A110" i="33" s="1"/>
  <c r="A111" i="33" s="1"/>
  <c r="A112" i="33" s="1"/>
  <c r="A113" i="33" s="1"/>
  <c r="A114" i="33" s="1"/>
  <c r="A115" i="33" s="1"/>
  <c r="A116" i="33" s="1"/>
  <c r="A117" i="33" s="1"/>
  <c r="A118" i="33" s="1"/>
  <c r="A119" i="33" s="1"/>
  <c r="A120" i="33" s="1"/>
  <c r="A121" i="33" s="1"/>
  <c r="A122" i="33" s="1"/>
  <c r="Z210" i="33"/>
  <c r="AA210" i="33" s="1"/>
  <c r="AG43" i="3"/>
  <c r="K13" i="32"/>
  <c r="Z23" i="20"/>
  <c r="Z23" i="21" s="1"/>
  <c r="Z23" i="22" s="1"/>
  <c r="F43" i="37"/>
  <c r="F43" i="11" s="1"/>
  <c r="F43" i="12" s="1"/>
  <c r="F43" i="13" s="1"/>
  <c r="F43" i="14" s="1"/>
  <c r="F43" i="15" s="1"/>
  <c r="F43" i="16" s="1"/>
  <c r="F23" i="37"/>
  <c r="F23" i="11" s="1"/>
  <c r="F23" i="12" s="1"/>
  <c r="F23" i="13" s="1"/>
  <c r="F23" i="14" s="1"/>
  <c r="F23" i="15" s="1"/>
  <c r="F23" i="16" s="1"/>
  <c r="F33" i="37"/>
  <c r="F33" i="11" s="1"/>
  <c r="F33" i="12" s="1"/>
  <c r="F33" i="13" s="1"/>
  <c r="F33" i="14" s="1"/>
  <c r="F33" i="15" s="1"/>
  <c r="F33" i="16" s="1"/>
  <c r="Z20" i="18"/>
  <c r="Z20" i="19" s="1"/>
  <c r="Z20" i="20" s="1"/>
  <c r="Z20" i="21" s="1"/>
  <c r="Z20" i="22" s="1"/>
  <c r="F26" i="37"/>
  <c r="F26" i="11" s="1"/>
  <c r="F26" i="12" s="1"/>
  <c r="F26" i="13" s="1"/>
  <c r="F26" i="14" s="1"/>
  <c r="F26" i="15" s="1"/>
  <c r="F26" i="16" s="1"/>
  <c r="F35" i="37"/>
  <c r="F35" i="11" s="1"/>
  <c r="F35" i="12" s="1"/>
  <c r="F35" i="13" s="1"/>
  <c r="F35" i="14" s="1"/>
  <c r="F35" i="15" s="1"/>
  <c r="F35" i="16" s="1"/>
  <c r="F29" i="37"/>
  <c r="F29" i="11" s="1"/>
  <c r="F29" i="12" s="1"/>
  <c r="F29" i="13" s="1"/>
  <c r="F29" i="14" s="1"/>
  <c r="F29" i="15" s="1"/>
  <c r="F29" i="16" s="1"/>
  <c r="Z24" i="20"/>
  <c r="Z24" i="21" s="1"/>
  <c r="Z24" i="22" s="1"/>
  <c r="S21" i="16"/>
  <c r="S21" i="17" s="1"/>
  <c r="S21" i="18" s="1"/>
  <c r="S21" i="19" s="1"/>
  <c r="S21" i="20" s="1"/>
  <c r="S21" i="21" s="1"/>
  <c r="S21" i="22" s="1"/>
  <c r="S21" i="23" s="1"/>
  <c r="S21" i="24" s="1"/>
  <c r="S21" i="25" s="1"/>
  <c r="S21" i="26" s="1"/>
  <c r="S21" i="27" s="1"/>
  <c r="F38" i="37"/>
  <c r="F38" i="11" s="1"/>
  <c r="F38" i="12" s="1"/>
  <c r="F38" i="13" s="1"/>
  <c r="F38" i="14" s="1"/>
  <c r="F38" i="15" s="1"/>
  <c r="F38" i="16" s="1"/>
  <c r="F22" i="37"/>
  <c r="F22" i="11" s="1"/>
  <c r="AF25" i="16"/>
  <c r="AF25" i="17" s="1"/>
  <c r="AF25" i="18" s="1"/>
  <c r="AF25" i="19" s="1"/>
  <c r="AF25" i="20" s="1"/>
  <c r="AF25" i="21" s="1"/>
  <c r="AF25" i="22" s="1"/>
  <c r="AF25" i="23" s="1"/>
  <c r="AF25" i="24" s="1"/>
  <c r="AF25" i="25" s="1"/>
  <c r="AF25" i="26" s="1"/>
  <c r="AF25" i="27" s="1"/>
  <c r="AF25" i="28" s="1"/>
  <c r="AF25" i="29" s="1"/>
  <c r="AF25" i="30" s="1"/>
  <c r="AF25" i="31" s="1"/>
  <c r="AF25" i="32" s="1"/>
  <c r="F32" i="37"/>
  <c r="F32" i="11" s="1"/>
  <c r="F32" i="12" s="1"/>
  <c r="F32" i="13" s="1"/>
  <c r="F32" i="14" s="1"/>
  <c r="F32" i="15" s="1"/>
  <c r="F32" i="16" s="1"/>
  <c r="AF42" i="14"/>
  <c r="AF42" i="15" s="1"/>
  <c r="AF42" i="16" s="1"/>
  <c r="AF42" i="17" s="1"/>
  <c r="AF42" i="18" s="1"/>
  <c r="AF42" i="19" s="1"/>
  <c r="AF42" i="20" s="1"/>
  <c r="AF42" i="21" s="1"/>
  <c r="AF42" i="22" s="1"/>
  <c r="AF42" i="23" s="1"/>
  <c r="AF42" i="24" s="1"/>
  <c r="AF42" i="25" s="1"/>
  <c r="AF42" i="26" s="1"/>
  <c r="AF42" i="27" s="1"/>
  <c r="AF42" i="28" s="1"/>
  <c r="AF42" i="29" s="1"/>
  <c r="AF42" i="30" s="1"/>
  <c r="AF42" i="31" s="1"/>
  <c r="AF42" i="32" s="1"/>
  <c r="AF24" i="16"/>
  <c r="AF24" i="17" s="1"/>
  <c r="AF24" i="18" s="1"/>
  <c r="AF24" i="19" s="1"/>
  <c r="F31" i="37"/>
  <c r="F31" i="11" s="1"/>
  <c r="F31" i="12" s="1"/>
  <c r="F31" i="13" s="1"/>
  <c r="F31" i="14" s="1"/>
  <c r="F31" i="15" s="1"/>
  <c r="F31" i="16" s="1"/>
  <c r="F45" i="37"/>
  <c r="F45" i="11" s="1"/>
  <c r="F45" i="12" s="1"/>
  <c r="F45" i="13" s="1"/>
  <c r="F45" i="14" s="1"/>
  <c r="F45" i="15" s="1"/>
  <c r="F45" i="16" s="1"/>
  <c r="F25" i="37"/>
  <c r="F25" i="11" s="1"/>
  <c r="F25" i="12" s="1"/>
  <c r="F25" i="13" s="1"/>
  <c r="F25" i="14" s="1"/>
  <c r="F25" i="15" s="1"/>
  <c r="F25" i="16" s="1"/>
  <c r="F34" i="37"/>
  <c r="F34" i="11" s="1"/>
  <c r="F34" i="12" s="1"/>
  <c r="F34" i="13" s="1"/>
  <c r="F34" i="14" s="1"/>
  <c r="F34" i="15" s="1"/>
  <c r="F34" i="16" s="1"/>
  <c r="Z25" i="23"/>
  <c r="Z25" i="24" s="1"/>
  <c r="Z25" i="25" s="1"/>
  <c r="Z25" i="26" s="1"/>
  <c r="Z25" i="27" s="1"/>
  <c r="Z25" i="28" s="1"/>
  <c r="Z25" i="29" s="1"/>
  <c r="Z25" i="30" s="1"/>
  <c r="Z25" i="31" s="1"/>
  <c r="Z25" i="32" s="1"/>
  <c r="F44" i="37"/>
  <c r="F44" i="11" s="1"/>
  <c r="F44" i="12" s="1"/>
  <c r="F44" i="13" s="1"/>
  <c r="F44" i="14" s="1"/>
  <c r="F44" i="15" s="1"/>
  <c r="F44" i="16" s="1"/>
  <c r="F24" i="37"/>
  <c r="F24" i="11" s="1"/>
  <c r="F24" i="12" s="1"/>
  <c r="F24" i="13" s="1"/>
  <c r="F24" i="14" s="1"/>
  <c r="F24" i="15" s="1"/>
  <c r="F24" i="16" s="1"/>
  <c r="F36" i="37"/>
  <c r="F36" i="11" s="1"/>
  <c r="F36" i="12" s="1"/>
  <c r="F36" i="13" s="1"/>
  <c r="F36" i="14" s="1"/>
  <c r="F36" i="15" s="1"/>
  <c r="F36" i="16" s="1"/>
  <c r="F20" i="37"/>
  <c r="F20" i="11" s="1"/>
  <c r="F28" i="37"/>
  <c r="F28" i="11" s="1"/>
  <c r="F28" i="12" s="1"/>
  <c r="F28" i="13" s="1"/>
  <c r="F28" i="14" s="1"/>
  <c r="F28" i="15" s="1"/>
  <c r="F28" i="16" s="1"/>
  <c r="Z19" i="37"/>
  <c r="Z19" i="11" s="1"/>
  <c r="F27" i="37"/>
  <c r="F27" i="11" s="1"/>
  <c r="F27" i="12" s="1"/>
  <c r="F27" i="13" s="1"/>
  <c r="F27" i="14" s="1"/>
  <c r="F27" i="15" s="1"/>
  <c r="F27" i="16" s="1"/>
  <c r="F37" i="37"/>
  <c r="F37" i="11" s="1"/>
  <c r="F37" i="12" s="1"/>
  <c r="F37" i="13" s="1"/>
  <c r="F37" i="14" s="1"/>
  <c r="F37" i="15" s="1"/>
  <c r="F37" i="16" s="1"/>
  <c r="F30" i="37"/>
  <c r="F30" i="11" s="1"/>
  <c r="F30" i="12" s="1"/>
  <c r="F30" i="13" s="1"/>
  <c r="F30" i="14" s="1"/>
  <c r="F30" i="15" s="1"/>
  <c r="F30" i="16" s="1"/>
  <c r="F21" i="37"/>
  <c r="F21" i="11" s="1"/>
  <c r="Z22" i="20"/>
  <c r="Z22" i="21" s="1"/>
  <c r="Z22" i="22" s="1"/>
  <c r="AA29" i="14"/>
  <c r="AC29" i="14" s="1"/>
  <c r="AE29" i="14" s="1"/>
  <c r="AA29" i="15" s="1"/>
  <c r="AC29" i="15" s="1"/>
  <c r="AE29" i="15" s="1"/>
  <c r="AA29" i="16" s="1"/>
  <c r="AC29" i="16" s="1"/>
  <c r="AE29" i="16" s="1"/>
  <c r="AA29" i="17" s="1"/>
  <c r="AC29" i="17" s="1"/>
  <c r="AE29" i="17" s="1"/>
  <c r="AA29" i="18" s="1"/>
  <c r="AC29" i="18" s="1"/>
  <c r="AE29" i="18" s="1"/>
  <c r="AA29" i="19" s="1"/>
  <c r="AC29" i="19" s="1"/>
  <c r="AE29" i="19" s="1"/>
  <c r="AA29" i="20" s="1"/>
  <c r="AC29" i="20" s="1"/>
  <c r="AE29" i="20" s="1"/>
  <c r="AA29" i="21" s="1"/>
  <c r="AC29" i="21" s="1"/>
  <c r="AE29" i="21" s="1"/>
  <c r="AA29" i="22" s="1"/>
  <c r="AC29" i="22" s="1"/>
  <c r="AE29" i="22" s="1"/>
  <c r="AA29" i="23" s="1"/>
  <c r="AC29" i="23" s="1"/>
  <c r="AE29" i="23" s="1"/>
  <c r="AA29" i="24" s="1"/>
  <c r="AC29" i="24" s="1"/>
  <c r="AE29" i="24" s="1"/>
  <c r="AA29" i="25" s="1"/>
  <c r="AC29" i="25" s="1"/>
  <c r="AE29" i="25" s="1"/>
  <c r="AA29" i="26" s="1"/>
  <c r="AC29" i="26" s="1"/>
  <c r="AE29" i="26" s="1"/>
  <c r="AA29" i="27" s="1"/>
  <c r="AC29" i="27" s="1"/>
  <c r="AE29" i="27" s="1"/>
  <c r="AA29" i="28" s="1"/>
  <c r="AC29" i="28" s="1"/>
  <c r="AE29" i="28" s="1"/>
  <c r="AA29" i="29" s="1"/>
  <c r="AC29" i="29" s="1"/>
  <c r="AE29" i="29" s="1"/>
  <c r="AA29" i="30" s="1"/>
  <c r="AC29" i="30" s="1"/>
  <c r="AE29" i="30" s="1"/>
  <c r="AA29" i="31" s="1"/>
  <c r="AC29" i="31" s="1"/>
  <c r="AE29" i="31" s="1"/>
  <c r="AA29" i="32" s="1"/>
  <c r="AC29" i="32" s="1"/>
  <c r="AE29" i="32" s="1"/>
  <c r="AA26" i="14"/>
  <c r="AC26" i="14" s="1"/>
  <c r="AE26" i="14" s="1"/>
  <c r="AA26" i="15" s="1"/>
  <c r="AC26" i="15" s="1"/>
  <c r="AE26" i="15" s="1"/>
  <c r="AA26" i="16" s="1"/>
  <c r="AC26" i="16" s="1"/>
  <c r="AE26" i="16" s="1"/>
  <c r="AA26" i="17" s="1"/>
  <c r="AC26" i="17" s="1"/>
  <c r="AE26" i="17" s="1"/>
  <c r="AA26" i="18" s="1"/>
  <c r="AC26" i="18" s="1"/>
  <c r="AE26" i="18" s="1"/>
  <c r="AA26" i="19" s="1"/>
  <c r="AC26" i="19" s="1"/>
  <c r="AE26" i="19" s="1"/>
  <c r="AA26" i="20" s="1"/>
  <c r="AC26" i="20" s="1"/>
  <c r="AE26" i="20" s="1"/>
  <c r="AA26" i="21" s="1"/>
  <c r="AC26" i="21" s="1"/>
  <c r="AE26" i="21" s="1"/>
  <c r="AA26" i="22" s="1"/>
  <c r="AC26" i="22" s="1"/>
  <c r="AE26" i="22" s="1"/>
  <c r="AA26" i="23" s="1"/>
  <c r="AC26" i="23" s="1"/>
  <c r="AE26" i="23" s="1"/>
  <c r="AA26" i="24" s="1"/>
  <c r="AC26" i="24" s="1"/>
  <c r="AE26" i="24" s="1"/>
  <c r="AA26" i="25" s="1"/>
  <c r="AC26" i="25" s="1"/>
  <c r="AE26" i="25" s="1"/>
  <c r="AA26" i="26" s="1"/>
  <c r="AC26" i="26" s="1"/>
  <c r="AE26" i="26" s="1"/>
  <c r="AA26" i="27" s="1"/>
  <c r="AC26" i="27" s="1"/>
  <c r="AE26" i="27" s="1"/>
  <c r="AA26" i="28" s="1"/>
  <c r="AC26" i="28" s="1"/>
  <c r="AE26" i="28" s="1"/>
  <c r="AA26" i="29" s="1"/>
  <c r="AC26" i="29" s="1"/>
  <c r="AE26" i="29" s="1"/>
  <c r="AA26" i="30" s="1"/>
  <c r="AC26" i="30" s="1"/>
  <c r="AE26" i="30" s="1"/>
  <c r="AA26" i="31" s="1"/>
  <c r="AC26" i="31" s="1"/>
  <c r="AE26" i="31" s="1"/>
  <c r="AA26" i="32" s="1"/>
  <c r="AC26" i="32" s="1"/>
  <c r="AE26" i="32" s="1"/>
  <c r="AA30" i="14"/>
  <c r="AC30" i="14" s="1"/>
  <c r="AE30" i="14" s="1"/>
  <c r="AA30" i="15" s="1"/>
  <c r="AC30" i="15" s="1"/>
  <c r="AE30" i="15" s="1"/>
  <c r="AA30" i="16" s="1"/>
  <c r="AC30" i="16" s="1"/>
  <c r="AE30" i="16" s="1"/>
  <c r="AA30" i="17" s="1"/>
  <c r="AC30" i="17" s="1"/>
  <c r="AE30" i="17" s="1"/>
  <c r="AA30" i="18" s="1"/>
  <c r="AC30" i="18" s="1"/>
  <c r="AE30" i="18" s="1"/>
  <c r="AA30" i="19" s="1"/>
  <c r="AC30" i="19" s="1"/>
  <c r="AE30" i="19" s="1"/>
  <c r="AA30" i="20" s="1"/>
  <c r="AC30" i="20" s="1"/>
  <c r="AE30" i="20" s="1"/>
  <c r="AA30" i="21" s="1"/>
  <c r="AC30" i="21" s="1"/>
  <c r="AE30" i="21" s="1"/>
  <c r="AA30" i="22" s="1"/>
  <c r="AC30" i="22" s="1"/>
  <c r="AE30" i="22" s="1"/>
  <c r="AA30" i="23" s="1"/>
  <c r="AC30" i="23" s="1"/>
  <c r="AE30" i="23" s="1"/>
  <c r="AA30" i="24" s="1"/>
  <c r="AC30" i="24" s="1"/>
  <c r="AE30" i="24" s="1"/>
  <c r="AA30" i="25" s="1"/>
  <c r="AC30" i="25" s="1"/>
  <c r="AE30" i="25" s="1"/>
  <c r="AA30" i="26" s="1"/>
  <c r="AC30" i="26" s="1"/>
  <c r="AE30" i="26" s="1"/>
  <c r="AA30" i="27" s="1"/>
  <c r="AC30" i="27" s="1"/>
  <c r="AE30" i="27" s="1"/>
  <c r="AA30" i="28" s="1"/>
  <c r="AC30" i="28" s="1"/>
  <c r="AE30" i="28" s="1"/>
  <c r="AA30" i="29" s="1"/>
  <c r="AC30" i="29" s="1"/>
  <c r="AE30" i="29" s="1"/>
  <c r="AA30" i="30" s="1"/>
  <c r="AC30" i="30" s="1"/>
  <c r="AE30" i="30" s="1"/>
  <c r="AA30" i="31" s="1"/>
  <c r="AC30" i="31" s="1"/>
  <c r="AE30" i="31" s="1"/>
  <c r="AA30" i="32" s="1"/>
  <c r="AC30" i="32" s="1"/>
  <c r="AE30" i="32" s="1"/>
  <c r="AA37" i="14"/>
  <c r="AC37" i="14" s="1"/>
  <c r="AE37" i="14" s="1"/>
  <c r="AA37" i="15" s="1"/>
  <c r="AC37" i="15" s="1"/>
  <c r="AE37" i="15" s="1"/>
  <c r="AA37" i="16" s="1"/>
  <c r="AC37" i="16" s="1"/>
  <c r="AE37" i="16" s="1"/>
  <c r="AA37" i="17" s="1"/>
  <c r="AC37" i="17" s="1"/>
  <c r="AE37" i="17" s="1"/>
  <c r="AA37" i="18" s="1"/>
  <c r="AC37" i="18" s="1"/>
  <c r="AE37" i="18" s="1"/>
  <c r="AA37" i="19" s="1"/>
  <c r="AC37" i="19" s="1"/>
  <c r="AE37" i="19" s="1"/>
  <c r="AA37" i="20" s="1"/>
  <c r="AC37" i="20" s="1"/>
  <c r="AE37" i="20" s="1"/>
  <c r="AA37" i="21" s="1"/>
  <c r="AC37" i="21" s="1"/>
  <c r="AE37" i="21" s="1"/>
  <c r="AA37" i="22" s="1"/>
  <c r="AC37" i="22" s="1"/>
  <c r="AE37" i="22" s="1"/>
  <c r="AA37" i="23" s="1"/>
  <c r="AC37" i="23" s="1"/>
  <c r="AE37" i="23" s="1"/>
  <c r="AA37" i="24" s="1"/>
  <c r="AC37" i="24" s="1"/>
  <c r="AE37" i="24" s="1"/>
  <c r="AA37" i="25" s="1"/>
  <c r="AC37" i="25" s="1"/>
  <c r="AE37" i="25" s="1"/>
  <c r="AA37" i="26" s="1"/>
  <c r="AC37" i="26" s="1"/>
  <c r="AE37" i="26" s="1"/>
  <c r="AA37" i="27" s="1"/>
  <c r="AC37" i="27" s="1"/>
  <c r="AE37" i="27" s="1"/>
  <c r="AA37" i="28" s="1"/>
  <c r="AC37" i="28" s="1"/>
  <c r="AE37" i="28" s="1"/>
  <c r="AA37" i="29" s="1"/>
  <c r="AC37" i="29" s="1"/>
  <c r="AE37" i="29" s="1"/>
  <c r="AA37" i="30" s="1"/>
  <c r="AC37" i="30" s="1"/>
  <c r="AE37" i="30" s="1"/>
  <c r="AA37" i="31" s="1"/>
  <c r="AC37" i="31" s="1"/>
  <c r="AE37" i="31" s="1"/>
  <c r="AA37" i="32" s="1"/>
  <c r="AC37" i="32" s="1"/>
  <c r="AE37" i="32" s="1"/>
  <c r="AA40" i="14"/>
  <c r="AC40" i="14" s="1"/>
  <c r="AE40" i="14" s="1"/>
  <c r="AA40" i="15" s="1"/>
  <c r="AC40" i="15" s="1"/>
  <c r="AE40" i="15" s="1"/>
  <c r="AA40" i="16" s="1"/>
  <c r="AC40" i="16" s="1"/>
  <c r="AE40" i="16" s="1"/>
  <c r="AA40" i="17" s="1"/>
  <c r="AC40" i="17" s="1"/>
  <c r="AE40" i="17" s="1"/>
  <c r="AA40" i="18" s="1"/>
  <c r="AC40" i="18" s="1"/>
  <c r="AE40" i="18" s="1"/>
  <c r="AA40" i="19" s="1"/>
  <c r="AC40" i="19" s="1"/>
  <c r="AE40" i="19" s="1"/>
  <c r="AA40" i="20" s="1"/>
  <c r="AC40" i="20" s="1"/>
  <c r="AE40" i="20" s="1"/>
  <c r="AA40" i="21" s="1"/>
  <c r="AC40" i="21" s="1"/>
  <c r="AE40" i="21" s="1"/>
  <c r="AA40" i="22" s="1"/>
  <c r="AC40" i="22" s="1"/>
  <c r="AE40" i="22" s="1"/>
  <c r="AA40" i="23" s="1"/>
  <c r="AC40" i="23" s="1"/>
  <c r="AE40" i="23" s="1"/>
  <c r="AA40" i="24" s="1"/>
  <c r="AC40" i="24" s="1"/>
  <c r="AE40" i="24" s="1"/>
  <c r="AA40" i="25" s="1"/>
  <c r="AC40" i="25" s="1"/>
  <c r="AE40" i="25" s="1"/>
  <c r="AA40" i="26" s="1"/>
  <c r="AC40" i="26" s="1"/>
  <c r="AE40" i="26" s="1"/>
  <c r="AA40" i="27" s="1"/>
  <c r="AC40" i="27" s="1"/>
  <c r="AE40" i="27" s="1"/>
  <c r="AA40" i="28" s="1"/>
  <c r="AC40" i="28" s="1"/>
  <c r="AE40" i="28" s="1"/>
  <c r="AA40" i="29" s="1"/>
  <c r="AC40" i="29" s="1"/>
  <c r="AE40" i="29" s="1"/>
  <c r="AA40" i="30" s="1"/>
  <c r="AC40" i="30" s="1"/>
  <c r="AE40" i="30" s="1"/>
  <c r="AA40" i="31" s="1"/>
  <c r="AC40" i="31" s="1"/>
  <c r="AE40" i="31" s="1"/>
  <c r="AA40" i="32" s="1"/>
  <c r="AC40" i="32" s="1"/>
  <c r="AE40" i="32" s="1"/>
  <c r="AA34" i="14"/>
  <c r="AC34" i="14" s="1"/>
  <c r="AE34" i="14" s="1"/>
  <c r="AA34" i="15" s="1"/>
  <c r="AC34" i="15" s="1"/>
  <c r="AE34" i="15" s="1"/>
  <c r="AA34" i="16" s="1"/>
  <c r="AC34" i="16" s="1"/>
  <c r="AE34" i="16" s="1"/>
  <c r="AA34" i="17" s="1"/>
  <c r="AC34" i="17" s="1"/>
  <c r="AE34" i="17" s="1"/>
  <c r="AA34" i="18" s="1"/>
  <c r="AC34" i="18" s="1"/>
  <c r="AE34" i="18" s="1"/>
  <c r="AA34" i="19" s="1"/>
  <c r="AC34" i="19" s="1"/>
  <c r="AE34" i="19" s="1"/>
  <c r="AA34" i="20" s="1"/>
  <c r="AC34" i="20" s="1"/>
  <c r="AE34" i="20" s="1"/>
  <c r="AA34" i="21" s="1"/>
  <c r="AC34" i="21" s="1"/>
  <c r="AE34" i="21" s="1"/>
  <c r="AA34" i="22" s="1"/>
  <c r="AC34" i="22" s="1"/>
  <c r="AE34" i="22" s="1"/>
  <c r="AA34" i="23" s="1"/>
  <c r="AC34" i="23" s="1"/>
  <c r="AE34" i="23" s="1"/>
  <c r="AA34" i="24" s="1"/>
  <c r="AC34" i="24" s="1"/>
  <c r="AE34" i="24" s="1"/>
  <c r="AA34" i="25" s="1"/>
  <c r="AC34" i="25" s="1"/>
  <c r="AE34" i="25" s="1"/>
  <c r="AA34" i="26" s="1"/>
  <c r="AC34" i="26" s="1"/>
  <c r="AE34" i="26" s="1"/>
  <c r="AA34" i="27" s="1"/>
  <c r="AC34" i="27" s="1"/>
  <c r="AE34" i="27" s="1"/>
  <c r="AA34" i="28" s="1"/>
  <c r="AC34" i="28" s="1"/>
  <c r="AE34" i="28" s="1"/>
  <c r="AA34" i="29" s="1"/>
  <c r="AC34" i="29" s="1"/>
  <c r="AE34" i="29" s="1"/>
  <c r="AA34" i="30" s="1"/>
  <c r="AC34" i="30" s="1"/>
  <c r="AE34" i="30" s="1"/>
  <c r="AA34" i="31" s="1"/>
  <c r="AC34" i="31" s="1"/>
  <c r="AE34" i="31" s="1"/>
  <c r="AA34" i="32" s="1"/>
  <c r="AC34" i="32" s="1"/>
  <c r="AE34" i="32" s="1"/>
  <c r="AA42" i="14"/>
  <c r="AC42" i="14" s="1"/>
  <c r="AE42" i="14" s="1"/>
  <c r="AA42" i="15" s="1"/>
  <c r="AC42" i="15" s="1"/>
  <c r="AE42" i="15" s="1"/>
  <c r="AA42" i="16" s="1"/>
  <c r="AC42" i="16" s="1"/>
  <c r="AE42" i="16" s="1"/>
  <c r="AA42" i="17" s="1"/>
  <c r="AC42" i="17" s="1"/>
  <c r="AE42" i="17" s="1"/>
  <c r="AA42" i="18" s="1"/>
  <c r="AC42" i="18" s="1"/>
  <c r="AE42" i="18" s="1"/>
  <c r="AA42" i="19" s="1"/>
  <c r="AC42" i="19" s="1"/>
  <c r="AE42" i="19" s="1"/>
  <c r="AA42" i="20" s="1"/>
  <c r="AC42" i="20" s="1"/>
  <c r="AE42" i="20" s="1"/>
  <c r="AA42" i="21" s="1"/>
  <c r="AC42" i="21" s="1"/>
  <c r="AE42" i="21" s="1"/>
  <c r="AA42" i="22" s="1"/>
  <c r="AC42" i="22" s="1"/>
  <c r="AE42" i="22" s="1"/>
  <c r="AA42" i="23" s="1"/>
  <c r="AC42" i="23" s="1"/>
  <c r="AE42" i="23" s="1"/>
  <c r="AA42" i="24" s="1"/>
  <c r="AC42" i="24" s="1"/>
  <c r="AE42" i="24" s="1"/>
  <c r="AA42" i="25" s="1"/>
  <c r="AC42" i="25" s="1"/>
  <c r="AE42" i="25" s="1"/>
  <c r="AA42" i="26" s="1"/>
  <c r="AC42" i="26" s="1"/>
  <c r="AE42" i="26" s="1"/>
  <c r="AA42" i="27" s="1"/>
  <c r="AC42" i="27" s="1"/>
  <c r="AE42" i="27" s="1"/>
  <c r="AA42" i="28" s="1"/>
  <c r="AC42" i="28" s="1"/>
  <c r="AE42" i="28" s="1"/>
  <c r="AA42" i="29" s="1"/>
  <c r="AC42" i="29" s="1"/>
  <c r="AE42" i="29" s="1"/>
  <c r="AA42" i="30" s="1"/>
  <c r="AC42" i="30" s="1"/>
  <c r="AE42" i="30" s="1"/>
  <c r="AA42" i="31" s="1"/>
  <c r="AC42" i="31" s="1"/>
  <c r="AE42" i="31" s="1"/>
  <c r="AA42" i="32" s="1"/>
  <c r="AC42" i="32" s="1"/>
  <c r="AE42" i="32" s="1"/>
  <c r="AA36" i="14"/>
  <c r="AC36" i="14" s="1"/>
  <c r="AE36" i="14" s="1"/>
  <c r="AA36" i="15" s="1"/>
  <c r="AC36" i="15" s="1"/>
  <c r="AE36" i="15" s="1"/>
  <c r="AA36" i="16" s="1"/>
  <c r="AC36" i="16" s="1"/>
  <c r="AE36" i="16" s="1"/>
  <c r="AA36" i="17" s="1"/>
  <c r="AC36" i="17" s="1"/>
  <c r="AE36" i="17" s="1"/>
  <c r="AA36" i="18" s="1"/>
  <c r="AC36" i="18" s="1"/>
  <c r="AE36" i="18" s="1"/>
  <c r="AA36" i="19" s="1"/>
  <c r="AC36" i="19" s="1"/>
  <c r="AE36" i="19" s="1"/>
  <c r="AA36" i="20" s="1"/>
  <c r="AC36" i="20" s="1"/>
  <c r="AE36" i="20" s="1"/>
  <c r="AA36" i="21" s="1"/>
  <c r="AC36" i="21" s="1"/>
  <c r="AE36" i="21" s="1"/>
  <c r="AA36" i="22" s="1"/>
  <c r="AC36" i="22" s="1"/>
  <c r="AE36" i="22" s="1"/>
  <c r="AA36" i="23" s="1"/>
  <c r="AC36" i="23" s="1"/>
  <c r="AE36" i="23" s="1"/>
  <c r="AA36" i="24" s="1"/>
  <c r="AC36" i="24" s="1"/>
  <c r="AE36" i="24" s="1"/>
  <c r="AA36" i="25" s="1"/>
  <c r="AC36" i="25" s="1"/>
  <c r="AE36" i="25" s="1"/>
  <c r="AA36" i="26" s="1"/>
  <c r="AC36" i="26" s="1"/>
  <c r="AE36" i="26" s="1"/>
  <c r="AA36" i="27" s="1"/>
  <c r="AC36" i="27" s="1"/>
  <c r="AE36" i="27" s="1"/>
  <c r="AA36" i="28" s="1"/>
  <c r="AC36" i="28" s="1"/>
  <c r="AE36" i="28" s="1"/>
  <c r="AA36" i="29" s="1"/>
  <c r="AC36" i="29" s="1"/>
  <c r="AE36" i="29" s="1"/>
  <c r="AA36" i="30" s="1"/>
  <c r="AC36" i="30" s="1"/>
  <c r="AE36" i="30" s="1"/>
  <c r="AA36" i="31" s="1"/>
  <c r="AC36" i="31" s="1"/>
  <c r="AE36" i="31" s="1"/>
  <c r="AA36" i="32" s="1"/>
  <c r="AC36" i="32" s="1"/>
  <c r="AE36" i="32" s="1"/>
  <c r="AA27" i="14"/>
  <c r="AC27" i="14" s="1"/>
  <c r="AE27" i="14" s="1"/>
  <c r="AA27" i="15" s="1"/>
  <c r="AC27" i="15" s="1"/>
  <c r="AE27" i="15" s="1"/>
  <c r="AA27" i="16" s="1"/>
  <c r="AC27" i="16" s="1"/>
  <c r="AE27" i="16" s="1"/>
  <c r="AA27" i="17" s="1"/>
  <c r="AC27" i="17" s="1"/>
  <c r="AE27" i="17" s="1"/>
  <c r="AA27" i="18" s="1"/>
  <c r="AC27" i="18" s="1"/>
  <c r="AE27" i="18" s="1"/>
  <c r="AA27" i="19" s="1"/>
  <c r="AC27" i="19" s="1"/>
  <c r="AE27" i="19" s="1"/>
  <c r="AA27" i="20" s="1"/>
  <c r="AC27" i="20" s="1"/>
  <c r="AE27" i="20" s="1"/>
  <c r="AA27" i="21" s="1"/>
  <c r="AC27" i="21" s="1"/>
  <c r="AE27" i="21" s="1"/>
  <c r="AA27" i="22" s="1"/>
  <c r="AC27" i="22" s="1"/>
  <c r="AE27" i="22" s="1"/>
  <c r="AA27" i="23" s="1"/>
  <c r="AC27" i="23" s="1"/>
  <c r="AE27" i="23" s="1"/>
  <c r="AA27" i="24" s="1"/>
  <c r="AC27" i="24" s="1"/>
  <c r="AE27" i="24" s="1"/>
  <c r="AA27" i="25" s="1"/>
  <c r="AC27" i="25" s="1"/>
  <c r="AE27" i="25" s="1"/>
  <c r="AA27" i="26" s="1"/>
  <c r="AC27" i="26" s="1"/>
  <c r="AE27" i="26" s="1"/>
  <c r="AA27" i="27" s="1"/>
  <c r="AC27" i="27" s="1"/>
  <c r="AE27" i="27" s="1"/>
  <c r="AA27" i="28" s="1"/>
  <c r="AC27" i="28" s="1"/>
  <c r="AE27" i="28" s="1"/>
  <c r="AA27" i="29" s="1"/>
  <c r="AC27" i="29" s="1"/>
  <c r="AE27" i="29" s="1"/>
  <c r="AA27" i="30" s="1"/>
  <c r="AC27" i="30" s="1"/>
  <c r="AE27" i="30" s="1"/>
  <c r="AA27" i="31" s="1"/>
  <c r="AC27" i="31" s="1"/>
  <c r="AE27" i="31" s="1"/>
  <c r="AA27" i="32" s="1"/>
  <c r="AC27" i="32" s="1"/>
  <c r="AE27" i="32" s="1"/>
  <c r="AA31" i="14"/>
  <c r="AC31" i="14" s="1"/>
  <c r="AE31" i="14" s="1"/>
  <c r="AA31" i="15" s="1"/>
  <c r="AC31" i="15" s="1"/>
  <c r="AE31" i="15" s="1"/>
  <c r="AA31" i="16" s="1"/>
  <c r="AC31" i="16" s="1"/>
  <c r="AE31" i="16" s="1"/>
  <c r="AA31" i="17" s="1"/>
  <c r="AC31" i="17" s="1"/>
  <c r="AE31" i="17" s="1"/>
  <c r="AA31" i="18" s="1"/>
  <c r="AC31" i="18" s="1"/>
  <c r="AE31" i="18" s="1"/>
  <c r="AA31" i="19" s="1"/>
  <c r="AC31" i="19" s="1"/>
  <c r="AE31" i="19" s="1"/>
  <c r="AA31" i="20" s="1"/>
  <c r="AC31" i="20" s="1"/>
  <c r="AE31" i="20" s="1"/>
  <c r="AA31" i="21" s="1"/>
  <c r="AC31" i="21" s="1"/>
  <c r="AE31" i="21" s="1"/>
  <c r="AA31" i="22" s="1"/>
  <c r="AC31" i="22" s="1"/>
  <c r="AE31" i="22" s="1"/>
  <c r="AA31" i="23" s="1"/>
  <c r="AC31" i="23" s="1"/>
  <c r="AE31" i="23" s="1"/>
  <c r="AA31" i="24" s="1"/>
  <c r="AC31" i="24" s="1"/>
  <c r="AE31" i="24" s="1"/>
  <c r="AA31" i="25" s="1"/>
  <c r="AC31" i="25" s="1"/>
  <c r="AE31" i="25" s="1"/>
  <c r="AA31" i="26" s="1"/>
  <c r="AC31" i="26" s="1"/>
  <c r="AE31" i="26" s="1"/>
  <c r="AA31" i="27" s="1"/>
  <c r="AC31" i="27" s="1"/>
  <c r="AE31" i="27" s="1"/>
  <c r="AA31" i="28" s="1"/>
  <c r="AC31" i="28" s="1"/>
  <c r="AE31" i="28" s="1"/>
  <c r="AA31" i="29" s="1"/>
  <c r="AC31" i="29" s="1"/>
  <c r="AE31" i="29" s="1"/>
  <c r="AA31" i="30" s="1"/>
  <c r="AC31" i="30" s="1"/>
  <c r="AE31" i="30" s="1"/>
  <c r="AA31" i="31" s="1"/>
  <c r="AC31" i="31" s="1"/>
  <c r="AE31" i="31" s="1"/>
  <c r="AA31" i="32" s="1"/>
  <c r="AC31" i="32" s="1"/>
  <c r="AE31" i="32" s="1"/>
  <c r="AA39" i="14"/>
  <c r="AC39" i="14" s="1"/>
  <c r="AE39" i="14" s="1"/>
  <c r="AA39" i="15" s="1"/>
  <c r="AC39" i="15" s="1"/>
  <c r="AE39" i="15" s="1"/>
  <c r="AA39" i="16" s="1"/>
  <c r="AC39" i="16" s="1"/>
  <c r="AE39" i="16" s="1"/>
  <c r="AA39" i="17" s="1"/>
  <c r="AC39" i="17" s="1"/>
  <c r="AE39" i="17" s="1"/>
  <c r="AA39" i="18" s="1"/>
  <c r="AC39" i="18" s="1"/>
  <c r="AE39" i="18" s="1"/>
  <c r="AA39" i="19" s="1"/>
  <c r="AC39" i="19" s="1"/>
  <c r="AE39" i="19" s="1"/>
  <c r="AA39" i="20" s="1"/>
  <c r="AC39" i="20" s="1"/>
  <c r="AE39" i="20" s="1"/>
  <c r="AA39" i="21" s="1"/>
  <c r="AC39" i="21" s="1"/>
  <c r="AE39" i="21" s="1"/>
  <c r="AA39" i="22" s="1"/>
  <c r="AC39" i="22" s="1"/>
  <c r="AE39" i="22" s="1"/>
  <c r="AA39" i="23" s="1"/>
  <c r="AC39" i="23" s="1"/>
  <c r="AE39" i="23" s="1"/>
  <c r="AA39" i="24" s="1"/>
  <c r="AC39" i="24" s="1"/>
  <c r="AE39" i="24" s="1"/>
  <c r="AA39" i="25" s="1"/>
  <c r="AC39" i="25" s="1"/>
  <c r="AE39" i="25" s="1"/>
  <c r="AA39" i="26" s="1"/>
  <c r="AC39" i="26" s="1"/>
  <c r="AE39" i="26" s="1"/>
  <c r="AA39" i="27" s="1"/>
  <c r="AC39" i="27" s="1"/>
  <c r="AE39" i="27" s="1"/>
  <c r="AA39" i="28" s="1"/>
  <c r="AC39" i="28" s="1"/>
  <c r="AE39" i="28" s="1"/>
  <c r="AA39" i="29" s="1"/>
  <c r="AC39" i="29" s="1"/>
  <c r="AE39" i="29" s="1"/>
  <c r="AA39" i="30" s="1"/>
  <c r="AC39" i="30" s="1"/>
  <c r="AE39" i="30" s="1"/>
  <c r="AA39" i="31" s="1"/>
  <c r="AC39" i="31" s="1"/>
  <c r="AE39" i="31" s="1"/>
  <c r="AA39" i="32" s="1"/>
  <c r="AC39" i="32" s="1"/>
  <c r="AE39" i="32" s="1"/>
  <c r="AA38" i="14"/>
  <c r="AC38" i="14" s="1"/>
  <c r="AE38" i="14" s="1"/>
  <c r="AA38" i="15" s="1"/>
  <c r="AC38" i="15" s="1"/>
  <c r="AE38" i="15" s="1"/>
  <c r="AA38" i="16" s="1"/>
  <c r="AC38" i="16" s="1"/>
  <c r="AE38" i="16" s="1"/>
  <c r="AA38" i="17" s="1"/>
  <c r="AC38" i="17" s="1"/>
  <c r="AE38" i="17" s="1"/>
  <c r="AA38" i="18" s="1"/>
  <c r="AC38" i="18" s="1"/>
  <c r="AE38" i="18" s="1"/>
  <c r="AA38" i="19" s="1"/>
  <c r="AC38" i="19" s="1"/>
  <c r="AE38" i="19" s="1"/>
  <c r="AA38" i="20" s="1"/>
  <c r="AC38" i="20" s="1"/>
  <c r="AE38" i="20" s="1"/>
  <c r="AA38" i="21" s="1"/>
  <c r="AC38" i="21" s="1"/>
  <c r="AE38" i="21" s="1"/>
  <c r="AA38" i="22" s="1"/>
  <c r="AC38" i="22" s="1"/>
  <c r="AE38" i="22" s="1"/>
  <c r="AA38" i="23" s="1"/>
  <c r="AC38" i="23" s="1"/>
  <c r="AE38" i="23" s="1"/>
  <c r="AA38" i="24" s="1"/>
  <c r="AC38" i="24" s="1"/>
  <c r="AE38" i="24" s="1"/>
  <c r="AA38" i="25" s="1"/>
  <c r="AC38" i="25" s="1"/>
  <c r="AE38" i="25" s="1"/>
  <c r="AA38" i="26" s="1"/>
  <c r="AC38" i="26" s="1"/>
  <c r="AE38" i="26" s="1"/>
  <c r="AA38" i="27" s="1"/>
  <c r="AC38" i="27" s="1"/>
  <c r="AE38" i="27" s="1"/>
  <c r="AA38" i="28" s="1"/>
  <c r="AC38" i="28" s="1"/>
  <c r="AE38" i="28" s="1"/>
  <c r="AA38" i="29" s="1"/>
  <c r="AC38" i="29" s="1"/>
  <c r="AE38" i="29" s="1"/>
  <c r="AA38" i="30" s="1"/>
  <c r="AC38" i="30" s="1"/>
  <c r="AE38" i="30" s="1"/>
  <c r="AA38" i="31" s="1"/>
  <c r="AC38" i="31" s="1"/>
  <c r="AE38" i="31" s="1"/>
  <c r="AA38" i="32" s="1"/>
  <c r="AC38" i="32" s="1"/>
  <c r="AE38" i="32" s="1"/>
  <c r="AA35" i="14"/>
  <c r="AC35" i="14" s="1"/>
  <c r="AE35" i="14" s="1"/>
  <c r="AA35" i="15" s="1"/>
  <c r="AC35" i="15" s="1"/>
  <c r="AE35" i="15" s="1"/>
  <c r="AA35" i="16" s="1"/>
  <c r="AC35" i="16" s="1"/>
  <c r="AE35" i="16" s="1"/>
  <c r="AA35" i="17" s="1"/>
  <c r="AC35" i="17" s="1"/>
  <c r="AE35" i="17" s="1"/>
  <c r="AA35" i="18" s="1"/>
  <c r="AC35" i="18" s="1"/>
  <c r="AE35" i="18" s="1"/>
  <c r="AA35" i="19" s="1"/>
  <c r="AC35" i="19" s="1"/>
  <c r="AE35" i="19" s="1"/>
  <c r="AA35" i="20" s="1"/>
  <c r="AC35" i="20" s="1"/>
  <c r="AE35" i="20" s="1"/>
  <c r="AA35" i="21" s="1"/>
  <c r="AC35" i="21" s="1"/>
  <c r="AE35" i="21" s="1"/>
  <c r="AA35" i="22" s="1"/>
  <c r="AC35" i="22" s="1"/>
  <c r="AE35" i="22" s="1"/>
  <c r="AA35" i="23" s="1"/>
  <c r="AC35" i="23" s="1"/>
  <c r="AE35" i="23" s="1"/>
  <c r="AA35" i="24" s="1"/>
  <c r="AC35" i="24" s="1"/>
  <c r="AE35" i="24" s="1"/>
  <c r="AA35" i="25" s="1"/>
  <c r="AC35" i="25" s="1"/>
  <c r="AE35" i="25" s="1"/>
  <c r="AA35" i="26" s="1"/>
  <c r="AC35" i="26" s="1"/>
  <c r="AE35" i="26" s="1"/>
  <c r="AA35" i="27" s="1"/>
  <c r="AC35" i="27" s="1"/>
  <c r="AE35" i="27" s="1"/>
  <c r="AA35" i="28" s="1"/>
  <c r="AC35" i="28" s="1"/>
  <c r="AE35" i="28" s="1"/>
  <c r="AA35" i="29" s="1"/>
  <c r="AC35" i="29" s="1"/>
  <c r="AE35" i="29" s="1"/>
  <c r="AA35" i="30" s="1"/>
  <c r="AC35" i="30" s="1"/>
  <c r="AE35" i="30" s="1"/>
  <c r="AA35" i="31" s="1"/>
  <c r="AC35" i="31" s="1"/>
  <c r="AE35" i="31" s="1"/>
  <c r="AA35" i="32" s="1"/>
  <c r="AC35" i="32" s="1"/>
  <c r="AE35" i="32" s="1"/>
  <c r="AA28" i="14"/>
  <c r="AC28" i="14" s="1"/>
  <c r="AE28" i="14" s="1"/>
  <c r="AA28" i="15" s="1"/>
  <c r="AC28" i="15" s="1"/>
  <c r="AE28" i="15" s="1"/>
  <c r="AA28" i="16" s="1"/>
  <c r="AC28" i="16" s="1"/>
  <c r="AE28" i="16" s="1"/>
  <c r="AA28" i="17" s="1"/>
  <c r="AC28" i="17" s="1"/>
  <c r="AE28" i="17" s="1"/>
  <c r="AA28" i="18" s="1"/>
  <c r="AC28" i="18" s="1"/>
  <c r="AE28" i="18" s="1"/>
  <c r="AA28" i="19" s="1"/>
  <c r="AC28" i="19" s="1"/>
  <c r="AE28" i="19" s="1"/>
  <c r="AA28" i="20" s="1"/>
  <c r="AC28" i="20" s="1"/>
  <c r="AE28" i="20" s="1"/>
  <c r="AA28" i="21" s="1"/>
  <c r="AC28" i="21" s="1"/>
  <c r="AE28" i="21" s="1"/>
  <c r="AA28" i="22" s="1"/>
  <c r="AC28" i="22" s="1"/>
  <c r="AE28" i="22" s="1"/>
  <c r="AA28" i="23" s="1"/>
  <c r="AC28" i="23" s="1"/>
  <c r="AE28" i="23" s="1"/>
  <c r="AA28" i="24" s="1"/>
  <c r="AC28" i="24" s="1"/>
  <c r="AE28" i="24" s="1"/>
  <c r="AA28" i="25" s="1"/>
  <c r="AC28" i="25" s="1"/>
  <c r="AE28" i="25" s="1"/>
  <c r="AA28" i="26" s="1"/>
  <c r="AC28" i="26" s="1"/>
  <c r="AE28" i="26" s="1"/>
  <c r="AA28" i="27" s="1"/>
  <c r="AC28" i="27" s="1"/>
  <c r="AE28" i="27" s="1"/>
  <c r="AA28" i="28" s="1"/>
  <c r="AC28" i="28" s="1"/>
  <c r="AE28" i="28" s="1"/>
  <c r="AA28" i="29" s="1"/>
  <c r="AC28" i="29" s="1"/>
  <c r="AE28" i="29" s="1"/>
  <c r="AA28" i="30" s="1"/>
  <c r="AC28" i="30" s="1"/>
  <c r="AE28" i="30" s="1"/>
  <c r="AA28" i="31" s="1"/>
  <c r="AC28" i="31" s="1"/>
  <c r="AE28" i="31" s="1"/>
  <c r="AA28" i="32" s="1"/>
  <c r="AC28" i="32" s="1"/>
  <c r="AE28" i="32" s="1"/>
  <c r="AA41" i="14"/>
  <c r="AC41" i="14" s="1"/>
  <c r="AE41" i="14" s="1"/>
  <c r="AA41" i="15" s="1"/>
  <c r="AC41" i="15" s="1"/>
  <c r="AE41" i="15" s="1"/>
  <c r="AA41" i="16" s="1"/>
  <c r="AC41" i="16" s="1"/>
  <c r="AE41" i="16" s="1"/>
  <c r="AA41" i="17" s="1"/>
  <c r="AC41" i="17" s="1"/>
  <c r="AE41" i="17" s="1"/>
  <c r="AA41" i="18" s="1"/>
  <c r="AC41" i="18" s="1"/>
  <c r="AE41" i="18" s="1"/>
  <c r="AA41" i="19" s="1"/>
  <c r="AC41" i="19" s="1"/>
  <c r="AE41" i="19" s="1"/>
  <c r="AA41" i="20" s="1"/>
  <c r="AC41" i="20" s="1"/>
  <c r="AE41" i="20" s="1"/>
  <c r="AA41" i="21" s="1"/>
  <c r="AC41" i="21" s="1"/>
  <c r="AE41" i="21" s="1"/>
  <c r="AA41" i="22" s="1"/>
  <c r="AC41" i="22" s="1"/>
  <c r="AE41" i="22" s="1"/>
  <c r="AA41" i="23" s="1"/>
  <c r="AC41" i="23" s="1"/>
  <c r="AE41" i="23" s="1"/>
  <c r="AA41" i="24" s="1"/>
  <c r="AC41" i="24" s="1"/>
  <c r="AE41" i="24" s="1"/>
  <c r="AA41" i="25" s="1"/>
  <c r="AC41" i="25" s="1"/>
  <c r="AE41" i="25" s="1"/>
  <c r="AA41" i="26" s="1"/>
  <c r="AC41" i="26" s="1"/>
  <c r="AE41" i="26" s="1"/>
  <c r="AA41" i="27" s="1"/>
  <c r="AC41" i="27" s="1"/>
  <c r="AE41" i="27" s="1"/>
  <c r="AA41" i="28" s="1"/>
  <c r="AC41" i="28" s="1"/>
  <c r="AE41" i="28" s="1"/>
  <c r="AA41" i="29" s="1"/>
  <c r="AC41" i="29" s="1"/>
  <c r="AE41" i="29" s="1"/>
  <c r="AA41" i="30" s="1"/>
  <c r="AC41" i="30" s="1"/>
  <c r="AE41" i="30" s="1"/>
  <c r="AA41" i="31" s="1"/>
  <c r="AC41" i="31" s="1"/>
  <c r="AE41" i="31" s="1"/>
  <c r="AA41" i="32" s="1"/>
  <c r="AC41" i="32" s="1"/>
  <c r="AE41" i="32" s="1"/>
  <c r="Z746" i="33"/>
  <c r="H27" i="3" s="1"/>
  <c r="T29" i="17"/>
  <c r="V29" i="17" s="1"/>
  <c r="X29" i="17" s="1"/>
  <c r="T35" i="17"/>
  <c r="V35" i="17" s="1"/>
  <c r="X35" i="17" s="1"/>
  <c r="T36" i="17"/>
  <c r="V36" i="17" s="1"/>
  <c r="X36" i="17" s="1"/>
  <c r="T33" i="17"/>
  <c r="V33" i="17" s="1"/>
  <c r="X33" i="17" s="1"/>
  <c r="T34" i="17"/>
  <c r="V34" i="17" s="1"/>
  <c r="X34" i="17" s="1"/>
  <c r="Z1181" i="33"/>
  <c r="L38" i="18"/>
  <c r="AC199" i="33"/>
  <c r="K12" i="32" s="1"/>
  <c r="S22" i="25"/>
  <c r="S22" i="26" s="1"/>
  <c r="S22" i="27" s="1"/>
  <c r="S22" i="28" s="1"/>
  <c r="S22" i="29" s="1"/>
  <c r="S22" i="30" s="1"/>
  <c r="S22" i="31" s="1"/>
  <c r="S22" i="32" s="1"/>
  <c r="S20" i="23"/>
  <c r="S20" i="24" s="1"/>
  <c r="S20" i="25" s="1"/>
  <c r="S20" i="26" s="1"/>
  <c r="S20" i="27" s="1"/>
  <c r="F42" i="37"/>
  <c r="F42" i="11" s="1"/>
  <c r="F42" i="12" s="1"/>
  <c r="F42" i="13" s="1"/>
  <c r="F42" i="14" s="1"/>
  <c r="F42" i="15" s="1"/>
  <c r="F42" i="16" s="1"/>
  <c r="F41" i="37"/>
  <c r="F41" i="11" s="1"/>
  <c r="F41" i="12" s="1"/>
  <c r="F41" i="13" s="1"/>
  <c r="F41" i="14" s="1"/>
  <c r="F41" i="15" s="1"/>
  <c r="F41" i="16" s="1"/>
  <c r="F40" i="37"/>
  <c r="F40" i="11" s="1"/>
  <c r="F40" i="12" s="1"/>
  <c r="F40" i="13" s="1"/>
  <c r="F40" i="14" s="1"/>
  <c r="F40" i="15" s="1"/>
  <c r="F40" i="16" s="1"/>
  <c r="P10" i="54"/>
  <c r="L15" i="2"/>
  <c r="Z287" i="33"/>
  <c r="H13" i="3"/>
  <c r="Z558" i="33"/>
  <c r="H22" i="3" s="1"/>
  <c r="L22" i="2"/>
  <c r="AD169" i="33"/>
  <c r="I12" i="2"/>
  <c r="AG25" i="16"/>
  <c r="AG25" i="17" s="1"/>
  <c r="AG25" i="18" s="1"/>
  <c r="AG25" i="19" s="1"/>
  <c r="AG25" i="20" s="1"/>
  <c r="AG25" i="21" s="1"/>
  <c r="AG25" i="22" s="1"/>
  <c r="AG21" i="19"/>
  <c r="AG21" i="20" s="1"/>
  <c r="AG21" i="21" s="1"/>
  <c r="AG21" i="22" s="1"/>
  <c r="AG21" i="23" s="1"/>
  <c r="AG21" i="24" s="1"/>
  <c r="AG21" i="25" s="1"/>
  <c r="AG21" i="26" s="1"/>
  <c r="AG21" i="27" s="1"/>
  <c r="AG21" i="28" s="1"/>
  <c r="AG21" i="29" s="1"/>
  <c r="AG21" i="30" s="1"/>
  <c r="AG21" i="31" s="1"/>
  <c r="AG21" i="32" s="1"/>
  <c r="AG23" i="20"/>
  <c r="AG23" i="21" s="1"/>
  <c r="AG23" i="22" s="1"/>
  <c r="AG23" i="23" s="1"/>
  <c r="AG23" i="24" s="1"/>
  <c r="AG23" i="25" s="1"/>
  <c r="AG23" i="26" s="1"/>
  <c r="AG23" i="27" s="1"/>
  <c r="AG23" i="28" s="1"/>
  <c r="AG23" i="29" s="1"/>
  <c r="AG23" i="30" s="1"/>
  <c r="AG23" i="31" s="1"/>
  <c r="AG23" i="32" s="1"/>
  <c r="AG24" i="16"/>
  <c r="AG24" i="17" s="1"/>
  <c r="AG24" i="18" s="1"/>
  <c r="AG24" i="19" s="1"/>
  <c r="AG20" i="18"/>
  <c r="AG20" i="19" s="1"/>
  <c r="AG20" i="20" s="1"/>
  <c r="AG20" i="21" s="1"/>
  <c r="AG20" i="22" s="1"/>
  <c r="AG20" i="23" s="1"/>
  <c r="AG22" i="13"/>
  <c r="AG22" i="14" s="1"/>
  <c r="AG22" i="15" s="1"/>
  <c r="AG22" i="16" s="1"/>
  <c r="AG22" i="17" s="1"/>
  <c r="AG22" i="18" s="1"/>
  <c r="AG22" i="19" s="1"/>
  <c r="AA25" i="14"/>
  <c r="AC25" i="14" s="1"/>
  <c r="AE25" i="14" s="1"/>
  <c r="AA25" i="15" s="1"/>
  <c r="AC25" i="15" s="1"/>
  <c r="AE25" i="15" s="1"/>
  <c r="AA24" i="14"/>
  <c r="AC24" i="14" s="1"/>
  <c r="AE24" i="14" s="1"/>
  <c r="AA24" i="15" s="1"/>
  <c r="AC24" i="15" s="1"/>
  <c r="AE24" i="15" s="1"/>
  <c r="AG10" i="18"/>
  <c r="AG10" i="19" s="1"/>
  <c r="AG10" i="20" s="1"/>
  <c r="AG10" i="21" s="1"/>
  <c r="AG10" i="22" s="1"/>
  <c r="AG10" i="23" s="1"/>
  <c r="AG10" i="24" s="1"/>
  <c r="AG10" i="25" s="1"/>
  <c r="AG10" i="26" s="1"/>
  <c r="AG10" i="27" s="1"/>
  <c r="AG10" i="28" s="1"/>
  <c r="AG10" i="29" s="1"/>
  <c r="AG10" i="30" s="1"/>
  <c r="AG10" i="31" s="1"/>
  <c r="AG10" i="32" s="1"/>
  <c r="AF23" i="20"/>
  <c r="AF23" i="21" s="1"/>
  <c r="AF23" i="22" s="1"/>
  <c r="AF23" i="23" s="1"/>
  <c r="AF22" i="20"/>
  <c r="AF22" i="21" s="1"/>
  <c r="AF22" i="22" s="1"/>
  <c r="AF22" i="23" s="1"/>
  <c r="AE23" i="13"/>
  <c r="AA23" i="14" s="1"/>
  <c r="AC23" i="14" s="1"/>
  <c r="AE23" i="14" s="1"/>
  <c r="AA23" i="15" s="1"/>
  <c r="AC23" i="15" s="1"/>
  <c r="AE23" i="15" s="1"/>
  <c r="AA23" i="16" s="1"/>
  <c r="AC23" i="16" s="1"/>
  <c r="AE23" i="16" s="1"/>
  <c r="AA23" i="17" s="1"/>
  <c r="AC23" i="17" s="1"/>
  <c r="AE23" i="17" s="1"/>
  <c r="AA23" i="18" s="1"/>
  <c r="AC23" i="18" s="1"/>
  <c r="AE23" i="18" s="1"/>
  <c r="AA23" i="19" s="1"/>
  <c r="AC23" i="19" s="1"/>
  <c r="AE23" i="19" s="1"/>
  <c r="AA20" i="12"/>
  <c r="AC20" i="12" s="1"/>
  <c r="AE20" i="12" s="1"/>
  <c r="AA20" i="13" s="1"/>
  <c r="AE19" i="6"/>
  <c r="AA19" i="7" s="1"/>
  <c r="AC19" i="7" s="1"/>
  <c r="AE19" i="7" s="1"/>
  <c r="AA19" i="8" s="1"/>
  <c r="AC19" i="8" s="1"/>
  <c r="AE19" i="8" s="1"/>
  <c r="AA19" i="9" s="1"/>
  <c r="AC19" i="9" s="1"/>
  <c r="AE19" i="9" s="1"/>
  <c r="AA19" i="37" s="1"/>
  <c r="AC19" i="37" s="1"/>
  <c r="AE19" i="37" s="1"/>
  <c r="AA19" i="11" s="1"/>
  <c r="AC19" i="11" s="1"/>
  <c r="T19" i="6"/>
  <c r="V19" i="6" s="1"/>
  <c r="X19" i="6" s="1"/>
  <c r="T19" i="7" s="1"/>
  <c r="V19" i="7" s="1"/>
  <c r="X19" i="7" s="1"/>
  <c r="T19" i="8" s="1"/>
  <c r="V19" i="8" s="1"/>
  <c r="X19" i="8" s="1"/>
  <c r="T19" i="9" s="1"/>
  <c r="V19" i="9" s="1"/>
  <c r="X19" i="9" s="1"/>
  <c r="T19" i="37" s="1"/>
  <c r="V19" i="37" s="1"/>
  <c r="X19" i="37" s="1"/>
  <c r="T19" i="11" s="1"/>
  <c r="V19" i="11" s="1"/>
  <c r="X19" i="11" s="1"/>
  <c r="T27" i="6"/>
  <c r="V27" i="6" s="1"/>
  <c r="X27" i="6" s="1"/>
  <c r="T27" i="7" s="1"/>
  <c r="V27" i="7" s="1"/>
  <c r="X27" i="7" s="1"/>
  <c r="T27" i="8" s="1"/>
  <c r="V27" i="8" s="1"/>
  <c r="X27" i="8" s="1"/>
  <c r="T27" i="9" s="1"/>
  <c r="V27" i="9" s="1"/>
  <c r="X27" i="9" s="1"/>
  <c r="T27" i="37" s="1"/>
  <c r="V27" i="37" s="1"/>
  <c r="X27" i="37" s="1"/>
  <c r="T27" i="11" s="1"/>
  <c r="V27" i="11" s="1"/>
  <c r="X27" i="11" s="1"/>
  <c r="T27" i="12" s="1"/>
  <c r="V27" i="12" s="1"/>
  <c r="X27" i="12" s="1"/>
  <c r="T27" i="13" s="1"/>
  <c r="V27" i="13" s="1"/>
  <c r="X27" i="13" s="1"/>
  <c r="T27" i="14" s="1"/>
  <c r="V27" i="14" s="1"/>
  <c r="X27" i="14" s="1"/>
  <c r="T27" i="15" s="1"/>
  <c r="V27" i="15" s="1"/>
  <c r="X27" i="15" s="1"/>
  <c r="T27" i="16" s="1"/>
  <c r="V27" i="16" s="1"/>
  <c r="X27" i="16" s="1"/>
  <c r="T31" i="6"/>
  <c r="V31" i="6" s="1"/>
  <c r="X31" i="6" s="1"/>
  <c r="T31" i="7" s="1"/>
  <c r="V31" i="7" s="1"/>
  <c r="X31" i="7" s="1"/>
  <c r="T31" i="8" s="1"/>
  <c r="V31" i="8" s="1"/>
  <c r="X31" i="8" s="1"/>
  <c r="T31" i="9" s="1"/>
  <c r="V31" i="9" s="1"/>
  <c r="X31" i="9" s="1"/>
  <c r="T31" i="37" s="1"/>
  <c r="V31" i="37" s="1"/>
  <c r="X31" i="37" s="1"/>
  <c r="T31" i="11" s="1"/>
  <c r="V31" i="11" s="1"/>
  <c r="X31" i="11" s="1"/>
  <c r="T31" i="12" s="1"/>
  <c r="V31" i="12" s="1"/>
  <c r="X31" i="12" s="1"/>
  <c r="T31" i="13" s="1"/>
  <c r="V31" i="13" s="1"/>
  <c r="X31" i="13" s="1"/>
  <c r="T31" i="14" s="1"/>
  <c r="V31" i="14" s="1"/>
  <c r="X31" i="14" s="1"/>
  <c r="T31" i="15" s="1"/>
  <c r="V31" i="15" s="1"/>
  <c r="X31" i="15" s="1"/>
  <c r="T31" i="16" s="1"/>
  <c r="V31" i="16" s="1"/>
  <c r="X31" i="16" s="1"/>
  <c r="T8" i="19"/>
  <c r="V8" i="19" s="1"/>
  <c r="X8" i="19" s="1"/>
  <c r="T8" i="20" s="1"/>
  <c r="V8" i="20" s="1"/>
  <c r="X8" i="20" s="1"/>
  <c r="T8" i="21" s="1"/>
  <c r="V8" i="21" s="1"/>
  <c r="X8" i="21" s="1"/>
  <c r="T8" i="22" s="1"/>
  <c r="V8" i="22" s="1"/>
  <c r="X8" i="22" s="1"/>
  <c r="T8" i="23" s="1"/>
  <c r="V8" i="23" s="1"/>
  <c r="X8" i="23" s="1"/>
  <c r="T8" i="24" s="1"/>
  <c r="V8" i="24" s="1"/>
  <c r="X8" i="24" s="1"/>
  <c r="T8" i="25" s="1"/>
  <c r="V8" i="25" s="1"/>
  <c r="X8" i="25" s="1"/>
  <c r="T8" i="26" s="1"/>
  <c r="V8" i="26" s="1"/>
  <c r="X8" i="26" s="1"/>
  <c r="T8" i="27" s="1"/>
  <c r="V8" i="27" s="1"/>
  <c r="X8" i="27" s="1"/>
  <c r="T8" i="28" s="1"/>
  <c r="V8" i="28" s="1"/>
  <c r="X8" i="28" s="1"/>
  <c r="T8" i="29" s="1"/>
  <c r="V8" i="29" s="1"/>
  <c r="X8" i="29" s="1"/>
  <c r="T8" i="30" s="1"/>
  <c r="V8" i="30" s="1"/>
  <c r="X8" i="30" s="1"/>
  <c r="T8" i="31" s="1"/>
  <c r="V8" i="31" s="1"/>
  <c r="X8" i="31" s="1"/>
  <c r="T8" i="32" s="1"/>
  <c r="V8" i="32" s="1"/>
  <c r="X8" i="32" s="1"/>
  <c r="C8" i="54" s="1"/>
  <c r="E8" i="54" s="1"/>
  <c r="T20" i="6"/>
  <c r="V20" i="6" s="1"/>
  <c r="X20" i="6" s="1"/>
  <c r="T20" i="7" s="1"/>
  <c r="V20" i="7" s="1"/>
  <c r="X20" i="7" s="1"/>
  <c r="T20" i="8" s="1"/>
  <c r="V20" i="8" s="1"/>
  <c r="X20" i="8" s="1"/>
  <c r="T20" i="9" s="1"/>
  <c r="V20" i="9" s="1"/>
  <c r="X20" i="9" s="1"/>
  <c r="T20" i="37" s="1"/>
  <c r="V20" i="37" s="1"/>
  <c r="X20" i="37" s="1"/>
  <c r="T20" i="11" s="1"/>
  <c r="V20" i="11" s="1"/>
  <c r="X20" i="11" s="1"/>
  <c r="T20" i="12" s="1"/>
  <c r="T24" i="6"/>
  <c r="V24" i="6" s="1"/>
  <c r="X24" i="6" s="1"/>
  <c r="T24" i="7" s="1"/>
  <c r="V24" i="7" s="1"/>
  <c r="X24" i="7" s="1"/>
  <c r="T24" i="8" s="1"/>
  <c r="V24" i="8" s="1"/>
  <c r="X24" i="8" s="1"/>
  <c r="T24" i="9" s="1"/>
  <c r="V24" i="9" s="1"/>
  <c r="X24" i="9" s="1"/>
  <c r="T24" i="37" s="1"/>
  <c r="V24" i="37" s="1"/>
  <c r="X24" i="37" s="1"/>
  <c r="T24" i="11" s="1"/>
  <c r="V24" i="11" s="1"/>
  <c r="X24" i="11" s="1"/>
  <c r="T24" i="12" s="1"/>
  <c r="V24" i="12" s="1"/>
  <c r="X24" i="12" s="1"/>
  <c r="T24" i="13" s="1"/>
  <c r="V24" i="13" s="1"/>
  <c r="X24" i="13" s="1"/>
  <c r="T28" i="6"/>
  <c r="V28" i="6" s="1"/>
  <c r="X28" i="6" s="1"/>
  <c r="T28" i="7" s="1"/>
  <c r="V28" i="7" s="1"/>
  <c r="X28" i="7" s="1"/>
  <c r="T28" i="8" s="1"/>
  <c r="V28" i="8" s="1"/>
  <c r="X28" i="8" s="1"/>
  <c r="T28" i="9" s="1"/>
  <c r="V28" i="9" s="1"/>
  <c r="X28" i="9" s="1"/>
  <c r="T28" i="37" s="1"/>
  <c r="V28" i="37" s="1"/>
  <c r="X28" i="37" s="1"/>
  <c r="T28" i="11" s="1"/>
  <c r="V28" i="11" s="1"/>
  <c r="X28" i="11" s="1"/>
  <c r="T28" i="12" s="1"/>
  <c r="V28" i="12" s="1"/>
  <c r="X28" i="12" s="1"/>
  <c r="T28" i="13" s="1"/>
  <c r="V28" i="13" s="1"/>
  <c r="X28" i="13" s="1"/>
  <c r="T28" i="14" s="1"/>
  <c r="V28" i="14" s="1"/>
  <c r="X28" i="14" s="1"/>
  <c r="T28" i="15" s="1"/>
  <c r="V28" i="15" s="1"/>
  <c r="X28" i="15" s="1"/>
  <c r="T28" i="16" s="1"/>
  <c r="V28" i="16" s="1"/>
  <c r="X28" i="16" s="1"/>
  <c r="T21" i="6"/>
  <c r="V21" i="6" s="1"/>
  <c r="X21" i="6" s="1"/>
  <c r="T21" i="7" s="1"/>
  <c r="V21" i="7" s="1"/>
  <c r="X21" i="7" s="1"/>
  <c r="T21" i="8" s="1"/>
  <c r="V21" i="8" s="1"/>
  <c r="X21" i="8" s="1"/>
  <c r="T21" i="9" s="1"/>
  <c r="V21" i="9" s="1"/>
  <c r="X21" i="9" s="1"/>
  <c r="T21" i="37" s="1"/>
  <c r="V21" i="37" s="1"/>
  <c r="X21" i="37" s="1"/>
  <c r="T21" i="11" s="1"/>
  <c r="V21" i="11" s="1"/>
  <c r="X21" i="11" s="1"/>
  <c r="T21" i="12" s="1"/>
  <c r="V21" i="12" s="1"/>
  <c r="T25" i="6"/>
  <c r="V25" i="6" s="1"/>
  <c r="X25" i="6" s="1"/>
  <c r="T25" i="7" s="1"/>
  <c r="V25" i="7" s="1"/>
  <c r="X25" i="7" s="1"/>
  <c r="T25" i="8" s="1"/>
  <c r="V25" i="8" s="1"/>
  <c r="X25" i="8" s="1"/>
  <c r="T25" i="9" s="1"/>
  <c r="V25" i="9" s="1"/>
  <c r="X25" i="9" s="1"/>
  <c r="T25" i="37" s="1"/>
  <c r="V25" i="37" s="1"/>
  <c r="X25" i="37" s="1"/>
  <c r="T25" i="11" s="1"/>
  <c r="V25" i="11" s="1"/>
  <c r="X25" i="11" s="1"/>
  <c r="T25" i="12" s="1"/>
  <c r="V25" i="12" s="1"/>
  <c r="X25" i="12" s="1"/>
  <c r="T25" i="13" s="1"/>
  <c r="V25" i="13" s="1"/>
  <c r="X25" i="13" s="1"/>
  <c r="T10" i="7"/>
  <c r="V10" i="7" s="1"/>
  <c r="X10" i="7" s="1"/>
  <c r="T10" i="8" s="1"/>
  <c r="V10" i="8" s="1"/>
  <c r="X10" i="8" s="1"/>
  <c r="T10" i="9" s="1"/>
  <c r="V10" i="9" s="1"/>
  <c r="X10" i="9" s="1"/>
  <c r="T10" i="37" s="1"/>
  <c r="V10" i="37" s="1"/>
  <c r="X10" i="37" s="1"/>
  <c r="T10" i="11" s="1"/>
  <c r="V10" i="11" s="1"/>
  <c r="X10" i="11" s="1"/>
  <c r="T10" i="12" s="1"/>
  <c r="V10" i="12" s="1"/>
  <c r="X10" i="12" s="1"/>
  <c r="T10" i="13" s="1"/>
  <c r="V10" i="13" s="1"/>
  <c r="X10" i="13" s="1"/>
  <c r="T10" i="14" s="1"/>
  <c r="V10" i="14" s="1"/>
  <c r="X10" i="14" s="1"/>
  <c r="T10" i="15" s="1"/>
  <c r="V10" i="15" s="1"/>
  <c r="X10" i="15" s="1"/>
  <c r="T10" i="16" s="1"/>
  <c r="V10" i="16" s="1"/>
  <c r="X10" i="16" s="1"/>
  <c r="T22" i="6"/>
  <c r="V22" i="6" s="1"/>
  <c r="X22" i="6" s="1"/>
  <c r="T22" i="7" s="1"/>
  <c r="V22" i="7" s="1"/>
  <c r="X22" i="7" s="1"/>
  <c r="T22" i="8" s="1"/>
  <c r="V22" i="8" s="1"/>
  <c r="X22" i="8" s="1"/>
  <c r="T22" i="9" s="1"/>
  <c r="V22" i="9" s="1"/>
  <c r="X22" i="9" s="1"/>
  <c r="T22" i="37" s="1"/>
  <c r="V22" i="37" s="1"/>
  <c r="X22" i="37" s="1"/>
  <c r="T22" i="11" s="1"/>
  <c r="V22" i="11" s="1"/>
  <c r="X22" i="11" s="1"/>
  <c r="T22" i="12" s="1"/>
  <c r="V22" i="12" s="1"/>
  <c r="X22" i="12" s="1"/>
  <c r="T22" i="13" s="1"/>
  <c r="V22" i="13" s="1"/>
  <c r="X22" i="13" s="1"/>
  <c r="T26" i="6"/>
  <c r="V26" i="6" s="1"/>
  <c r="X26" i="6" s="1"/>
  <c r="T26" i="7" s="1"/>
  <c r="V26" i="7" s="1"/>
  <c r="X26" i="7" s="1"/>
  <c r="T26" i="8" s="1"/>
  <c r="V26" i="8" s="1"/>
  <c r="X26" i="8" s="1"/>
  <c r="T26" i="9" s="1"/>
  <c r="V26" i="9" s="1"/>
  <c r="X26" i="9" s="1"/>
  <c r="T26" i="37" s="1"/>
  <c r="V26" i="37" s="1"/>
  <c r="X26" i="37" s="1"/>
  <c r="T26" i="11" s="1"/>
  <c r="V26" i="11" s="1"/>
  <c r="X26" i="11" s="1"/>
  <c r="T26" i="12" s="1"/>
  <c r="V26" i="12" s="1"/>
  <c r="X26" i="12" s="1"/>
  <c r="T26" i="13" s="1"/>
  <c r="V26" i="13" s="1"/>
  <c r="X26" i="13" s="1"/>
  <c r="T23" i="6"/>
  <c r="V23" i="6" s="1"/>
  <c r="X23" i="6" s="1"/>
  <c r="T23" i="7" s="1"/>
  <c r="V23" i="7" s="1"/>
  <c r="X23" i="7" s="1"/>
  <c r="T23" i="8" s="1"/>
  <c r="V23" i="8" s="1"/>
  <c r="X23" i="8" s="1"/>
  <c r="T23" i="9" s="1"/>
  <c r="V23" i="9" s="1"/>
  <c r="X23" i="9" s="1"/>
  <c r="T23" i="37" s="1"/>
  <c r="V23" i="37" s="1"/>
  <c r="X23" i="37" s="1"/>
  <c r="T23" i="11" s="1"/>
  <c r="V23" i="11" s="1"/>
  <c r="X23" i="11" s="1"/>
  <c r="T23" i="12" s="1"/>
  <c r="V23" i="12" s="1"/>
  <c r="X23" i="12" s="1"/>
  <c r="T23" i="13" s="1"/>
  <c r="V23" i="13" s="1"/>
  <c r="X23" i="13" s="1"/>
  <c r="Z21" i="19"/>
  <c r="Z21" i="20" s="1"/>
  <c r="Z21" i="21" s="1"/>
  <c r="Z21" i="22" s="1"/>
  <c r="AG19" i="26"/>
  <c r="AG19" i="27" s="1"/>
  <c r="AG19" i="28" s="1"/>
  <c r="AF21" i="19"/>
  <c r="AF21" i="20" s="1"/>
  <c r="AF21" i="21" s="1"/>
  <c r="AF21" i="22" s="1"/>
  <c r="AF21" i="23" s="1"/>
  <c r="AC21" i="13"/>
  <c r="AE21" i="13" s="1"/>
  <c r="AA21" i="14" s="1"/>
  <c r="AC21" i="14" s="1"/>
  <c r="AE21" i="14" s="1"/>
  <c r="AA21" i="15" s="1"/>
  <c r="AC21" i="15" s="1"/>
  <c r="AE21" i="15" s="1"/>
  <c r="AA21" i="16" s="1"/>
  <c r="AC21" i="16" s="1"/>
  <c r="AE21" i="16" s="1"/>
  <c r="AA21" i="17" s="1"/>
  <c r="AC21" i="17" s="1"/>
  <c r="AE21" i="17" s="1"/>
  <c r="AA21" i="18" s="1"/>
  <c r="AC21" i="18" s="1"/>
  <c r="AE21" i="18" s="1"/>
  <c r="AA21" i="19" s="1"/>
  <c r="AC21" i="19" s="1"/>
  <c r="AE21" i="19" s="1"/>
  <c r="AA21" i="20" s="1"/>
  <c r="AC21" i="20" s="1"/>
  <c r="AE21" i="20" s="1"/>
  <c r="AA21" i="21" s="1"/>
  <c r="AC21" i="21" s="1"/>
  <c r="AE21" i="21" s="1"/>
  <c r="AA21" i="22" s="1"/>
  <c r="AC21" i="22" s="1"/>
  <c r="AE21" i="22" s="1"/>
  <c r="F39" i="37"/>
  <c r="F39" i="11" s="1"/>
  <c r="F39" i="12" s="1"/>
  <c r="F39" i="13" s="1"/>
  <c r="F39" i="14" s="1"/>
  <c r="F39" i="15" s="1"/>
  <c r="F39" i="16" s="1"/>
  <c r="N32" i="8"/>
  <c r="N44" i="8"/>
  <c r="N39" i="8"/>
  <c r="N39" i="9" s="1"/>
  <c r="N39" i="37" s="1"/>
  <c r="N39" i="11" s="1"/>
  <c r="N39" i="12" s="1"/>
  <c r="N39" i="13" s="1"/>
  <c r="N39" i="14" s="1"/>
  <c r="N39" i="15" s="1"/>
  <c r="N39" i="16" s="1"/>
  <c r="N23" i="8"/>
  <c r="N33" i="8"/>
  <c r="N33" i="9" s="1"/>
  <c r="N33" i="37" s="1"/>
  <c r="N33" i="11" s="1"/>
  <c r="N33" i="12" s="1"/>
  <c r="N33" i="13" s="1"/>
  <c r="N33" i="14" s="1"/>
  <c r="N33" i="15" s="1"/>
  <c r="N33" i="16" s="1"/>
  <c r="N26" i="8"/>
  <c r="N38" i="8"/>
  <c r="N38" i="9" s="1"/>
  <c r="N38" i="37" s="1"/>
  <c r="N38" i="11" s="1"/>
  <c r="N38" i="12" s="1"/>
  <c r="N38" i="13" s="1"/>
  <c r="N38" i="14" s="1"/>
  <c r="N38" i="15" s="1"/>
  <c r="N38" i="16" s="1"/>
  <c r="N25" i="8"/>
  <c r="N43" i="8"/>
  <c r="N43" i="9" s="1"/>
  <c r="N43" i="37" s="1"/>
  <c r="N43" i="11" s="1"/>
  <c r="N43" i="12" s="1"/>
  <c r="N43" i="13" s="1"/>
  <c r="N43" i="14" s="1"/>
  <c r="N43" i="15" s="1"/>
  <c r="N43" i="16" s="1"/>
  <c r="N29" i="8"/>
  <c r="N22" i="8"/>
  <c r="N22" i="9" s="1"/>
  <c r="N22" i="37" s="1"/>
  <c r="N22" i="11" s="1"/>
  <c r="N22" i="12" s="1"/>
  <c r="N22" i="13" s="1"/>
  <c r="N22" i="14" s="1"/>
  <c r="N22" i="15" s="1"/>
  <c r="N22" i="16" s="1"/>
  <c r="N22" i="17" s="1"/>
  <c r="N22" i="18" s="1"/>
  <c r="N22" i="19" s="1"/>
  <c r="N21" i="8"/>
  <c r="N30" i="8"/>
  <c r="N30" i="9" s="1"/>
  <c r="N30" i="37" s="1"/>
  <c r="N30" i="11" s="1"/>
  <c r="N30" i="12" s="1"/>
  <c r="N30" i="13" s="1"/>
  <c r="N30" i="14" s="1"/>
  <c r="N30" i="15" s="1"/>
  <c r="N30" i="16" s="1"/>
  <c r="N30" i="17" s="1"/>
  <c r="N30" i="18" s="1"/>
  <c r="N30" i="19" s="1"/>
  <c r="N35" i="8"/>
  <c r="N28" i="8"/>
  <c r="N28" i="9" s="1"/>
  <c r="N28" i="37" s="1"/>
  <c r="N28" i="11" s="1"/>
  <c r="N28" i="12" s="1"/>
  <c r="N28" i="13" s="1"/>
  <c r="N28" i="14" s="1"/>
  <c r="N28" i="15" s="1"/>
  <c r="N28" i="16" s="1"/>
  <c r="N28" i="17" s="1"/>
  <c r="N28" i="18" s="1"/>
  <c r="N28" i="19" s="1"/>
  <c r="N40" i="8"/>
  <c r="N24" i="8"/>
  <c r="N24" i="9" s="1"/>
  <c r="N24" i="37" s="1"/>
  <c r="N24" i="11" s="1"/>
  <c r="N24" i="12" s="1"/>
  <c r="N24" i="13" s="1"/>
  <c r="N24" i="14" s="1"/>
  <c r="N24" i="15" s="1"/>
  <c r="N24" i="16" s="1"/>
  <c r="N24" i="17" s="1"/>
  <c r="N24" i="18" s="1"/>
  <c r="N24" i="19" s="1"/>
  <c r="N27" i="8"/>
  <c r="N19" i="8"/>
  <c r="N19" i="9" s="1"/>
  <c r="N19" i="37" s="1"/>
  <c r="N19" i="11" s="1"/>
  <c r="N19" i="12" s="1"/>
  <c r="N19" i="13" s="1"/>
  <c r="N19" i="14" s="1"/>
  <c r="N19" i="15" s="1"/>
  <c r="N19" i="16" s="1"/>
  <c r="N19" i="17" s="1"/>
  <c r="N19" i="18" s="1"/>
  <c r="N19" i="19" s="1"/>
  <c r="N41" i="8"/>
  <c r="N42" i="8"/>
  <c r="N42" i="9" s="1"/>
  <c r="N42" i="37" s="1"/>
  <c r="N42" i="11" s="1"/>
  <c r="N42" i="12" s="1"/>
  <c r="N42" i="13" s="1"/>
  <c r="N42" i="14" s="1"/>
  <c r="N42" i="15" s="1"/>
  <c r="N42" i="16" s="1"/>
  <c r="N31" i="8"/>
  <c r="N34" i="8"/>
  <c r="N34" i="9" s="1"/>
  <c r="N34" i="37" s="1"/>
  <c r="N34" i="11" s="1"/>
  <c r="N34" i="12" s="1"/>
  <c r="N34" i="13" s="1"/>
  <c r="N34" i="14" s="1"/>
  <c r="N34" i="15" s="1"/>
  <c r="N34" i="16" s="1"/>
  <c r="N45" i="8"/>
  <c r="N37" i="8"/>
  <c r="N37" i="9" s="1"/>
  <c r="N37" i="37" s="1"/>
  <c r="N37" i="11" s="1"/>
  <c r="N37" i="12" s="1"/>
  <c r="N37" i="13" s="1"/>
  <c r="N37" i="14" s="1"/>
  <c r="N37" i="15" s="1"/>
  <c r="N37" i="16" s="1"/>
  <c r="N36" i="8"/>
  <c r="M45" i="8"/>
  <c r="M45" i="9" s="1"/>
  <c r="M45" i="37" s="1"/>
  <c r="M45" i="11" s="1"/>
  <c r="M45" i="12" s="1"/>
  <c r="M45" i="13" s="1"/>
  <c r="M45" i="14" s="1"/>
  <c r="M45" i="15" s="1"/>
  <c r="M45" i="16" s="1"/>
  <c r="M44" i="8"/>
  <c r="M43" i="8"/>
  <c r="M42" i="8"/>
  <c r="M41" i="8"/>
  <c r="M40" i="8"/>
  <c r="M39" i="8"/>
  <c r="M37" i="8"/>
  <c r="M36" i="8"/>
  <c r="M35" i="8"/>
  <c r="M34" i="8"/>
  <c r="M33" i="8"/>
  <c r="M32" i="8"/>
  <c r="M31" i="8"/>
  <c r="M31" i="9" s="1"/>
  <c r="M31" i="37" s="1"/>
  <c r="M31" i="11" s="1"/>
  <c r="M31" i="12" s="1"/>
  <c r="M31" i="13" s="1"/>
  <c r="M31" i="14" s="1"/>
  <c r="M31" i="15" s="1"/>
  <c r="M31" i="16" s="1"/>
  <c r="M31" i="17" s="1"/>
  <c r="M31" i="18" s="1"/>
  <c r="M31" i="19" s="1"/>
  <c r="M29" i="8"/>
  <c r="M29" i="9" s="1"/>
  <c r="M29" i="37" s="1"/>
  <c r="M29" i="11" s="1"/>
  <c r="M29" i="12" s="1"/>
  <c r="M29" i="13" s="1"/>
  <c r="M29" i="14" s="1"/>
  <c r="M29" i="15" s="1"/>
  <c r="M29" i="16" s="1"/>
  <c r="M29" i="17" s="1"/>
  <c r="M29" i="18" s="1"/>
  <c r="M29" i="19" s="1"/>
  <c r="M28" i="8"/>
  <c r="M27" i="8"/>
  <c r="M26" i="8"/>
  <c r="M25" i="8"/>
  <c r="M24" i="8"/>
  <c r="M23" i="8"/>
  <c r="M22" i="8"/>
  <c r="M21" i="8"/>
  <c r="M20" i="8"/>
  <c r="M19" i="8"/>
  <c r="Z899" i="33"/>
  <c r="L31" i="2"/>
  <c r="L11" i="2"/>
  <c r="Z670" i="33"/>
  <c r="H25" i="3" s="1"/>
  <c r="Z520" i="33"/>
  <c r="H21" i="3" s="1"/>
  <c r="D20" i="50"/>
  <c r="D23" i="50" s="1"/>
  <c r="E20" i="50"/>
  <c r="E23" i="50" s="1"/>
  <c r="R20" i="50"/>
  <c r="R23" i="50" s="1"/>
  <c r="K20" i="50"/>
  <c r="K23" i="50" s="1"/>
  <c r="P20" i="50"/>
  <c r="P23" i="50" s="1"/>
  <c r="Q20" i="50"/>
  <c r="Q23" i="50" s="1"/>
  <c r="U17" i="50"/>
  <c r="J20" i="50"/>
  <c r="J23" i="50" s="1"/>
  <c r="AF9" i="22"/>
  <c r="AF9" i="23" s="1"/>
  <c r="AF19" i="25"/>
  <c r="AH19" i="23"/>
  <c r="AA49" i="3"/>
  <c r="AA53" i="3" s="1"/>
  <c r="AA55" i="3" s="1"/>
  <c r="AA49" i="4" s="1"/>
  <c r="AA53" i="4" s="1"/>
  <c r="AA55" i="4" s="1"/>
  <c r="Z49" i="3"/>
  <c r="Z53" i="3" s="1"/>
  <c r="Z55" i="3" s="1"/>
  <c r="Z49" i="4" s="1"/>
  <c r="Z53" i="4" s="1"/>
  <c r="Z55" i="4" s="1"/>
  <c r="AG49" i="3"/>
  <c r="AG53" i="3" s="1"/>
  <c r="AG55" i="3" s="1"/>
  <c r="AG49" i="4" s="1"/>
  <c r="AG53" i="4" s="1"/>
  <c r="AG55" i="4" s="1"/>
  <c r="Y49" i="3"/>
  <c r="Y53" i="3" s="1"/>
  <c r="Y55" i="3" s="1"/>
  <c r="Y49" i="4" s="1"/>
  <c r="Y53" i="4" s="1"/>
  <c r="Y55" i="4" s="1"/>
  <c r="AE49" i="3"/>
  <c r="AE53" i="3" s="1"/>
  <c r="AE55" i="3" s="1"/>
  <c r="AE49" i="4" s="1"/>
  <c r="AE53" i="4" s="1"/>
  <c r="AE55" i="4" s="1"/>
  <c r="U49" i="3"/>
  <c r="U53" i="3" s="1"/>
  <c r="U55" i="3" s="1"/>
  <c r="U49" i="4" s="1"/>
  <c r="U53" i="4" s="1"/>
  <c r="U55" i="4" s="1"/>
  <c r="AF49" i="3"/>
  <c r="AF53" i="3" s="1"/>
  <c r="AF55" i="3" s="1"/>
  <c r="AF49" i="4" s="1"/>
  <c r="AF53" i="4" s="1"/>
  <c r="AF55" i="4" s="1"/>
  <c r="AI53" i="3"/>
  <c r="AI55" i="3" s="1"/>
  <c r="AI49" i="4" s="1"/>
  <c r="AI53" i="4" s="1"/>
  <c r="AI55" i="4" s="1"/>
  <c r="AH49" i="3"/>
  <c r="AH53" i="3" s="1"/>
  <c r="AH55" i="3" s="1"/>
  <c r="AH49" i="4" s="1"/>
  <c r="AH53" i="4" s="1"/>
  <c r="AH55" i="4" s="1"/>
  <c r="W49" i="3"/>
  <c r="W53" i="3" s="1"/>
  <c r="W55" i="3" s="1"/>
  <c r="W49" i="4" s="1"/>
  <c r="W53" i="4" s="1"/>
  <c r="W55" i="4" s="1"/>
  <c r="AD49" i="3"/>
  <c r="AD53" i="3" s="1"/>
  <c r="X49" i="3"/>
  <c r="X53" i="3" s="1"/>
  <c r="X55" i="3" s="1"/>
  <c r="X49" i="4" s="1"/>
  <c r="X53" i="4" s="1"/>
  <c r="X55" i="4" s="1"/>
  <c r="AC49" i="3"/>
  <c r="AC53" i="3" s="1"/>
  <c r="V49" i="3"/>
  <c r="V53" i="3" s="1"/>
  <c r="V55" i="3" s="1"/>
  <c r="V49" i="4" s="1"/>
  <c r="V53" i="4" s="1"/>
  <c r="V55" i="4" s="1"/>
  <c r="Z242" i="33"/>
  <c r="A132" i="33"/>
  <c r="A133" i="33" s="1"/>
  <c r="A134" i="33" s="1"/>
  <c r="A135" i="33" s="1"/>
  <c r="A136" i="33" s="1"/>
  <c r="A137" i="33" s="1"/>
  <c r="A138" i="33" s="1"/>
  <c r="A139" i="33" s="1"/>
  <c r="A140" i="33" s="1"/>
  <c r="A141" i="33" s="1"/>
  <c r="A142" i="33" s="1"/>
  <c r="A143" i="33" s="1"/>
  <c r="A144" i="33" s="1"/>
  <c r="A145" i="33" s="1"/>
  <c r="A146" i="33" s="1"/>
  <c r="A147" i="33" s="1"/>
  <c r="A148" i="33" s="1"/>
  <c r="A149" i="33" s="1"/>
  <c r="A150" i="33" s="1"/>
  <c r="A151" i="33" s="1"/>
  <c r="A152" i="33" s="1"/>
  <c r="A153" i="33" s="1"/>
  <c r="A154" i="33" s="1"/>
  <c r="A155" i="33" s="1"/>
  <c r="A156" i="33" s="1"/>
  <c r="A157" i="33" s="1"/>
  <c r="A158" i="33" s="1"/>
  <c r="A159" i="33" s="1"/>
  <c r="A160" i="33" s="1"/>
  <c r="A161" i="33" s="1"/>
  <c r="AC38" i="33"/>
  <c r="K8" i="32" s="1"/>
  <c r="AB43" i="32"/>
  <c r="AA22" i="8"/>
  <c r="AC22" i="8" s="1"/>
  <c r="AE22" i="8" s="1"/>
  <c r="AA22" i="9" s="1"/>
  <c r="AC22" i="9" s="1"/>
  <c r="AE22" i="9" s="1"/>
  <c r="AA22" i="37" s="1"/>
  <c r="AC22" i="37" s="1"/>
  <c r="AE22" i="37" s="1"/>
  <c r="AA22" i="11" s="1"/>
  <c r="AC22" i="11" s="1"/>
  <c r="AE22" i="11" s="1"/>
  <c r="AA22" i="12" s="1"/>
  <c r="AC22" i="12" s="1"/>
  <c r="AE22" i="12" s="1"/>
  <c r="AA22" i="13" s="1"/>
  <c r="AC22" i="13" s="1"/>
  <c r="AE8" i="19"/>
  <c r="AA8" i="20" s="1"/>
  <c r="AC8" i="20" s="1"/>
  <c r="AE8" i="20" s="1"/>
  <c r="Z1128" i="33"/>
  <c r="AJ25" i="3"/>
  <c r="Z1014" i="33"/>
  <c r="A898" i="33"/>
  <c r="A937" i="33" s="1"/>
  <c r="AB53" i="3"/>
  <c r="AB55" i="3" s="1"/>
  <c r="AB49" i="4" s="1"/>
  <c r="AB53" i="4" s="1"/>
  <c r="Z784" i="33"/>
  <c r="H28" i="3" s="1"/>
  <c r="N8" i="3"/>
  <c r="N8" i="4" s="1"/>
  <c r="N8" i="5" s="1"/>
  <c r="N8" i="6" s="1"/>
  <c r="N8" i="7" s="1"/>
  <c r="D48" i="2"/>
  <c r="C48" i="3" s="1"/>
  <c r="D48" i="3" s="1"/>
  <c r="Q38" i="3" s="1"/>
  <c r="K48" i="3"/>
  <c r="K47" i="4" s="1"/>
  <c r="K48" i="4" s="1"/>
  <c r="K47" i="5" s="1"/>
  <c r="K48" i="5" s="1"/>
  <c r="K47" i="6" s="1"/>
  <c r="K48" i="6" s="1"/>
  <c r="K47" i="7" s="1"/>
  <c r="K48" i="7" s="1"/>
  <c r="K47" i="8" s="1"/>
  <c r="K48" i="8" s="1"/>
  <c r="K47" i="9" s="1"/>
  <c r="K48" i="9" s="1"/>
  <c r="K47" i="37" s="1"/>
  <c r="K48" i="37" s="1"/>
  <c r="K47" i="11" s="1"/>
  <c r="K48" i="11" s="1"/>
  <c r="K47" i="12" s="1"/>
  <c r="K48" i="12" s="1"/>
  <c r="K47" i="13" s="1"/>
  <c r="K48" i="13" s="1"/>
  <c r="K47" i="14" s="1"/>
  <c r="K48" i="14" s="1"/>
  <c r="K47" i="15" s="1"/>
  <c r="K48" i="15" s="1"/>
  <c r="K47" i="16" s="1"/>
  <c r="K48" i="16" s="1"/>
  <c r="K47" i="17" s="1"/>
  <c r="K48" i="17" s="1"/>
  <c r="K47" i="18" s="1"/>
  <c r="K48" i="18" s="1"/>
  <c r="K47" i="19" s="1"/>
  <c r="K48" i="19" s="1"/>
  <c r="K47" i="20" s="1"/>
  <c r="K48" i="20" s="1"/>
  <c r="K47" i="21" s="1"/>
  <c r="K48" i="21" s="1"/>
  <c r="K47" i="22" s="1"/>
  <c r="K48" i="22" s="1"/>
  <c r="K47" i="23" s="1"/>
  <c r="K48" i="23" s="1"/>
  <c r="K47" i="24" s="1"/>
  <c r="K48" i="24" s="1"/>
  <c r="K47" i="25" s="1"/>
  <c r="K48" i="25" s="1"/>
  <c r="K47" i="26" s="1"/>
  <c r="K48" i="26" s="1"/>
  <c r="K47" i="27" s="1"/>
  <c r="K48" i="27" s="1"/>
  <c r="K47" i="28" s="1"/>
  <c r="K48" i="28" s="1"/>
  <c r="K47" i="29" s="1"/>
  <c r="AB43" i="8"/>
  <c r="AB43" i="18"/>
  <c r="AB43" i="31"/>
  <c r="AD327" i="33"/>
  <c r="L16" i="2" s="1"/>
  <c r="AB43" i="37"/>
  <c r="CB37" i="49"/>
  <c r="V32" i="14"/>
  <c r="X32" i="14" s="1"/>
  <c r="T32" i="15" s="1"/>
  <c r="V32" i="15" s="1"/>
  <c r="X32" i="15" s="1"/>
  <c r="T32" i="16" s="1"/>
  <c r="V32" i="16" s="1"/>
  <c r="X32" i="16" s="1"/>
  <c r="V30" i="14"/>
  <c r="X30" i="14" s="1"/>
  <c r="T30" i="15" s="1"/>
  <c r="V30" i="15" s="1"/>
  <c r="X30" i="15" s="1"/>
  <c r="T30" i="16" s="1"/>
  <c r="V30" i="16" s="1"/>
  <c r="X30" i="16" s="1"/>
  <c r="Z632" i="33"/>
  <c r="Z409" i="33"/>
  <c r="O23" i="50"/>
  <c r="H23" i="50"/>
  <c r="G23" i="50"/>
  <c r="M23" i="50"/>
  <c r="AC623" i="33"/>
  <c r="K23" i="32" s="1"/>
  <c r="G46" i="4"/>
  <c r="AC33" i="2"/>
  <c r="AE33" i="2" s="1"/>
  <c r="N23" i="50"/>
  <c r="L23" i="50"/>
  <c r="I23" i="50"/>
  <c r="F23" i="50"/>
  <c r="D25" i="26"/>
  <c r="C25" i="27" s="1"/>
  <c r="D25" i="27" s="1"/>
  <c r="C25" i="28" s="1"/>
  <c r="D25" i="28" s="1"/>
  <c r="C25" i="29" s="1"/>
  <c r="D25" i="29" s="1"/>
  <c r="C25" i="30" s="1"/>
  <c r="D25" i="30" s="1"/>
  <c r="C25" i="31" s="1"/>
  <c r="D25" i="31" s="1"/>
  <c r="C25" i="32" s="1"/>
  <c r="D25" i="32" s="1"/>
  <c r="Y893" i="33"/>
  <c r="Y627" i="33"/>
  <c r="AD92" i="33"/>
  <c r="L10" i="2" s="1"/>
  <c r="AB43" i="4"/>
  <c r="Z483" i="33"/>
  <c r="H20" i="3" s="1"/>
  <c r="AB43" i="14"/>
  <c r="Z1090" i="33"/>
  <c r="H36" i="3" s="1"/>
  <c r="K10" i="29"/>
  <c r="K9" i="29"/>
  <c r="K8" i="29"/>
  <c r="V9" i="11"/>
  <c r="X9" i="11" s="1"/>
  <c r="T9" i="12" s="1"/>
  <c r="V9" i="12" s="1"/>
  <c r="X9" i="12" s="1"/>
  <c r="T9" i="13" s="1"/>
  <c r="V9" i="13" s="1"/>
  <c r="X9" i="13" s="1"/>
  <c r="T9" i="14" s="1"/>
  <c r="V9" i="14" s="1"/>
  <c r="X9" i="14" s="1"/>
  <c r="T9" i="15" s="1"/>
  <c r="V9" i="15" s="1"/>
  <c r="X9" i="15" s="1"/>
  <c r="T9" i="16" s="1"/>
  <c r="V9" i="16" s="1"/>
  <c r="X9" i="16" s="1"/>
  <c r="AB43" i="25"/>
  <c r="AC738" i="33"/>
  <c r="AD369" i="33"/>
  <c r="AD54" i="33"/>
  <c r="AB43" i="21"/>
  <c r="AB43" i="15"/>
  <c r="AB43" i="7"/>
  <c r="AD446" i="33"/>
  <c r="L19" i="2" s="1"/>
  <c r="AA708" i="33"/>
  <c r="I26" i="3" s="1"/>
  <c r="AB43" i="29"/>
  <c r="AB43" i="9"/>
  <c r="Y361" i="33"/>
  <c r="AA32" i="3"/>
  <c r="AC32" i="3" s="1"/>
  <c r="AE32" i="3" s="1"/>
  <c r="AA32" i="4" s="1"/>
  <c r="AC32" i="4" s="1"/>
  <c r="AE32" i="4" s="1"/>
  <c r="AA32" i="5" s="1"/>
  <c r="AC32" i="5" s="1"/>
  <c r="AE32" i="5" s="1"/>
  <c r="AA32" i="6" s="1"/>
  <c r="AF32" i="2"/>
  <c r="AJ21" i="4"/>
  <c r="AJ23" i="4" s="1"/>
  <c r="AJ21" i="5" s="1"/>
  <c r="AJ23" i="5" s="1"/>
  <c r="AA860" i="33"/>
  <c r="I30" i="3" s="1"/>
  <c r="AB43" i="16"/>
  <c r="AB43" i="20"/>
  <c r="AB43" i="26"/>
  <c r="AB43" i="24"/>
  <c r="Z822" i="33"/>
  <c r="H29" i="3" s="1"/>
  <c r="Z976" i="33"/>
  <c r="H33" i="3" s="1"/>
  <c r="Z938" i="33"/>
  <c r="H32" i="3" s="1"/>
  <c r="AG43" i="4"/>
  <c r="AG8" i="5"/>
  <c r="AB43" i="11"/>
  <c r="AB43" i="23"/>
  <c r="AB43" i="19"/>
  <c r="AB43" i="3"/>
  <c r="Y855" i="33"/>
  <c r="Z1052" i="33"/>
  <c r="H35" i="3" s="1"/>
  <c r="Y741" i="33"/>
  <c r="A170" i="33"/>
  <c r="A171" i="33" s="1"/>
  <c r="A172" i="33" s="1"/>
  <c r="A173" i="33" s="1"/>
  <c r="A174" i="33" s="1"/>
  <c r="A175" i="33" s="1"/>
  <c r="A176" i="33" s="1"/>
  <c r="A209" i="33"/>
  <c r="M46" i="2"/>
  <c r="G46" i="2"/>
  <c r="G48" i="2" s="1"/>
  <c r="Z594" i="33"/>
  <c r="H23" i="3" s="1"/>
  <c r="M10" i="5"/>
  <c r="M10" i="6" s="1"/>
  <c r="M10" i="7" s="1"/>
  <c r="M10" i="8" s="1"/>
  <c r="M10" i="9" s="1"/>
  <c r="M10" i="37" s="1"/>
  <c r="M10" i="11" s="1"/>
  <c r="M10" i="12" s="1"/>
  <c r="M10" i="13" s="1"/>
  <c r="M10" i="14" s="1"/>
  <c r="M10" i="15" s="1"/>
  <c r="M10" i="16" s="1"/>
  <c r="M10" i="17" s="1"/>
  <c r="AB43" i="27"/>
  <c r="G41" i="57"/>
  <c r="G46" i="57" s="1"/>
  <c r="AB43" i="13"/>
  <c r="AB43" i="2"/>
  <c r="AB45" i="2" s="1"/>
  <c r="AB44" i="3" s="1"/>
  <c r="J48" i="2"/>
  <c r="Q36" i="2" s="1"/>
  <c r="Q44" i="2"/>
  <c r="Q45" i="2" s="1"/>
  <c r="Q48" i="2" s="1"/>
  <c r="Y320" i="33"/>
  <c r="AD246" i="33"/>
  <c r="L14" i="2" s="1"/>
  <c r="Z132" i="33"/>
  <c r="H11" i="3" s="1"/>
  <c r="K10" i="31"/>
  <c r="K9" i="31"/>
  <c r="A12" i="56"/>
  <c r="A6" i="5"/>
  <c r="S6" i="5" s="1"/>
  <c r="BS28" i="49"/>
  <c r="P17" i="54" s="1"/>
  <c r="K8" i="31"/>
  <c r="Y164" i="33"/>
  <c r="Y126" i="33"/>
  <c r="K10" i="32" s="1"/>
  <c r="T43" i="56"/>
  <c r="G46" i="5"/>
  <c r="Z9" i="33"/>
  <c r="N10" i="5"/>
  <c r="M8" i="4"/>
  <c r="M46" i="3"/>
  <c r="A23" i="33"/>
  <c r="A68" i="33"/>
  <c r="F40" i="55"/>
  <c r="AM46" i="55" s="1"/>
  <c r="Y203" i="33"/>
  <c r="AG31" i="9"/>
  <c r="Y42" i="33"/>
  <c r="AC9" i="4"/>
  <c r="AE9" i="4" s="1"/>
  <c r="AA9" i="5" s="1"/>
  <c r="AF10" i="8"/>
  <c r="AA10" i="7"/>
  <c r="Y88" i="33"/>
  <c r="K9" i="32" s="1"/>
  <c r="AJ8" i="9"/>
  <c r="AJ10" i="9" s="1"/>
  <c r="I13" i="3" l="1"/>
  <c r="AD210" i="33"/>
  <c r="L13" i="3" s="1"/>
  <c r="U25" i="50"/>
  <c r="N22" i="20"/>
  <c r="N22" i="21" s="1"/>
  <c r="N22" i="22" s="1"/>
  <c r="N22" i="23" s="1"/>
  <c r="N22" i="24" s="1"/>
  <c r="N22" i="25" s="1"/>
  <c r="N22" i="26" s="1"/>
  <c r="N22" i="27" s="1"/>
  <c r="N22" i="28" s="1"/>
  <c r="N22" i="29" s="1"/>
  <c r="N22" i="30" s="1"/>
  <c r="N22" i="31" s="1"/>
  <c r="N22" i="32" s="1"/>
  <c r="M29" i="20"/>
  <c r="M29" i="21" s="1"/>
  <c r="M29" i="22" s="1"/>
  <c r="M29" i="23" s="1"/>
  <c r="M29" i="24" s="1"/>
  <c r="M29" i="25" s="1"/>
  <c r="M29" i="26" s="1"/>
  <c r="M29" i="27" s="1"/>
  <c r="M29" i="28" s="1"/>
  <c r="M29" i="29" s="1"/>
  <c r="M29" i="30" s="1"/>
  <c r="M29" i="31" s="1"/>
  <c r="M29" i="32" s="1"/>
  <c r="AA746" i="33"/>
  <c r="AA899" i="33"/>
  <c r="H31" i="3"/>
  <c r="M31" i="20"/>
  <c r="M31" i="21" s="1"/>
  <c r="M31" i="22" s="1"/>
  <c r="M31" i="23" s="1"/>
  <c r="M31" i="24" s="1"/>
  <c r="M31" i="25" s="1"/>
  <c r="M31" i="26" s="1"/>
  <c r="M31" i="27" s="1"/>
  <c r="M31" i="28" s="1"/>
  <c r="M31" i="29" s="1"/>
  <c r="M31" i="30" s="1"/>
  <c r="M31" i="31" s="1"/>
  <c r="M31" i="32" s="1"/>
  <c r="N19" i="20"/>
  <c r="N19" i="21" s="1"/>
  <c r="N19" i="22" s="1"/>
  <c r="N19" i="23" s="1"/>
  <c r="N19" i="24" s="1"/>
  <c r="N19" i="25" s="1"/>
  <c r="N19" i="26" s="1"/>
  <c r="N19" i="27" s="1"/>
  <c r="N19" i="28" s="1"/>
  <c r="N19" i="29" s="1"/>
  <c r="N19" i="30" s="1"/>
  <c r="N19" i="31" s="1"/>
  <c r="N19" i="32" s="1"/>
  <c r="N30" i="20"/>
  <c r="N30" i="21" s="1"/>
  <c r="N30" i="22" s="1"/>
  <c r="N30" i="23" s="1"/>
  <c r="N30" i="24" s="1"/>
  <c r="N30" i="25" s="1"/>
  <c r="N30" i="26" s="1"/>
  <c r="N30" i="27" s="1"/>
  <c r="N30" i="28" s="1"/>
  <c r="N30" i="29" s="1"/>
  <c r="N30" i="30" s="1"/>
  <c r="N30" i="31" s="1"/>
  <c r="N30" i="32" s="1"/>
  <c r="N28" i="20"/>
  <c r="N28" i="21" s="1"/>
  <c r="N28" i="22" s="1"/>
  <c r="N28" i="23" s="1"/>
  <c r="N28" i="24" s="1"/>
  <c r="N28" i="25" s="1"/>
  <c r="N28" i="26" s="1"/>
  <c r="N28" i="27" s="1"/>
  <c r="N28" i="28" s="1"/>
  <c r="N28" i="29" s="1"/>
  <c r="N28" i="30" s="1"/>
  <c r="N28" i="31" s="1"/>
  <c r="N28" i="32" s="1"/>
  <c r="N24" i="20"/>
  <c r="N24" i="21" s="1"/>
  <c r="N24" i="22" s="1"/>
  <c r="N24" i="23" s="1"/>
  <c r="N24" i="24" s="1"/>
  <c r="N24" i="25" s="1"/>
  <c r="N24" i="26" s="1"/>
  <c r="N24" i="27" s="1"/>
  <c r="N24" i="28" s="1"/>
  <c r="N24" i="29" s="1"/>
  <c r="N24" i="30" s="1"/>
  <c r="N24" i="31" s="1"/>
  <c r="N24" i="32" s="1"/>
  <c r="AF32" i="5"/>
  <c r="AF32" i="3"/>
  <c r="AF32" i="4" s="1"/>
  <c r="Z22" i="23"/>
  <c r="Z22" i="24" s="1"/>
  <c r="Z22" i="25" s="1"/>
  <c r="Z22" i="26" s="1"/>
  <c r="Z22" i="27" s="1"/>
  <c r="Z22" i="28" s="1"/>
  <c r="Z22" i="29" s="1"/>
  <c r="Z22" i="30" s="1"/>
  <c r="Z22" i="31" s="1"/>
  <c r="Z22" i="32" s="1"/>
  <c r="F34" i="17"/>
  <c r="F34" i="18" s="1"/>
  <c r="F34" i="19" s="1"/>
  <c r="F34" i="20" s="1"/>
  <c r="F34" i="21" s="1"/>
  <c r="F34" i="22" s="1"/>
  <c r="F34" i="23" s="1"/>
  <c r="F34" i="24" s="1"/>
  <c r="F34" i="25" s="1"/>
  <c r="F34" i="26" s="1"/>
  <c r="F34" i="27" s="1"/>
  <c r="F34" i="28" s="1"/>
  <c r="F34" i="29" s="1"/>
  <c r="F34" i="30" s="1"/>
  <c r="F34" i="31" s="1"/>
  <c r="F34" i="32" s="1"/>
  <c r="F33" i="17"/>
  <c r="F33" i="18" s="1"/>
  <c r="F33" i="19" s="1"/>
  <c r="F33" i="20" s="1"/>
  <c r="F33" i="21" s="1"/>
  <c r="F33" i="22" s="1"/>
  <c r="F33" i="23" s="1"/>
  <c r="F33" i="24" s="1"/>
  <c r="F33" i="25" s="1"/>
  <c r="F33" i="26" s="1"/>
  <c r="F33" i="27" s="1"/>
  <c r="F33" i="28" s="1"/>
  <c r="F33" i="29" s="1"/>
  <c r="F33" i="30" s="1"/>
  <c r="F33" i="31" s="1"/>
  <c r="F33" i="32" s="1"/>
  <c r="F21" i="12"/>
  <c r="F21" i="13" s="1"/>
  <c r="F21" i="14" s="1"/>
  <c r="F21" i="15" s="1"/>
  <c r="F21" i="16" s="1"/>
  <c r="Z19" i="12"/>
  <c r="Z19" i="13" s="1"/>
  <c r="Z19" i="14" s="1"/>
  <c r="Z19" i="15" s="1"/>
  <c r="Z19" i="16" s="1"/>
  <c r="F24" i="17"/>
  <c r="F24" i="18" s="1"/>
  <c r="F24" i="19" s="1"/>
  <c r="F24" i="20" s="1"/>
  <c r="F24" i="21" s="1"/>
  <c r="F24" i="22" s="1"/>
  <c r="F24" i="23" s="1"/>
  <c r="F24" i="24" s="1"/>
  <c r="F24" i="25" s="1"/>
  <c r="F24" i="26" s="1"/>
  <c r="F24" i="27" s="1"/>
  <c r="F24" i="28" s="1"/>
  <c r="F24" i="29" s="1"/>
  <c r="F24" i="30" s="1"/>
  <c r="F24" i="31" s="1"/>
  <c r="F24" i="32" s="1"/>
  <c r="F25" i="17"/>
  <c r="F25" i="18" s="1"/>
  <c r="F25" i="19" s="1"/>
  <c r="F25" i="20" s="1"/>
  <c r="F25" i="21" s="1"/>
  <c r="F25" i="22" s="1"/>
  <c r="F25" i="23" s="1"/>
  <c r="F25" i="24" s="1"/>
  <c r="F25" i="25" s="1"/>
  <c r="F25" i="26" s="1"/>
  <c r="F25" i="27" s="1"/>
  <c r="F25" i="28" s="1"/>
  <c r="F25" i="29" s="1"/>
  <c r="F25" i="30" s="1"/>
  <c r="F25" i="31" s="1"/>
  <c r="F25" i="32" s="1"/>
  <c r="F38" i="17"/>
  <c r="F38" i="18" s="1"/>
  <c r="F38" i="19" s="1"/>
  <c r="F38" i="20" s="1"/>
  <c r="F38" i="21" s="1"/>
  <c r="F38" i="22" s="1"/>
  <c r="F38" i="23" s="1"/>
  <c r="F38" i="24" s="1"/>
  <c r="F38" i="25" s="1"/>
  <c r="F38" i="26" s="1"/>
  <c r="F38" i="27" s="1"/>
  <c r="F38" i="28" s="1"/>
  <c r="F38" i="29" s="1"/>
  <c r="F38" i="30" s="1"/>
  <c r="F38" i="31" s="1"/>
  <c r="F38" i="32" s="1"/>
  <c r="F35" i="17"/>
  <c r="F35" i="18" s="1"/>
  <c r="F35" i="19" s="1"/>
  <c r="F35" i="20" s="1"/>
  <c r="F35" i="21" s="1"/>
  <c r="F35" i="22" s="1"/>
  <c r="F35" i="23" s="1"/>
  <c r="F35" i="24" s="1"/>
  <c r="F35" i="25" s="1"/>
  <c r="F35" i="26" s="1"/>
  <c r="F35" i="27" s="1"/>
  <c r="F35" i="28" s="1"/>
  <c r="F35" i="29" s="1"/>
  <c r="F35" i="30" s="1"/>
  <c r="F35" i="31" s="1"/>
  <c r="F35" i="32" s="1"/>
  <c r="F23" i="17"/>
  <c r="F23" i="18" s="1"/>
  <c r="F23" i="19" s="1"/>
  <c r="F23" i="20" s="1"/>
  <c r="F23" i="21" s="1"/>
  <c r="F23" i="22" s="1"/>
  <c r="F23" i="23" s="1"/>
  <c r="F23" i="24" s="1"/>
  <c r="F23" i="25" s="1"/>
  <c r="F23" i="26" s="1"/>
  <c r="F23" i="27" s="1"/>
  <c r="F23" i="28" s="1"/>
  <c r="F23" i="29" s="1"/>
  <c r="F23" i="30" s="1"/>
  <c r="F23" i="31" s="1"/>
  <c r="F23" i="32" s="1"/>
  <c r="F36" i="17"/>
  <c r="F36" i="18" s="1"/>
  <c r="F36" i="19" s="1"/>
  <c r="F36" i="20" s="1"/>
  <c r="F36" i="21" s="1"/>
  <c r="F36" i="22" s="1"/>
  <c r="F36" i="23" s="1"/>
  <c r="F36" i="24" s="1"/>
  <c r="F36" i="25" s="1"/>
  <c r="F36" i="26" s="1"/>
  <c r="F36" i="27" s="1"/>
  <c r="F36" i="28" s="1"/>
  <c r="F36" i="29" s="1"/>
  <c r="F36" i="30" s="1"/>
  <c r="F36" i="31" s="1"/>
  <c r="F36" i="32" s="1"/>
  <c r="AF24" i="20"/>
  <c r="AF24" i="21" s="1"/>
  <c r="AF24" i="22" s="1"/>
  <c r="F22" i="12"/>
  <c r="F22" i="13" s="1"/>
  <c r="F22" i="14" s="1"/>
  <c r="F22" i="15" s="1"/>
  <c r="F22" i="16" s="1"/>
  <c r="F30" i="17"/>
  <c r="F30" i="18" s="1"/>
  <c r="F30" i="19" s="1"/>
  <c r="F30" i="20" s="1"/>
  <c r="F30" i="21" s="1"/>
  <c r="F30" i="22" s="1"/>
  <c r="F30" i="23" s="1"/>
  <c r="F30" i="24" s="1"/>
  <c r="F30" i="25" s="1"/>
  <c r="F30" i="26" s="1"/>
  <c r="F30" i="27" s="1"/>
  <c r="F30" i="28" s="1"/>
  <c r="F30" i="29" s="1"/>
  <c r="F30" i="30" s="1"/>
  <c r="F30" i="31" s="1"/>
  <c r="F30" i="32" s="1"/>
  <c r="F28" i="17"/>
  <c r="F28" i="18" s="1"/>
  <c r="F28" i="19" s="1"/>
  <c r="F28" i="20" s="1"/>
  <c r="F28" i="21" s="1"/>
  <c r="F28" i="22" s="1"/>
  <c r="F28" i="23" s="1"/>
  <c r="F28" i="24" s="1"/>
  <c r="F28" i="25" s="1"/>
  <c r="F28" i="26" s="1"/>
  <c r="F28" i="27" s="1"/>
  <c r="F28" i="28" s="1"/>
  <c r="F28" i="29" s="1"/>
  <c r="F28" i="30" s="1"/>
  <c r="F28" i="31" s="1"/>
  <c r="F28" i="32" s="1"/>
  <c r="F44" i="17"/>
  <c r="F44" i="18" s="1"/>
  <c r="F44" i="19" s="1"/>
  <c r="F44" i="20" s="1"/>
  <c r="F44" i="21" s="1"/>
  <c r="F44" i="22" s="1"/>
  <c r="F44" i="23" s="1"/>
  <c r="F44" i="24" s="1"/>
  <c r="F44" i="25" s="1"/>
  <c r="F44" i="26" s="1"/>
  <c r="F44" i="27" s="1"/>
  <c r="F44" i="28" s="1"/>
  <c r="F44" i="29" s="1"/>
  <c r="F44" i="30" s="1"/>
  <c r="F44" i="31" s="1"/>
  <c r="F44" i="32" s="1"/>
  <c r="F45" i="17"/>
  <c r="F45" i="18" s="1"/>
  <c r="F45" i="19" s="1"/>
  <c r="F45" i="20" s="1"/>
  <c r="F45" i="21" s="1"/>
  <c r="F45" i="22" s="1"/>
  <c r="F45" i="23" s="1"/>
  <c r="F45" i="24" s="1"/>
  <c r="F45" i="25" s="1"/>
  <c r="F45" i="26" s="1"/>
  <c r="F45" i="27" s="1"/>
  <c r="F45" i="28" s="1"/>
  <c r="F45" i="29" s="1"/>
  <c r="F45" i="30" s="1"/>
  <c r="F45" i="31" s="1"/>
  <c r="F45" i="32" s="1"/>
  <c r="F32" i="17"/>
  <c r="F32" i="18" s="1"/>
  <c r="F32" i="19" s="1"/>
  <c r="F32" i="20" s="1"/>
  <c r="F32" i="21" s="1"/>
  <c r="F32" i="22" s="1"/>
  <c r="F32" i="23" s="1"/>
  <c r="F32" i="24" s="1"/>
  <c r="F32" i="25" s="1"/>
  <c r="F32" i="26" s="1"/>
  <c r="F32" i="27" s="1"/>
  <c r="F32" i="28" s="1"/>
  <c r="F32" i="29" s="1"/>
  <c r="F32" i="30" s="1"/>
  <c r="F32" i="31" s="1"/>
  <c r="F32" i="32" s="1"/>
  <c r="F26" i="17"/>
  <c r="F26" i="18" s="1"/>
  <c r="F26" i="19" s="1"/>
  <c r="F26" i="20" s="1"/>
  <c r="F26" i="21" s="1"/>
  <c r="F26" i="22" s="1"/>
  <c r="F26" i="23" s="1"/>
  <c r="F26" i="24" s="1"/>
  <c r="F26" i="25" s="1"/>
  <c r="F26" i="26" s="1"/>
  <c r="F26" i="27" s="1"/>
  <c r="F26" i="28" s="1"/>
  <c r="F26" i="29" s="1"/>
  <c r="F26" i="30" s="1"/>
  <c r="F26" i="31" s="1"/>
  <c r="F26" i="32" s="1"/>
  <c r="F43" i="17"/>
  <c r="F43" i="18" s="1"/>
  <c r="F43" i="19" s="1"/>
  <c r="F43" i="20" s="1"/>
  <c r="F43" i="21" s="1"/>
  <c r="F43" i="22" s="1"/>
  <c r="F43" i="23" s="1"/>
  <c r="F43" i="24" s="1"/>
  <c r="F43" i="25" s="1"/>
  <c r="F43" i="26" s="1"/>
  <c r="F43" i="27" s="1"/>
  <c r="F43" i="28" s="1"/>
  <c r="F43" i="29" s="1"/>
  <c r="F43" i="30" s="1"/>
  <c r="F43" i="31" s="1"/>
  <c r="F43" i="32" s="1"/>
  <c r="F27" i="17"/>
  <c r="F27" i="18" s="1"/>
  <c r="F27" i="19" s="1"/>
  <c r="F27" i="20" s="1"/>
  <c r="F27" i="21" s="1"/>
  <c r="F27" i="22" s="1"/>
  <c r="F27" i="23" s="1"/>
  <c r="F27" i="24" s="1"/>
  <c r="F27" i="25" s="1"/>
  <c r="F27" i="26" s="1"/>
  <c r="F27" i="27" s="1"/>
  <c r="F27" i="28" s="1"/>
  <c r="F27" i="29" s="1"/>
  <c r="F27" i="30" s="1"/>
  <c r="F27" i="31" s="1"/>
  <c r="F27" i="32" s="1"/>
  <c r="F29" i="17"/>
  <c r="F29" i="18" s="1"/>
  <c r="F29" i="19" s="1"/>
  <c r="F29" i="20" s="1"/>
  <c r="F29" i="21" s="1"/>
  <c r="F29" i="22" s="1"/>
  <c r="F29" i="23" s="1"/>
  <c r="F29" i="24" s="1"/>
  <c r="F29" i="25" s="1"/>
  <c r="F29" i="26" s="1"/>
  <c r="F29" i="27" s="1"/>
  <c r="F29" i="28" s="1"/>
  <c r="F29" i="29" s="1"/>
  <c r="F29" i="30" s="1"/>
  <c r="F29" i="31" s="1"/>
  <c r="F29" i="32" s="1"/>
  <c r="F37" i="17"/>
  <c r="F37" i="18" s="1"/>
  <c r="F37" i="19" s="1"/>
  <c r="F37" i="20" s="1"/>
  <c r="F37" i="21" s="1"/>
  <c r="F37" i="22" s="1"/>
  <c r="F37" i="23" s="1"/>
  <c r="F37" i="24" s="1"/>
  <c r="F37" i="25" s="1"/>
  <c r="F37" i="26" s="1"/>
  <c r="F37" i="27" s="1"/>
  <c r="F37" i="28" s="1"/>
  <c r="F37" i="29" s="1"/>
  <c r="F37" i="30" s="1"/>
  <c r="F37" i="31" s="1"/>
  <c r="F37" i="32" s="1"/>
  <c r="F20" i="12"/>
  <c r="F20" i="13" s="1"/>
  <c r="F20" i="14" s="1"/>
  <c r="F20" i="15" s="1"/>
  <c r="F20" i="16" s="1"/>
  <c r="F20" i="17" s="1"/>
  <c r="F20" i="18" s="1"/>
  <c r="F20" i="19" s="1"/>
  <c r="F20" i="20" s="1"/>
  <c r="F20" i="21" s="1"/>
  <c r="F20" i="22" s="1"/>
  <c r="F20" i="23" s="1"/>
  <c r="F20" i="24" s="1"/>
  <c r="F20" i="25" s="1"/>
  <c r="F20" i="26" s="1"/>
  <c r="F20" i="27" s="1"/>
  <c r="F20" i="28" s="1"/>
  <c r="F20" i="29" s="1"/>
  <c r="F20" i="30" s="1"/>
  <c r="F20" i="31" s="1"/>
  <c r="F20" i="32" s="1"/>
  <c r="F31" i="17"/>
  <c r="F31" i="18" s="1"/>
  <c r="F31" i="19" s="1"/>
  <c r="F31" i="20" s="1"/>
  <c r="F31" i="21" s="1"/>
  <c r="F31" i="22" s="1"/>
  <c r="F31" i="23" s="1"/>
  <c r="F31" i="24" s="1"/>
  <c r="F31" i="25" s="1"/>
  <c r="F31" i="26" s="1"/>
  <c r="F31" i="27" s="1"/>
  <c r="F31" i="28" s="1"/>
  <c r="F31" i="29" s="1"/>
  <c r="F31" i="30" s="1"/>
  <c r="F31" i="31" s="1"/>
  <c r="F31" i="32" s="1"/>
  <c r="Z24" i="23"/>
  <c r="Z24" i="24" s="1"/>
  <c r="Z24" i="25" s="1"/>
  <c r="Z24" i="26" s="1"/>
  <c r="Z24" i="27" s="1"/>
  <c r="Z24" i="28" s="1"/>
  <c r="Z24" i="29" s="1"/>
  <c r="Z24" i="30" s="1"/>
  <c r="Z24" i="31" s="1"/>
  <c r="Z24" i="32" s="1"/>
  <c r="Z20" i="23"/>
  <c r="Z20" i="24" s="1"/>
  <c r="Z20" i="25" s="1"/>
  <c r="Z23" i="23"/>
  <c r="Z23" i="24" s="1"/>
  <c r="Z23" i="25" s="1"/>
  <c r="Z23" i="26" s="1"/>
  <c r="Z23" i="27" s="1"/>
  <c r="Z23" i="28" s="1"/>
  <c r="Z23" i="29" s="1"/>
  <c r="Z23" i="30" s="1"/>
  <c r="Z23" i="31" s="1"/>
  <c r="Z23" i="32" s="1"/>
  <c r="AA1128" i="33"/>
  <c r="I37" i="3" s="1"/>
  <c r="H37" i="3"/>
  <c r="AA520" i="33"/>
  <c r="I21" i="3" s="1"/>
  <c r="T31" i="17"/>
  <c r="V31" i="17" s="1"/>
  <c r="X31" i="17" s="1"/>
  <c r="T32" i="17"/>
  <c r="V32" i="17" s="1"/>
  <c r="X32" i="17" s="1"/>
  <c r="T10" i="17"/>
  <c r="V10" i="17" s="1"/>
  <c r="X10" i="17" s="1"/>
  <c r="T10" i="18" s="1"/>
  <c r="V10" i="18" s="1"/>
  <c r="X10" i="18" s="1"/>
  <c r="T10" i="19" s="1"/>
  <c r="T27" i="17"/>
  <c r="V27" i="17" s="1"/>
  <c r="X27" i="17" s="1"/>
  <c r="T33" i="18"/>
  <c r="V33" i="18" s="1"/>
  <c r="X33" i="18" s="1"/>
  <c r="T33" i="19" s="1"/>
  <c r="V33" i="19" s="1"/>
  <c r="X33" i="19" s="1"/>
  <c r="T33" i="20" s="1"/>
  <c r="V33" i="20" s="1"/>
  <c r="X33" i="20" s="1"/>
  <c r="T33" i="21" s="1"/>
  <c r="V33" i="21" s="1"/>
  <c r="X33" i="21" s="1"/>
  <c r="T33" i="22" s="1"/>
  <c r="V33" i="22" s="1"/>
  <c r="X33" i="22" s="1"/>
  <c r="T33" i="23" s="1"/>
  <c r="V33" i="23" s="1"/>
  <c r="X33" i="23" s="1"/>
  <c r="T33" i="24" s="1"/>
  <c r="V33" i="24" s="1"/>
  <c r="X33" i="24" s="1"/>
  <c r="T33" i="25" s="1"/>
  <c r="V33" i="25" s="1"/>
  <c r="X33" i="25" s="1"/>
  <c r="T33" i="26" s="1"/>
  <c r="V33" i="26" s="1"/>
  <c r="X33" i="26" s="1"/>
  <c r="T33" i="27" s="1"/>
  <c r="V33" i="27" s="1"/>
  <c r="X33" i="27" s="1"/>
  <c r="T33" i="28" s="1"/>
  <c r="V33" i="28" s="1"/>
  <c r="X33" i="28" s="1"/>
  <c r="T33" i="29" s="1"/>
  <c r="V33" i="29" s="1"/>
  <c r="X33" i="29" s="1"/>
  <c r="T33" i="30" s="1"/>
  <c r="V33" i="30" s="1"/>
  <c r="X33" i="30" s="1"/>
  <c r="T33" i="31" s="1"/>
  <c r="V33" i="31" s="1"/>
  <c r="X33" i="31" s="1"/>
  <c r="T33" i="32" s="1"/>
  <c r="V33" i="32" s="1"/>
  <c r="X33" i="32" s="1"/>
  <c r="C33" i="54" s="1"/>
  <c r="E33" i="54" s="1"/>
  <c r="T35" i="18"/>
  <c r="V35" i="18" s="1"/>
  <c r="X35" i="18" s="1"/>
  <c r="T35" i="19" s="1"/>
  <c r="V35" i="19" s="1"/>
  <c r="X35" i="19" s="1"/>
  <c r="T35" i="20" s="1"/>
  <c r="V35" i="20" s="1"/>
  <c r="X35" i="20" s="1"/>
  <c r="T35" i="21" s="1"/>
  <c r="V35" i="21" s="1"/>
  <c r="X35" i="21" s="1"/>
  <c r="T35" i="22" s="1"/>
  <c r="V35" i="22" s="1"/>
  <c r="X35" i="22" s="1"/>
  <c r="T35" i="23" s="1"/>
  <c r="V35" i="23" s="1"/>
  <c r="X35" i="23" s="1"/>
  <c r="T35" i="24" s="1"/>
  <c r="V35" i="24" s="1"/>
  <c r="X35" i="24" s="1"/>
  <c r="T35" i="25" s="1"/>
  <c r="V35" i="25" s="1"/>
  <c r="X35" i="25" s="1"/>
  <c r="T35" i="26" s="1"/>
  <c r="V35" i="26" s="1"/>
  <c r="X35" i="26" s="1"/>
  <c r="T35" i="27" s="1"/>
  <c r="V35" i="27" s="1"/>
  <c r="X35" i="27" s="1"/>
  <c r="T35" i="28" s="1"/>
  <c r="V35" i="28" s="1"/>
  <c r="X35" i="28" s="1"/>
  <c r="T35" i="29" s="1"/>
  <c r="V35" i="29" s="1"/>
  <c r="X35" i="29" s="1"/>
  <c r="T35" i="30" s="1"/>
  <c r="V35" i="30" s="1"/>
  <c r="X35" i="30" s="1"/>
  <c r="T35" i="31" s="1"/>
  <c r="V35" i="31" s="1"/>
  <c r="X35" i="31" s="1"/>
  <c r="T35" i="32" s="1"/>
  <c r="V35" i="32" s="1"/>
  <c r="X35" i="32" s="1"/>
  <c r="C35" i="54" s="1"/>
  <c r="E35" i="54" s="1"/>
  <c r="T30" i="17"/>
  <c r="V30" i="17" s="1"/>
  <c r="X30" i="17" s="1"/>
  <c r="T9" i="17"/>
  <c r="V9" i="17" s="1"/>
  <c r="X9" i="17" s="1"/>
  <c r="T28" i="17"/>
  <c r="V28" i="17" s="1"/>
  <c r="X28" i="17" s="1"/>
  <c r="T34" i="18"/>
  <c r="V34" i="18" s="1"/>
  <c r="X34" i="18" s="1"/>
  <c r="T34" i="19" s="1"/>
  <c r="V34" i="19" s="1"/>
  <c r="X34" i="19" s="1"/>
  <c r="T34" i="20" s="1"/>
  <c r="V34" i="20" s="1"/>
  <c r="X34" i="20" s="1"/>
  <c r="T34" i="21" s="1"/>
  <c r="V34" i="21" s="1"/>
  <c r="X34" i="21" s="1"/>
  <c r="T34" i="22" s="1"/>
  <c r="V34" i="22" s="1"/>
  <c r="X34" i="22" s="1"/>
  <c r="T34" i="23" s="1"/>
  <c r="V34" i="23" s="1"/>
  <c r="X34" i="23" s="1"/>
  <c r="T34" i="24" s="1"/>
  <c r="V34" i="24" s="1"/>
  <c r="X34" i="24" s="1"/>
  <c r="T34" i="25" s="1"/>
  <c r="V34" i="25" s="1"/>
  <c r="X34" i="25" s="1"/>
  <c r="T34" i="26" s="1"/>
  <c r="V34" i="26" s="1"/>
  <c r="X34" i="26" s="1"/>
  <c r="T34" i="27" s="1"/>
  <c r="V34" i="27" s="1"/>
  <c r="X34" i="27" s="1"/>
  <c r="T34" i="28" s="1"/>
  <c r="V34" i="28" s="1"/>
  <c r="X34" i="28" s="1"/>
  <c r="T34" i="29" s="1"/>
  <c r="V34" i="29" s="1"/>
  <c r="X34" i="29" s="1"/>
  <c r="T34" i="30" s="1"/>
  <c r="V34" i="30" s="1"/>
  <c r="X34" i="30" s="1"/>
  <c r="T34" i="31" s="1"/>
  <c r="V34" i="31" s="1"/>
  <c r="X34" i="31" s="1"/>
  <c r="T34" i="32" s="1"/>
  <c r="V34" i="32" s="1"/>
  <c r="X34" i="32" s="1"/>
  <c r="C34" i="54" s="1"/>
  <c r="E34" i="54" s="1"/>
  <c r="T36" i="18"/>
  <c r="V36" i="18" s="1"/>
  <c r="X36" i="18" s="1"/>
  <c r="T36" i="19" s="1"/>
  <c r="V36" i="19" s="1"/>
  <c r="X36" i="19" s="1"/>
  <c r="T36" i="20" s="1"/>
  <c r="V36" i="20" s="1"/>
  <c r="X36" i="20" s="1"/>
  <c r="T36" i="21" s="1"/>
  <c r="V36" i="21" s="1"/>
  <c r="X36" i="21" s="1"/>
  <c r="T36" i="22" s="1"/>
  <c r="V36" i="22" s="1"/>
  <c r="X36" i="22" s="1"/>
  <c r="T36" i="23" s="1"/>
  <c r="V36" i="23" s="1"/>
  <c r="X36" i="23" s="1"/>
  <c r="T36" i="24" s="1"/>
  <c r="V36" i="24" s="1"/>
  <c r="X36" i="24" s="1"/>
  <c r="T36" i="25" s="1"/>
  <c r="V36" i="25" s="1"/>
  <c r="X36" i="25" s="1"/>
  <c r="T36" i="26" s="1"/>
  <c r="V36" i="26" s="1"/>
  <c r="X36" i="26" s="1"/>
  <c r="T36" i="27" s="1"/>
  <c r="V36" i="27" s="1"/>
  <c r="X36" i="27" s="1"/>
  <c r="T36" i="28" s="1"/>
  <c r="V36" i="28" s="1"/>
  <c r="X36" i="28" s="1"/>
  <c r="T36" i="29" s="1"/>
  <c r="V36" i="29" s="1"/>
  <c r="X36" i="29" s="1"/>
  <c r="T36" i="30" s="1"/>
  <c r="V36" i="30" s="1"/>
  <c r="X36" i="30" s="1"/>
  <c r="T36" i="31" s="1"/>
  <c r="V36" i="31" s="1"/>
  <c r="X36" i="31" s="1"/>
  <c r="T36" i="32" s="1"/>
  <c r="V36" i="32" s="1"/>
  <c r="X36" i="32" s="1"/>
  <c r="C36" i="54" s="1"/>
  <c r="E36" i="54" s="1"/>
  <c r="T29" i="18"/>
  <c r="V29" i="18" s="1"/>
  <c r="X29" i="18" s="1"/>
  <c r="T29" i="19" s="1"/>
  <c r="V29" i="19" s="1"/>
  <c r="X29" i="19" s="1"/>
  <c r="T29" i="20" s="1"/>
  <c r="V29" i="20" s="1"/>
  <c r="X29" i="20" s="1"/>
  <c r="T29" i="21" s="1"/>
  <c r="V29" i="21" s="1"/>
  <c r="X29" i="21" s="1"/>
  <c r="T29" i="22" s="1"/>
  <c r="V29" i="22" s="1"/>
  <c r="X29" i="22" s="1"/>
  <c r="T29" i="23" s="1"/>
  <c r="V29" i="23" s="1"/>
  <c r="X29" i="23" s="1"/>
  <c r="T29" i="24" s="1"/>
  <c r="V29" i="24" s="1"/>
  <c r="X29" i="24" s="1"/>
  <c r="T29" i="25" s="1"/>
  <c r="V29" i="25" s="1"/>
  <c r="X29" i="25" s="1"/>
  <c r="T29" i="26" s="1"/>
  <c r="V29" i="26" s="1"/>
  <c r="X29" i="26" s="1"/>
  <c r="T29" i="27" s="1"/>
  <c r="V29" i="27" s="1"/>
  <c r="X29" i="27" s="1"/>
  <c r="T29" i="28" s="1"/>
  <c r="V29" i="28" s="1"/>
  <c r="X29" i="28" s="1"/>
  <c r="T29" i="29" s="1"/>
  <c r="V29" i="29" s="1"/>
  <c r="X29" i="29" s="1"/>
  <c r="T29" i="30" s="1"/>
  <c r="V29" i="30" s="1"/>
  <c r="X29" i="30" s="1"/>
  <c r="T29" i="31" s="1"/>
  <c r="V29" i="31" s="1"/>
  <c r="X29" i="31" s="1"/>
  <c r="T29" i="32" s="1"/>
  <c r="V29" i="32" s="1"/>
  <c r="X29" i="32" s="1"/>
  <c r="C29" i="54" s="1"/>
  <c r="E29" i="54" s="1"/>
  <c r="AA1181" i="33"/>
  <c r="H38" i="19"/>
  <c r="S21" i="28"/>
  <c r="S21" i="29" s="1"/>
  <c r="S21" i="30" s="1"/>
  <c r="S21" i="31" s="1"/>
  <c r="S21" i="32" s="1"/>
  <c r="S20" i="28"/>
  <c r="S20" i="29" s="1"/>
  <c r="S20" i="30" s="1"/>
  <c r="S20" i="31" s="1"/>
  <c r="S20" i="32" s="1"/>
  <c r="F42" i="17"/>
  <c r="F42" i="18" s="1"/>
  <c r="F42" i="19" s="1"/>
  <c r="F42" i="20" s="1"/>
  <c r="F42" i="21" s="1"/>
  <c r="F42" i="22" s="1"/>
  <c r="F42" i="23" s="1"/>
  <c r="F42" i="24" s="1"/>
  <c r="F42" i="25" s="1"/>
  <c r="F42" i="26" s="1"/>
  <c r="F42" i="27" s="1"/>
  <c r="F42" i="28" s="1"/>
  <c r="F42" i="29" s="1"/>
  <c r="F42" i="30" s="1"/>
  <c r="F42" i="31" s="1"/>
  <c r="F42" i="32" s="1"/>
  <c r="F41" i="17"/>
  <c r="F41" i="18" s="1"/>
  <c r="F41" i="19" s="1"/>
  <c r="F41" i="20" s="1"/>
  <c r="F41" i="21" s="1"/>
  <c r="F41" i="22" s="1"/>
  <c r="F41" i="23" s="1"/>
  <c r="F41" i="24" s="1"/>
  <c r="F41" i="25" s="1"/>
  <c r="F41" i="26" s="1"/>
  <c r="F41" i="27" s="1"/>
  <c r="F41" i="28" s="1"/>
  <c r="F41" i="29" s="1"/>
  <c r="F41" i="30" s="1"/>
  <c r="F41" i="31" s="1"/>
  <c r="F41" i="32" s="1"/>
  <c r="F40" i="17"/>
  <c r="F40" i="18" s="1"/>
  <c r="F40" i="19" s="1"/>
  <c r="F40" i="20" s="1"/>
  <c r="F40" i="21" s="1"/>
  <c r="F40" i="22" s="1"/>
  <c r="F40" i="23" s="1"/>
  <c r="F40" i="24" s="1"/>
  <c r="F40" i="25" s="1"/>
  <c r="F40" i="26" s="1"/>
  <c r="F40" i="27" s="1"/>
  <c r="F40" i="28" s="1"/>
  <c r="F40" i="29" s="1"/>
  <c r="F40" i="30" s="1"/>
  <c r="F40" i="31" s="1"/>
  <c r="F40" i="32" s="1"/>
  <c r="F39" i="17"/>
  <c r="F39" i="18" s="1"/>
  <c r="F39" i="19" s="1"/>
  <c r="F39" i="20" s="1"/>
  <c r="F39" i="21" s="1"/>
  <c r="F39" i="22" s="1"/>
  <c r="F39" i="23" s="1"/>
  <c r="F39" i="24" s="1"/>
  <c r="F39" i="25" s="1"/>
  <c r="F39" i="26" s="1"/>
  <c r="F39" i="27" s="1"/>
  <c r="F39" i="28" s="1"/>
  <c r="F39" i="29" s="1"/>
  <c r="F39" i="30" s="1"/>
  <c r="F39" i="31" s="1"/>
  <c r="F39" i="32" s="1"/>
  <c r="M40" i="9"/>
  <c r="M40" i="37" s="1"/>
  <c r="M40" i="11" s="1"/>
  <c r="M40" i="12" s="1"/>
  <c r="M40" i="13" s="1"/>
  <c r="M40" i="14" s="1"/>
  <c r="M40" i="15" s="1"/>
  <c r="M40" i="16" s="1"/>
  <c r="M40" i="17" s="1"/>
  <c r="M40" i="18" s="1"/>
  <c r="M20" i="9"/>
  <c r="M20" i="37" s="1"/>
  <c r="M20" i="11" s="1"/>
  <c r="M20" i="12" s="1"/>
  <c r="M20" i="13" s="1"/>
  <c r="M20" i="14" s="1"/>
  <c r="M20" i="15" s="1"/>
  <c r="M20" i="16" s="1"/>
  <c r="M20" i="17" s="1"/>
  <c r="M20" i="18" s="1"/>
  <c r="M20" i="19" s="1"/>
  <c r="M32" i="9"/>
  <c r="M32" i="37" s="1"/>
  <c r="M32" i="11" s="1"/>
  <c r="M32" i="12" s="1"/>
  <c r="M32" i="13" s="1"/>
  <c r="M32" i="14" s="1"/>
  <c r="M32" i="15" s="1"/>
  <c r="M32" i="16" s="1"/>
  <c r="M32" i="17" s="1"/>
  <c r="M32" i="18" s="1"/>
  <c r="M36" i="9"/>
  <c r="M36" i="37" s="1"/>
  <c r="M36" i="11" s="1"/>
  <c r="M36" i="12" s="1"/>
  <c r="M36" i="13" s="1"/>
  <c r="M36" i="14" s="1"/>
  <c r="M36" i="15" s="1"/>
  <c r="M36" i="16" s="1"/>
  <c r="M36" i="17" s="1"/>
  <c r="M36" i="18" s="1"/>
  <c r="M41" i="9"/>
  <c r="M41" i="37" s="1"/>
  <c r="M41" i="11" s="1"/>
  <c r="M41" i="12" s="1"/>
  <c r="M41" i="13" s="1"/>
  <c r="M41" i="14" s="1"/>
  <c r="M41" i="15" s="1"/>
  <c r="M41" i="16" s="1"/>
  <c r="M41" i="17" s="1"/>
  <c r="M41" i="18" s="1"/>
  <c r="N45" i="9"/>
  <c r="N45" i="37" s="1"/>
  <c r="N45" i="11" s="1"/>
  <c r="N45" i="12" s="1"/>
  <c r="N45" i="13" s="1"/>
  <c r="N45" i="14" s="1"/>
  <c r="N45" i="15" s="1"/>
  <c r="N45" i="16" s="1"/>
  <c r="N45" i="17" s="1"/>
  <c r="N45" i="18" s="1"/>
  <c r="N25" i="9"/>
  <c r="N25" i="37" s="1"/>
  <c r="N25" i="11" s="1"/>
  <c r="N25" i="12" s="1"/>
  <c r="N25" i="13" s="1"/>
  <c r="N25" i="14" s="1"/>
  <c r="N25" i="15" s="1"/>
  <c r="N25" i="16" s="1"/>
  <c r="N25" i="17" s="1"/>
  <c r="N25" i="18" s="1"/>
  <c r="N25" i="19" s="1"/>
  <c r="M19" i="9"/>
  <c r="M19" i="37" s="1"/>
  <c r="M19" i="11" s="1"/>
  <c r="M19" i="12" s="1"/>
  <c r="M19" i="13" s="1"/>
  <c r="M19" i="14" s="1"/>
  <c r="M19" i="15" s="1"/>
  <c r="M19" i="16" s="1"/>
  <c r="M19" i="17" s="1"/>
  <c r="M19" i="18" s="1"/>
  <c r="M19" i="19" s="1"/>
  <c r="M27" i="9"/>
  <c r="M27" i="37" s="1"/>
  <c r="M27" i="11" s="1"/>
  <c r="M27" i="12" s="1"/>
  <c r="M27" i="13" s="1"/>
  <c r="M27" i="14" s="1"/>
  <c r="M27" i="15" s="1"/>
  <c r="M27" i="16" s="1"/>
  <c r="M27" i="17" s="1"/>
  <c r="M27" i="18" s="1"/>
  <c r="M27" i="19" s="1"/>
  <c r="N26" i="9"/>
  <c r="N26" i="37" s="1"/>
  <c r="N26" i="11" s="1"/>
  <c r="N26" i="12" s="1"/>
  <c r="N26" i="13" s="1"/>
  <c r="N26" i="14" s="1"/>
  <c r="N26" i="15" s="1"/>
  <c r="N26" i="16" s="1"/>
  <c r="N26" i="17" s="1"/>
  <c r="N26" i="18" s="1"/>
  <c r="N26" i="19" s="1"/>
  <c r="M25" i="9"/>
  <c r="M25" i="37" s="1"/>
  <c r="M25" i="11" s="1"/>
  <c r="M25" i="12" s="1"/>
  <c r="M25" i="13" s="1"/>
  <c r="M25" i="14" s="1"/>
  <c r="M25" i="15" s="1"/>
  <c r="M25" i="16" s="1"/>
  <c r="M25" i="17" s="1"/>
  <c r="M25" i="18" s="1"/>
  <c r="M25" i="19" s="1"/>
  <c r="M37" i="9"/>
  <c r="M37" i="37" s="1"/>
  <c r="M37" i="11" s="1"/>
  <c r="M37" i="12" s="1"/>
  <c r="M37" i="13" s="1"/>
  <c r="M37" i="14" s="1"/>
  <c r="M37" i="15" s="1"/>
  <c r="M37" i="16" s="1"/>
  <c r="M37" i="17" s="1"/>
  <c r="M37" i="18" s="1"/>
  <c r="M42" i="9"/>
  <c r="M42" i="37" s="1"/>
  <c r="M42" i="11" s="1"/>
  <c r="M42" i="12" s="1"/>
  <c r="M42" i="13" s="1"/>
  <c r="M42" i="14" s="1"/>
  <c r="M42" i="15" s="1"/>
  <c r="M42" i="16" s="1"/>
  <c r="M42" i="17" s="1"/>
  <c r="M42" i="18" s="1"/>
  <c r="N36" i="9"/>
  <c r="N36" i="37" s="1"/>
  <c r="N36" i="11" s="1"/>
  <c r="N36" i="12" s="1"/>
  <c r="N36" i="13" s="1"/>
  <c r="N36" i="14" s="1"/>
  <c r="N36" i="15" s="1"/>
  <c r="N36" i="16" s="1"/>
  <c r="N36" i="17" s="1"/>
  <c r="N36" i="18" s="1"/>
  <c r="N41" i="9"/>
  <c r="N41" i="37" s="1"/>
  <c r="N41" i="11" s="1"/>
  <c r="N41" i="12" s="1"/>
  <c r="N41" i="13" s="1"/>
  <c r="N41" i="14" s="1"/>
  <c r="N41" i="15" s="1"/>
  <c r="N41" i="16" s="1"/>
  <c r="N41" i="17" s="1"/>
  <c r="N41" i="18" s="1"/>
  <c r="N29" i="9"/>
  <c r="N29" i="37" s="1"/>
  <c r="N29" i="11" s="1"/>
  <c r="N29" i="12" s="1"/>
  <c r="N29" i="13" s="1"/>
  <c r="N29" i="14" s="1"/>
  <c r="N29" i="15" s="1"/>
  <c r="N29" i="16" s="1"/>
  <c r="N29" i="17" s="1"/>
  <c r="N29" i="18" s="1"/>
  <c r="N29" i="19" s="1"/>
  <c r="N32" i="9"/>
  <c r="N32" i="37" s="1"/>
  <c r="N32" i="11" s="1"/>
  <c r="N32" i="12" s="1"/>
  <c r="N32" i="13" s="1"/>
  <c r="N32" i="14" s="1"/>
  <c r="N32" i="15" s="1"/>
  <c r="N32" i="16" s="1"/>
  <c r="N32" i="17" s="1"/>
  <c r="N32" i="18" s="1"/>
  <c r="M26" i="9"/>
  <c r="M26" i="37" s="1"/>
  <c r="M26" i="11" s="1"/>
  <c r="M26" i="12" s="1"/>
  <c r="M26" i="13" s="1"/>
  <c r="M26" i="14" s="1"/>
  <c r="M26" i="15" s="1"/>
  <c r="M26" i="16" s="1"/>
  <c r="M26" i="17" s="1"/>
  <c r="M26" i="18" s="1"/>
  <c r="M26" i="19" s="1"/>
  <c r="M43" i="9"/>
  <c r="M43" i="37" s="1"/>
  <c r="M43" i="11" s="1"/>
  <c r="M43" i="12" s="1"/>
  <c r="M43" i="13" s="1"/>
  <c r="M43" i="14" s="1"/>
  <c r="M43" i="15" s="1"/>
  <c r="M43" i="16" s="1"/>
  <c r="M43" i="17" s="1"/>
  <c r="M43" i="18" s="1"/>
  <c r="N40" i="9"/>
  <c r="N40" i="37" s="1"/>
  <c r="N40" i="11" s="1"/>
  <c r="N40" i="12" s="1"/>
  <c r="N40" i="13" s="1"/>
  <c r="N40" i="14" s="1"/>
  <c r="N40" i="15" s="1"/>
  <c r="N40" i="16" s="1"/>
  <c r="N40" i="17" s="1"/>
  <c r="N40" i="18" s="1"/>
  <c r="N23" i="9"/>
  <c r="N23" i="37" s="1"/>
  <c r="N23" i="11" s="1"/>
  <c r="N23" i="12" s="1"/>
  <c r="N23" i="13" s="1"/>
  <c r="N23" i="14" s="1"/>
  <c r="N23" i="15" s="1"/>
  <c r="N23" i="16" s="1"/>
  <c r="N23" i="17" s="1"/>
  <c r="N23" i="18" s="1"/>
  <c r="N23" i="19" s="1"/>
  <c r="M24" i="9"/>
  <c r="M24" i="37" s="1"/>
  <c r="M24" i="11" s="1"/>
  <c r="M24" i="12" s="1"/>
  <c r="M24" i="13" s="1"/>
  <c r="M24" i="14" s="1"/>
  <c r="M24" i="15" s="1"/>
  <c r="M24" i="16" s="1"/>
  <c r="M24" i="17" s="1"/>
  <c r="M24" i="18" s="1"/>
  <c r="M24" i="19" s="1"/>
  <c r="AA558" i="33"/>
  <c r="I22" i="3" s="1"/>
  <c r="N44" i="9"/>
  <c r="N44" i="37" s="1"/>
  <c r="N44" i="11" s="1"/>
  <c r="N44" i="12" s="1"/>
  <c r="N44" i="13" s="1"/>
  <c r="N44" i="14" s="1"/>
  <c r="N44" i="15" s="1"/>
  <c r="N44" i="16" s="1"/>
  <c r="N44" i="17" s="1"/>
  <c r="N44" i="18" s="1"/>
  <c r="M44" i="9"/>
  <c r="M44" i="37" s="1"/>
  <c r="M44" i="11" s="1"/>
  <c r="M44" i="12" s="1"/>
  <c r="M44" i="13" s="1"/>
  <c r="M44" i="14" s="1"/>
  <c r="M44" i="15" s="1"/>
  <c r="M44" i="16" s="1"/>
  <c r="M44" i="17" s="1"/>
  <c r="M44" i="18" s="1"/>
  <c r="N35" i="9"/>
  <c r="N35" i="37" s="1"/>
  <c r="N35" i="11" s="1"/>
  <c r="N35" i="12" s="1"/>
  <c r="N35" i="13" s="1"/>
  <c r="N35" i="14" s="1"/>
  <c r="N35" i="15" s="1"/>
  <c r="N35" i="16" s="1"/>
  <c r="N35" i="17" s="1"/>
  <c r="N35" i="18" s="1"/>
  <c r="M34" i="9"/>
  <c r="M34" i="37" s="1"/>
  <c r="M34" i="11" s="1"/>
  <c r="M34" i="12" s="1"/>
  <c r="M34" i="13" s="1"/>
  <c r="M34" i="14" s="1"/>
  <c r="M34" i="15" s="1"/>
  <c r="M34" i="16" s="1"/>
  <c r="M34" i="17" s="1"/>
  <c r="M34" i="18" s="1"/>
  <c r="M33" i="9"/>
  <c r="M33" i="37" s="1"/>
  <c r="M33" i="11" s="1"/>
  <c r="M33" i="12" s="1"/>
  <c r="M33" i="13" s="1"/>
  <c r="M33" i="14" s="1"/>
  <c r="M33" i="15" s="1"/>
  <c r="M33" i="16" s="1"/>
  <c r="M33" i="17" s="1"/>
  <c r="M33" i="18" s="1"/>
  <c r="N31" i="9"/>
  <c r="N31" i="37" s="1"/>
  <c r="N31" i="11" s="1"/>
  <c r="N31" i="12" s="1"/>
  <c r="N31" i="13" s="1"/>
  <c r="N31" i="14" s="1"/>
  <c r="N31" i="15" s="1"/>
  <c r="N31" i="16" s="1"/>
  <c r="N31" i="17" s="1"/>
  <c r="N31" i="18" s="1"/>
  <c r="N31" i="19" s="1"/>
  <c r="M28" i="9"/>
  <c r="M28" i="37" s="1"/>
  <c r="M28" i="11" s="1"/>
  <c r="M28" i="12" s="1"/>
  <c r="M28" i="13" s="1"/>
  <c r="M28" i="14" s="1"/>
  <c r="M28" i="15" s="1"/>
  <c r="M28" i="16" s="1"/>
  <c r="M28" i="17" s="1"/>
  <c r="M28" i="18" s="1"/>
  <c r="M28" i="19" s="1"/>
  <c r="N27" i="9"/>
  <c r="N27" i="37" s="1"/>
  <c r="N27" i="11" s="1"/>
  <c r="N27" i="12" s="1"/>
  <c r="N27" i="13" s="1"/>
  <c r="N27" i="14" s="1"/>
  <c r="N27" i="15" s="1"/>
  <c r="N27" i="16" s="1"/>
  <c r="N27" i="17" s="1"/>
  <c r="N27" i="18" s="1"/>
  <c r="N27" i="19" s="1"/>
  <c r="AA632" i="33"/>
  <c r="I24" i="3" s="1"/>
  <c r="H24" i="3"/>
  <c r="M23" i="9"/>
  <c r="M23" i="37" s="1"/>
  <c r="M23" i="11" s="1"/>
  <c r="M23" i="12" s="1"/>
  <c r="M23" i="13" s="1"/>
  <c r="M23" i="14" s="1"/>
  <c r="M23" i="15" s="1"/>
  <c r="M23" i="16" s="1"/>
  <c r="M23" i="17" s="1"/>
  <c r="M23" i="18" s="1"/>
  <c r="M23" i="19" s="1"/>
  <c r="M22" i="9"/>
  <c r="M22" i="37" s="1"/>
  <c r="M22" i="11" s="1"/>
  <c r="M22" i="12" s="1"/>
  <c r="M22" i="13" s="1"/>
  <c r="M22" i="14" s="1"/>
  <c r="M22" i="15" s="1"/>
  <c r="M22" i="16" s="1"/>
  <c r="M22" i="17" s="1"/>
  <c r="M22" i="18" s="1"/>
  <c r="M22" i="19" s="1"/>
  <c r="M21" i="9"/>
  <c r="M21" i="37" s="1"/>
  <c r="M21" i="11" s="1"/>
  <c r="M21" i="12" s="1"/>
  <c r="M21" i="13" s="1"/>
  <c r="M21" i="14" s="1"/>
  <c r="M21" i="15" s="1"/>
  <c r="M21" i="16" s="1"/>
  <c r="M21" i="17" s="1"/>
  <c r="M21" i="18" s="1"/>
  <c r="M21" i="19" s="1"/>
  <c r="N21" i="9"/>
  <c r="N21" i="37" s="1"/>
  <c r="N21" i="11" s="1"/>
  <c r="N21" i="12" s="1"/>
  <c r="N21" i="13" s="1"/>
  <c r="N21" i="14" s="1"/>
  <c r="N21" i="15" s="1"/>
  <c r="N21" i="16" s="1"/>
  <c r="N21" i="17" s="1"/>
  <c r="N21" i="18" s="1"/>
  <c r="N21" i="19" s="1"/>
  <c r="AA409" i="33"/>
  <c r="I18" i="3" s="1"/>
  <c r="H18" i="3"/>
  <c r="Z370" i="33"/>
  <c r="H17" i="3" s="1"/>
  <c r="L17" i="2"/>
  <c r="AA287" i="33"/>
  <c r="H15" i="3"/>
  <c r="Z170" i="33"/>
  <c r="L12" i="2"/>
  <c r="AA24" i="16"/>
  <c r="AC24" i="16" s="1"/>
  <c r="AE24" i="16" s="1"/>
  <c r="AA24" i="17" s="1"/>
  <c r="AC24" i="17" s="1"/>
  <c r="AE24" i="17" s="1"/>
  <c r="AA24" i="18" s="1"/>
  <c r="AC24" i="18" s="1"/>
  <c r="AE24" i="18" s="1"/>
  <c r="AA24" i="19" s="1"/>
  <c r="AC24" i="19" s="1"/>
  <c r="AE24" i="19" s="1"/>
  <c r="AG24" i="20"/>
  <c r="AG24" i="21" s="1"/>
  <c r="AG24" i="22" s="1"/>
  <c r="AA25" i="16"/>
  <c r="AC25" i="16" s="1"/>
  <c r="AE25" i="16" s="1"/>
  <c r="AA25" i="17" s="1"/>
  <c r="AC25" i="17" s="1"/>
  <c r="AE25" i="17" s="1"/>
  <c r="AA25" i="18" s="1"/>
  <c r="AC25" i="18" s="1"/>
  <c r="AE25" i="18" s="1"/>
  <c r="AA25" i="19" s="1"/>
  <c r="AC25" i="19" s="1"/>
  <c r="AE25" i="19" s="1"/>
  <c r="AA25" i="20" s="1"/>
  <c r="AC25" i="20" s="1"/>
  <c r="AE25" i="20" s="1"/>
  <c r="AA25" i="21" s="1"/>
  <c r="AC25" i="21" s="1"/>
  <c r="AE25" i="21" s="1"/>
  <c r="AA25" i="22" s="1"/>
  <c r="AC25" i="22" s="1"/>
  <c r="AE25" i="22" s="1"/>
  <c r="AG22" i="20"/>
  <c r="AG22" i="21" s="1"/>
  <c r="AG22" i="22" s="1"/>
  <c r="AG22" i="23" s="1"/>
  <c r="AG20" i="24"/>
  <c r="AG20" i="25" s="1"/>
  <c r="AG20" i="26" s="1"/>
  <c r="AG20" i="27" s="1"/>
  <c r="AG20" i="28" s="1"/>
  <c r="AG20" i="29" s="1"/>
  <c r="AG20" i="30" s="1"/>
  <c r="AG20" i="31" s="1"/>
  <c r="AG20" i="32" s="1"/>
  <c r="AH20" i="23"/>
  <c r="AG25" i="23"/>
  <c r="AG25" i="24" s="1"/>
  <c r="AG25" i="25" s="1"/>
  <c r="AG25" i="26" s="1"/>
  <c r="AG25" i="27" s="1"/>
  <c r="AG25" i="28" s="1"/>
  <c r="AG25" i="29" s="1"/>
  <c r="AG25" i="30" s="1"/>
  <c r="AG25" i="31" s="1"/>
  <c r="AG25" i="32" s="1"/>
  <c r="AA23" i="20"/>
  <c r="AC23" i="20" s="1"/>
  <c r="AE23" i="20" s="1"/>
  <c r="AA23" i="21" s="1"/>
  <c r="AC23" i="21" s="1"/>
  <c r="AE23" i="21" s="1"/>
  <c r="AA23" i="22" s="1"/>
  <c r="AC23" i="22" s="1"/>
  <c r="AE23" i="22" s="1"/>
  <c r="AF22" i="24"/>
  <c r="AF22" i="25" s="1"/>
  <c r="AF22" i="26" s="1"/>
  <c r="AF22" i="27" s="1"/>
  <c r="AF22" i="28" s="1"/>
  <c r="AF22" i="29" s="1"/>
  <c r="AF22" i="30" s="1"/>
  <c r="AF22" i="31" s="1"/>
  <c r="AF22" i="32" s="1"/>
  <c r="AF23" i="24"/>
  <c r="AF23" i="25" s="1"/>
  <c r="AF23" i="26" s="1"/>
  <c r="AF23" i="27" s="1"/>
  <c r="AF23" i="28" s="1"/>
  <c r="AF23" i="29" s="1"/>
  <c r="AF23" i="30" s="1"/>
  <c r="AF23" i="31" s="1"/>
  <c r="AF23" i="32" s="1"/>
  <c r="AH23" i="23"/>
  <c r="AF19" i="26"/>
  <c r="AF19" i="27" s="1"/>
  <c r="AF19" i="28" s="1"/>
  <c r="AE22" i="13"/>
  <c r="AA22" i="14" s="1"/>
  <c r="AC22" i="14" s="1"/>
  <c r="AE22" i="14" s="1"/>
  <c r="AA22" i="15" s="1"/>
  <c r="AC22" i="15" s="1"/>
  <c r="AE22" i="15" s="1"/>
  <c r="AA22" i="16" s="1"/>
  <c r="AC22" i="16" s="1"/>
  <c r="AE22" i="16" s="1"/>
  <c r="AA22" i="17" s="1"/>
  <c r="AC22" i="17" s="1"/>
  <c r="AE22" i="17" s="1"/>
  <c r="AA22" i="18" s="1"/>
  <c r="AC22" i="18" s="1"/>
  <c r="AE22" i="18" s="1"/>
  <c r="AA22" i="19" s="1"/>
  <c r="AC22" i="19" s="1"/>
  <c r="AE22" i="19" s="1"/>
  <c r="AE19" i="11"/>
  <c r="AA19" i="12" s="1"/>
  <c r="AC19" i="12" s="1"/>
  <c r="AE19" i="12" s="1"/>
  <c r="AA19" i="13" s="1"/>
  <c r="AC19" i="13" s="1"/>
  <c r="AE19" i="13" s="1"/>
  <c r="AA19" i="14" s="1"/>
  <c r="AC19" i="14" s="1"/>
  <c r="AE19" i="14" s="1"/>
  <c r="AA19" i="15" s="1"/>
  <c r="AC19" i="15" s="1"/>
  <c r="AE19" i="15" s="1"/>
  <c r="AA19" i="16" s="1"/>
  <c r="AC19" i="16" s="1"/>
  <c r="AE19" i="16" s="1"/>
  <c r="AA19" i="17" s="1"/>
  <c r="AC19" i="17" s="1"/>
  <c r="AE19" i="17" s="1"/>
  <c r="AA19" i="18" s="1"/>
  <c r="AC19" i="18" s="1"/>
  <c r="AE19" i="18" s="1"/>
  <c r="AA19" i="19" s="1"/>
  <c r="AC19" i="19" s="1"/>
  <c r="AE19" i="19" s="1"/>
  <c r="AA19" i="20" s="1"/>
  <c r="AC19" i="20" s="1"/>
  <c r="AE19" i="20" s="1"/>
  <c r="AA19" i="21" s="1"/>
  <c r="AC19" i="21" s="1"/>
  <c r="AE19" i="21" s="1"/>
  <c r="AA19" i="22" s="1"/>
  <c r="AC19" i="22" s="1"/>
  <c r="AE19" i="22" s="1"/>
  <c r="AC20" i="13"/>
  <c r="AE20" i="13" s="1"/>
  <c r="AA20" i="14" s="1"/>
  <c r="AC20" i="14" s="1"/>
  <c r="AE20" i="14" s="1"/>
  <c r="AA20" i="15" s="1"/>
  <c r="AC20" i="15" s="1"/>
  <c r="AE20" i="15" s="1"/>
  <c r="AA20" i="16" s="1"/>
  <c r="AC20" i="16" s="1"/>
  <c r="AE20" i="16" s="1"/>
  <c r="AA20" i="17" s="1"/>
  <c r="AC20" i="17" s="1"/>
  <c r="AE20" i="17" s="1"/>
  <c r="AA20" i="18" s="1"/>
  <c r="AC20" i="18" s="1"/>
  <c r="AE20" i="18" s="1"/>
  <c r="AA20" i="19" s="1"/>
  <c r="AC20" i="19" s="1"/>
  <c r="AE20" i="19" s="1"/>
  <c r="AA20" i="20" s="1"/>
  <c r="AC20" i="20" s="1"/>
  <c r="AE20" i="20" s="1"/>
  <c r="AA20" i="21" s="1"/>
  <c r="AC20" i="21" s="1"/>
  <c r="AE20" i="21" s="1"/>
  <c r="AA20" i="22" s="1"/>
  <c r="AC20" i="22" s="1"/>
  <c r="AE20" i="22" s="1"/>
  <c r="AA20" i="23" s="1"/>
  <c r="AC20" i="23" s="1"/>
  <c r="AE20" i="23" s="1"/>
  <c r="AA20" i="24" s="1"/>
  <c r="AC20" i="24" s="1"/>
  <c r="AE20" i="24" s="1"/>
  <c r="AA20" i="25" s="1"/>
  <c r="AC20" i="25" s="1"/>
  <c r="AE20" i="25" s="1"/>
  <c r="T25" i="14"/>
  <c r="V25" i="14" s="1"/>
  <c r="X25" i="14" s="1"/>
  <c r="T25" i="15" s="1"/>
  <c r="V25" i="15" s="1"/>
  <c r="X25" i="15" s="1"/>
  <c r="T25" i="16" s="1"/>
  <c r="V25" i="16" s="1"/>
  <c r="X25" i="16" s="1"/>
  <c r="T23" i="14"/>
  <c r="V23" i="14" s="1"/>
  <c r="X23" i="14" s="1"/>
  <c r="T23" i="15" s="1"/>
  <c r="V23" i="15" s="1"/>
  <c r="X23" i="15" s="1"/>
  <c r="T23" i="16" s="1"/>
  <c r="V23" i="16" s="1"/>
  <c r="X23" i="16" s="1"/>
  <c r="X21" i="12"/>
  <c r="T21" i="13" s="1"/>
  <c r="V21" i="13" s="1"/>
  <c r="X21" i="13" s="1"/>
  <c r="T21" i="14" s="1"/>
  <c r="V21" i="14" s="1"/>
  <c r="X21" i="14" s="1"/>
  <c r="T21" i="15" s="1"/>
  <c r="V21" i="15" s="1"/>
  <c r="X21" i="15" s="1"/>
  <c r="T22" i="14"/>
  <c r="V22" i="14" s="1"/>
  <c r="X22" i="14" s="1"/>
  <c r="T22" i="15" s="1"/>
  <c r="V22" i="15" s="1"/>
  <c r="X22" i="15" s="1"/>
  <c r="T22" i="16" s="1"/>
  <c r="V22" i="16" s="1"/>
  <c r="X22" i="16" s="1"/>
  <c r="V20" i="12"/>
  <c r="X20" i="12" s="1"/>
  <c r="T20" i="13" s="1"/>
  <c r="V20" i="13" s="1"/>
  <c r="X20" i="13" s="1"/>
  <c r="T20" i="14" s="1"/>
  <c r="V20" i="14" s="1"/>
  <c r="X20" i="14" s="1"/>
  <c r="T20" i="15" s="1"/>
  <c r="V20" i="15" s="1"/>
  <c r="X20" i="15" s="1"/>
  <c r="T20" i="16" s="1"/>
  <c r="V20" i="16" s="1"/>
  <c r="X20" i="16" s="1"/>
  <c r="T24" i="14"/>
  <c r="V24" i="14" s="1"/>
  <c r="X24" i="14" s="1"/>
  <c r="T24" i="15" s="1"/>
  <c r="V24" i="15" s="1"/>
  <c r="X24" i="15" s="1"/>
  <c r="T24" i="16" s="1"/>
  <c r="V24" i="16" s="1"/>
  <c r="X24" i="16" s="1"/>
  <c r="T26" i="14"/>
  <c r="V26" i="14" s="1"/>
  <c r="X26" i="14" s="1"/>
  <c r="T26" i="15" s="1"/>
  <c r="V26" i="15" s="1"/>
  <c r="X26" i="15" s="1"/>
  <c r="T26" i="16" s="1"/>
  <c r="V26" i="16" s="1"/>
  <c r="X26" i="16" s="1"/>
  <c r="T19" i="12"/>
  <c r="V19" i="12" s="1"/>
  <c r="X19" i="12" s="1"/>
  <c r="T19" i="13" s="1"/>
  <c r="V19" i="13" s="1"/>
  <c r="X19" i="13" s="1"/>
  <c r="T19" i="14" s="1"/>
  <c r="V19" i="14" s="1"/>
  <c r="X19" i="14" s="1"/>
  <c r="T19" i="15" s="1"/>
  <c r="V19" i="15" s="1"/>
  <c r="X19" i="15" s="1"/>
  <c r="T19" i="16" s="1"/>
  <c r="V19" i="16" s="1"/>
  <c r="X19" i="16" s="1"/>
  <c r="Z21" i="23"/>
  <c r="Z21" i="24" s="1"/>
  <c r="Z21" i="25" s="1"/>
  <c r="Z21" i="26" s="1"/>
  <c r="Z21" i="27" s="1"/>
  <c r="Z21" i="28" s="1"/>
  <c r="Z21" i="29" s="1"/>
  <c r="Z21" i="30" s="1"/>
  <c r="Z21" i="31" s="1"/>
  <c r="Z21" i="32" s="1"/>
  <c r="AF20" i="26"/>
  <c r="AF20" i="27" s="1"/>
  <c r="AF20" i="28" s="1"/>
  <c r="AF20" i="29" s="1"/>
  <c r="AF20" i="30" s="1"/>
  <c r="AF20" i="31" s="1"/>
  <c r="AF20" i="32" s="1"/>
  <c r="AA21" i="23"/>
  <c r="AC21" i="23" s="1"/>
  <c r="AE21" i="23" s="1"/>
  <c r="AA21" i="24" s="1"/>
  <c r="AC21" i="24" s="1"/>
  <c r="AE21" i="24" s="1"/>
  <c r="AA21" i="25" s="1"/>
  <c r="AC21" i="25" s="1"/>
  <c r="AE21" i="25" s="1"/>
  <c r="AA21" i="26" s="1"/>
  <c r="AC21" i="26" s="1"/>
  <c r="AE21" i="26" s="1"/>
  <c r="AA21" i="27" s="1"/>
  <c r="AC21" i="27" s="1"/>
  <c r="AE21" i="27" s="1"/>
  <c r="AA21" i="28" s="1"/>
  <c r="AC21" i="28" s="1"/>
  <c r="AE21" i="28" s="1"/>
  <c r="AA21" i="29" s="1"/>
  <c r="AC21" i="29" s="1"/>
  <c r="AE21" i="29" s="1"/>
  <c r="AA21" i="30" s="1"/>
  <c r="AC21" i="30" s="1"/>
  <c r="AE21" i="30" s="1"/>
  <c r="AA21" i="31" s="1"/>
  <c r="AC21" i="31" s="1"/>
  <c r="AE21" i="31" s="1"/>
  <c r="AA21" i="32" s="1"/>
  <c r="AC21" i="32" s="1"/>
  <c r="AE21" i="32" s="1"/>
  <c r="AG19" i="29"/>
  <c r="AG19" i="30" s="1"/>
  <c r="AG19" i="31" s="1"/>
  <c r="AG19" i="32" s="1"/>
  <c r="AF21" i="24"/>
  <c r="AF21" i="25" s="1"/>
  <c r="AF21" i="26" s="1"/>
  <c r="AF21" i="27" s="1"/>
  <c r="AF21" i="28" s="1"/>
  <c r="AF21" i="29" s="1"/>
  <c r="AF21" i="30" s="1"/>
  <c r="AF21" i="31" s="1"/>
  <c r="AF21" i="32" s="1"/>
  <c r="AH21" i="23"/>
  <c r="V18" i="18"/>
  <c r="X18" i="18" s="1"/>
  <c r="M10" i="18"/>
  <c r="M10" i="19" s="1"/>
  <c r="M10" i="20" s="1"/>
  <c r="M10" i="21" s="1"/>
  <c r="M10" i="22" s="1"/>
  <c r="M10" i="23" s="1"/>
  <c r="M10" i="24" s="1"/>
  <c r="M10" i="25" s="1"/>
  <c r="M10" i="26" s="1"/>
  <c r="M10" i="27" s="1"/>
  <c r="M10" i="28" s="1"/>
  <c r="M10" i="29" s="1"/>
  <c r="M10" i="30" s="1"/>
  <c r="M10" i="31" s="1"/>
  <c r="M10" i="32" s="1"/>
  <c r="N39" i="17"/>
  <c r="N39" i="18" s="1"/>
  <c r="N42" i="17"/>
  <c r="N42" i="18" s="1"/>
  <c r="N33" i="17"/>
  <c r="N33" i="18" s="1"/>
  <c r="N34" i="17"/>
  <c r="N34" i="18" s="1"/>
  <c r="N38" i="17"/>
  <c r="N38" i="18" s="1"/>
  <c r="N37" i="17"/>
  <c r="N37" i="18" s="1"/>
  <c r="N43" i="17"/>
  <c r="N43" i="18" s="1"/>
  <c r="M45" i="17"/>
  <c r="M45" i="18" s="1"/>
  <c r="M35" i="9"/>
  <c r="M35" i="37" s="1"/>
  <c r="M35" i="11" s="1"/>
  <c r="M35" i="12" s="1"/>
  <c r="M35" i="13" s="1"/>
  <c r="M35" i="14" s="1"/>
  <c r="M35" i="15" s="1"/>
  <c r="M35" i="16" s="1"/>
  <c r="M39" i="9"/>
  <c r="M39" i="37" s="1"/>
  <c r="M39" i="11" s="1"/>
  <c r="M39" i="12" s="1"/>
  <c r="M38" i="8"/>
  <c r="M30" i="8"/>
  <c r="AA1014" i="33"/>
  <c r="I34" i="3" s="1"/>
  <c r="H34" i="3"/>
  <c r="AD55" i="3"/>
  <c r="AD49" i="4" s="1"/>
  <c r="AD53" i="4" s="1"/>
  <c r="AD55" i="4" s="1"/>
  <c r="AD49" i="5" s="1"/>
  <c r="AD53" i="5" s="1"/>
  <c r="AD55" i="5" s="1"/>
  <c r="AD49" i="6" s="1"/>
  <c r="AD53" i="6" s="1"/>
  <c r="AD55" i="6" s="1"/>
  <c r="AD49" i="7" s="1"/>
  <c r="AD53" i="7" s="1"/>
  <c r="AD55" i="7" s="1"/>
  <c r="AD49" i="8" s="1"/>
  <c r="AD53" i="8" s="1"/>
  <c r="AD55" i="8" s="1"/>
  <c r="AD49" i="9" s="1"/>
  <c r="AD53" i="9" s="1"/>
  <c r="AC55" i="3"/>
  <c r="AC49" i="4" s="1"/>
  <c r="AC53" i="4" s="1"/>
  <c r="AC55" i="4" s="1"/>
  <c r="AC49" i="5" s="1"/>
  <c r="AC53" i="5" s="1"/>
  <c r="AC55" i="5" s="1"/>
  <c r="AC49" i="6" s="1"/>
  <c r="AC53" i="6" s="1"/>
  <c r="AC55" i="6" s="1"/>
  <c r="AC49" i="7" s="1"/>
  <c r="AC53" i="7" s="1"/>
  <c r="AC55" i="7" s="1"/>
  <c r="AC49" i="8" s="1"/>
  <c r="AC53" i="8" s="1"/>
  <c r="AC55" i="8" s="1"/>
  <c r="AC49" i="9" s="1"/>
  <c r="AC53" i="9" s="1"/>
  <c r="AC55" i="9" s="1"/>
  <c r="AC49" i="37" s="1"/>
  <c r="AC53" i="37" s="1"/>
  <c r="AC55" i="37" s="1"/>
  <c r="AF9" i="24"/>
  <c r="AF9" i="25" s="1"/>
  <c r="AF9" i="26" s="1"/>
  <c r="AF9" i="27" s="1"/>
  <c r="AF9" i="28" s="1"/>
  <c r="AF9" i="29" s="1"/>
  <c r="AF9" i="30" s="1"/>
  <c r="AF9" i="31" s="1"/>
  <c r="AF9" i="32" s="1"/>
  <c r="AH9" i="23"/>
  <c r="U49" i="5"/>
  <c r="U53" i="5" s="1"/>
  <c r="U55" i="5" s="1"/>
  <c r="U49" i="6" s="1"/>
  <c r="U53" i="6" s="1"/>
  <c r="U55" i="6" s="1"/>
  <c r="U49" i="7" s="1"/>
  <c r="U53" i="7" s="1"/>
  <c r="U55" i="7" s="1"/>
  <c r="U49" i="8" s="1"/>
  <c r="U53" i="8" s="1"/>
  <c r="U55" i="8" s="1"/>
  <c r="U49" i="9" s="1"/>
  <c r="U53" i="9" s="1"/>
  <c r="Y49" i="5"/>
  <c r="Y53" i="5" s="1"/>
  <c r="Y55" i="5" s="1"/>
  <c r="Y49" i="6" s="1"/>
  <c r="Y53" i="6" s="1"/>
  <c r="Y55" i="6" s="1"/>
  <c r="Y49" i="7" s="1"/>
  <c r="Y53" i="7" s="1"/>
  <c r="Y55" i="7" s="1"/>
  <c r="Y49" i="8" s="1"/>
  <c r="Y53" i="8" s="1"/>
  <c r="Y55" i="8" s="1"/>
  <c r="Y49" i="9" s="1"/>
  <c r="Y53" i="9" s="1"/>
  <c r="Z49" i="5"/>
  <c r="Z53" i="5" s="1"/>
  <c r="Z55" i="5" s="1"/>
  <c r="Z49" i="6" s="1"/>
  <c r="Z53" i="6" s="1"/>
  <c r="Z55" i="6" s="1"/>
  <c r="Z49" i="7" s="1"/>
  <c r="Z53" i="7" s="1"/>
  <c r="Z55" i="7" s="1"/>
  <c r="Z49" i="8" s="1"/>
  <c r="Z53" i="8" s="1"/>
  <c r="Z55" i="8" s="1"/>
  <c r="Z49" i="9" s="1"/>
  <c r="Z53" i="9" s="1"/>
  <c r="AH49" i="5"/>
  <c r="AH53" i="5" s="1"/>
  <c r="AH55" i="5" s="1"/>
  <c r="AH49" i="6" s="1"/>
  <c r="AH53" i="6" s="1"/>
  <c r="AH55" i="6" s="1"/>
  <c r="AH49" i="7" s="1"/>
  <c r="AH53" i="7" s="1"/>
  <c r="AH55" i="7" s="1"/>
  <c r="AH49" i="8" s="1"/>
  <c r="AH53" i="8" s="1"/>
  <c r="AH55" i="8" s="1"/>
  <c r="AH49" i="9" s="1"/>
  <c r="AH53" i="9" s="1"/>
  <c r="AF49" i="5"/>
  <c r="AF53" i="5" s="1"/>
  <c r="AF55" i="5" s="1"/>
  <c r="AF49" i="6" s="1"/>
  <c r="AF53" i="6" s="1"/>
  <c r="AF55" i="6" s="1"/>
  <c r="AF49" i="7" s="1"/>
  <c r="AF53" i="7" s="1"/>
  <c r="AF55" i="7" s="1"/>
  <c r="AF49" i="8" s="1"/>
  <c r="AF53" i="8" s="1"/>
  <c r="AF55" i="8" s="1"/>
  <c r="AF49" i="9" s="1"/>
  <c r="AF53" i="9" s="1"/>
  <c r="AF55" i="9" s="1"/>
  <c r="AF49" i="37" s="1"/>
  <c r="AF53" i="37" s="1"/>
  <c r="AF55" i="37" s="1"/>
  <c r="AG49" i="5"/>
  <c r="AG53" i="5" s="1"/>
  <c r="AG55" i="5" s="1"/>
  <c r="AG49" i="6" s="1"/>
  <c r="AG53" i="6" s="1"/>
  <c r="AG55" i="6" s="1"/>
  <c r="AG49" i="7" s="1"/>
  <c r="AG53" i="7" s="1"/>
  <c r="AG55" i="7" s="1"/>
  <c r="AG49" i="8" s="1"/>
  <c r="AG53" i="8" s="1"/>
  <c r="AG55" i="8" s="1"/>
  <c r="AG49" i="9" s="1"/>
  <c r="AG53" i="9" s="1"/>
  <c r="AA49" i="5"/>
  <c r="AA53" i="5" s="1"/>
  <c r="AA55" i="5" s="1"/>
  <c r="AA49" i="6" s="1"/>
  <c r="AA53" i="6" s="1"/>
  <c r="AA55" i="6" s="1"/>
  <c r="AA49" i="7" s="1"/>
  <c r="AA53" i="7" s="1"/>
  <c r="AA55" i="7" s="1"/>
  <c r="AA49" i="8" s="1"/>
  <c r="AA53" i="8" s="1"/>
  <c r="AA55" i="8" s="1"/>
  <c r="V49" i="5"/>
  <c r="V53" i="5" s="1"/>
  <c r="V55" i="5" s="1"/>
  <c r="V49" i="6" s="1"/>
  <c r="V53" i="6" s="1"/>
  <c r="V55" i="6" s="1"/>
  <c r="V49" i="7" s="1"/>
  <c r="V53" i="7" s="1"/>
  <c r="V55" i="7" s="1"/>
  <c r="V49" i="8" s="1"/>
  <c r="V53" i="8" s="1"/>
  <c r="V55" i="8" s="1"/>
  <c r="V49" i="9" s="1"/>
  <c r="V53" i="9" s="1"/>
  <c r="X49" i="5"/>
  <c r="X53" i="5" s="1"/>
  <c r="X55" i="5" s="1"/>
  <c r="X49" i="6" s="1"/>
  <c r="X53" i="6" s="1"/>
  <c r="X55" i="6" s="1"/>
  <c r="X49" i="7" s="1"/>
  <c r="X53" i="7" s="1"/>
  <c r="X55" i="7" s="1"/>
  <c r="X49" i="8" s="1"/>
  <c r="X53" i="8" s="1"/>
  <c r="X55" i="8" s="1"/>
  <c r="X49" i="9" s="1"/>
  <c r="X53" i="9" s="1"/>
  <c r="AE49" i="5"/>
  <c r="AE53" i="5" s="1"/>
  <c r="AE55" i="5" s="1"/>
  <c r="AE49" i="6" s="1"/>
  <c r="AE53" i="6" s="1"/>
  <c r="AE55" i="6" s="1"/>
  <c r="AE49" i="7" s="1"/>
  <c r="AE53" i="7" s="1"/>
  <c r="AE55" i="7" s="1"/>
  <c r="AE49" i="8" s="1"/>
  <c r="AE53" i="8" s="1"/>
  <c r="AE55" i="8" s="1"/>
  <c r="AE49" i="9" s="1"/>
  <c r="AE53" i="9" s="1"/>
  <c r="W49" i="5"/>
  <c r="W53" i="5" s="1"/>
  <c r="W55" i="5" s="1"/>
  <c r="W49" i="6" s="1"/>
  <c r="W53" i="6" s="1"/>
  <c r="W55" i="6" s="1"/>
  <c r="W49" i="7" s="1"/>
  <c r="W53" i="7" s="1"/>
  <c r="W55" i="7" s="1"/>
  <c r="W49" i="8" s="1"/>
  <c r="W53" i="8" s="1"/>
  <c r="W55" i="8" s="1"/>
  <c r="W49" i="9" s="1"/>
  <c r="W53" i="9" s="1"/>
  <c r="AI49" i="5"/>
  <c r="AI53" i="5" s="1"/>
  <c r="AI55" i="5" s="1"/>
  <c r="AI49" i="6" s="1"/>
  <c r="AI53" i="6" s="1"/>
  <c r="AI55" i="6" s="1"/>
  <c r="AI49" i="7" s="1"/>
  <c r="AI53" i="7" s="1"/>
  <c r="AI55" i="7" s="1"/>
  <c r="AI49" i="8" s="1"/>
  <c r="AI53" i="8" s="1"/>
  <c r="AI55" i="8" s="1"/>
  <c r="AI49" i="9" s="1"/>
  <c r="AI53" i="9" s="1"/>
  <c r="AB55" i="4"/>
  <c r="A899" i="33"/>
  <c r="A900" i="33" s="1"/>
  <c r="A901" i="33" s="1"/>
  <c r="A902" i="33" s="1"/>
  <c r="A903" i="33" s="1"/>
  <c r="A904" i="33" s="1"/>
  <c r="A905" i="33" s="1"/>
  <c r="A906" i="33" s="1"/>
  <c r="A907" i="33" s="1"/>
  <c r="A908" i="33" s="1"/>
  <c r="A909" i="33" s="1"/>
  <c r="A910" i="33" s="1"/>
  <c r="A911" i="33" s="1"/>
  <c r="A912" i="33" s="1"/>
  <c r="A913" i="33" s="1"/>
  <c r="A914" i="33" s="1"/>
  <c r="A915" i="33" s="1"/>
  <c r="A916" i="33" s="1"/>
  <c r="A917" i="33" s="1"/>
  <c r="A918" i="33" s="1"/>
  <c r="A919" i="33" s="1"/>
  <c r="A920" i="33" s="1"/>
  <c r="A921" i="33" s="1"/>
  <c r="A922" i="33" s="1"/>
  <c r="A923" i="33" s="1"/>
  <c r="A924" i="33" s="1"/>
  <c r="A925" i="33" s="1"/>
  <c r="A926" i="33" s="1"/>
  <c r="A927" i="33" s="1"/>
  <c r="A928" i="33" s="1"/>
  <c r="L9" i="2"/>
  <c r="Z55" i="33"/>
  <c r="H9" i="3" s="1"/>
  <c r="AA8" i="21"/>
  <c r="AC8" i="21" s="1"/>
  <c r="AE8" i="21" s="1"/>
  <c r="AA8" i="22" s="1"/>
  <c r="A177" i="33"/>
  <c r="A178" i="33" s="1"/>
  <c r="A179" i="33" s="1"/>
  <c r="A180" i="33" s="1"/>
  <c r="A181" i="33" s="1"/>
  <c r="N46" i="4"/>
  <c r="N46" i="3"/>
  <c r="Z328" i="33"/>
  <c r="Q38" i="2"/>
  <c r="AE43" i="2"/>
  <c r="AF43" i="2"/>
  <c r="Z93" i="33"/>
  <c r="AA93" i="33" s="1"/>
  <c r="AA483" i="33"/>
  <c r="I20" i="3" s="1"/>
  <c r="AA1090" i="33"/>
  <c r="I36" i="3" s="1"/>
  <c r="G47" i="3"/>
  <c r="G48" i="3" s="1"/>
  <c r="N48" i="2"/>
  <c r="Z447" i="33"/>
  <c r="H19" i="3" s="1"/>
  <c r="AD708" i="33"/>
  <c r="L26" i="3" s="1"/>
  <c r="C48" i="4"/>
  <c r="D48" i="4" s="1"/>
  <c r="C48" i="5" s="1"/>
  <c r="D48" i="5" s="1"/>
  <c r="AJ25" i="4"/>
  <c r="AJ21" i="6"/>
  <c r="AJ23" i="6" s="1"/>
  <c r="AJ21" i="7" s="1"/>
  <c r="AJ23" i="7" s="1"/>
  <c r="AJ25" i="5"/>
  <c r="AA784" i="33"/>
  <c r="I28" i="3" s="1"/>
  <c r="AD860" i="33"/>
  <c r="L30" i="3" s="1"/>
  <c r="AB45" i="3"/>
  <c r="AB44" i="4" s="1"/>
  <c r="AB45" i="4" s="1"/>
  <c r="AB44" i="5" s="1"/>
  <c r="AB45" i="5" s="1"/>
  <c r="AB44" i="6" s="1"/>
  <c r="AA938" i="33"/>
  <c r="I32" i="3" s="1"/>
  <c r="AA976" i="33"/>
  <c r="I33" i="3" s="1"/>
  <c r="AA822" i="33"/>
  <c r="I29" i="3" s="1"/>
  <c r="AA670" i="33"/>
  <c r="I25" i="3" s="1"/>
  <c r="AG43" i="5"/>
  <c r="AG8" i="6"/>
  <c r="A210" i="33"/>
  <c r="A211" i="33" s="1"/>
  <c r="A212" i="33" s="1"/>
  <c r="A213" i="33" s="1"/>
  <c r="A214" i="33" s="1"/>
  <c r="A215" i="33" s="1"/>
  <c r="A216" i="33" s="1"/>
  <c r="A217" i="33" s="1"/>
  <c r="A218" i="33" s="1"/>
  <c r="A219" i="33" s="1"/>
  <c r="A220" i="33" s="1"/>
  <c r="A221" i="33" s="1"/>
  <c r="A222" i="33" s="1"/>
  <c r="A223" i="33" s="1"/>
  <c r="A224" i="33" s="1"/>
  <c r="A225" i="33" s="1"/>
  <c r="A226" i="33" s="1"/>
  <c r="A227" i="33" s="1"/>
  <c r="A228" i="33" s="1"/>
  <c r="A229" i="33" s="1"/>
  <c r="A230" i="33" s="1"/>
  <c r="A231" i="33" s="1"/>
  <c r="A232" i="33" s="1"/>
  <c r="A233" i="33" s="1"/>
  <c r="A234" i="33" s="1"/>
  <c r="A235" i="33" s="1"/>
  <c r="A236" i="33" s="1"/>
  <c r="A237" i="33" s="1"/>
  <c r="A238" i="33" s="1"/>
  <c r="A239" i="33" s="1"/>
  <c r="A246" i="33"/>
  <c r="AA1052" i="33"/>
  <c r="I35" i="3" s="1"/>
  <c r="AA594" i="33"/>
  <c r="I23" i="3" s="1"/>
  <c r="Q43" i="3"/>
  <c r="Q45" i="3" s="1"/>
  <c r="Q48" i="3" s="1"/>
  <c r="Q40" i="2"/>
  <c r="N59" i="2"/>
  <c r="J47" i="3"/>
  <c r="J48" i="3" s="1"/>
  <c r="Q37" i="2"/>
  <c r="Z247" i="33"/>
  <c r="H14" i="3" s="1"/>
  <c r="AA132" i="33"/>
  <c r="I11" i="3" s="1"/>
  <c r="A13" i="56"/>
  <c r="A6" i="6"/>
  <c r="S6" i="6" s="1"/>
  <c r="A975" i="33"/>
  <c r="A938" i="33"/>
  <c r="A939" i="33" s="1"/>
  <c r="A940" i="33" s="1"/>
  <c r="A941" i="33" s="1"/>
  <c r="A942" i="33" s="1"/>
  <c r="A943" i="33" s="1"/>
  <c r="A944" i="33" s="1"/>
  <c r="A945" i="33" s="1"/>
  <c r="A946" i="33" s="1"/>
  <c r="A947" i="33" s="1"/>
  <c r="A948" i="33" s="1"/>
  <c r="A949" i="33" s="1"/>
  <c r="A950" i="33" s="1"/>
  <c r="A951" i="33" s="1"/>
  <c r="A952" i="33" s="1"/>
  <c r="A953" i="33" s="1"/>
  <c r="A954" i="33" s="1"/>
  <c r="A955" i="33" s="1"/>
  <c r="A956" i="33" s="1"/>
  <c r="A957" i="33" s="1"/>
  <c r="A958" i="33" s="1"/>
  <c r="A959" i="33" s="1"/>
  <c r="A960" i="33" s="1"/>
  <c r="A961" i="33" s="1"/>
  <c r="A962" i="33" s="1"/>
  <c r="A963" i="33" s="1"/>
  <c r="A964" i="33" s="1"/>
  <c r="A965" i="33" s="1"/>
  <c r="A966" i="33" s="1"/>
  <c r="A967" i="33" s="1"/>
  <c r="H8" i="3"/>
  <c r="AA9" i="33"/>
  <c r="Z211" i="33"/>
  <c r="H13" i="4" s="1"/>
  <c r="AF43" i="3"/>
  <c r="A24" i="33"/>
  <c r="A69" i="33"/>
  <c r="M46" i="4"/>
  <c r="M8" i="5"/>
  <c r="N10" i="6"/>
  <c r="N46" i="5"/>
  <c r="AB43" i="6"/>
  <c r="AF32" i="6"/>
  <c r="AC32" i="6"/>
  <c r="AE32" i="6" s="1"/>
  <c r="AA32" i="7" s="1"/>
  <c r="AC32" i="7" s="1"/>
  <c r="AE32" i="7" s="1"/>
  <c r="AA32" i="8" s="1"/>
  <c r="AC32" i="8" s="1"/>
  <c r="AE32" i="8" s="1"/>
  <c r="AA32" i="9" s="1"/>
  <c r="AC32" i="9" s="1"/>
  <c r="AE32" i="9" s="1"/>
  <c r="AA32" i="37" s="1"/>
  <c r="AC32" i="37" s="1"/>
  <c r="AE32" i="37" s="1"/>
  <c r="AA32" i="11" s="1"/>
  <c r="AC32" i="11" s="1"/>
  <c r="AE32" i="11" s="1"/>
  <c r="AA32" i="12" s="1"/>
  <c r="AC32" i="12" s="1"/>
  <c r="AE32" i="12" s="1"/>
  <c r="AA32" i="13" s="1"/>
  <c r="AC32" i="13" s="1"/>
  <c r="AE32" i="13" s="1"/>
  <c r="AA32" i="14" s="1"/>
  <c r="AC32" i="14" s="1"/>
  <c r="AE32" i="14" s="1"/>
  <c r="AG31" i="37"/>
  <c r="N8" i="8"/>
  <c r="AF10" i="9"/>
  <c r="AC10" i="7"/>
  <c r="AE10" i="7" s="1"/>
  <c r="AJ8" i="37"/>
  <c r="AJ10" i="37" s="1"/>
  <c r="AA49" i="9" l="1"/>
  <c r="AA53" i="9" s="1"/>
  <c r="AA55" i="9" s="1"/>
  <c r="AA49" i="37" s="1"/>
  <c r="AA53" i="37" s="1"/>
  <c r="AA55" i="37" s="1"/>
  <c r="AA49" i="11" s="1"/>
  <c r="AA53" i="11" s="1"/>
  <c r="AA55" i="11" s="1"/>
  <c r="AA49" i="12" s="1"/>
  <c r="AA53" i="12" s="1"/>
  <c r="AA55" i="12" s="1"/>
  <c r="AD409" i="33"/>
  <c r="L18" i="3" s="1"/>
  <c r="AD1014" i="33"/>
  <c r="L34" i="3" s="1"/>
  <c r="M26" i="20"/>
  <c r="M26" i="21" s="1"/>
  <c r="M26" i="22" s="1"/>
  <c r="M26" i="23" s="1"/>
  <c r="M26" i="24" s="1"/>
  <c r="M26" i="25" s="1"/>
  <c r="M26" i="26" s="1"/>
  <c r="M26" i="27" s="1"/>
  <c r="M26" i="28" s="1"/>
  <c r="M26" i="29" s="1"/>
  <c r="M26" i="30" s="1"/>
  <c r="M26" i="31" s="1"/>
  <c r="M26" i="32" s="1"/>
  <c r="N26" i="20"/>
  <c r="N26" i="21" s="1"/>
  <c r="N26" i="22" s="1"/>
  <c r="N26" i="23" s="1"/>
  <c r="N26" i="24" s="1"/>
  <c r="N26" i="25" s="1"/>
  <c r="N26" i="26" s="1"/>
  <c r="N26" i="27" s="1"/>
  <c r="N26" i="28" s="1"/>
  <c r="N26" i="29" s="1"/>
  <c r="N26" i="30" s="1"/>
  <c r="N26" i="31" s="1"/>
  <c r="N26" i="32" s="1"/>
  <c r="N21" i="20"/>
  <c r="N21" i="21" s="1"/>
  <c r="N21" i="22" s="1"/>
  <c r="N21" i="23" s="1"/>
  <c r="N21" i="24" s="1"/>
  <c r="N21" i="25" s="1"/>
  <c r="N21" i="26" s="1"/>
  <c r="N21" i="27" s="1"/>
  <c r="N21" i="28" s="1"/>
  <c r="N21" i="29" s="1"/>
  <c r="N21" i="30" s="1"/>
  <c r="N21" i="31" s="1"/>
  <c r="N21" i="32" s="1"/>
  <c r="N31" i="20"/>
  <c r="N31" i="21" s="1"/>
  <c r="N31" i="22" s="1"/>
  <c r="N31" i="23" s="1"/>
  <c r="N31" i="24" s="1"/>
  <c r="N31" i="25" s="1"/>
  <c r="N31" i="26" s="1"/>
  <c r="N31" i="27" s="1"/>
  <c r="N31" i="28" s="1"/>
  <c r="N31" i="29" s="1"/>
  <c r="N31" i="30" s="1"/>
  <c r="N31" i="31" s="1"/>
  <c r="N31" i="32" s="1"/>
  <c r="I27" i="3"/>
  <c r="AD746" i="33"/>
  <c r="AD632" i="33"/>
  <c r="Z633" i="33" s="1"/>
  <c r="AA370" i="33"/>
  <c r="I17" i="3" s="1"/>
  <c r="M20" i="20"/>
  <c r="M20" i="21" s="1"/>
  <c r="M20" i="22" s="1"/>
  <c r="M20" i="23" s="1"/>
  <c r="M20" i="24" s="1"/>
  <c r="M20" i="25" s="1"/>
  <c r="M20" i="26" s="1"/>
  <c r="M20" i="27" s="1"/>
  <c r="M20" i="28" s="1"/>
  <c r="M20" i="29" s="1"/>
  <c r="M20" i="30" s="1"/>
  <c r="M20" i="31" s="1"/>
  <c r="M20" i="32" s="1"/>
  <c r="N25" i="20"/>
  <c r="N25" i="21" s="1"/>
  <c r="N25" i="22" s="1"/>
  <c r="N25" i="23" s="1"/>
  <c r="N25" i="24" s="1"/>
  <c r="N25" i="25" s="1"/>
  <c r="N25" i="26" s="1"/>
  <c r="N25" i="27" s="1"/>
  <c r="N25" i="28" s="1"/>
  <c r="N25" i="29" s="1"/>
  <c r="N25" i="30" s="1"/>
  <c r="N25" i="31" s="1"/>
  <c r="N25" i="32" s="1"/>
  <c r="M25" i="20"/>
  <c r="M25" i="21" s="1"/>
  <c r="M25" i="22" s="1"/>
  <c r="M25" i="23" s="1"/>
  <c r="M25" i="24" s="1"/>
  <c r="M25" i="25" s="1"/>
  <c r="M25" i="26" s="1"/>
  <c r="M25" i="27" s="1"/>
  <c r="M25" i="28" s="1"/>
  <c r="M25" i="29" s="1"/>
  <c r="M25" i="30" s="1"/>
  <c r="M25" i="31" s="1"/>
  <c r="M25" i="32" s="1"/>
  <c r="I31" i="3"/>
  <c r="AD899" i="33"/>
  <c r="N27" i="20"/>
  <c r="N27" i="21" s="1"/>
  <c r="N27" i="22" s="1"/>
  <c r="N27" i="23" s="1"/>
  <c r="N27" i="24" s="1"/>
  <c r="N27" i="25" s="1"/>
  <c r="N27" i="26" s="1"/>
  <c r="N27" i="27" s="1"/>
  <c r="N27" i="28" s="1"/>
  <c r="N27" i="29" s="1"/>
  <c r="N27" i="30" s="1"/>
  <c r="N27" i="31" s="1"/>
  <c r="N27" i="32" s="1"/>
  <c r="M27" i="20"/>
  <c r="M27" i="21" s="1"/>
  <c r="M27" i="22" s="1"/>
  <c r="M27" i="23" s="1"/>
  <c r="M27" i="24" s="1"/>
  <c r="M27" i="25" s="1"/>
  <c r="M27" i="26" s="1"/>
  <c r="M27" i="27" s="1"/>
  <c r="M27" i="28" s="1"/>
  <c r="M27" i="29" s="1"/>
  <c r="M27" i="30" s="1"/>
  <c r="M27" i="31" s="1"/>
  <c r="M27" i="32" s="1"/>
  <c r="M19" i="20"/>
  <c r="M19" i="21" s="1"/>
  <c r="M19" i="22" s="1"/>
  <c r="M19" i="23" s="1"/>
  <c r="M19" i="24" s="1"/>
  <c r="M19" i="25" s="1"/>
  <c r="M19" i="26" s="1"/>
  <c r="M19" i="27" s="1"/>
  <c r="M19" i="28" s="1"/>
  <c r="M19" i="29" s="1"/>
  <c r="M19" i="30" s="1"/>
  <c r="M19" i="31" s="1"/>
  <c r="M19" i="32" s="1"/>
  <c r="M22" i="20"/>
  <c r="M22" i="21" s="1"/>
  <c r="M22" i="22" s="1"/>
  <c r="M22" i="23" s="1"/>
  <c r="M22" i="24" s="1"/>
  <c r="M22" i="25" s="1"/>
  <c r="M22" i="26" s="1"/>
  <c r="M22" i="27" s="1"/>
  <c r="M22" i="28" s="1"/>
  <c r="M22" i="29" s="1"/>
  <c r="M22" i="30" s="1"/>
  <c r="M22" i="31" s="1"/>
  <c r="M22" i="32" s="1"/>
  <c r="M21" i="20"/>
  <c r="M21" i="21" s="1"/>
  <c r="M21" i="22" s="1"/>
  <c r="M21" i="23" s="1"/>
  <c r="M21" i="24" s="1"/>
  <c r="M21" i="25" s="1"/>
  <c r="M21" i="26" s="1"/>
  <c r="M21" i="27" s="1"/>
  <c r="M21" i="28" s="1"/>
  <c r="M21" i="29" s="1"/>
  <c r="M21" i="30" s="1"/>
  <c r="M21" i="31" s="1"/>
  <c r="M21" i="32" s="1"/>
  <c r="AD520" i="33"/>
  <c r="L21" i="3" s="1"/>
  <c r="N29" i="20"/>
  <c r="N29" i="21" s="1"/>
  <c r="N29" i="22" s="1"/>
  <c r="N29" i="23" s="1"/>
  <c r="N29" i="24" s="1"/>
  <c r="N29" i="25" s="1"/>
  <c r="N29" i="26" s="1"/>
  <c r="N29" i="27" s="1"/>
  <c r="N29" i="28" s="1"/>
  <c r="N29" i="29" s="1"/>
  <c r="N29" i="30" s="1"/>
  <c r="N29" i="31" s="1"/>
  <c r="N29" i="32" s="1"/>
  <c r="M28" i="20"/>
  <c r="M28" i="21" s="1"/>
  <c r="M28" i="22" s="1"/>
  <c r="M28" i="23" s="1"/>
  <c r="M28" i="24" s="1"/>
  <c r="M28" i="25" s="1"/>
  <c r="M28" i="26" s="1"/>
  <c r="M28" i="27" s="1"/>
  <c r="M28" i="28" s="1"/>
  <c r="M28" i="29" s="1"/>
  <c r="M28" i="30" s="1"/>
  <c r="M28" i="31" s="1"/>
  <c r="M28" i="32" s="1"/>
  <c r="M24" i="20"/>
  <c r="M24" i="21" s="1"/>
  <c r="M24" i="22" s="1"/>
  <c r="M24" i="23" s="1"/>
  <c r="M24" i="24" s="1"/>
  <c r="M24" i="25" s="1"/>
  <c r="M24" i="26" s="1"/>
  <c r="M24" i="27" s="1"/>
  <c r="M24" i="28" s="1"/>
  <c r="M24" i="29" s="1"/>
  <c r="M24" i="30" s="1"/>
  <c r="M24" i="31" s="1"/>
  <c r="M24" i="32" s="1"/>
  <c r="N23" i="20"/>
  <c r="N23" i="21" s="1"/>
  <c r="N23" i="22" s="1"/>
  <c r="N23" i="23" s="1"/>
  <c r="N23" i="24" s="1"/>
  <c r="N23" i="25" s="1"/>
  <c r="N23" i="26" s="1"/>
  <c r="N23" i="27" s="1"/>
  <c r="N23" i="28" s="1"/>
  <c r="N23" i="29" s="1"/>
  <c r="N23" i="30" s="1"/>
  <c r="N23" i="31" s="1"/>
  <c r="N23" i="32" s="1"/>
  <c r="M23" i="20"/>
  <c r="M23" i="21" s="1"/>
  <c r="M23" i="22" s="1"/>
  <c r="M23" i="23" s="1"/>
  <c r="M23" i="24" s="1"/>
  <c r="M23" i="25" s="1"/>
  <c r="M23" i="26" s="1"/>
  <c r="M23" i="27" s="1"/>
  <c r="M23" i="28" s="1"/>
  <c r="M23" i="29" s="1"/>
  <c r="M23" i="30" s="1"/>
  <c r="M23" i="31" s="1"/>
  <c r="M23" i="32" s="1"/>
  <c r="AD1128" i="33"/>
  <c r="Z1129" i="33" s="1"/>
  <c r="AD558" i="33"/>
  <c r="Z559" i="33" s="1"/>
  <c r="AF24" i="23"/>
  <c r="AF24" i="24" s="1"/>
  <c r="AF24" i="25" s="1"/>
  <c r="AF24" i="26" s="1"/>
  <c r="AF24" i="27" s="1"/>
  <c r="AF24" i="28" s="1"/>
  <c r="AF24" i="29" s="1"/>
  <c r="AF24" i="30" s="1"/>
  <c r="AF24" i="31" s="1"/>
  <c r="AF24" i="32" s="1"/>
  <c r="F21" i="17"/>
  <c r="F21" i="18" s="1"/>
  <c r="F21" i="19" s="1"/>
  <c r="Z20" i="26"/>
  <c r="Z20" i="27" s="1"/>
  <c r="Z20" i="28" s="1"/>
  <c r="Z20" i="29" s="1"/>
  <c r="Z20" i="30" s="1"/>
  <c r="Z20" i="31" s="1"/>
  <c r="Z20" i="32" s="1"/>
  <c r="F22" i="17"/>
  <c r="F22" i="18" s="1"/>
  <c r="F22" i="19" s="1"/>
  <c r="Z19" i="17"/>
  <c r="Z19" i="18" s="1"/>
  <c r="Z19" i="19" s="1"/>
  <c r="Z19" i="20" s="1"/>
  <c r="Z19" i="21" s="1"/>
  <c r="Z19" i="22" s="1"/>
  <c r="Z19" i="23" s="1"/>
  <c r="Z19" i="24" s="1"/>
  <c r="Z19" i="25" s="1"/>
  <c r="T26" i="17"/>
  <c r="V26" i="17" s="1"/>
  <c r="X26" i="17" s="1"/>
  <c r="T28" i="18"/>
  <c r="V28" i="18" s="1"/>
  <c r="X28" i="18" s="1"/>
  <c r="T28" i="19" s="1"/>
  <c r="V28" i="19" s="1"/>
  <c r="X28" i="19" s="1"/>
  <c r="T28" i="20" s="1"/>
  <c r="V28" i="20" s="1"/>
  <c r="X28" i="20" s="1"/>
  <c r="T28" i="21" s="1"/>
  <c r="V28" i="21" s="1"/>
  <c r="X28" i="21" s="1"/>
  <c r="T28" i="22" s="1"/>
  <c r="V28" i="22" s="1"/>
  <c r="X28" i="22" s="1"/>
  <c r="T28" i="23" s="1"/>
  <c r="V28" i="23" s="1"/>
  <c r="X28" i="23" s="1"/>
  <c r="T28" i="24" s="1"/>
  <c r="V28" i="24" s="1"/>
  <c r="X28" i="24" s="1"/>
  <c r="T28" i="25" s="1"/>
  <c r="V28" i="25" s="1"/>
  <c r="X28" i="25" s="1"/>
  <c r="T28" i="26" s="1"/>
  <c r="V28" i="26" s="1"/>
  <c r="X28" i="26" s="1"/>
  <c r="T28" i="27" s="1"/>
  <c r="V28" i="27" s="1"/>
  <c r="X28" i="27" s="1"/>
  <c r="T28" i="28" s="1"/>
  <c r="V28" i="28" s="1"/>
  <c r="X28" i="28" s="1"/>
  <c r="T28" i="29" s="1"/>
  <c r="V28" i="29" s="1"/>
  <c r="X28" i="29" s="1"/>
  <c r="T28" i="30" s="1"/>
  <c r="V28" i="30" s="1"/>
  <c r="X28" i="30" s="1"/>
  <c r="T28" i="31" s="1"/>
  <c r="V28" i="31" s="1"/>
  <c r="X28" i="31" s="1"/>
  <c r="T28" i="32" s="1"/>
  <c r="V28" i="32" s="1"/>
  <c r="X28" i="32" s="1"/>
  <c r="C28" i="54" s="1"/>
  <c r="E28" i="54" s="1"/>
  <c r="T32" i="18"/>
  <c r="V32" i="18" s="1"/>
  <c r="X32" i="18" s="1"/>
  <c r="T32" i="19" s="1"/>
  <c r="V32" i="19" s="1"/>
  <c r="X32" i="19" s="1"/>
  <c r="T32" i="20" s="1"/>
  <c r="V32" i="20" s="1"/>
  <c r="X32" i="20" s="1"/>
  <c r="T32" i="21" s="1"/>
  <c r="V32" i="21" s="1"/>
  <c r="X32" i="21" s="1"/>
  <c r="T32" i="22" s="1"/>
  <c r="V32" i="22" s="1"/>
  <c r="X32" i="22" s="1"/>
  <c r="T32" i="23" s="1"/>
  <c r="V32" i="23" s="1"/>
  <c r="X32" i="23" s="1"/>
  <c r="T32" i="24" s="1"/>
  <c r="V32" i="24" s="1"/>
  <c r="X32" i="24" s="1"/>
  <c r="T32" i="25" s="1"/>
  <c r="V32" i="25" s="1"/>
  <c r="X32" i="25" s="1"/>
  <c r="T32" i="26" s="1"/>
  <c r="V32" i="26" s="1"/>
  <c r="X32" i="26" s="1"/>
  <c r="T32" i="27" s="1"/>
  <c r="V32" i="27" s="1"/>
  <c r="X32" i="27" s="1"/>
  <c r="T32" i="28" s="1"/>
  <c r="V32" i="28" s="1"/>
  <c r="X32" i="28" s="1"/>
  <c r="T32" i="29" s="1"/>
  <c r="V32" i="29" s="1"/>
  <c r="X32" i="29" s="1"/>
  <c r="T32" i="30" s="1"/>
  <c r="V32" i="30" s="1"/>
  <c r="X32" i="30" s="1"/>
  <c r="T32" i="31" s="1"/>
  <c r="V32" i="31" s="1"/>
  <c r="X32" i="31" s="1"/>
  <c r="T32" i="32" s="1"/>
  <c r="V32" i="32" s="1"/>
  <c r="X32" i="32" s="1"/>
  <c r="C32" i="54" s="1"/>
  <c r="E32" i="54" s="1"/>
  <c r="T30" i="18"/>
  <c r="V30" i="18" s="1"/>
  <c r="X30" i="18" s="1"/>
  <c r="T30" i="19" s="1"/>
  <c r="V30" i="19" s="1"/>
  <c r="X30" i="19" s="1"/>
  <c r="T30" i="20" s="1"/>
  <c r="V30" i="20" s="1"/>
  <c r="X30" i="20" s="1"/>
  <c r="T30" i="21" s="1"/>
  <c r="V30" i="21" s="1"/>
  <c r="X30" i="21" s="1"/>
  <c r="T30" i="22" s="1"/>
  <c r="V30" i="22" s="1"/>
  <c r="X30" i="22" s="1"/>
  <c r="T30" i="23" s="1"/>
  <c r="V30" i="23" s="1"/>
  <c r="X30" i="23" s="1"/>
  <c r="T30" i="24" s="1"/>
  <c r="V30" i="24" s="1"/>
  <c r="X30" i="24" s="1"/>
  <c r="T30" i="25" s="1"/>
  <c r="V30" i="25" s="1"/>
  <c r="X30" i="25" s="1"/>
  <c r="T30" i="26" s="1"/>
  <c r="V30" i="26" s="1"/>
  <c r="X30" i="26" s="1"/>
  <c r="T30" i="27" s="1"/>
  <c r="V30" i="27" s="1"/>
  <c r="X30" i="27" s="1"/>
  <c r="T30" i="28" s="1"/>
  <c r="V30" i="28" s="1"/>
  <c r="X30" i="28" s="1"/>
  <c r="T30" i="29" s="1"/>
  <c r="V30" i="29" s="1"/>
  <c r="X30" i="29" s="1"/>
  <c r="T30" i="30" s="1"/>
  <c r="V30" i="30" s="1"/>
  <c r="X30" i="30" s="1"/>
  <c r="T30" i="31" s="1"/>
  <c r="V30" i="31" s="1"/>
  <c r="X30" i="31" s="1"/>
  <c r="T30" i="32" s="1"/>
  <c r="V30" i="32" s="1"/>
  <c r="X30" i="32" s="1"/>
  <c r="C30" i="54" s="1"/>
  <c r="E30" i="54" s="1"/>
  <c r="T31" i="18"/>
  <c r="V31" i="18" s="1"/>
  <c r="X31" i="18" s="1"/>
  <c r="T31" i="19" s="1"/>
  <c r="V31" i="19" s="1"/>
  <c r="X31" i="19" s="1"/>
  <c r="T31" i="20" s="1"/>
  <c r="V31" i="20" s="1"/>
  <c r="X31" i="20" s="1"/>
  <c r="T31" i="21" s="1"/>
  <c r="V31" i="21" s="1"/>
  <c r="X31" i="21" s="1"/>
  <c r="T31" i="22" s="1"/>
  <c r="V31" i="22" s="1"/>
  <c r="X31" i="22" s="1"/>
  <c r="T31" i="23" s="1"/>
  <c r="V31" i="23" s="1"/>
  <c r="X31" i="23" s="1"/>
  <c r="T31" i="24" s="1"/>
  <c r="V31" i="24" s="1"/>
  <c r="X31" i="24" s="1"/>
  <c r="T31" i="25" s="1"/>
  <c r="V31" i="25" s="1"/>
  <c r="X31" i="25" s="1"/>
  <c r="T31" i="26" s="1"/>
  <c r="V31" i="26" s="1"/>
  <c r="X31" i="26" s="1"/>
  <c r="T31" i="27" s="1"/>
  <c r="V31" i="27" s="1"/>
  <c r="X31" i="27" s="1"/>
  <c r="T31" i="28" s="1"/>
  <c r="V31" i="28" s="1"/>
  <c r="X31" i="28" s="1"/>
  <c r="T31" i="29" s="1"/>
  <c r="V31" i="29" s="1"/>
  <c r="X31" i="29" s="1"/>
  <c r="T31" i="30" s="1"/>
  <c r="V31" i="30" s="1"/>
  <c r="X31" i="30" s="1"/>
  <c r="T31" i="31" s="1"/>
  <c r="V31" i="31" s="1"/>
  <c r="X31" i="31" s="1"/>
  <c r="T31" i="32" s="1"/>
  <c r="V31" i="32" s="1"/>
  <c r="X31" i="32" s="1"/>
  <c r="C31" i="54" s="1"/>
  <c r="E31" i="54" s="1"/>
  <c r="T24" i="17"/>
  <c r="V24" i="17" s="1"/>
  <c r="X24" i="17" s="1"/>
  <c r="T9" i="18"/>
  <c r="V9" i="18" s="1"/>
  <c r="X9" i="18" s="1"/>
  <c r="T9" i="19" s="1"/>
  <c r="V9" i="19" s="1"/>
  <c r="X9" i="19" s="1"/>
  <c r="T9" i="20" s="1"/>
  <c r="V9" i="20" s="1"/>
  <c r="X9" i="20" s="1"/>
  <c r="T9" i="21" s="1"/>
  <c r="V9" i="21" s="1"/>
  <c r="X9" i="21" s="1"/>
  <c r="T9" i="22" s="1"/>
  <c r="V9" i="22" s="1"/>
  <c r="X9" i="22" s="1"/>
  <c r="T9" i="23" s="1"/>
  <c r="V9" i="23" s="1"/>
  <c r="X9" i="23" s="1"/>
  <c r="T9" i="24" s="1"/>
  <c r="V9" i="24" s="1"/>
  <c r="X9" i="24" s="1"/>
  <c r="T9" i="25" s="1"/>
  <c r="V9" i="25" s="1"/>
  <c r="X9" i="25" s="1"/>
  <c r="T9" i="26" s="1"/>
  <c r="V9" i="26" s="1"/>
  <c r="X9" i="26" s="1"/>
  <c r="T9" i="27" s="1"/>
  <c r="V9" i="27" s="1"/>
  <c r="X9" i="27" s="1"/>
  <c r="T9" i="28" s="1"/>
  <c r="V9" i="28" s="1"/>
  <c r="X9" i="28" s="1"/>
  <c r="T9" i="29" s="1"/>
  <c r="V9" i="29" s="1"/>
  <c r="X9" i="29" s="1"/>
  <c r="T9" i="30" s="1"/>
  <c r="V9" i="30" s="1"/>
  <c r="X9" i="30" s="1"/>
  <c r="T9" i="31" s="1"/>
  <c r="V9" i="31" s="1"/>
  <c r="X9" i="31" s="1"/>
  <c r="T9" i="32" s="1"/>
  <c r="V9" i="32" s="1"/>
  <c r="X9" i="32" s="1"/>
  <c r="C9" i="54" s="1"/>
  <c r="E9" i="54" s="1"/>
  <c r="T27" i="18"/>
  <c r="V27" i="18" s="1"/>
  <c r="X27" i="18" s="1"/>
  <c r="T27" i="19" s="1"/>
  <c r="V27" i="19" s="1"/>
  <c r="X27" i="19" s="1"/>
  <c r="T27" i="20" s="1"/>
  <c r="V27" i="20" s="1"/>
  <c r="X27" i="20" s="1"/>
  <c r="T27" i="21" s="1"/>
  <c r="V27" i="21" s="1"/>
  <c r="X27" i="21" s="1"/>
  <c r="T27" i="22" s="1"/>
  <c r="V27" i="22" s="1"/>
  <c r="X27" i="22" s="1"/>
  <c r="T27" i="23" s="1"/>
  <c r="V27" i="23" s="1"/>
  <c r="X27" i="23" s="1"/>
  <c r="T27" i="24" s="1"/>
  <c r="V27" i="24" s="1"/>
  <c r="X27" i="24" s="1"/>
  <c r="T27" i="25" s="1"/>
  <c r="V27" i="25" s="1"/>
  <c r="X27" i="25" s="1"/>
  <c r="T27" i="26" s="1"/>
  <c r="V27" i="26" s="1"/>
  <c r="X27" i="26" s="1"/>
  <c r="T27" i="27" s="1"/>
  <c r="V27" i="27" s="1"/>
  <c r="X27" i="27" s="1"/>
  <c r="T27" i="28" s="1"/>
  <c r="V27" i="28" s="1"/>
  <c r="X27" i="28" s="1"/>
  <c r="T27" i="29" s="1"/>
  <c r="V27" i="29" s="1"/>
  <c r="X27" i="29" s="1"/>
  <c r="T27" i="30" s="1"/>
  <c r="V27" i="30" s="1"/>
  <c r="X27" i="30" s="1"/>
  <c r="T27" i="31" s="1"/>
  <c r="V27" i="31" s="1"/>
  <c r="X27" i="31" s="1"/>
  <c r="T27" i="32" s="1"/>
  <c r="T25" i="17"/>
  <c r="V25" i="17" s="1"/>
  <c r="X25" i="17" s="1"/>
  <c r="T20" i="17"/>
  <c r="V20" i="17" s="1"/>
  <c r="X20" i="17" s="1"/>
  <c r="T23" i="17"/>
  <c r="V23" i="17" s="1"/>
  <c r="X23" i="17" s="1"/>
  <c r="T22" i="17"/>
  <c r="V22" i="17" s="1"/>
  <c r="X22" i="17" s="1"/>
  <c r="T19" i="17"/>
  <c r="V19" i="17" s="1"/>
  <c r="X19" i="17" s="1"/>
  <c r="AD1181" i="33"/>
  <c r="I38" i="19"/>
  <c r="N40" i="19"/>
  <c r="M37" i="19"/>
  <c r="M36" i="19"/>
  <c r="M43" i="19"/>
  <c r="N41" i="19"/>
  <c r="M32" i="19"/>
  <c r="N36" i="19"/>
  <c r="N45" i="19"/>
  <c r="N32" i="19"/>
  <c r="M42" i="19"/>
  <c r="M41" i="19"/>
  <c r="M40" i="19"/>
  <c r="N38" i="19"/>
  <c r="N39" i="19"/>
  <c r="N43" i="19"/>
  <c r="M38" i="9"/>
  <c r="M38" i="37" s="1"/>
  <c r="M38" i="11" s="1"/>
  <c r="M38" i="12" s="1"/>
  <c r="M38" i="13" s="1"/>
  <c r="M38" i="14" s="1"/>
  <c r="M38" i="15" s="1"/>
  <c r="M38" i="16" s="1"/>
  <c r="M38" i="17" s="1"/>
  <c r="M38" i="18" s="1"/>
  <c r="N37" i="19"/>
  <c r="N42" i="19"/>
  <c r="M45" i="19"/>
  <c r="N44" i="19"/>
  <c r="M44" i="19"/>
  <c r="N35" i="19"/>
  <c r="M34" i="19"/>
  <c r="N34" i="19"/>
  <c r="N33" i="19"/>
  <c r="M33" i="19"/>
  <c r="M30" i="9"/>
  <c r="M30" i="37" s="1"/>
  <c r="M30" i="11" s="1"/>
  <c r="M30" i="12" s="1"/>
  <c r="M30" i="13" s="1"/>
  <c r="M30" i="14" s="1"/>
  <c r="M30" i="15" s="1"/>
  <c r="M30" i="16" s="1"/>
  <c r="M30" i="17" s="1"/>
  <c r="M30" i="18" s="1"/>
  <c r="M30" i="19" s="1"/>
  <c r="AA328" i="33"/>
  <c r="I16" i="3" s="1"/>
  <c r="H16" i="3"/>
  <c r="AD287" i="33"/>
  <c r="I15" i="3"/>
  <c r="H12" i="3"/>
  <c r="AA170" i="33"/>
  <c r="AG22" i="24"/>
  <c r="AG22" i="25" s="1"/>
  <c r="AG22" i="26" s="1"/>
  <c r="AG22" i="27" s="1"/>
  <c r="AG22" i="28" s="1"/>
  <c r="AG22" i="29" s="1"/>
  <c r="AG22" i="30" s="1"/>
  <c r="AG22" i="31" s="1"/>
  <c r="AG22" i="32" s="1"/>
  <c r="AH22" i="23"/>
  <c r="AA25" i="23"/>
  <c r="AC25" i="23" s="1"/>
  <c r="AE25" i="23" s="1"/>
  <c r="AA25" i="24" s="1"/>
  <c r="AC25" i="24" s="1"/>
  <c r="AE25" i="24" s="1"/>
  <c r="AA25" i="25" s="1"/>
  <c r="AC25" i="25" s="1"/>
  <c r="AE25" i="25" s="1"/>
  <c r="AA25" i="26" s="1"/>
  <c r="AC25" i="26" s="1"/>
  <c r="AE25" i="26" s="1"/>
  <c r="AA25" i="27" s="1"/>
  <c r="AC25" i="27" s="1"/>
  <c r="AE25" i="27" s="1"/>
  <c r="AA25" i="28" s="1"/>
  <c r="AC25" i="28" s="1"/>
  <c r="AE25" i="28" s="1"/>
  <c r="AA25" i="29" s="1"/>
  <c r="AC25" i="29" s="1"/>
  <c r="AE25" i="29" s="1"/>
  <c r="AA25" i="30" s="1"/>
  <c r="AC25" i="30" s="1"/>
  <c r="AE25" i="30" s="1"/>
  <c r="AA25" i="31" s="1"/>
  <c r="AC25" i="31" s="1"/>
  <c r="AE25" i="31" s="1"/>
  <c r="AA25" i="32" s="1"/>
  <c r="AC25" i="32" s="1"/>
  <c r="AE25" i="32" s="1"/>
  <c r="AG24" i="23"/>
  <c r="AG24" i="24" s="1"/>
  <c r="AG24" i="25" s="1"/>
  <c r="AG24" i="26" s="1"/>
  <c r="AG24" i="27" s="1"/>
  <c r="AG24" i="28" s="1"/>
  <c r="AG24" i="29" s="1"/>
  <c r="AG24" i="30" s="1"/>
  <c r="AG24" i="31" s="1"/>
  <c r="AG24" i="32" s="1"/>
  <c r="AA24" i="20"/>
  <c r="AC24" i="20" s="1"/>
  <c r="AE24" i="20" s="1"/>
  <c r="AA24" i="21" s="1"/>
  <c r="AC24" i="21" s="1"/>
  <c r="AE24" i="21" s="1"/>
  <c r="AA24" i="22" s="1"/>
  <c r="AC24" i="22" s="1"/>
  <c r="AE24" i="22" s="1"/>
  <c r="AF19" i="29"/>
  <c r="AF19" i="30" s="1"/>
  <c r="AF19" i="31" s="1"/>
  <c r="AF19" i="32" s="1"/>
  <c r="AA23" i="23"/>
  <c r="AC23" i="23" s="1"/>
  <c r="AE23" i="23" s="1"/>
  <c r="AA23" i="24" s="1"/>
  <c r="AC23" i="24" s="1"/>
  <c r="AE23" i="24" s="1"/>
  <c r="AA23" i="25" s="1"/>
  <c r="AC23" i="25" s="1"/>
  <c r="AE23" i="25" s="1"/>
  <c r="AA23" i="26" s="1"/>
  <c r="AC23" i="26" s="1"/>
  <c r="AE23" i="26" s="1"/>
  <c r="AA23" i="27" s="1"/>
  <c r="AC23" i="27" s="1"/>
  <c r="AE23" i="27" s="1"/>
  <c r="AA23" i="28" s="1"/>
  <c r="AC23" i="28" s="1"/>
  <c r="AE23" i="28" s="1"/>
  <c r="AA22" i="20"/>
  <c r="AC22" i="20" s="1"/>
  <c r="AE22" i="20" s="1"/>
  <c r="AA22" i="21" s="1"/>
  <c r="AC22" i="21" s="1"/>
  <c r="AE22" i="21" s="1"/>
  <c r="AA22" i="22" s="1"/>
  <c r="AC22" i="22" s="1"/>
  <c r="AE22" i="22" s="1"/>
  <c r="AA22" i="23" s="1"/>
  <c r="AC22" i="23" s="1"/>
  <c r="AE22" i="23" s="1"/>
  <c r="AA22" i="24" s="1"/>
  <c r="AC22" i="24" s="1"/>
  <c r="AE22" i="24" s="1"/>
  <c r="AA22" i="25" s="1"/>
  <c r="AC22" i="25" s="1"/>
  <c r="AE22" i="25" s="1"/>
  <c r="AA22" i="26" s="1"/>
  <c r="AC22" i="26" s="1"/>
  <c r="AE22" i="26" s="1"/>
  <c r="AA22" i="27" s="1"/>
  <c r="AC22" i="27" s="1"/>
  <c r="AE22" i="27" s="1"/>
  <c r="AA22" i="28" s="1"/>
  <c r="AC22" i="28" s="1"/>
  <c r="AE22" i="28" s="1"/>
  <c r="T21" i="16"/>
  <c r="V21" i="16" s="1"/>
  <c r="X21" i="16" s="1"/>
  <c r="V10" i="19"/>
  <c r="X10" i="19" s="1"/>
  <c r="T10" i="20" s="1"/>
  <c r="V10" i="20" s="1"/>
  <c r="X10" i="20" s="1"/>
  <c r="T10" i="21" s="1"/>
  <c r="V10" i="21" s="1"/>
  <c r="X10" i="21" s="1"/>
  <c r="T10" i="22" s="1"/>
  <c r="V10" i="22" s="1"/>
  <c r="X10" i="22" s="1"/>
  <c r="T10" i="23" s="1"/>
  <c r="V10" i="23" s="1"/>
  <c r="X10" i="23" s="1"/>
  <c r="T10" i="24" s="1"/>
  <c r="V10" i="24" s="1"/>
  <c r="X10" i="24" s="1"/>
  <c r="T10" i="25" s="1"/>
  <c r="V10" i="25" s="1"/>
  <c r="X10" i="25" s="1"/>
  <c r="T10" i="26" s="1"/>
  <c r="V10" i="26" s="1"/>
  <c r="X10" i="26" s="1"/>
  <c r="T10" i="27" s="1"/>
  <c r="V10" i="27" s="1"/>
  <c r="X10" i="27" s="1"/>
  <c r="T10" i="28" s="1"/>
  <c r="V10" i="28" s="1"/>
  <c r="T18" i="19"/>
  <c r="V18" i="19" s="1"/>
  <c r="X18" i="19" s="1"/>
  <c r="T18" i="20" s="1"/>
  <c r="V18" i="20" s="1"/>
  <c r="X18" i="20" s="1"/>
  <c r="T18" i="21" s="1"/>
  <c r="V18" i="21" s="1"/>
  <c r="X18" i="21" s="1"/>
  <c r="T18" i="22" s="1"/>
  <c r="V18" i="22" s="1"/>
  <c r="X18" i="22" s="1"/>
  <c r="T18" i="23" s="1"/>
  <c r="V18" i="23" s="1"/>
  <c r="X18" i="23" s="1"/>
  <c r="T18" i="24" s="1"/>
  <c r="V18" i="24" s="1"/>
  <c r="X18" i="24" s="1"/>
  <c r="T18" i="25" s="1"/>
  <c r="V18" i="25" s="1"/>
  <c r="X18" i="25" s="1"/>
  <c r="T18" i="26" s="1"/>
  <c r="V18" i="26" s="1"/>
  <c r="X18" i="26" s="1"/>
  <c r="T18" i="27" s="1"/>
  <c r="V18" i="27" s="1"/>
  <c r="X18" i="27" s="1"/>
  <c r="T18" i="28" s="1"/>
  <c r="V18" i="28" s="1"/>
  <c r="X18" i="28" s="1"/>
  <c r="T18" i="29" s="1"/>
  <c r="V18" i="29" s="1"/>
  <c r="X18" i="29" s="1"/>
  <c r="T18" i="30" s="1"/>
  <c r="V18" i="30" s="1"/>
  <c r="X18" i="30" s="1"/>
  <c r="T18" i="31" s="1"/>
  <c r="V18" i="31" s="1"/>
  <c r="X18" i="31" s="1"/>
  <c r="AA20" i="26"/>
  <c r="AC20" i="26" s="1"/>
  <c r="AE20" i="26" s="1"/>
  <c r="AA20" i="27" s="1"/>
  <c r="AC20" i="27" s="1"/>
  <c r="AE20" i="27" s="1"/>
  <c r="AA20" i="28" s="1"/>
  <c r="AC20" i="28" s="1"/>
  <c r="AE20" i="28" s="1"/>
  <c r="AA20" i="29" s="1"/>
  <c r="AC20" i="29" s="1"/>
  <c r="AE20" i="29" s="1"/>
  <c r="AA20" i="30" s="1"/>
  <c r="AC20" i="30" s="1"/>
  <c r="AE20" i="30" s="1"/>
  <c r="AA20" i="31" s="1"/>
  <c r="AC20" i="31" s="1"/>
  <c r="AE20" i="31" s="1"/>
  <c r="AA20" i="32" s="1"/>
  <c r="AC20" i="32" s="1"/>
  <c r="AE20" i="32" s="1"/>
  <c r="AA19" i="23"/>
  <c r="AC19" i="23" s="1"/>
  <c r="AE19" i="23" s="1"/>
  <c r="AA19" i="24" s="1"/>
  <c r="AC19" i="24" s="1"/>
  <c r="AE19" i="24" s="1"/>
  <c r="AA19" i="25" s="1"/>
  <c r="AC19" i="25" s="1"/>
  <c r="AE19" i="25" s="1"/>
  <c r="M35" i="17"/>
  <c r="M35" i="18" s="1"/>
  <c r="M39" i="13"/>
  <c r="M39" i="14" s="1"/>
  <c r="M39" i="15" s="1"/>
  <c r="M39" i="16" s="1"/>
  <c r="AC8" i="22"/>
  <c r="AE8" i="22" s="1"/>
  <c r="AA8" i="23" s="1"/>
  <c r="AC8" i="23" s="1"/>
  <c r="AE8" i="23" s="1"/>
  <c r="AA8" i="24" s="1"/>
  <c r="AC8" i="24" s="1"/>
  <c r="AE8" i="24" s="1"/>
  <c r="AA8" i="25" s="1"/>
  <c r="AC8" i="25" s="1"/>
  <c r="AE8" i="25" s="1"/>
  <c r="AA8" i="26" s="1"/>
  <c r="AC8" i="26" s="1"/>
  <c r="AE8" i="26" s="1"/>
  <c r="AA8" i="27" s="1"/>
  <c r="AC8" i="27" s="1"/>
  <c r="AE8" i="27" s="1"/>
  <c r="AA8" i="28" s="1"/>
  <c r="AC8" i="28" s="1"/>
  <c r="AE8" i="28" s="1"/>
  <c r="AA8" i="29" s="1"/>
  <c r="AC8" i="29" s="1"/>
  <c r="AE8" i="29" s="1"/>
  <c r="AA8" i="30" s="1"/>
  <c r="AC8" i="30" s="1"/>
  <c r="AE8" i="30" s="1"/>
  <c r="AA8" i="31" s="1"/>
  <c r="AC8" i="31" s="1"/>
  <c r="AE8" i="31" s="1"/>
  <c r="AA8" i="32" s="1"/>
  <c r="AC8" i="32" s="1"/>
  <c r="AE8" i="32" s="1"/>
  <c r="AI55" i="9"/>
  <c r="AI49" i="37" s="1"/>
  <c r="AI53" i="37" s="1"/>
  <c r="AI55" i="37" s="1"/>
  <c r="AI49" i="11" s="1"/>
  <c r="AI53" i="11" s="1"/>
  <c r="AI55" i="11" s="1"/>
  <c r="AE55" i="9"/>
  <c r="AE49" i="37" s="1"/>
  <c r="AE53" i="37" s="1"/>
  <c r="AE55" i="37" s="1"/>
  <c r="AE49" i="11" s="1"/>
  <c r="AE53" i="11" s="1"/>
  <c r="AE55" i="11" s="1"/>
  <c r="AD55" i="9"/>
  <c r="AD49" i="37" s="1"/>
  <c r="AD53" i="37" s="1"/>
  <c r="AD55" i="37" s="1"/>
  <c r="AD49" i="11" s="1"/>
  <c r="AD53" i="11" s="1"/>
  <c r="AD55" i="11" s="1"/>
  <c r="AC49" i="11"/>
  <c r="AC53" i="11" s="1"/>
  <c r="AC55" i="11" s="1"/>
  <c r="AG55" i="9"/>
  <c r="AG49" i="37" s="1"/>
  <c r="AG53" i="37" s="1"/>
  <c r="AG55" i="37" s="1"/>
  <c r="AG49" i="11" s="1"/>
  <c r="AG53" i="11" s="1"/>
  <c r="AG55" i="11" s="1"/>
  <c r="AH55" i="9"/>
  <c r="AH49" i="37" s="1"/>
  <c r="AH53" i="37" s="1"/>
  <c r="AH55" i="37" s="1"/>
  <c r="AH49" i="11" s="1"/>
  <c r="AH53" i="11" s="1"/>
  <c r="AH55" i="11" s="1"/>
  <c r="Y55" i="9"/>
  <c r="Y49" i="37" s="1"/>
  <c r="Y53" i="37" s="1"/>
  <c r="Y55" i="37" s="1"/>
  <c r="Y49" i="11" s="1"/>
  <c r="Y53" i="11" s="1"/>
  <c r="Y55" i="11" s="1"/>
  <c r="W55" i="9"/>
  <c r="W49" i="37" s="1"/>
  <c r="W53" i="37" s="1"/>
  <c r="W55" i="37" s="1"/>
  <c r="W49" i="11" s="1"/>
  <c r="W53" i="11" s="1"/>
  <c r="W55" i="11" s="1"/>
  <c r="X55" i="9"/>
  <c r="X49" i="37" s="1"/>
  <c r="X53" i="37" s="1"/>
  <c r="X55" i="37" s="1"/>
  <c r="X49" i="11" s="1"/>
  <c r="X53" i="11" s="1"/>
  <c r="X55" i="11" s="1"/>
  <c r="V55" i="9"/>
  <c r="V49" i="37" s="1"/>
  <c r="V53" i="37" s="1"/>
  <c r="V55" i="37" s="1"/>
  <c r="V49" i="11" s="1"/>
  <c r="V53" i="11" s="1"/>
  <c r="V55" i="11" s="1"/>
  <c r="AF49" i="11"/>
  <c r="AF53" i="11" s="1"/>
  <c r="AF55" i="11" s="1"/>
  <c r="Z55" i="9"/>
  <c r="Z49" i="37" s="1"/>
  <c r="Z53" i="37" s="1"/>
  <c r="Z55" i="37" s="1"/>
  <c r="Z49" i="11" s="1"/>
  <c r="Z53" i="11" s="1"/>
  <c r="Z55" i="11" s="1"/>
  <c r="U55" i="9"/>
  <c r="U49" i="37" s="1"/>
  <c r="U53" i="37" s="1"/>
  <c r="U55" i="37" s="1"/>
  <c r="U49" i="11" s="1"/>
  <c r="U53" i="11" s="1"/>
  <c r="U55" i="11" s="1"/>
  <c r="AB49" i="5"/>
  <c r="AB53" i="5" s="1"/>
  <c r="AB55" i="5" s="1"/>
  <c r="AB49" i="6" s="1"/>
  <c r="AB53" i="6" s="1"/>
  <c r="A182" i="33"/>
  <c r="A183" i="33" s="1"/>
  <c r="A184" i="33" s="1"/>
  <c r="A185" i="33" s="1"/>
  <c r="A186" i="33" s="1"/>
  <c r="A187" i="33" s="1"/>
  <c r="A188" i="33" s="1"/>
  <c r="A189" i="33" s="1"/>
  <c r="A190" i="33" s="1"/>
  <c r="A191" i="33" s="1"/>
  <c r="A192" i="33" s="1"/>
  <c r="A193" i="33" s="1"/>
  <c r="A194" i="33" s="1"/>
  <c r="A195" i="33" s="1"/>
  <c r="A196" i="33" s="1"/>
  <c r="A197" i="33" s="1"/>
  <c r="A198" i="33" s="1"/>
  <c r="A199" i="33" s="1"/>
  <c r="AA33" i="3"/>
  <c r="AC33" i="3" s="1"/>
  <c r="AE33" i="3" s="1"/>
  <c r="AA33" i="4" s="1"/>
  <c r="L46" i="2"/>
  <c r="AA32" i="15"/>
  <c r="AC32" i="15" s="1"/>
  <c r="AE32" i="15" s="1"/>
  <c r="AA32" i="16" s="1"/>
  <c r="AC32" i="16" s="1"/>
  <c r="AE32" i="16" s="1"/>
  <c r="AA32" i="17" s="1"/>
  <c r="AC32" i="17" s="1"/>
  <c r="AE32" i="17" s="1"/>
  <c r="AA32" i="18" s="1"/>
  <c r="AC32" i="18" s="1"/>
  <c r="AE32" i="18" s="1"/>
  <c r="AA32" i="19" s="1"/>
  <c r="AC32" i="19" s="1"/>
  <c r="AE32" i="19" s="1"/>
  <c r="AA32" i="20" s="1"/>
  <c r="AC32" i="20" s="1"/>
  <c r="AE32" i="20" s="1"/>
  <c r="AA32" i="21" s="1"/>
  <c r="AC32" i="21" s="1"/>
  <c r="AE32" i="21" s="1"/>
  <c r="AA32" i="22" s="1"/>
  <c r="AC32" i="22" s="1"/>
  <c r="AE32" i="22" s="1"/>
  <c r="AA32" i="23" s="1"/>
  <c r="AC32" i="23" s="1"/>
  <c r="AE32" i="23" s="1"/>
  <c r="AA32" i="24" s="1"/>
  <c r="AC32" i="24" s="1"/>
  <c r="AE32" i="24" s="1"/>
  <c r="AA32" i="25" s="1"/>
  <c r="AC32" i="25" s="1"/>
  <c r="AE32" i="25" s="1"/>
  <c r="AA32" i="26" s="1"/>
  <c r="AC32" i="26" s="1"/>
  <c r="AE32" i="26" s="1"/>
  <c r="AA32" i="27" s="1"/>
  <c r="AC32" i="27" s="1"/>
  <c r="AE32" i="27" s="1"/>
  <c r="AA32" i="28" s="1"/>
  <c r="AC32" i="28" s="1"/>
  <c r="AE32" i="28" s="1"/>
  <c r="AA32" i="29" s="1"/>
  <c r="AC32" i="29" s="1"/>
  <c r="AE32" i="29" s="1"/>
  <c r="AA32" i="30" s="1"/>
  <c r="AC32" i="30" s="1"/>
  <c r="AE32" i="30" s="1"/>
  <c r="AA32" i="31" s="1"/>
  <c r="AC32" i="31" s="1"/>
  <c r="AE32" i="31" s="1"/>
  <c r="AA32" i="32" s="1"/>
  <c r="AC32" i="32" s="1"/>
  <c r="AE32" i="32" s="1"/>
  <c r="H10" i="3"/>
  <c r="AD483" i="33"/>
  <c r="L20" i="3" s="1"/>
  <c r="AA55" i="33"/>
  <c r="I9" i="3" s="1"/>
  <c r="AD1090" i="33"/>
  <c r="L36" i="3" s="1"/>
  <c r="G47" i="4"/>
  <c r="G48" i="4" s="1"/>
  <c r="N48" i="3"/>
  <c r="AA447" i="33"/>
  <c r="I19" i="3" s="1"/>
  <c r="Z709" i="33"/>
  <c r="H26" i="4" s="1"/>
  <c r="Q38" i="4"/>
  <c r="AB45" i="6"/>
  <c r="AB44" i="7" s="1"/>
  <c r="AB45" i="7" s="1"/>
  <c r="AB44" i="8" s="1"/>
  <c r="AB45" i="8" s="1"/>
  <c r="AB44" i="9" s="1"/>
  <c r="AB45" i="9" s="1"/>
  <c r="AB44" i="37" s="1"/>
  <c r="AB45" i="37" s="1"/>
  <c r="AB44" i="11" s="1"/>
  <c r="AB45" i="11" s="1"/>
  <c r="AB44" i="12" s="1"/>
  <c r="AB45" i="12" s="1"/>
  <c r="AB44" i="13" s="1"/>
  <c r="AB45" i="13" s="1"/>
  <c r="AB44" i="14" s="1"/>
  <c r="AB45" i="14" s="1"/>
  <c r="AB44" i="15" s="1"/>
  <c r="AB45" i="15" s="1"/>
  <c r="AB44" i="16" s="1"/>
  <c r="AB45" i="16" s="1"/>
  <c r="AB44" i="17" s="1"/>
  <c r="AB45" i="17" s="1"/>
  <c r="AB44" i="18" s="1"/>
  <c r="AB45" i="18" s="1"/>
  <c r="AB44" i="19" s="1"/>
  <c r="AB45" i="19" s="1"/>
  <c r="AB44" i="20" s="1"/>
  <c r="AB45" i="20" s="1"/>
  <c r="AB44" i="21" s="1"/>
  <c r="AB45" i="21" s="1"/>
  <c r="AB44" i="22" s="1"/>
  <c r="AB45" i="22" s="1"/>
  <c r="AB44" i="23" s="1"/>
  <c r="AB45" i="23" s="1"/>
  <c r="AB44" i="24" s="1"/>
  <c r="AB45" i="24" s="1"/>
  <c r="AB44" i="25" s="1"/>
  <c r="AB45" i="25" s="1"/>
  <c r="AB44" i="26" s="1"/>
  <c r="AB45" i="26" s="1"/>
  <c r="AB44" i="27" s="1"/>
  <c r="AB45" i="27" s="1"/>
  <c r="AB44" i="28" s="1"/>
  <c r="AB45" i="28" s="1"/>
  <c r="AB44" i="29" s="1"/>
  <c r="AB45" i="29" s="1"/>
  <c r="AB44" i="30" s="1"/>
  <c r="AB45" i="30" s="1"/>
  <c r="AB44" i="31" s="1"/>
  <c r="AB45" i="31" s="1"/>
  <c r="AB44" i="32" s="1"/>
  <c r="AB45" i="32" s="1"/>
  <c r="AJ25" i="6"/>
  <c r="AD976" i="33"/>
  <c r="L33" i="3" s="1"/>
  <c r="Z861" i="33"/>
  <c r="H30" i="4" s="1"/>
  <c r="AD784" i="33"/>
  <c r="L28" i="3" s="1"/>
  <c r="AD670" i="33"/>
  <c r="AD822" i="33"/>
  <c r="L29" i="3" s="1"/>
  <c r="AD938" i="33"/>
  <c r="L32" i="3" s="1"/>
  <c r="Z1015" i="33"/>
  <c r="H34" i="4" s="1"/>
  <c r="A286" i="33"/>
  <c r="A247" i="33"/>
  <c r="A248" i="33" s="1"/>
  <c r="A249" i="33" s="1"/>
  <c r="A250" i="33" s="1"/>
  <c r="A251" i="33" s="1"/>
  <c r="A252" i="33" s="1"/>
  <c r="A253" i="33" s="1"/>
  <c r="A254" i="33" s="1"/>
  <c r="A255" i="33" s="1"/>
  <c r="A256" i="33" s="1"/>
  <c r="A257" i="33" s="1"/>
  <c r="A258" i="33" s="1"/>
  <c r="A259" i="33" s="1"/>
  <c r="A260" i="33" s="1"/>
  <c r="A261" i="33" s="1"/>
  <c r="A262" i="33" s="1"/>
  <c r="A263" i="33" s="1"/>
  <c r="A264" i="33" s="1"/>
  <c r="A265" i="33" s="1"/>
  <c r="AG8" i="7"/>
  <c r="AG43" i="6"/>
  <c r="AD1052" i="33"/>
  <c r="AD594" i="33"/>
  <c r="L23" i="3" s="1"/>
  <c r="C48" i="6"/>
  <c r="D48" i="6" s="1"/>
  <c r="Q38" i="5"/>
  <c r="AD370" i="33"/>
  <c r="L17" i="3" s="1"/>
  <c r="Q36" i="3"/>
  <c r="Q37" i="3" s="1"/>
  <c r="J47" i="4"/>
  <c r="J48" i="4" s="1"/>
  <c r="Q41" i="2"/>
  <c r="Q43" i="4"/>
  <c r="Q45" i="4" s="1"/>
  <c r="Q48" i="4" s="1"/>
  <c r="Q40" i="3"/>
  <c r="N59" i="3"/>
  <c r="AA247" i="33"/>
  <c r="I14" i="3" s="1"/>
  <c r="AD132" i="33"/>
  <c r="L11" i="3" s="1"/>
  <c r="I10" i="3"/>
  <c r="AD93" i="33"/>
  <c r="A6" i="7"/>
  <c r="S6" i="7" s="1"/>
  <c r="A14" i="56"/>
  <c r="A976" i="33"/>
  <c r="A977" i="33" s="1"/>
  <c r="A978" i="33" s="1"/>
  <c r="A979" i="33" s="1"/>
  <c r="A980" i="33" s="1"/>
  <c r="A981" i="33" s="1"/>
  <c r="A982" i="33" s="1"/>
  <c r="A983" i="33" s="1"/>
  <c r="A984" i="33" s="1"/>
  <c r="A985" i="33" s="1"/>
  <c r="A986" i="33" s="1"/>
  <c r="A987" i="33" s="1"/>
  <c r="A988" i="33" s="1"/>
  <c r="A989" i="33" s="1"/>
  <c r="A990" i="33" s="1"/>
  <c r="A991" i="33" s="1"/>
  <c r="A992" i="33" s="1"/>
  <c r="A993" i="33" s="1"/>
  <c r="A994" i="33" s="1"/>
  <c r="A995" i="33" s="1"/>
  <c r="A996" i="33" s="1"/>
  <c r="A997" i="33" s="1"/>
  <c r="A998" i="33" s="1"/>
  <c r="A999" i="33" s="1"/>
  <c r="A1000" i="33" s="1"/>
  <c r="A1001" i="33" s="1"/>
  <c r="A1002" i="33" s="1"/>
  <c r="A1003" i="33" s="1"/>
  <c r="A1004" i="33" s="1"/>
  <c r="A1005" i="33" s="1"/>
  <c r="A1013" i="33"/>
  <c r="AD9" i="33"/>
  <c r="I8" i="3"/>
  <c r="AA211" i="33"/>
  <c r="I13" i="4" s="1"/>
  <c r="AF33" i="5"/>
  <c r="AF43" i="4"/>
  <c r="N10" i="7"/>
  <c r="N46" i="6"/>
  <c r="A25" i="33"/>
  <c r="A70" i="33"/>
  <c r="Z410" i="33"/>
  <c r="H18" i="4" s="1"/>
  <c r="M8" i="6"/>
  <c r="M46" i="5"/>
  <c r="AF32" i="7"/>
  <c r="AG31" i="11"/>
  <c r="N8" i="9"/>
  <c r="AJ21" i="8"/>
  <c r="AJ23" i="8" s="1"/>
  <c r="AJ25" i="7"/>
  <c r="AC9" i="5"/>
  <c r="AE9" i="5" s="1"/>
  <c r="AF10" i="37"/>
  <c r="AA10" i="8"/>
  <c r="AJ8" i="11"/>
  <c r="AJ10" i="11" s="1"/>
  <c r="AA22" i="29" l="1"/>
  <c r="AC22" i="29" s="1"/>
  <c r="AE22" i="29" s="1"/>
  <c r="AA22" i="30" s="1"/>
  <c r="AC22" i="30" s="1"/>
  <c r="AE22" i="30" s="1"/>
  <c r="AA22" i="31" s="1"/>
  <c r="AC22" i="31" s="1"/>
  <c r="AE22" i="31" s="1"/>
  <c r="AA22" i="32" s="1"/>
  <c r="AC22" i="32" s="1"/>
  <c r="AE22" i="32" s="1"/>
  <c r="AA23" i="29"/>
  <c r="AC23" i="29" s="1"/>
  <c r="AE23" i="29" s="1"/>
  <c r="AA23" i="30" s="1"/>
  <c r="AC23" i="30" s="1"/>
  <c r="AE23" i="30" s="1"/>
  <c r="AA23" i="31" s="1"/>
  <c r="AC23" i="31" s="1"/>
  <c r="AE23" i="31" s="1"/>
  <c r="AA23" i="32" s="1"/>
  <c r="AC23" i="32" s="1"/>
  <c r="AE23" i="32" s="1"/>
  <c r="X10" i="28"/>
  <c r="T10" i="29" s="1"/>
  <c r="V10" i="29" s="1"/>
  <c r="X10" i="29" s="1"/>
  <c r="T10" i="30" s="1"/>
  <c r="V10" i="30" s="1"/>
  <c r="X10" i="30" s="1"/>
  <c r="T10" i="31" s="1"/>
  <c r="V10" i="31" s="1"/>
  <c r="X10" i="31" s="1"/>
  <c r="T10" i="32" s="1"/>
  <c r="V10" i="32" s="1"/>
  <c r="X10" i="32" s="1"/>
  <c r="C10" i="54" s="1"/>
  <c r="E10" i="54" s="1"/>
  <c r="L24" i="3"/>
  <c r="M40" i="20"/>
  <c r="M40" i="21" s="1"/>
  <c r="M40" i="22" s="1"/>
  <c r="M40" i="23" s="1"/>
  <c r="M40" i="24" s="1"/>
  <c r="M40" i="25" s="1"/>
  <c r="M40" i="26" s="1"/>
  <c r="M40" i="27" s="1"/>
  <c r="M40" i="28" s="1"/>
  <c r="M40" i="29" s="1"/>
  <c r="M40" i="30" s="1"/>
  <c r="M40" i="31" s="1"/>
  <c r="M40" i="32" s="1"/>
  <c r="N45" i="20"/>
  <c r="N45" i="21" s="1"/>
  <c r="N45" i="22" s="1"/>
  <c r="N45" i="23" s="1"/>
  <c r="N45" i="24" s="1"/>
  <c r="N45" i="25" s="1"/>
  <c r="N45" i="26" s="1"/>
  <c r="N45" i="27" s="1"/>
  <c r="N45" i="28" s="1"/>
  <c r="N45" i="29" s="1"/>
  <c r="N45" i="30" s="1"/>
  <c r="N45" i="31" s="1"/>
  <c r="N45" i="32" s="1"/>
  <c r="M30" i="20"/>
  <c r="M30" i="21" s="1"/>
  <c r="M30" i="22" s="1"/>
  <c r="M30" i="23" s="1"/>
  <c r="M30" i="24" s="1"/>
  <c r="M30" i="25" s="1"/>
  <c r="M30" i="26" s="1"/>
  <c r="M30" i="27" s="1"/>
  <c r="M30" i="28" s="1"/>
  <c r="M30" i="29" s="1"/>
  <c r="M30" i="30" s="1"/>
  <c r="M30" i="31" s="1"/>
  <c r="M30" i="32" s="1"/>
  <c r="M41" i="20"/>
  <c r="M41" i="21" s="1"/>
  <c r="M41" i="22" s="1"/>
  <c r="M41" i="23" s="1"/>
  <c r="M41" i="24" s="1"/>
  <c r="M41" i="25" s="1"/>
  <c r="M41" i="26" s="1"/>
  <c r="M41" i="27" s="1"/>
  <c r="M41" i="28" s="1"/>
  <c r="M41" i="29" s="1"/>
  <c r="M41" i="30" s="1"/>
  <c r="M41" i="31" s="1"/>
  <c r="M41" i="32" s="1"/>
  <c r="M33" i="20"/>
  <c r="M33" i="21" s="1"/>
  <c r="M33" i="22" s="1"/>
  <c r="M33" i="23" s="1"/>
  <c r="M33" i="24" s="1"/>
  <c r="M33" i="25" s="1"/>
  <c r="M33" i="26" s="1"/>
  <c r="M33" i="27" s="1"/>
  <c r="M33" i="28" s="1"/>
  <c r="M33" i="29" s="1"/>
  <c r="M33" i="30" s="1"/>
  <c r="M33" i="31" s="1"/>
  <c r="M33" i="32" s="1"/>
  <c r="N39" i="20"/>
  <c r="N39" i="21" s="1"/>
  <c r="N39" i="22" s="1"/>
  <c r="N39" i="23" s="1"/>
  <c r="N39" i="24" s="1"/>
  <c r="N39" i="25" s="1"/>
  <c r="N39" i="26" s="1"/>
  <c r="N39" i="27" s="1"/>
  <c r="N39" i="28" s="1"/>
  <c r="N39" i="29" s="1"/>
  <c r="N39" i="30" s="1"/>
  <c r="N39" i="31" s="1"/>
  <c r="N39" i="32" s="1"/>
  <c r="M37" i="20"/>
  <c r="M37" i="21" s="1"/>
  <c r="M37" i="22" s="1"/>
  <c r="M37" i="23" s="1"/>
  <c r="M37" i="24" s="1"/>
  <c r="M37" i="25" s="1"/>
  <c r="M37" i="26" s="1"/>
  <c r="M37" i="27" s="1"/>
  <c r="M37" i="28" s="1"/>
  <c r="M37" i="29" s="1"/>
  <c r="M37" i="30" s="1"/>
  <c r="M37" i="31" s="1"/>
  <c r="M37" i="32" s="1"/>
  <c r="N38" i="20"/>
  <c r="N38" i="21" s="1"/>
  <c r="N38" i="22" s="1"/>
  <c r="N38" i="23" s="1"/>
  <c r="N38" i="24" s="1"/>
  <c r="N38" i="25" s="1"/>
  <c r="N38" i="26" s="1"/>
  <c r="N38" i="27" s="1"/>
  <c r="N38" i="28" s="1"/>
  <c r="N38" i="29" s="1"/>
  <c r="N38" i="30" s="1"/>
  <c r="N38" i="31" s="1"/>
  <c r="N38" i="32" s="1"/>
  <c r="N40" i="20"/>
  <c r="N40" i="21" s="1"/>
  <c r="N40" i="22" s="1"/>
  <c r="N40" i="23" s="1"/>
  <c r="N40" i="24" s="1"/>
  <c r="N40" i="25" s="1"/>
  <c r="N40" i="26" s="1"/>
  <c r="N40" i="27" s="1"/>
  <c r="N40" i="28" s="1"/>
  <c r="N40" i="29" s="1"/>
  <c r="N40" i="30" s="1"/>
  <c r="N40" i="31" s="1"/>
  <c r="N40" i="32" s="1"/>
  <c r="L27" i="3"/>
  <c r="Z747" i="33"/>
  <c r="N34" i="20"/>
  <c r="N34" i="21" s="1"/>
  <c r="N34" i="22" s="1"/>
  <c r="N34" i="23" s="1"/>
  <c r="N34" i="24" s="1"/>
  <c r="N34" i="25" s="1"/>
  <c r="N34" i="26" s="1"/>
  <c r="N34" i="27" s="1"/>
  <c r="N34" i="28" s="1"/>
  <c r="N34" i="29" s="1"/>
  <c r="N34" i="30" s="1"/>
  <c r="N34" i="31" s="1"/>
  <c r="N34" i="32" s="1"/>
  <c r="N32" i="20"/>
  <c r="N32" i="21" s="1"/>
  <c r="N32" i="22" s="1"/>
  <c r="N32" i="23" s="1"/>
  <c r="N32" i="24" s="1"/>
  <c r="N32" i="25" s="1"/>
  <c r="N32" i="26" s="1"/>
  <c r="N32" i="27" s="1"/>
  <c r="N32" i="28" s="1"/>
  <c r="N32" i="29" s="1"/>
  <c r="N32" i="30" s="1"/>
  <c r="N32" i="31" s="1"/>
  <c r="N32" i="32" s="1"/>
  <c r="M32" i="20"/>
  <c r="M32" i="21" s="1"/>
  <c r="M32" i="22" s="1"/>
  <c r="M32" i="23" s="1"/>
  <c r="M32" i="24" s="1"/>
  <c r="M32" i="25" s="1"/>
  <c r="M32" i="26" s="1"/>
  <c r="M32" i="27" s="1"/>
  <c r="M32" i="28" s="1"/>
  <c r="M32" i="29" s="1"/>
  <c r="M32" i="30" s="1"/>
  <c r="M32" i="31" s="1"/>
  <c r="M32" i="32" s="1"/>
  <c r="N36" i="20"/>
  <c r="N36" i="21" s="1"/>
  <c r="N36" i="22" s="1"/>
  <c r="N36" i="23" s="1"/>
  <c r="N36" i="24" s="1"/>
  <c r="N36" i="25" s="1"/>
  <c r="N36" i="26" s="1"/>
  <c r="N36" i="27" s="1"/>
  <c r="N36" i="28" s="1"/>
  <c r="N36" i="29" s="1"/>
  <c r="N36" i="30" s="1"/>
  <c r="N36" i="31" s="1"/>
  <c r="N36" i="32" s="1"/>
  <c r="N43" i="20"/>
  <c r="N43" i="21" s="1"/>
  <c r="N43" i="22" s="1"/>
  <c r="N43" i="23" s="1"/>
  <c r="N43" i="24" s="1"/>
  <c r="N43" i="25" s="1"/>
  <c r="N43" i="26" s="1"/>
  <c r="N43" i="27" s="1"/>
  <c r="N43" i="28" s="1"/>
  <c r="N43" i="29" s="1"/>
  <c r="N43" i="30" s="1"/>
  <c r="N43" i="31" s="1"/>
  <c r="N43" i="32" s="1"/>
  <c r="M43" i="20"/>
  <c r="M43" i="21" s="1"/>
  <c r="M43" i="22" s="1"/>
  <c r="M43" i="23" s="1"/>
  <c r="M43" i="24" s="1"/>
  <c r="M43" i="25" s="1"/>
  <c r="M43" i="26" s="1"/>
  <c r="M43" i="27" s="1"/>
  <c r="M43" i="28" s="1"/>
  <c r="M43" i="29" s="1"/>
  <c r="M43" i="30" s="1"/>
  <c r="M43" i="31" s="1"/>
  <c r="M43" i="32" s="1"/>
  <c r="N42" i="20"/>
  <c r="N42" i="21" s="1"/>
  <c r="N42" i="22" s="1"/>
  <c r="N42" i="23" s="1"/>
  <c r="N42" i="24" s="1"/>
  <c r="N42" i="25" s="1"/>
  <c r="N42" i="26" s="1"/>
  <c r="N42" i="27" s="1"/>
  <c r="N42" i="28" s="1"/>
  <c r="N42" i="29" s="1"/>
  <c r="N42" i="30" s="1"/>
  <c r="N42" i="31" s="1"/>
  <c r="N42" i="32" s="1"/>
  <c r="M42" i="20"/>
  <c r="M42" i="21" s="1"/>
  <c r="M42" i="22" s="1"/>
  <c r="M42" i="23" s="1"/>
  <c r="M42" i="24" s="1"/>
  <c r="M42" i="25" s="1"/>
  <c r="M42" i="26" s="1"/>
  <c r="M42" i="27" s="1"/>
  <c r="M42" i="28" s="1"/>
  <c r="M42" i="29" s="1"/>
  <c r="M42" i="30" s="1"/>
  <c r="M42" i="31" s="1"/>
  <c r="M42" i="32" s="1"/>
  <c r="Z900" i="33"/>
  <c r="L31" i="3"/>
  <c r="H22" i="4"/>
  <c r="AA559" i="33"/>
  <c r="I22" i="4" s="1"/>
  <c r="L22" i="3"/>
  <c r="Z521" i="33"/>
  <c r="H21" i="4" s="1"/>
  <c r="N41" i="20"/>
  <c r="N41" i="21" s="1"/>
  <c r="N41" i="22" s="1"/>
  <c r="N41" i="23" s="1"/>
  <c r="N41" i="24" s="1"/>
  <c r="N41" i="25" s="1"/>
  <c r="N41" i="26" s="1"/>
  <c r="N41" i="27" s="1"/>
  <c r="N41" i="28" s="1"/>
  <c r="N41" i="29" s="1"/>
  <c r="N41" i="30" s="1"/>
  <c r="N41" i="31" s="1"/>
  <c r="N41" i="32" s="1"/>
  <c r="M45" i="20"/>
  <c r="M45" i="21" s="1"/>
  <c r="M45" i="22" s="1"/>
  <c r="M45" i="23" s="1"/>
  <c r="M45" i="24" s="1"/>
  <c r="M45" i="25" s="1"/>
  <c r="M45" i="26" s="1"/>
  <c r="M45" i="27" s="1"/>
  <c r="M45" i="28" s="1"/>
  <c r="M45" i="29" s="1"/>
  <c r="M45" i="30" s="1"/>
  <c r="M45" i="31" s="1"/>
  <c r="M45" i="32" s="1"/>
  <c r="M34" i="20"/>
  <c r="M34" i="21" s="1"/>
  <c r="M34" i="22" s="1"/>
  <c r="M34" i="23" s="1"/>
  <c r="M34" i="24" s="1"/>
  <c r="M34" i="25" s="1"/>
  <c r="M34" i="26" s="1"/>
  <c r="M34" i="27" s="1"/>
  <c r="M34" i="28" s="1"/>
  <c r="M34" i="29" s="1"/>
  <c r="M34" i="30" s="1"/>
  <c r="M34" i="31" s="1"/>
  <c r="M34" i="32" s="1"/>
  <c r="N44" i="20"/>
  <c r="N44" i="21" s="1"/>
  <c r="N44" i="22" s="1"/>
  <c r="N44" i="23" s="1"/>
  <c r="N44" i="24" s="1"/>
  <c r="N44" i="25" s="1"/>
  <c r="N44" i="26" s="1"/>
  <c r="N44" i="27" s="1"/>
  <c r="N44" i="28" s="1"/>
  <c r="N44" i="29" s="1"/>
  <c r="N44" i="30" s="1"/>
  <c r="N44" i="31" s="1"/>
  <c r="N44" i="32" s="1"/>
  <c r="M44" i="20"/>
  <c r="M44" i="21" s="1"/>
  <c r="M44" i="22" s="1"/>
  <c r="M44" i="23" s="1"/>
  <c r="M44" i="24" s="1"/>
  <c r="M44" i="25" s="1"/>
  <c r="M44" i="26" s="1"/>
  <c r="M44" i="27" s="1"/>
  <c r="M44" i="28" s="1"/>
  <c r="M44" i="29" s="1"/>
  <c r="M44" i="30" s="1"/>
  <c r="M44" i="31" s="1"/>
  <c r="M44" i="32" s="1"/>
  <c r="N37" i="20"/>
  <c r="N37" i="21" s="1"/>
  <c r="N37" i="22" s="1"/>
  <c r="N37" i="23" s="1"/>
  <c r="N37" i="24" s="1"/>
  <c r="N37" i="25" s="1"/>
  <c r="N37" i="26" s="1"/>
  <c r="N37" i="27" s="1"/>
  <c r="N37" i="28" s="1"/>
  <c r="N37" i="29" s="1"/>
  <c r="N37" i="30" s="1"/>
  <c r="N37" i="31" s="1"/>
  <c r="N37" i="32" s="1"/>
  <c r="L37" i="3"/>
  <c r="M36" i="20"/>
  <c r="M36" i="21" s="1"/>
  <c r="M36" i="22" s="1"/>
  <c r="M36" i="23" s="1"/>
  <c r="M36" i="24" s="1"/>
  <c r="M36" i="25" s="1"/>
  <c r="M36" i="26" s="1"/>
  <c r="M36" i="27" s="1"/>
  <c r="M36" i="28" s="1"/>
  <c r="M36" i="29" s="1"/>
  <c r="M36" i="30" s="1"/>
  <c r="M36" i="31" s="1"/>
  <c r="M36" i="32" s="1"/>
  <c r="N35" i="20"/>
  <c r="N35" i="21" s="1"/>
  <c r="N35" i="22" s="1"/>
  <c r="N35" i="23" s="1"/>
  <c r="N35" i="24" s="1"/>
  <c r="N35" i="25" s="1"/>
  <c r="N35" i="26" s="1"/>
  <c r="N35" i="27" s="1"/>
  <c r="N35" i="28" s="1"/>
  <c r="N35" i="29" s="1"/>
  <c r="N35" i="30" s="1"/>
  <c r="N35" i="31" s="1"/>
  <c r="N35" i="32" s="1"/>
  <c r="N33" i="20"/>
  <c r="N33" i="21" s="1"/>
  <c r="N33" i="22" s="1"/>
  <c r="N33" i="23" s="1"/>
  <c r="N33" i="24" s="1"/>
  <c r="N33" i="25" s="1"/>
  <c r="N33" i="26" s="1"/>
  <c r="N33" i="27" s="1"/>
  <c r="N33" i="28" s="1"/>
  <c r="N33" i="29" s="1"/>
  <c r="N33" i="30" s="1"/>
  <c r="N33" i="31" s="1"/>
  <c r="N33" i="32" s="1"/>
  <c r="N59" i="4"/>
  <c r="F22" i="20"/>
  <c r="F22" i="21" s="1"/>
  <c r="F22" i="22" s="1"/>
  <c r="F22" i="23" s="1"/>
  <c r="F22" i="24" s="1"/>
  <c r="F22" i="25" s="1"/>
  <c r="F22" i="26" s="1"/>
  <c r="F22" i="27" s="1"/>
  <c r="F22" i="28" s="1"/>
  <c r="F22" i="29" s="1"/>
  <c r="F22" i="30" s="1"/>
  <c r="F22" i="31" s="1"/>
  <c r="F22" i="32" s="1"/>
  <c r="F21" i="20"/>
  <c r="F21" i="21" s="1"/>
  <c r="F21" i="22" s="1"/>
  <c r="F21" i="23" s="1"/>
  <c r="F21" i="24" s="1"/>
  <c r="F21" i="25" s="1"/>
  <c r="F21" i="26" s="1"/>
  <c r="F21" i="27" s="1"/>
  <c r="F21" i="28" s="1"/>
  <c r="F21" i="29" s="1"/>
  <c r="F21" i="30" s="1"/>
  <c r="F21" i="31" s="1"/>
  <c r="F21" i="32" s="1"/>
  <c r="Z19" i="26"/>
  <c r="Z19" i="27" s="1"/>
  <c r="Z19" i="28" s="1"/>
  <c r="AA1129" i="33"/>
  <c r="I37" i="4" s="1"/>
  <c r="H37" i="4"/>
  <c r="T22" i="18"/>
  <c r="V22" i="18" s="1"/>
  <c r="X22" i="18" s="1"/>
  <c r="T22" i="19" s="1"/>
  <c r="V22" i="19" s="1"/>
  <c r="X22" i="19" s="1"/>
  <c r="T22" i="20" s="1"/>
  <c r="V22" i="20" s="1"/>
  <c r="X22" i="20" s="1"/>
  <c r="T22" i="21" s="1"/>
  <c r="V22" i="21" s="1"/>
  <c r="X22" i="21" s="1"/>
  <c r="T22" i="22" s="1"/>
  <c r="V22" i="22" s="1"/>
  <c r="X22" i="22" s="1"/>
  <c r="T22" i="23" s="1"/>
  <c r="V22" i="23" s="1"/>
  <c r="X22" i="23" s="1"/>
  <c r="T22" i="24" s="1"/>
  <c r="V22" i="24" s="1"/>
  <c r="X22" i="24" s="1"/>
  <c r="T22" i="25" s="1"/>
  <c r="V22" i="25" s="1"/>
  <c r="X22" i="25" s="1"/>
  <c r="T22" i="26" s="1"/>
  <c r="V22" i="26" s="1"/>
  <c r="X22" i="26" s="1"/>
  <c r="T22" i="27" s="1"/>
  <c r="V22" i="27" s="1"/>
  <c r="X22" i="27" s="1"/>
  <c r="T22" i="28" s="1"/>
  <c r="V22" i="28" s="1"/>
  <c r="X22" i="28" s="1"/>
  <c r="T22" i="29" s="1"/>
  <c r="V22" i="29" s="1"/>
  <c r="X22" i="29" s="1"/>
  <c r="T22" i="30" s="1"/>
  <c r="V22" i="30" s="1"/>
  <c r="X22" i="30" s="1"/>
  <c r="T22" i="31" s="1"/>
  <c r="V22" i="31" s="1"/>
  <c r="X22" i="31" s="1"/>
  <c r="T24" i="18"/>
  <c r="V24" i="18" s="1"/>
  <c r="X24" i="18" s="1"/>
  <c r="T24" i="19" s="1"/>
  <c r="V24" i="19" s="1"/>
  <c r="X24" i="19" s="1"/>
  <c r="T24" i="20" s="1"/>
  <c r="V24" i="20" s="1"/>
  <c r="T23" i="18"/>
  <c r="V23" i="18" s="1"/>
  <c r="X23" i="18" s="1"/>
  <c r="T23" i="19" s="1"/>
  <c r="V23" i="19" s="1"/>
  <c r="X23" i="19" s="1"/>
  <c r="T23" i="20" s="1"/>
  <c r="V23" i="20" s="1"/>
  <c r="X23" i="20" s="1"/>
  <c r="T23" i="21" s="1"/>
  <c r="V23" i="21" s="1"/>
  <c r="X23" i="21" s="1"/>
  <c r="T23" i="22" s="1"/>
  <c r="V23" i="22" s="1"/>
  <c r="X23" i="22" s="1"/>
  <c r="T23" i="23" s="1"/>
  <c r="V23" i="23" s="1"/>
  <c r="X23" i="23" s="1"/>
  <c r="T23" i="24" s="1"/>
  <c r="V23" i="24" s="1"/>
  <c r="X23" i="24" s="1"/>
  <c r="T23" i="25" s="1"/>
  <c r="V23" i="25" s="1"/>
  <c r="X23" i="25" s="1"/>
  <c r="T23" i="26" s="1"/>
  <c r="V23" i="26" s="1"/>
  <c r="X23" i="26" s="1"/>
  <c r="T23" i="27" s="1"/>
  <c r="V23" i="27" s="1"/>
  <c r="X23" i="27" s="1"/>
  <c r="T23" i="28" s="1"/>
  <c r="V23" i="28" s="1"/>
  <c r="X23" i="28" s="1"/>
  <c r="T23" i="29" s="1"/>
  <c r="V23" i="29" s="1"/>
  <c r="X23" i="29" s="1"/>
  <c r="T23" i="30" s="1"/>
  <c r="V23" i="30" s="1"/>
  <c r="X23" i="30" s="1"/>
  <c r="T23" i="31" s="1"/>
  <c r="V23" i="31" s="1"/>
  <c r="X23" i="31" s="1"/>
  <c r="T23" i="32" s="1"/>
  <c r="V23" i="32" s="1"/>
  <c r="X23" i="32" s="1"/>
  <c r="C23" i="54" s="1"/>
  <c r="T20" i="18"/>
  <c r="V20" i="18" s="1"/>
  <c r="X20" i="18" s="1"/>
  <c r="T20" i="19" s="1"/>
  <c r="V20" i="19" s="1"/>
  <c r="X20" i="19" s="1"/>
  <c r="T20" i="20" s="1"/>
  <c r="V20" i="20" s="1"/>
  <c r="X20" i="20" s="1"/>
  <c r="T20" i="21" s="1"/>
  <c r="V20" i="21" s="1"/>
  <c r="X20" i="21" s="1"/>
  <c r="T20" i="22" s="1"/>
  <c r="V20" i="22" s="1"/>
  <c r="X20" i="22" s="1"/>
  <c r="T20" i="23" s="1"/>
  <c r="V20" i="23" s="1"/>
  <c r="X20" i="23" s="1"/>
  <c r="T20" i="24" s="1"/>
  <c r="V20" i="24" s="1"/>
  <c r="X20" i="24" s="1"/>
  <c r="T20" i="25" s="1"/>
  <c r="V20" i="25" s="1"/>
  <c r="X20" i="25" s="1"/>
  <c r="T20" i="26" s="1"/>
  <c r="V20" i="26" s="1"/>
  <c r="X20" i="26" s="1"/>
  <c r="T20" i="27" s="1"/>
  <c r="V20" i="27" s="1"/>
  <c r="X20" i="27" s="1"/>
  <c r="T19" i="18"/>
  <c r="V19" i="18" s="1"/>
  <c r="X19" i="18" s="1"/>
  <c r="T19" i="19" s="1"/>
  <c r="V19" i="19" s="1"/>
  <c r="X19" i="19" s="1"/>
  <c r="T19" i="20" s="1"/>
  <c r="V19" i="20" s="1"/>
  <c r="X19" i="20" s="1"/>
  <c r="T19" i="21" s="1"/>
  <c r="V19" i="21" s="1"/>
  <c r="X19" i="21" s="1"/>
  <c r="T19" i="22" s="1"/>
  <c r="V19" i="22" s="1"/>
  <c r="X19" i="22" s="1"/>
  <c r="T19" i="23" s="1"/>
  <c r="V19" i="23" s="1"/>
  <c r="X19" i="23" s="1"/>
  <c r="T19" i="24" s="1"/>
  <c r="V19" i="24" s="1"/>
  <c r="X19" i="24" s="1"/>
  <c r="T19" i="25" s="1"/>
  <c r="V19" i="25" s="1"/>
  <c r="X19" i="25" s="1"/>
  <c r="T19" i="26" s="1"/>
  <c r="V19" i="26" s="1"/>
  <c r="X19" i="26" s="1"/>
  <c r="T19" i="27" s="1"/>
  <c r="V19" i="27" s="1"/>
  <c r="X19" i="27" s="1"/>
  <c r="T19" i="28" s="1"/>
  <c r="V19" i="28" s="1"/>
  <c r="X19" i="28" s="1"/>
  <c r="T19" i="29" s="1"/>
  <c r="V19" i="29" s="1"/>
  <c r="X19" i="29" s="1"/>
  <c r="T19" i="30" s="1"/>
  <c r="V19" i="30" s="1"/>
  <c r="X19" i="30" s="1"/>
  <c r="T19" i="31" s="1"/>
  <c r="V19" i="31" s="1"/>
  <c r="X19" i="31" s="1"/>
  <c r="T19" i="32" s="1"/>
  <c r="V19" i="32" s="1"/>
  <c r="X19" i="32" s="1"/>
  <c r="C19" i="54" s="1"/>
  <c r="E19" i="54" s="1"/>
  <c r="T25" i="18"/>
  <c r="V25" i="18" s="1"/>
  <c r="X25" i="18" s="1"/>
  <c r="T25" i="19" s="1"/>
  <c r="V25" i="19" s="1"/>
  <c r="X25" i="19" s="1"/>
  <c r="T25" i="20" s="1"/>
  <c r="V25" i="20" s="1"/>
  <c r="X25" i="20" s="1"/>
  <c r="T25" i="21" s="1"/>
  <c r="V25" i="21" s="1"/>
  <c r="X25" i="21" s="1"/>
  <c r="T25" i="22" s="1"/>
  <c r="V25" i="22" s="1"/>
  <c r="X25" i="22" s="1"/>
  <c r="T25" i="23" s="1"/>
  <c r="V25" i="23" s="1"/>
  <c r="X25" i="23" s="1"/>
  <c r="T25" i="24" s="1"/>
  <c r="V25" i="24" s="1"/>
  <c r="X25" i="24" s="1"/>
  <c r="T25" i="25" s="1"/>
  <c r="V25" i="25" s="1"/>
  <c r="X25" i="25" s="1"/>
  <c r="T25" i="26" s="1"/>
  <c r="V25" i="26" s="1"/>
  <c r="X25" i="26" s="1"/>
  <c r="T25" i="27" s="1"/>
  <c r="V25" i="27" s="1"/>
  <c r="X25" i="27" s="1"/>
  <c r="T25" i="28" s="1"/>
  <c r="V25" i="28" s="1"/>
  <c r="X25" i="28" s="1"/>
  <c r="T25" i="29" s="1"/>
  <c r="V25" i="29" s="1"/>
  <c r="X25" i="29" s="1"/>
  <c r="T25" i="30" s="1"/>
  <c r="V25" i="30" s="1"/>
  <c r="X25" i="30" s="1"/>
  <c r="T25" i="31" s="1"/>
  <c r="V25" i="31" s="1"/>
  <c r="X25" i="31" s="1"/>
  <c r="T25" i="32" s="1"/>
  <c r="V25" i="32" s="1"/>
  <c r="X25" i="32" s="1"/>
  <c r="C25" i="54" s="1"/>
  <c r="E25" i="54" s="1"/>
  <c r="T26" i="18"/>
  <c r="V26" i="18" s="1"/>
  <c r="X26" i="18" s="1"/>
  <c r="T26" i="19" s="1"/>
  <c r="T21" i="17"/>
  <c r="V21" i="17" s="1"/>
  <c r="X21" i="17" s="1"/>
  <c r="Z1182" i="33"/>
  <c r="L38" i="19"/>
  <c r="Z671" i="33"/>
  <c r="H25" i="4" s="1"/>
  <c r="L25" i="3"/>
  <c r="T18" i="32"/>
  <c r="V18" i="32" s="1"/>
  <c r="X18" i="32" s="1"/>
  <c r="C18" i="54" s="1"/>
  <c r="E18" i="54" s="1"/>
  <c r="V27" i="32"/>
  <c r="X27" i="32" s="1"/>
  <c r="C27" i="54" s="1"/>
  <c r="E27" i="54" s="1"/>
  <c r="M38" i="19"/>
  <c r="AA633" i="33"/>
  <c r="H24" i="4"/>
  <c r="AD328" i="33"/>
  <c r="Z329" i="33" s="1"/>
  <c r="H16" i="4" s="1"/>
  <c r="Z288" i="33"/>
  <c r="L15" i="3"/>
  <c r="I12" i="3"/>
  <c r="AD170" i="33"/>
  <c r="AA24" i="23"/>
  <c r="AC24" i="23" s="1"/>
  <c r="AE24" i="23" s="1"/>
  <c r="AA24" i="24" s="1"/>
  <c r="AC24" i="24" s="1"/>
  <c r="AE24" i="24" s="1"/>
  <c r="AA24" i="25" s="1"/>
  <c r="AC24" i="25" s="1"/>
  <c r="AE24" i="25" s="1"/>
  <c r="AA24" i="26" s="1"/>
  <c r="AC24" i="26" s="1"/>
  <c r="AE24" i="26" s="1"/>
  <c r="AA24" i="27" s="1"/>
  <c r="AC24" i="27" s="1"/>
  <c r="AE24" i="27" s="1"/>
  <c r="AA24" i="28" s="1"/>
  <c r="AC24" i="28" s="1"/>
  <c r="AE24" i="28" s="1"/>
  <c r="AA24" i="29" s="1"/>
  <c r="AC24" i="29" s="1"/>
  <c r="AE24" i="29" s="1"/>
  <c r="AA24" i="30" s="1"/>
  <c r="AC24" i="30" s="1"/>
  <c r="AE24" i="30" s="1"/>
  <c r="AA24" i="31" s="1"/>
  <c r="AC24" i="31" s="1"/>
  <c r="AE24" i="31" s="1"/>
  <c r="AA24" i="32" s="1"/>
  <c r="AC24" i="32" s="1"/>
  <c r="AE24" i="32" s="1"/>
  <c r="AA19" i="26"/>
  <c r="AC19" i="26" s="1"/>
  <c r="AE19" i="26" s="1"/>
  <c r="AA19" i="27" s="1"/>
  <c r="AC19" i="27" s="1"/>
  <c r="AE19" i="27" s="1"/>
  <c r="AA19" i="28" s="1"/>
  <c r="AC19" i="28" s="1"/>
  <c r="AE19" i="28" s="1"/>
  <c r="M35" i="19"/>
  <c r="M39" i="17"/>
  <c r="M39" i="18" s="1"/>
  <c r="Z1053" i="33"/>
  <c r="H35" i="4" s="1"/>
  <c r="L35" i="3"/>
  <c r="AA49" i="13"/>
  <c r="AA53" i="13" s="1"/>
  <c r="AA55" i="13" s="1"/>
  <c r="AA49" i="14" s="1"/>
  <c r="AA53" i="14" s="1"/>
  <c r="AA55" i="14" s="1"/>
  <c r="AA49" i="15" s="1"/>
  <c r="AA53" i="15" s="1"/>
  <c r="AA55" i="15" s="1"/>
  <c r="AA49" i="16" s="1"/>
  <c r="AA53" i="16" s="1"/>
  <c r="AA55" i="16" s="1"/>
  <c r="AA49" i="17" s="1"/>
  <c r="AA53" i="17" s="1"/>
  <c r="AA55" i="17" s="1"/>
  <c r="AA49" i="18" s="1"/>
  <c r="AA53" i="18" s="1"/>
  <c r="AA55" i="18" s="1"/>
  <c r="AA49" i="19" s="1"/>
  <c r="AA53" i="19" s="1"/>
  <c r="AA55" i="19" s="1"/>
  <c r="AA49" i="20" s="1"/>
  <c r="AA53" i="20" s="1"/>
  <c r="AA55" i="20" s="1"/>
  <c r="AA49" i="21" s="1"/>
  <c r="AA53" i="21" s="1"/>
  <c r="AA55" i="21" s="1"/>
  <c r="AA49" i="22" s="1"/>
  <c r="AA53" i="22" s="1"/>
  <c r="AA55" i="22" s="1"/>
  <c r="AA49" i="23" s="1"/>
  <c r="AA53" i="23" s="1"/>
  <c r="AA55" i="23" s="1"/>
  <c r="AA49" i="24" s="1"/>
  <c r="AA53" i="24" s="1"/>
  <c r="AA55" i="24" s="1"/>
  <c r="AA49" i="25" s="1"/>
  <c r="AA53" i="25" s="1"/>
  <c r="AA55" i="25" s="1"/>
  <c r="AA49" i="26" s="1"/>
  <c r="AA53" i="26" s="1"/>
  <c r="AA55" i="26" s="1"/>
  <c r="AA49" i="27" s="1"/>
  <c r="AA53" i="27" s="1"/>
  <c r="AA55" i="27" s="1"/>
  <c r="AA49" i="28" s="1"/>
  <c r="AA53" i="28" s="1"/>
  <c r="AA55" i="28" s="1"/>
  <c r="AA49" i="29" s="1"/>
  <c r="AA53" i="29" s="1"/>
  <c r="AA55" i="29" s="1"/>
  <c r="AA49" i="30" s="1"/>
  <c r="AA53" i="30" s="1"/>
  <c r="AA55" i="30" s="1"/>
  <c r="AA49" i="31" s="1"/>
  <c r="AA53" i="31" s="1"/>
  <c r="AA55" i="31" s="1"/>
  <c r="AA49" i="32" s="1"/>
  <c r="AA53" i="32" s="1"/>
  <c r="AA55" i="32" s="1"/>
  <c r="I41" i="54" s="1"/>
  <c r="I43" i="54" s="1"/>
  <c r="AA43" i="3"/>
  <c r="Z49" i="12"/>
  <c r="Z53" i="12" s="1"/>
  <c r="Z55" i="12" s="1"/>
  <c r="U49" i="12"/>
  <c r="U53" i="12" s="1"/>
  <c r="U55" i="12" s="1"/>
  <c r="AF49" i="12"/>
  <c r="AF53" i="12" s="1"/>
  <c r="AF55" i="12" s="1"/>
  <c r="V49" i="12"/>
  <c r="V53" i="12" s="1"/>
  <c r="V55" i="12" s="1"/>
  <c r="W49" i="12"/>
  <c r="W53" i="12" s="1"/>
  <c r="W55" i="12" s="1"/>
  <c r="AH49" i="12"/>
  <c r="AH53" i="12" s="1"/>
  <c r="AH55" i="12" s="1"/>
  <c r="AC49" i="12"/>
  <c r="AC53" i="12" s="1"/>
  <c r="AC55" i="12" s="1"/>
  <c r="AE49" i="12"/>
  <c r="AE53" i="12" s="1"/>
  <c r="AE55" i="12" s="1"/>
  <c r="X49" i="12"/>
  <c r="X53" i="12" s="1"/>
  <c r="X55" i="12" s="1"/>
  <c r="Y49" i="12"/>
  <c r="Y53" i="12" s="1"/>
  <c r="Y55" i="12" s="1"/>
  <c r="AG49" i="12"/>
  <c r="AG53" i="12" s="1"/>
  <c r="AG55" i="12" s="1"/>
  <c r="AD49" i="12"/>
  <c r="AD53" i="12" s="1"/>
  <c r="AD55" i="12" s="1"/>
  <c r="AI49" i="12"/>
  <c r="AI53" i="12" s="1"/>
  <c r="AI55" i="12" s="1"/>
  <c r="A266" i="33"/>
  <c r="A267" i="33" s="1"/>
  <c r="A268" i="33" s="1"/>
  <c r="A269" i="33" s="1"/>
  <c r="A270" i="33" s="1"/>
  <c r="A271" i="33" s="1"/>
  <c r="A272" i="33" s="1"/>
  <c r="A273" i="33" s="1"/>
  <c r="A274" i="33" s="1"/>
  <c r="A275" i="33" s="1"/>
  <c r="A276" i="33" s="1"/>
  <c r="AB55" i="6"/>
  <c r="AB49" i="7" s="1"/>
  <c r="AB53" i="7" s="1"/>
  <c r="AE43" i="3"/>
  <c r="AD55" i="33"/>
  <c r="Z56" i="33" s="1"/>
  <c r="Z484" i="33"/>
  <c r="H20" i="4" s="1"/>
  <c r="Z1091" i="33"/>
  <c r="H36" i="4" s="1"/>
  <c r="G47" i="5"/>
  <c r="G48" i="5" s="1"/>
  <c r="N48" i="4"/>
  <c r="AD447" i="33"/>
  <c r="L19" i="3" s="1"/>
  <c r="AA709" i="33"/>
  <c r="I26" i="4" s="1"/>
  <c r="Z823" i="33"/>
  <c r="H29" i="4" s="1"/>
  <c r="Z939" i="33"/>
  <c r="H32" i="4" s="1"/>
  <c r="Z785" i="33"/>
  <c r="H28" i="4" s="1"/>
  <c r="AA861" i="33"/>
  <c r="I30" i="4" s="1"/>
  <c r="Z977" i="33"/>
  <c r="H33" i="4" s="1"/>
  <c r="AA1015" i="33"/>
  <c r="I34" i="4" s="1"/>
  <c r="AG8" i="8"/>
  <c r="AG43" i="7"/>
  <c r="A287" i="33"/>
  <c r="A288" i="33" s="1"/>
  <c r="A289" i="33" s="1"/>
  <c r="A290" i="33" s="1"/>
  <c r="A291" i="33" s="1"/>
  <c r="A292" i="33" s="1"/>
  <c r="A293" i="33" s="1"/>
  <c r="A294" i="33" s="1"/>
  <c r="A295" i="33" s="1"/>
  <c r="A296" i="33" s="1"/>
  <c r="A297" i="33" s="1"/>
  <c r="A298" i="33" s="1"/>
  <c r="A299" i="33" s="1"/>
  <c r="A300" i="33" s="1"/>
  <c r="A301" i="33" s="1"/>
  <c r="A302" i="33" s="1"/>
  <c r="A303" i="33" s="1"/>
  <c r="A304" i="33" s="1"/>
  <c r="A305" i="33" s="1"/>
  <c r="A306" i="33" s="1"/>
  <c r="A307" i="33" s="1"/>
  <c r="A308" i="33" s="1"/>
  <c r="A309" i="33" s="1"/>
  <c r="A310" i="33" s="1"/>
  <c r="A311" i="33" s="1"/>
  <c r="A312" i="33" s="1"/>
  <c r="A313" i="33" s="1"/>
  <c r="A314" i="33" s="1"/>
  <c r="A315" i="33" s="1"/>
  <c r="A316" i="33" s="1"/>
  <c r="A327" i="33"/>
  <c r="Z595" i="33"/>
  <c r="H23" i="4" s="1"/>
  <c r="C48" i="7"/>
  <c r="D48" i="7" s="1"/>
  <c r="Q38" i="6"/>
  <c r="Z371" i="33"/>
  <c r="H17" i="4" s="1"/>
  <c r="Q43" i="5"/>
  <c r="Q45" i="5" s="1"/>
  <c r="Q48" i="5" s="1"/>
  <c r="Q40" i="4"/>
  <c r="J47" i="5"/>
  <c r="J48" i="5" s="1"/>
  <c r="Q36" i="4"/>
  <c r="Q37" i="4" s="1"/>
  <c r="Q41" i="3"/>
  <c r="AD247" i="33"/>
  <c r="Z133" i="33"/>
  <c r="H11" i="4" s="1"/>
  <c r="Z94" i="33"/>
  <c r="L10" i="3"/>
  <c r="A6" i="8"/>
  <c r="S6" i="8" s="1"/>
  <c r="A15" i="56"/>
  <c r="A1014" i="33"/>
  <c r="A1015" i="33" s="1"/>
  <c r="A1016" i="33" s="1"/>
  <c r="A1017" i="33" s="1"/>
  <c r="A1018" i="33" s="1"/>
  <c r="A1019" i="33" s="1"/>
  <c r="A1020" i="33" s="1"/>
  <c r="A1021" i="33" s="1"/>
  <c r="A1022" i="33" s="1"/>
  <c r="A1023" i="33" s="1"/>
  <c r="A1024" i="33" s="1"/>
  <c r="A1025" i="33" s="1"/>
  <c r="A1026" i="33" s="1"/>
  <c r="A1027" i="33" s="1"/>
  <c r="A1028" i="33" s="1"/>
  <c r="A1029" i="33" s="1"/>
  <c r="A1030" i="33" s="1"/>
  <c r="A1031" i="33" s="1"/>
  <c r="A1032" i="33" s="1"/>
  <c r="A1033" i="33" s="1"/>
  <c r="A1034" i="33" s="1"/>
  <c r="A1035" i="33" s="1"/>
  <c r="A1036" i="33" s="1"/>
  <c r="A1037" i="33" s="1"/>
  <c r="A1038" i="33" s="1"/>
  <c r="A1039" i="33" s="1"/>
  <c r="A1040" i="33" s="1"/>
  <c r="A1041" i="33" s="1"/>
  <c r="A1042" i="33" s="1"/>
  <c r="A1043" i="33" s="1"/>
  <c r="A1051" i="33"/>
  <c r="AD211" i="33"/>
  <c r="L13" i="4" s="1"/>
  <c r="Z10" i="33"/>
  <c r="L8" i="3"/>
  <c r="AC33" i="4"/>
  <c r="AE33" i="4" s="1"/>
  <c r="AA43" i="4"/>
  <c r="AF33" i="6"/>
  <c r="AF43" i="5"/>
  <c r="M46" i="6"/>
  <c r="M8" i="7"/>
  <c r="AA410" i="33"/>
  <c r="I18" i="4" s="1"/>
  <c r="A26" i="33"/>
  <c r="A71" i="33"/>
  <c r="N10" i="8"/>
  <c r="N46" i="7"/>
  <c r="AF32" i="8"/>
  <c r="AG31" i="12"/>
  <c r="N8" i="37"/>
  <c r="AJ21" i="9"/>
  <c r="AJ23" i="9" s="1"/>
  <c r="AJ25" i="8"/>
  <c r="AA9" i="6"/>
  <c r="AF10" i="11"/>
  <c r="AC10" i="8"/>
  <c r="AE10" i="8" s="1"/>
  <c r="AJ8" i="12"/>
  <c r="AJ10" i="12" s="1"/>
  <c r="AD559" i="33" l="1"/>
  <c r="L22" i="4" s="1"/>
  <c r="AA521" i="33"/>
  <c r="M38" i="20"/>
  <c r="M38" i="21" s="1"/>
  <c r="M38" i="22" s="1"/>
  <c r="M38" i="23" s="1"/>
  <c r="M38" i="24" s="1"/>
  <c r="M38" i="25" s="1"/>
  <c r="M38" i="26" s="1"/>
  <c r="M38" i="27" s="1"/>
  <c r="M38" i="28" s="1"/>
  <c r="M38" i="29" s="1"/>
  <c r="M38" i="30" s="1"/>
  <c r="M38" i="31" s="1"/>
  <c r="M38" i="32" s="1"/>
  <c r="H27" i="4"/>
  <c r="AA747" i="33"/>
  <c r="H31" i="4"/>
  <c r="AA900" i="33"/>
  <c r="M35" i="20"/>
  <c r="M35" i="21" s="1"/>
  <c r="M35" i="22" s="1"/>
  <c r="M35" i="23" s="1"/>
  <c r="M35" i="24" s="1"/>
  <c r="M35" i="25" s="1"/>
  <c r="M35" i="26" s="1"/>
  <c r="M35" i="27" s="1"/>
  <c r="M35" i="28" s="1"/>
  <c r="M35" i="29" s="1"/>
  <c r="M35" i="30" s="1"/>
  <c r="M35" i="31" s="1"/>
  <c r="M35" i="32" s="1"/>
  <c r="Q43" i="6"/>
  <c r="Q45" i="6" s="1"/>
  <c r="Q48" i="6" s="1"/>
  <c r="L16" i="3"/>
  <c r="Z19" i="29"/>
  <c r="Z19" i="30" s="1"/>
  <c r="Z19" i="31" s="1"/>
  <c r="Z19" i="32" s="1"/>
  <c r="E23" i="54"/>
  <c r="V26" i="19"/>
  <c r="X26" i="19" s="1"/>
  <c r="T26" i="20" s="1"/>
  <c r="V26" i="20" s="1"/>
  <c r="X26" i="20" s="1"/>
  <c r="T26" i="21" s="1"/>
  <c r="V26" i="21" s="1"/>
  <c r="X26" i="21" s="1"/>
  <c r="T26" i="22" s="1"/>
  <c r="V26" i="22" s="1"/>
  <c r="X26" i="22" s="1"/>
  <c r="T26" i="23" s="1"/>
  <c r="V26" i="23" s="1"/>
  <c r="X26" i="23" s="1"/>
  <c r="T26" i="24" s="1"/>
  <c r="V26" i="24" s="1"/>
  <c r="X26" i="24" s="1"/>
  <c r="T26" i="25" s="1"/>
  <c r="V26" i="25" s="1"/>
  <c r="X26" i="25" s="1"/>
  <c r="T26" i="26" s="1"/>
  <c r="V26" i="26" s="1"/>
  <c r="X26" i="26" s="1"/>
  <c r="T26" i="27" s="1"/>
  <c r="V26" i="27" s="1"/>
  <c r="X26" i="27" s="1"/>
  <c r="T26" i="28" s="1"/>
  <c r="V26" i="28" s="1"/>
  <c r="X26" i="28" s="1"/>
  <c r="T26" i="29" s="1"/>
  <c r="V26" i="29" s="1"/>
  <c r="X26" i="29" s="1"/>
  <c r="T26" i="30" s="1"/>
  <c r="V26" i="30" s="1"/>
  <c r="X26" i="30" s="1"/>
  <c r="T26" i="31" s="1"/>
  <c r="V26" i="31" s="1"/>
  <c r="X26" i="31" s="1"/>
  <c r="T26" i="32" s="1"/>
  <c r="V26" i="32" s="1"/>
  <c r="X26" i="32" s="1"/>
  <c r="C26" i="54" s="1"/>
  <c r="E26" i="54" s="1"/>
  <c r="T46" i="19"/>
  <c r="T21" i="18"/>
  <c r="V21" i="18" s="1"/>
  <c r="X21" i="18" s="1"/>
  <c r="T21" i="19" s="1"/>
  <c r="V21" i="19" s="1"/>
  <c r="X21" i="19" s="1"/>
  <c r="T21" i="20" s="1"/>
  <c r="V21" i="20" s="1"/>
  <c r="X21" i="20" s="1"/>
  <c r="T21" i="21" s="1"/>
  <c r="V21" i="21" s="1"/>
  <c r="AA1182" i="33"/>
  <c r="H38" i="20"/>
  <c r="T22" i="32"/>
  <c r="V22" i="32" s="1"/>
  <c r="X22" i="32" s="1"/>
  <c r="C22" i="54" s="1"/>
  <c r="E22" i="54" s="1"/>
  <c r="X24" i="20"/>
  <c r="T24" i="21" s="1"/>
  <c r="V24" i="21" s="1"/>
  <c r="X24" i="21" s="1"/>
  <c r="T24" i="22" s="1"/>
  <c r="V24" i="22" s="1"/>
  <c r="X24" i="22" s="1"/>
  <c r="T24" i="23" s="1"/>
  <c r="V24" i="23" s="1"/>
  <c r="X24" i="23" s="1"/>
  <c r="T24" i="24" s="1"/>
  <c r="V24" i="24" s="1"/>
  <c r="X24" i="24" s="1"/>
  <c r="T24" i="25" s="1"/>
  <c r="V24" i="25" s="1"/>
  <c r="X24" i="25" s="1"/>
  <c r="T24" i="26" s="1"/>
  <c r="V24" i="26" s="1"/>
  <c r="X24" i="26" s="1"/>
  <c r="T24" i="27" s="1"/>
  <c r="V24" i="27" s="1"/>
  <c r="X24" i="27" s="1"/>
  <c r="T24" i="28" s="1"/>
  <c r="V24" i="28" s="1"/>
  <c r="X24" i="28" s="1"/>
  <c r="T24" i="29" s="1"/>
  <c r="V24" i="29" s="1"/>
  <c r="X24" i="29" s="1"/>
  <c r="T24" i="30" s="1"/>
  <c r="V24" i="30" s="1"/>
  <c r="X24" i="30" s="1"/>
  <c r="T24" i="31" s="1"/>
  <c r="V24" i="31" s="1"/>
  <c r="X24" i="31" s="1"/>
  <c r="T24" i="32" s="1"/>
  <c r="M39" i="19"/>
  <c r="I24" i="4"/>
  <c r="AD633" i="33"/>
  <c r="I21" i="4"/>
  <c r="AD521" i="33"/>
  <c r="AA329" i="33"/>
  <c r="I16" i="4" s="1"/>
  <c r="H15" i="4"/>
  <c r="AA288" i="33"/>
  <c r="Z248" i="33"/>
  <c r="H14" i="4" s="1"/>
  <c r="L14" i="3"/>
  <c r="L12" i="3"/>
  <c r="Z171" i="33"/>
  <c r="T20" i="28"/>
  <c r="V20" i="28" s="1"/>
  <c r="X20" i="28" s="1"/>
  <c r="T20" i="29" s="1"/>
  <c r="V20" i="29" s="1"/>
  <c r="X20" i="29" s="1"/>
  <c r="T20" i="30" s="1"/>
  <c r="V20" i="30" s="1"/>
  <c r="X20" i="30" s="1"/>
  <c r="T20" i="31" s="1"/>
  <c r="V20" i="31" s="1"/>
  <c r="X20" i="31" s="1"/>
  <c r="AA19" i="29"/>
  <c r="AC19" i="29" s="1"/>
  <c r="AE19" i="29" s="1"/>
  <c r="AA19" i="30" s="1"/>
  <c r="AC19" i="30" s="1"/>
  <c r="AE19" i="30" s="1"/>
  <c r="AA19" i="31" s="1"/>
  <c r="AC19" i="31" s="1"/>
  <c r="AE19" i="31" s="1"/>
  <c r="AA19" i="32" s="1"/>
  <c r="AC19" i="32" s="1"/>
  <c r="AE19" i="32" s="1"/>
  <c r="AD49" i="13"/>
  <c r="AD53" i="13" s="1"/>
  <c r="AD55" i="13" s="1"/>
  <c r="AD49" i="14" s="1"/>
  <c r="AD53" i="14" s="1"/>
  <c r="AD55" i="14" s="1"/>
  <c r="AD49" i="15" s="1"/>
  <c r="AD53" i="15" s="1"/>
  <c r="AD55" i="15" s="1"/>
  <c r="AD49" i="16" s="1"/>
  <c r="AD53" i="16" s="1"/>
  <c r="AD55" i="16" s="1"/>
  <c r="AD49" i="17" s="1"/>
  <c r="AD53" i="17" s="1"/>
  <c r="AD55" i="17" s="1"/>
  <c r="AD49" i="18" s="1"/>
  <c r="AD53" i="18" s="1"/>
  <c r="AD55" i="18" s="1"/>
  <c r="AD49" i="19" s="1"/>
  <c r="AD53" i="19" s="1"/>
  <c r="AD55" i="19" s="1"/>
  <c r="AD49" i="20" s="1"/>
  <c r="AD53" i="20" s="1"/>
  <c r="AD55" i="20" s="1"/>
  <c r="AD49" i="21" s="1"/>
  <c r="AD53" i="21" s="1"/>
  <c r="AD55" i="21" s="1"/>
  <c r="AD49" i="22" s="1"/>
  <c r="AD53" i="22" s="1"/>
  <c r="AD55" i="22" s="1"/>
  <c r="AD49" i="23" s="1"/>
  <c r="AD53" i="23" s="1"/>
  <c r="AD55" i="23" s="1"/>
  <c r="AD49" i="24" s="1"/>
  <c r="AD53" i="24" s="1"/>
  <c r="AD55" i="24" s="1"/>
  <c r="AD49" i="25" s="1"/>
  <c r="AD53" i="25" s="1"/>
  <c r="AD55" i="25" s="1"/>
  <c r="AD49" i="26" s="1"/>
  <c r="AD53" i="26" s="1"/>
  <c r="AD55" i="26" s="1"/>
  <c r="AD49" i="27" s="1"/>
  <c r="AD53" i="27" s="1"/>
  <c r="AD55" i="27" s="1"/>
  <c r="AD49" i="28" s="1"/>
  <c r="AD53" i="28" s="1"/>
  <c r="AD55" i="28" s="1"/>
  <c r="AD49" i="29" s="1"/>
  <c r="AD53" i="29" s="1"/>
  <c r="AD55" i="29" s="1"/>
  <c r="AD49" i="30" s="1"/>
  <c r="AD53" i="30" s="1"/>
  <c r="AD55" i="30" s="1"/>
  <c r="AD49" i="31" s="1"/>
  <c r="AD53" i="31" s="1"/>
  <c r="AD55" i="31" s="1"/>
  <c r="AD49" i="32" s="1"/>
  <c r="AD53" i="32" s="1"/>
  <c r="AD55" i="32" s="1"/>
  <c r="L41" i="54" s="1"/>
  <c r="L43" i="54" s="1"/>
  <c r="AE49" i="13"/>
  <c r="AE53" i="13" s="1"/>
  <c r="AE55" i="13" s="1"/>
  <c r="AE49" i="14" s="1"/>
  <c r="AE53" i="14" s="1"/>
  <c r="AE55" i="14" s="1"/>
  <c r="AE49" i="15" s="1"/>
  <c r="AE53" i="15" s="1"/>
  <c r="AE55" i="15" s="1"/>
  <c r="AE49" i="16" s="1"/>
  <c r="AE53" i="16" s="1"/>
  <c r="AE55" i="16" s="1"/>
  <c r="AE49" i="17" s="1"/>
  <c r="AE53" i="17" s="1"/>
  <c r="AE55" i="17" s="1"/>
  <c r="AE49" i="18" s="1"/>
  <c r="AE53" i="18" s="1"/>
  <c r="AE55" i="18" s="1"/>
  <c r="AE49" i="19" s="1"/>
  <c r="AE53" i="19" s="1"/>
  <c r="AE55" i="19" s="1"/>
  <c r="AE49" i="20" s="1"/>
  <c r="AE53" i="20" s="1"/>
  <c r="AE55" i="20" s="1"/>
  <c r="AE49" i="21" s="1"/>
  <c r="AE53" i="21" s="1"/>
  <c r="AE55" i="21" s="1"/>
  <c r="AE49" i="22" s="1"/>
  <c r="AE53" i="22" s="1"/>
  <c r="AE55" i="22" s="1"/>
  <c r="AE49" i="23" s="1"/>
  <c r="AE53" i="23" s="1"/>
  <c r="AE55" i="23" s="1"/>
  <c r="AE49" i="24" s="1"/>
  <c r="AE53" i="24" s="1"/>
  <c r="AE55" i="24" s="1"/>
  <c r="AE49" i="25" s="1"/>
  <c r="AE53" i="25" s="1"/>
  <c r="AE55" i="25" s="1"/>
  <c r="AE49" i="26" s="1"/>
  <c r="AE53" i="26" s="1"/>
  <c r="AE55" i="26" s="1"/>
  <c r="AE49" i="27" s="1"/>
  <c r="AE53" i="27" s="1"/>
  <c r="AE55" i="27" s="1"/>
  <c r="AE49" i="28" s="1"/>
  <c r="AE53" i="28" s="1"/>
  <c r="AE55" i="28" s="1"/>
  <c r="AE49" i="29" s="1"/>
  <c r="AE53" i="29" s="1"/>
  <c r="AE55" i="29" s="1"/>
  <c r="AE49" i="30" s="1"/>
  <c r="AE53" i="30" s="1"/>
  <c r="AE55" i="30" s="1"/>
  <c r="AE49" i="31" s="1"/>
  <c r="AE53" i="31" s="1"/>
  <c r="AE55" i="31" s="1"/>
  <c r="AE49" i="32" s="1"/>
  <c r="AE53" i="32" s="1"/>
  <c r="AE55" i="32" s="1"/>
  <c r="M41" i="54" s="1"/>
  <c r="M43" i="54" s="1"/>
  <c r="AG49" i="13"/>
  <c r="AG53" i="13" s="1"/>
  <c r="AG55" i="13" s="1"/>
  <c r="AG49" i="14" s="1"/>
  <c r="AG53" i="14" s="1"/>
  <c r="AG55" i="14" s="1"/>
  <c r="AG49" i="15" s="1"/>
  <c r="AG53" i="15" s="1"/>
  <c r="AG55" i="15" s="1"/>
  <c r="AG49" i="16" s="1"/>
  <c r="AG53" i="16" s="1"/>
  <c r="AG55" i="16" s="1"/>
  <c r="AG49" i="17" s="1"/>
  <c r="AG53" i="17" s="1"/>
  <c r="AG55" i="17" s="1"/>
  <c r="AG49" i="18" s="1"/>
  <c r="AG53" i="18" s="1"/>
  <c r="AG55" i="18" s="1"/>
  <c r="AG49" i="19" s="1"/>
  <c r="AG53" i="19" s="1"/>
  <c r="AG55" i="19" s="1"/>
  <c r="AG49" i="20" s="1"/>
  <c r="AG53" i="20" s="1"/>
  <c r="AG55" i="20" s="1"/>
  <c r="AG49" i="21" s="1"/>
  <c r="AG53" i="21" s="1"/>
  <c r="AG55" i="21" s="1"/>
  <c r="AG49" i="22" s="1"/>
  <c r="AG53" i="22" s="1"/>
  <c r="AG55" i="22" s="1"/>
  <c r="AG49" i="23" s="1"/>
  <c r="AG53" i="23" s="1"/>
  <c r="AG55" i="23" s="1"/>
  <c r="AG49" i="24" s="1"/>
  <c r="AG53" i="24" s="1"/>
  <c r="AG55" i="24" s="1"/>
  <c r="AG49" i="25" s="1"/>
  <c r="AG53" i="25" s="1"/>
  <c r="AG55" i="25" s="1"/>
  <c r="AG49" i="26" s="1"/>
  <c r="AG53" i="26" s="1"/>
  <c r="AG55" i="26" s="1"/>
  <c r="AG49" i="27" s="1"/>
  <c r="AG53" i="27" s="1"/>
  <c r="AG55" i="27" s="1"/>
  <c r="AG49" i="28" s="1"/>
  <c r="AG53" i="28" s="1"/>
  <c r="AG55" i="28" s="1"/>
  <c r="AG49" i="29" s="1"/>
  <c r="AG53" i="29" s="1"/>
  <c r="AG55" i="29" s="1"/>
  <c r="AG49" i="30" s="1"/>
  <c r="AG53" i="30" s="1"/>
  <c r="AG55" i="30" s="1"/>
  <c r="AG49" i="31" s="1"/>
  <c r="AG53" i="31" s="1"/>
  <c r="AG55" i="31" s="1"/>
  <c r="AG49" i="32" s="1"/>
  <c r="AG53" i="32" s="1"/>
  <c r="AG55" i="32" s="1"/>
  <c r="O41" i="54" s="1"/>
  <c r="O43" i="54" s="1"/>
  <c r="AF49" i="13"/>
  <c r="AF53" i="13" s="1"/>
  <c r="AF55" i="13" s="1"/>
  <c r="AF49" i="14" s="1"/>
  <c r="AF53" i="14" s="1"/>
  <c r="AF55" i="14" s="1"/>
  <c r="AF49" i="15" s="1"/>
  <c r="AF53" i="15" s="1"/>
  <c r="AF55" i="15" s="1"/>
  <c r="AF49" i="16" s="1"/>
  <c r="AF53" i="16" s="1"/>
  <c r="AF55" i="16" s="1"/>
  <c r="AF49" i="17" s="1"/>
  <c r="AF53" i="17" s="1"/>
  <c r="AF55" i="17" s="1"/>
  <c r="AF49" i="18" s="1"/>
  <c r="AF53" i="18" s="1"/>
  <c r="AF55" i="18" s="1"/>
  <c r="AF49" i="19" s="1"/>
  <c r="AF53" i="19" s="1"/>
  <c r="AF55" i="19" s="1"/>
  <c r="AF49" i="20" s="1"/>
  <c r="AF53" i="20" s="1"/>
  <c r="AF55" i="20" s="1"/>
  <c r="AF49" i="21" s="1"/>
  <c r="AF53" i="21" s="1"/>
  <c r="AF55" i="21" s="1"/>
  <c r="Y49" i="13"/>
  <c r="Y53" i="13" s="1"/>
  <c r="Y55" i="13" s="1"/>
  <c r="Y49" i="14" s="1"/>
  <c r="Y53" i="14" s="1"/>
  <c r="Y55" i="14" s="1"/>
  <c r="Y49" i="15" s="1"/>
  <c r="Y53" i="15" s="1"/>
  <c r="Y55" i="15" s="1"/>
  <c r="Y49" i="16" s="1"/>
  <c r="Y53" i="16" s="1"/>
  <c r="Y55" i="16" s="1"/>
  <c r="Y49" i="17" s="1"/>
  <c r="Y53" i="17" s="1"/>
  <c r="Y55" i="17" s="1"/>
  <c r="Y49" i="18" s="1"/>
  <c r="Y53" i="18" s="1"/>
  <c r="Y55" i="18" s="1"/>
  <c r="Y49" i="19" s="1"/>
  <c r="Y53" i="19" s="1"/>
  <c r="Y55" i="19" s="1"/>
  <c r="Y49" i="20" s="1"/>
  <c r="Y53" i="20" s="1"/>
  <c r="Y55" i="20" s="1"/>
  <c r="Y49" i="21" s="1"/>
  <c r="Y53" i="21" s="1"/>
  <c r="Y55" i="21" s="1"/>
  <c r="Y49" i="22" s="1"/>
  <c r="Y53" i="22" s="1"/>
  <c r="Y55" i="22" s="1"/>
  <c r="Y49" i="23" s="1"/>
  <c r="Y53" i="23" s="1"/>
  <c r="Y55" i="23" s="1"/>
  <c r="Y49" i="24" s="1"/>
  <c r="Y53" i="24" s="1"/>
  <c r="Y55" i="24" s="1"/>
  <c r="Y49" i="25" s="1"/>
  <c r="Y53" i="25" s="1"/>
  <c r="Y55" i="25" s="1"/>
  <c r="Y49" i="26" s="1"/>
  <c r="Y53" i="26" s="1"/>
  <c r="Y55" i="26" s="1"/>
  <c r="Y49" i="27" s="1"/>
  <c r="Y53" i="27" s="1"/>
  <c r="Y55" i="27" s="1"/>
  <c r="Y49" i="28" s="1"/>
  <c r="Y53" i="28" s="1"/>
  <c r="Y55" i="28" s="1"/>
  <c r="Y49" i="29" s="1"/>
  <c r="Y53" i="29" s="1"/>
  <c r="Y55" i="29" s="1"/>
  <c r="Y49" i="30" s="1"/>
  <c r="Y53" i="30" s="1"/>
  <c r="Y55" i="30" s="1"/>
  <c r="Y49" i="31" s="1"/>
  <c r="Y53" i="31" s="1"/>
  <c r="Y55" i="31" s="1"/>
  <c r="Y49" i="32" s="1"/>
  <c r="Y53" i="32" s="1"/>
  <c r="Y55" i="32" s="1"/>
  <c r="G41" i="54" s="1"/>
  <c r="G43" i="54" s="1"/>
  <c r="AH49" i="13"/>
  <c r="AH53" i="13" s="1"/>
  <c r="AH55" i="13" s="1"/>
  <c r="AH49" i="14" s="1"/>
  <c r="AH53" i="14" s="1"/>
  <c r="AH55" i="14" s="1"/>
  <c r="AH49" i="15" s="1"/>
  <c r="AH53" i="15" s="1"/>
  <c r="AH55" i="15" s="1"/>
  <c r="AH49" i="16" s="1"/>
  <c r="AH53" i="16" s="1"/>
  <c r="AH55" i="16" s="1"/>
  <c r="AH49" i="17" s="1"/>
  <c r="AH53" i="17" s="1"/>
  <c r="AH55" i="17" s="1"/>
  <c r="AH49" i="18" s="1"/>
  <c r="AH53" i="18" s="1"/>
  <c r="AH55" i="18" s="1"/>
  <c r="AH49" i="19" s="1"/>
  <c r="AH53" i="19" s="1"/>
  <c r="AH55" i="19" s="1"/>
  <c r="AH49" i="20" s="1"/>
  <c r="AH53" i="20" s="1"/>
  <c r="AH55" i="20" s="1"/>
  <c r="AH49" i="21" s="1"/>
  <c r="AH53" i="21" s="1"/>
  <c r="AH55" i="21" s="1"/>
  <c r="AH49" i="22" s="1"/>
  <c r="AH53" i="22" s="1"/>
  <c r="AH55" i="22" s="1"/>
  <c r="AH49" i="23" s="1"/>
  <c r="AH53" i="23" s="1"/>
  <c r="AH55" i="23" s="1"/>
  <c r="AH49" i="24" s="1"/>
  <c r="AH53" i="24" s="1"/>
  <c r="AH55" i="24" s="1"/>
  <c r="AH49" i="25" s="1"/>
  <c r="AH53" i="25" s="1"/>
  <c r="AH55" i="25" s="1"/>
  <c r="AH49" i="26" s="1"/>
  <c r="AH53" i="26" s="1"/>
  <c r="AH55" i="26" s="1"/>
  <c r="AH49" i="27" s="1"/>
  <c r="AH53" i="27" s="1"/>
  <c r="AH55" i="27" s="1"/>
  <c r="AH49" i="28" s="1"/>
  <c r="AH53" i="28" s="1"/>
  <c r="AH55" i="28" s="1"/>
  <c r="AH49" i="29" s="1"/>
  <c r="AH53" i="29" s="1"/>
  <c r="AH55" i="29" s="1"/>
  <c r="AH49" i="30" s="1"/>
  <c r="AH53" i="30" s="1"/>
  <c r="AH55" i="30" s="1"/>
  <c r="AH49" i="31" s="1"/>
  <c r="AH53" i="31" s="1"/>
  <c r="AH55" i="31" s="1"/>
  <c r="AH49" i="32" s="1"/>
  <c r="AH53" i="32" s="1"/>
  <c r="AH55" i="32" s="1"/>
  <c r="P41" i="54" s="1"/>
  <c r="P43" i="54" s="1"/>
  <c r="U49" i="13"/>
  <c r="U53" i="13" s="1"/>
  <c r="U55" i="13" s="1"/>
  <c r="U49" i="14" s="1"/>
  <c r="U53" i="14" s="1"/>
  <c r="U55" i="14" s="1"/>
  <c r="U49" i="15" s="1"/>
  <c r="U53" i="15" s="1"/>
  <c r="U55" i="15" s="1"/>
  <c r="U49" i="16" s="1"/>
  <c r="U53" i="16" s="1"/>
  <c r="U55" i="16" s="1"/>
  <c r="U49" i="17" s="1"/>
  <c r="U53" i="17" s="1"/>
  <c r="U55" i="17" s="1"/>
  <c r="U49" i="18" s="1"/>
  <c r="U53" i="18" s="1"/>
  <c r="U55" i="18" s="1"/>
  <c r="U49" i="19" s="1"/>
  <c r="U53" i="19" s="1"/>
  <c r="U55" i="19" s="1"/>
  <c r="U49" i="20" s="1"/>
  <c r="U53" i="20" s="1"/>
  <c r="U55" i="20" s="1"/>
  <c r="U49" i="21" s="1"/>
  <c r="U53" i="21" s="1"/>
  <c r="U55" i="21" s="1"/>
  <c r="U49" i="22" s="1"/>
  <c r="U53" i="22" s="1"/>
  <c r="U55" i="22" s="1"/>
  <c r="U49" i="23" s="1"/>
  <c r="U53" i="23" s="1"/>
  <c r="U55" i="23" s="1"/>
  <c r="U49" i="24" s="1"/>
  <c r="U53" i="24" s="1"/>
  <c r="U55" i="24" s="1"/>
  <c r="U49" i="25" s="1"/>
  <c r="U53" i="25" s="1"/>
  <c r="U55" i="25" s="1"/>
  <c r="U49" i="26" s="1"/>
  <c r="U53" i="26" s="1"/>
  <c r="U55" i="26" s="1"/>
  <c r="U49" i="27" s="1"/>
  <c r="U53" i="27" s="1"/>
  <c r="U55" i="27" s="1"/>
  <c r="U49" i="28" s="1"/>
  <c r="U53" i="28" s="1"/>
  <c r="U55" i="28" s="1"/>
  <c r="U49" i="29" s="1"/>
  <c r="U53" i="29" s="1"/>
  <c r="U55" i="29" s="1"/>
  <c r="U49" i="30" s="1"/>
  <c r="U53" i="30" s="1"/>
  <c r="U55" i="30" s="1"/>
  <c r="U49" i="31" s="1"/>
  <c r="U53" i="31" s="1"/>
  <c r="U55" i="31" s="1"/>
  <c r="U49" i="32" s="1"/>
  <c r="U53" i="32" s="1"/>
  <c r="U55" i="32" s="1"/>
  <c r="C41" i="54" s="1"/>
  <c r="C43" i="54" s="1"/>
  <c r="V49" i="13"/>
  <c r="V53" i="13" s="1"/>
  <c r="V55" i="13" s="1"/>
  <c r="V49" i="14" s="1"/>
  <c r="V53" i="14" s="1"/>
  <c r="V55" i="14" s="1"/>
  <c r="V49" i="15" s="1"/>
  <c r="V53" i="15" s="1"/>
  <c r="V55" i="15" s="1"/>
  <c r="V49" i="16" s="1"/>
  <c r="V53" i="16" s="1"/>
  <c r="V55" i="16" s="1"/>
  <c r="V49" i="17" s="1"/>
  <c r="V53" i="17" s="1"/>
  <c r="V55" i="17" s="1"/>
  <c r="V49" i="18" s="1"/>
  <c r="V53" i="18" s="1"/>
  <c r="V55" i="18" s="1"/>
  <c r="V49" i="19" s="1"/>
  <c r="V53" i="19" s="1"/>
  <c r="V55" i="19" s="1"/>
  <c r="V49" i="20" s="1"/>
  <c r="V53" i="20" s="1"/>
  <c r="V55" i="20" s="1"/>
  <c r="V49" i="21" s="1"/>
  <c r="V53" i="21" s="1"/>
  <c r="V55" i="21" s="1"/>
  <c r="V49" i="22" s="1"/>
  <c r="V53" i="22" s="1"/>
  <c r="V55" i="22" s="1"/>
  <c r="V49" i="23" s="1"/>
  <c r="V53" i="23" s="1"/>
  <c r="V55" i="23" s="1"/>
  <c r="V49" i="24" s="1"/>
  <c r="V53" i="24" s="1"/>
  <c r="V55" i="24" s="1"/>
  <c r="V49" i="25" s="1"/>
  <c r="V53" i="25" s="1"/>
  <c r="V55" i="25" s="1"/>
  <c r="V49" i="26" s="1"/>
  <c r="V53" i="26" s="1"/>
  <c r="V55" i="26" s="1"/>
  <c r="V49" i="27" s="1"/>
  <c r="V53" i="27" s="1"/>
  <c r="V55" i="27" s="1"/>
  <c r="V49" i="28" s="1"/>
  <c r="V53" i="28" s="1"/>
  <c r="V55" i="28" s="1"/>
  <c r="V49" i="29" s="1"/>
  <c r="V53" i="29" s="1"/>
  <c r="V55" i="29" s="1"/>
  <c r="V49" i="30" s="1"/>
  <c r="V53" i="30" s="1"/>
  <c r="V55" i="30" s="1"/>
  <c r="V49" i="31" s="1"/>
  <c r="V53" i="31" s="1"/>
  <c r="V55" i="31" s="1"/>
  <c r="V49" i="32" s="1"/>
  <c r="V53" i="32" s="1"/>
  <c r="V55" i="32" s="1"/>
  <c r="D41" i="54" s="1"/>
  <c r="D43" i="54" s="1"/>
  <c r="AC49" i="13"/>
  <c r="AC53" i="13" s="1"/>
  <c r="AC55" i="13" s="1"/>
  <c r="AC49" i="14" s="1"/>
  <c r="AC53" i="14" s="1"/>
  <c r="AC55" i="14" s="1"/>
  <c r="AC49" i="15" s="1"/>
  <c r="AC53" i="15" s="1"/>
  <c r="AC55" i="15" s="1"/>
  <c r="AC49" i="16" s="1"/>
  <c r="AC53" i="16" s="1"/>
  <c r="AC55" i="16" s="1"/>
  <c r="AC49" i="17" s="1"/>
  <c r="AC53" i="17" s="1"/>
  <c r="AC55" i="17" s="1"/>
  <c r="AC49" i="18" s="1"/>
  <c r="AC53" i="18" s="1"/>
  <c r="AI49" i="13"/>
  <c r="AI53" i="13" s="1"/>
  <c r="AI55" i="13" s="1"/>
  <c r="AI49" i="14" s="1"/>
  <c r="AI53" i="14" s="1"/>
  <c r="AI55" i="14" s="1"/>
  <c r="AI49" i="15" s="1"/>
  <c r="AI53" i="15" s="1"/>
  <c r="AI55" i="15" s="1"/>
  <c r="AI49" i="16" s="1"/>
  <c r="AI53" i="16" s="1"/>
  <c r="AI55" i="16" s="1"/>
  <c r="AI49" i="17" s="1"/>
  <c r="AI53" i="17" s="1"/>
  <c r="AI55" i="17" s="1"/>
  <c r="AI49" i="18" s="1"/>
  <c r="AI53" i="18" s="1"/>
  <c r="AI55" i="18" s="1"/>
  <c r="AI49" i="19" s="1"/>
  <c r="AI53" i="19" s="1"/>
  <c r="AI55" i="19" s="1"/>
  <c r="AI49" i="20" s="1"/>
  <c r="AI53" i="20" s="1"/>
  <c r="AI55" i="20" s="1"/>
  <c r="AI49" i="21" s="1"/>
  <c r="AI53" i="21" s="1"/>
  <c r="AI55" i="21" s="1"/>
  <c r="AI49" i="22" s="1"/>
  <c r="AI53" i="22" s="1"/>
  <c r="AI55" i="22" s="1"/>
  <c r="AI49" i="23" s="1"/>
  <c r="AI53" i="23" s="1"/>
  <c r="AI55" i="23" s="1"/>
  <c r="AI49" i="24" s="1"/>
  <c r="AI53" i="24" s="1"/>
  <c r="AI55" i="24" s="1"/>
  <c r="AI49" i="25" s="1"/>
  <c r="AI53" i="25" s="1"/>
  <c r="AI55" i="25" s="1"/>
  <c r="AI49" i="26" s="1"/>
  <c r="AI53" i="26" s="1"/>
  <c r="AI55" i="26" s="1"/>
  <c r="AI49" i="27" s="1"/>
  <c r="AI53" i="27" s="1"/>
  <c r="AI55" i="27" s="1"/>
  <c r="AI49" i="28" s="1"/>
  <c r="AI53" i="28" s="1"/>
  <c r="AI55" i="28" s="1"/>
  <c r="AI49" i="29" s="1"/>
  <c r="AI53" i="29" s="1"/>
  <c r="AI55" i="29" s="1"/>
  <c r="AI49" i="30" s="1"/>
  <c r="AI53" i="30" s="1"/>
  <c r="AI55" i="30" s="1"/>
  <c r="AI49" i="31" s="1"/>
  <c r="AI53" i="31" s="1"/>
  <c r="AI55" i="31" s="1"/>
  <c r="AI49" i="32" s="1"/>
  <c r="AI53" i="32" s="1"/>
  <c r="AI55" i="32" s="1"/>
  <c r="Q41" i="54" s="1"/>
  <c r="Q43" i="54" s="1"/>
  <c r="X49" i="13"/>
  <c r="X53" i="13" s="1"/>
  <c r="X55" i="13" s="1"/>
  <c r="X49" i="14" s="1"/>
  <c r="X53" i="14" s="1"/>
  <c r="X55" i="14" s="1"/>
  <c r="X49" i="15" s="1"/>
  <c r="X53" i="15" s="1"/>
  <c r="X55" i="15" s="1"/>
  <c r="X49" i="16" s="1"/>
  <c r="X53" i="16" s="1"/>
  <c r="X55" i="16" s="1"/>
  <c r="X49" i="17" s="1"/>
  <c r="X53" i="17" s="1"/>
  <c r="X55" i="17" s="1"/>
  <c r="X49" i="18" s="1"/>
  <c r="X53" i="18" s="1"/>
  <c r="X55" i="18" s="1"/>
  <c r="X49" i="19" s="1"/>
  <c r="X53" i="19" s="1"/>
  <c r="X55" i="19" s="1"/>
  <c r="X49" i="20" s="1"/>
  <c r="X53" i="20" s="1"/>
  <c r="X55" i="20" s="1"/>
  <c r="X49" i="21" s="1"/>
  <c r="X53" i="21" s="1"/>
  <c r="X55" i="21" s="1"/>
  <c r="X49" i="22" s="1"/>
  <c r="X53" i="22" s="1"/>
  <c r="X55" i="22" s="1"/>
  <c r="X49" i="23" s="1"/>
  <c r="X53" i="23" s="1"/>
  <c r="X55" i="23" s="1"/>
  <c r="X49" i="24" s="1"/>
  <c r="X53" i="24" s="1"/>
  <c r="X55" i="24" s="1"/>
  <c r="X49" i="25" s="1"/>
  <c r="X53" i="25" s="1"/>
  <c r="X55" i="25" s="1"/>
  <c r="X49" i="26" s="1"/>
  <c r="X53" i="26" s="1"/>
  <c r="X55" i="26" s="1"/>
  <c r="X49" i="27" s="1"/>
  <c r="X53" i="27" s="1"/>
  <c r="X55" i="27" s="1"/>
  <c r="X49" i="28" s="1"/>
  <c r="X53" i="28" s="1"/>
  <c r="X55" i="28" s="1"/>
  <c r="X49" i="29" s="1"/>
  <c r="X53" i="29" s="1"/>
  <c r="X55" i="29" s="1"/>
  <c r="X49" i="30" s="1"/>
  <c r="X53" i="30" s="1"/>
  <c r="X55" i="30" s="1"/>
  <c r="X49" i="31" s="1"/>
  <c r="X53" i="31" s="1"/>
  <c r="X55" i="31" s="1"/>
  <c r="X49" i="32" s="1"/>
  <c r="X53" i="32" s="1"/>
  <c r="X55" i="32" s="1"/>
  <c r="F41" i="54" s="1"/>
  <c r="F43" i="54" s="1"/>
  <c r="W49" i="13"/>
  <c r="W53" i="13" s="1"/>
  <c r="W55" i="13" s="1"/>
  <c r="W49" i="14" s="1"/>
  <c r="W53" i="14" s="1"/>
  <c r="W55" i="14" s="1"/>
  <c r="W49" i="15" s="1"/>
  <c r="W53" i="15" s="1"/>
  <c r="W55" i="15" s="1"/>
  <c r="W49" i="16" s="1"/>
  <c r="W53" i="16" s="1"/>
  <c r="W55" i="16" s="1"/>
  <c r="W49" i="17" s="1"/>
  <c r="W53" i="17" s="1"/>
  <c r="W55" i="17" s="1"/>
  <c r="W49" i="18" s="1"/>
  <c r="W53" i="18" s="1"/>
  <c r="W55" i="18" s="1"/>
  <c r="W49" i="19" s="1"/>
  <c r="W53" i="19" s="1"/>
  <c r="W55" i="19" s="1"/>
  <c r="W49" i="20" s="1"/>
  <c r="W53" i="20" s="1"/>
  <c r="W55" i="20" s="1"/>
  <c r="W49" i="21" s="1"/>
  <c r="W53" i="21" s="1"/>
  <c r="W55" i="21" s="1"/>
  <c r="W49" i="22" s="1"/>
  <c r="W53" i="22" s="1"/>
  <c r="W55" i="22" s="1"/>
  <c r="W49" i="23" s="1"/>
  <c r="W53" i="23" s="1"/>
  <c r="W55" i="23" s="1"/>
  <c r="W49" i="24" s="1"/>
  <c r="W53" i="24" s="1"/>
  <c r="W55" i="24" s="1"/>
  <c r="W49" i="25" s="1"/>
  <c r="W53" i="25" s="1"/>
  <c r="W55" i="25" s="1"/>
  <c r="W49" i="26" s="1"/>
  <c r="W53" i="26" s="1"/>
  <c r="W55" i="26" s="1"/>
  <c r="W49" i="27" s="1"/>
  <c r="W53" i="27" s="1"/>
  <c r="W55" i="27" s="1"/>
  <c r="W49" i="28" s="1"/>
  <c r="W53" i="28" s="1"/>
  <c r="W55" i="28" s="1"/>
  <c r="W49" i="29" s="1"/>
  <c r="W53" i="29" s="1"/>
  <c r="W55" i="29" s="1"/>
  <c r="W49" i="30" s="1"/>
  <c r="W53" i="30" s="1"/>
  <c r="W55" i="30" s="1"/>
  <c r="W49" i="31" s="1"/>
  <c r="W53" i="31" s="1"/>
  <c r="W55" i="31" s="1"/>
  <c r="W49" i="32" s="1"/>
  <c r="W53" i="32" s="1"/>
  <c r="W55" i="32" s="1"/>
  <c r="E41" i="54" s="1"/>
  <c r="E43" i="54" s="1"/>
  <c r="Z49" i="13"/>
  <c r="Z53" i="13" s="1"/>
  <c r="Z55" i="13" s="1"/>
  <c r="Z49" i="14" s="1"/>
  <c r="Z53" i="14" s="1"/>
  <c r="Z55" i="14" s="1"/>
  <c r="Z49" i="15" s="1"/>
  <c r="Z53" i="15" s="1"/>
  <c r="Z55" i="15" s="1"/>
  <c r="Z49" i="16" s="1"/>
  <c r="Z53" i="16" s="1"/>
  <c r="Z55" i="16" s="1"/>
  <c r="Z49" i="17" s="1"/>
  <c r="Z53" i="17" s="1"/>
  <c r="Z55" i="17" s="1"/>
  <c r="Z49" i="18" s="1"/>
  <c r="Z53" i="18" s="1"/>
  <c r="Z55" i="18" s="1"/>
  <c r="Z49" i="19" s="1"/>
  <c r="Z53" i="19" s="1"/>
  <c r="Z55" i="19" s="1"/>
  <c r="Z49" i="20" s="1"/>
  <c r="Z53" i="20" s="1"/>
  <c r="Z55" i="20" s="1"/>
  <c r="Z49" i="21" s="1"/>
  <c r="Z53" i="21" s="1"/>
  <c r="Z55" i="21" s="1"/>
  <c r="Z49" i="22" s="1"/>
  <c r="Z53" i="22" s="1"/>
  <c r="Z55" i="22" s="1"/>
  <c r="Z49" i="23" s="1"/>
  <c r="Z53" i="23" s="1"/>
  <c r="Z55" i="23" s="1"/>
  <c r="Z49" i="24" s="1"/>
  <c r="Z53" i="24" s="1"/>
  <c r="Z55" i="24" s="1"/>
  <c r="Z49" i="25" s="1"/>
  <c r="Z53" i="25" s="1"/>
  <c r="Z55" i="25" s="1"/>
  <c r="Z49" i="26" s="1"/>
  <c r="Z53" i="26" s="1"/>
  <c r="Z55" i="26" s="1"/>
  <c r="Z49" i="27" s="1"/>
  <c r="Z53" i="27" s="1"/>
  <c r="Z55" i="27" s="1"/>
  <c r="Z49" i="28" s="1"/>
  <c r="Z53" i="28" s="1"/>
  <c r="Z55" i="28" s="1"/>
  <c r="Z49" i="29" s="1"/>
  <c r="Z53" i="29" s="1"/>
  <c r="Z55" i="29" s="1"/>
  <c r="Z49" i="30" s="1"/>
  <c r="Z53" i="30" s="1"/>
  <c r="Z55" i="30" s="1"/>
  <c r="Z49" i="31" s="1"/>
  <c r="Z53" i="31" s="1"/>
  <c r="Z55" i="31" s="1"/>
  <c r="Z49" i="32" s="1"/>
  <c r="Z53" i="32" s="1"/>
  <c r="Z55" i="32" s="1"/>
  <c r="H41" i="54" s="1"/>
  <c r="H43" i="54" s="1"/>
  <c r="AB55" i="7"/>
  <c r="AB49" i="8" s="1"/>
  <c r="AB53" i="8" s="1"/>
  <c r="L9" i="3"/>
  <c r="Z560" i="33"/>
  <c r="H22" i="5" s="1"/>
  <c r="AA484" i="33"/>
  <c r="I20" i="4" s="1"/>
  <c r="AA1091" i="33"/>
  <c r="I36" i="4" s="1"/>
  <c r="G47" i="6"/>
  <c r="G48" i="6" s="1"/>
  <c r="N48" i="5"/>
  <c r="Q41" i="4"/>
  <c r="Q49" i="4" s="1"/>
  <c r="Z448" i="33"/>
  <c r="H19" i="4" s="1"/>
  <c r="AD709" i="33"/>
  <c r="L26" i="4" s="1"/>
  <c r="AA977" i="33"/>
  <c r="I33" i="4" s="1"/>
  <c r="AA939" i="33"/>
  <c r="I32" i="4" s="1"/>
  <c r="AA823" i="33"/>
  <c r="I29" i="4" s="1"/>
  <c r="AD861" i="33"/>
  <c r="L30" i="4" s="1"/>
  <c r="AA785" i="33"/>
  <c r="I28" i="4" s="1"/>
  <c r="AA671" i="33"/>
  <c r="I25" i="4" s="1"/>
  <c r="A328" i="33"/>
  <c r="A329" i="33" s="1"/>
  <c r="A330" i="33" s="1"/>
  <c r="A331" i="33" s="1"/>
  <c r="A332" i="33" s="1"/>
  <c r="A333" i="33" s="1"/>
  <c r="A334" i="33" s="1"/>
  <c r="A335" i="33" s="1"/>
  <c r="A336" i="33" s="1"/>
  <c r="A337" i="33" s="1"/>
  <c r="A338" i="33" s="1"/>
  <c r="A339" i="33" s="1"/>
  <c r="A340" i="33" s="1"/>
  <c r="A341" i="33" s="1"/>
  <c r="A342" i="33" s="1"/>
  <c r="A343" i="33" s="1"/>
  <c r="A344" i="33" s="1"/>
  <c r="A345" i="33" s="1"/>
  <c r="A346" i="33" s="1"/>
  <c r="A347" i="33" s="1"/>
  <c r="A348" i="33" s="1"/>
  <c r="A349" i="33" s="1"/>
  <c r="A350" i="33" s="1"/>
  <c r="A351" i="33" s="1"/>
  <c r="A352" i="33" s="1"/>
  <c r="A353" i="33" s="1"/>
  <c r="A354" i="33" s="1"/>
  <c r="A355" i="33" s="1"/>
  <c r="A356" i="33" s="1"/>
  <c r="A357" i="33" s="1"/>
  <c r="A369" i="33"/>
  <c r="AA1053" i="33"/>
  <c r="I35" i="4" s="1"/>
  <c r="AG8" i="9"/>
  <c r="AG43" i="8"/>
  <c r="AD1015" i="33"/>
  <c r="L34" i="4" s="1"/>
  <c r="AA595" i="33"/>
  <c r="I23" i="4" s="1"/>
  <c r="AD1129" i="33"/>
  <c r="Q38" i="7"/>
  <c r="C48" i="8"/>
  <c r="D48" i="8" s="1"/>
  <c r="AA371" i="33"/>
  <c r="I17" i="4" s="1"/>
  <c r="Q36" i="5"/>
  <c r="Q37" i="5" s="1"/>
  <c r="J47" i="6"/>
  <c r="J48" i="6" s="1"/>
  <c r="N59" i="5"/>
  <c r="Q40" i="5"/>
  <c r="AA133" i="33"/>
  <c r="I11" i="4" s="1"/>
  <c r="AA94" i="33"/>
  <c r="H10" i="4"/>
  <c r="A6" i="9"/>
  <c r="S6" i="9" s="1"/>
  <c r="A16" i="56"/>
  <c r="A1089" i="33"/>
  <c r="A1052" i="33"/>
  <c r="A1053" i="33" s="1"/>
  <c r="A1054" i="33" s="1"/>
  <c r="A1055" i="33" s="1"/>
  <c r="A1056" i="33" s="1"/>
  <c r="A1057" i="33" s="1"/>
  <c r="A1058" i="33" s="1"/>
  <c r="A1059" i="33" s="1"/>
  <c r="A1060" i="33" s="1"/>
  <c r="A1061" i="33" s="1"/>
  <c r="A1062" i="33" s="1"/>
  <c r="A1063" i="33" s="1"/>
  <c r="A1064" i="33" s="1"/>
  <c r="A1065" i="33" s="1"/>
  <c r="A1066" i="33" s="1"/>
  <c r="A1067" i="33" s="1"/>
  <c r="A1068" i="33" s="1"/>
  <c r="A1069" i="33" s="1"/>
  <c r="A1070" i="33" s="1"/>
  <c r="A1071" i="33" s="1"/>
  <c r="A1072" i="33" s="1"/>
  <c r="A1073" i="33" s="1"/>
  <c r="A1074" i="33" s="1"/>
  <c r="A1075" i="33" s="1"/>
  <c r="A1076" i="33" s="1"/>
  <c r="A1077" i="33" s="1"/>
  <c r="A1078" i="33" s="1"/>
  <c r="A1079" i="33" s="1"/>
  <c r="A1080" i="33" s="1"/>
  <c r="A1081" i="33" s="1"/>
  <c r="H9" i="4"/>
  <c r="AA56" i="33"/>
  <c r="H8" i="4"/>
  <c r="AA10" i="33"/>
  <c r="Z212" i="33"/>
  <c r="H13" i="5" s="1"/>
  <c r="AF33" i="7"/>
  <c r="AF43" i="6"/>
  <c r="AA33" i="5"/>
  <c r="AE43" i="4"/>
  <c r="M8" i="8"/>
  <c r="M46" i="7"/>
  <c r="N10" i="9"/>
  <c r="N46" i="8"/>
  <c r="A27" i="33"/>
  <c r="A72" i="33"/>
  <c r="AD410" i="33"/>
  <c r="L18" i="4" s="1"/>
  <c r="AF32" i="9"/>
  <c r="AG31" i="13"/>
  <c r="AG31" i="14" s="1"/>
  <c r="N8" i="11"/>
  <c r="AJ21" i="37"/>
  <c r="AJ23" i="37" s="1"/>
  <c r="AJ25" i="9"/>
  <c r="AC9" i="6"/>
  <c r="AE9" i="6" s="1"/>
  <c r="AF10" i="12"/>
  <c r="AA10" i="9"/>
  <c r="AJ8" i="13"/>
  <c r="AJ10" i="13" s="1"/>
  <c r="X21" i="21" l="1"/>
  <c r="T21" i="22" s="1"/>
  <c r="V21" i="22" s="1"/>
  <c r="X21" i="22" s="1"/>
  <c r="T21" i="23" s="1"/>
  <c r="V21" i="23" s="1"/>
  <c r="X21" i="23" s="1"/>
  <c r="T21" i="24" s="1"/>
  <c r="V21" i="24" s="1"/>
  <c r="X21" i="24" s="1"/>
  <c r="T21" i="25" s="1"/>
  <c r="V21" i="25" s="1"/>
  <c r="X21" i="25" s="1"/>
  <c r="T21" i="26" s="1"/>
  <c r="V21" i="26" s="1"/>
  <c r="X21" i="26" s="1"/>
  <c r="T21" i="27" s="1"/>
  <c r="V21" i="27" s="1"/>
  <c r="X21" i="27" s="1"/>
  <c r="T21" i="28" s="1"/>
  <c r="V21" i="28" s="1"/>
  <c r="X21" i="28" s="1"/>
  <c r="T21" i="29" s="1"/>
  <c r="V21" i="29" s="1"/>
  <c r="X21" i="29" s="1"/>
  <c r="T21" i="30" s="1"/>
  <c r="V21" i="30" s="1"/>
  <c r="X21" i="30" s="1"/>
  <c r="T21" i="31" s="1"/>
  <c r="V21" i="31" s="1"/>
  <c r="X21" i="31" s="1"/>
  <c r="M39" i="20"/>
  <c r="M39" i="21" s="1"/>
  <c r="M39" i="22" s="1"/>
  <c r="M39" i="23" s="1"/>
  <c r="M39" i="24" s="1"/>
  <c r="M39" i="25" s="1"/>
  <c r="M39" i="26" s="1"/>
  <c r="M39" i="27" s="1"/>
  <c r="M39" i="28" s="1"/>
  <c r="M39" i="29" s="1"/>
  <c r="M39" i="30" s="1"/>
  <c r="M39" i="31" s="1"/>
  <c r="M39" i="32" s="1"/>
  <c r="I27" i="4"/>
  <c r="AD747" i="33"/>
  <c r="I31" i="4"/>
  <c r="AD900" i="33"/>
  <c r="Z1130" i="33"/>
  <c r="L37" i="4"/>
  <c r="AD329" i="33"/>
  <c r="L16" i="4" s="1"/>
  <c r="V46" i="20"/>
  <c r="AD1182" i="33"/>
  <c r="I38" i="20"/>
  <c r="T20" i="32"/>
  <c r="V20" i="32" s="1"/>
  <c r="X20" i="32" s="1"/>
  <c r="C20" i="54" s="1"/>
  <c r="E20" i="54" s="1"/>
  <c r="V24" i="32"/>
  <c r="X24" i="32" s="1"/>
  <c r="C24" i="54" s="1"/>
  <c r="F37" i="54" s="1"/>
  <c r="X46" i="31"/>
  <c r="L24" i="4"/>
  <c r="Z634" i="33"/>
  <c r="L21" i="4"/>
  <c r="Z522" i="33"/>
  <c r="I15" i="4"/>
  <c r="AD288" i="33"/>
  <c r="H12" i="4"/>
  <c r="AA171" i="33"/>
  <c r="AC55" i="18"/>
  <c r="AC49" i="19" s="1"/>
  <c r="AC53" i="19" s="1"/>
  <c r="AC55" i="19" s="1"/>
  <c r="AC49" i="20" s="1"/>
  <c r="AC53" i="20" s="1"/>
  <c r="AC55" i="20" s="1"/>
  <c r="AC49" i="21" s="1"/>
  <c r="AC53" i="21" s="1"/>
  <c r="AC55" i="21" s="1"/>
  <c r="AC49" i="22" s="1"/>
  <c r="AC53" i="22" s="1"/>
  <c r="AC55" i="22" s="1"/>
  <c r="AC49" i="23" s="1"/>
  <c r="AC53" i="23" s="1"/>
  <c r="AC55" i="23" s="1"/>
  <c r="AC49" i="24" s="1"/>
  <c r="AC53" i="24" s="1"/>
  <c r="AC55" i="24" s="1"/>
  <c r="AC49" i="25" s="1"/>
  <c r="AC53" i="25" s="1"/>
  <c r="AC55" i="25" s="1"/>
  <c r="AC49" i="26" s="1"/>
  <c r="AC53" i="26" s="1"/>
  <c r="AC55" i="26" s="1"/>
  <c r="AC49" i="27" s="1"/>
  <c r="AC53" i="27" s="1"/>
  <c r="AC55" i="27" s="1"/>
  <c r="AC49" i="28" s="1"/>
  <c r="AC53" i="28" s="1"/>
  <c r="AC55" i="28" s="1"/>
  <c r="AC49" i="29" s="1"/>
  <c r="AC53" i="29" s="1"/>
  <c r="AC55" i="29" s="1"/>
  <c r="AC49" i="30" s="1"/>
  <c r="AC53" i="30" s="1"/>
  <c r="AC55" i="30" s="1"/>
  <c r="AC49" i="31" s="1"/>
  <c r="AC53" i="31" s="1"/>
  <c r="AC55" i="31" s="1"/>
  <c r="AC49" i="32" s="1"/>
  <c r="AC53" i="32" s="1"/>
  <c r="AC55" i="32" s="1"/>
  <c r="K41" i="54" s="1"/>
  <c r="K43" i="54" s="1"/>
  <c r="AF49" i="22"/>
  <c r="AF53" i="22" s="1"/>
  <c r="AF55" i="22" s="1"/>
  <c r="AF49" i="23" s="1"/>
  <c r="AF53" i="23" s="1"/>
  <c r="AF55" i="23" s="1"/>
  <c r="AF49" i="24" s="1"/>
  <c r="AF53" i="24" s="1"/>
  <c r="AB55" i="8"/>
  <c r="AB49" i="9" s="1"/>
  <c r="AB53" i="9" s="1"/>
  <c r="AB55" i="9" s="1"/>
  <c r="L46" i="3"/>
  <c r="AA560" i="33"/>
  <c r="I22" i="5" s="1"/>
  <c r="AD484" i="33"/>
  <c r="L20" i="4" s="1"/>
  <c r="AD1091" i="33"/>
  <c r="L36" i="4" s="1"/>
  <c r="G47" i="7"/>
  <c r="G48" i="7" s="1"/>
  <c r="N48" i="6"/>
  <c r="AA448" i="33"/>
  <c r="I19" i="4" s="1"/>
  <c r="Z710" i="33"/>
  <c r="H26" i="5" s="1"/>
  <c r="AD671" i="33"/>
  <c r="L25" i="4" s="1"/>
  <c r="AD785" i="33"/>
  <c r="L28" i="4" s="1"/>
  <c r="AD823" i="33"/>
  <c r="L29" i="4" s="1"/>
  <c r="Z862" i="33"/>
  <c r="H30" i="5" s="1"/>
  <c r="AD939" i="33"/>
  <c r="L32" i="4" s="1"/>
  <c r="AD977" i="33"/>
  <c r="L33" i="4" s="1"/>
  <c r="A370" i="33"/>
  <c r="A371" i="33" s="1"/>
  <c r="A372" i="33" s="1"/>
  <c r="A373" i="33" s="1"/>
  <c r="A374" i="33" s="1"/>
  <c r="A375" i="33" s="1"/>
  <c r="A376" i="33" s="1"/>
  <c r="A377" i="33" s="1"/>
  <c r="A378" i="33" s="1"/>
  <c r="A379" i="33" s="1"/>
  <c r="A380" i="33" s="1"/>
  <c r="A381" i="33" s="1"/>
  <c r="A382" i="33" s="1"/>
  <c r="A383" i="33" s="1"/>
  <c r="A384" i="33" s="1"/>
  <c r="A385" i="33" s="1"/>
  <c r="A386" i="33" s="1"/>
  <c r="A387" i="33" s="1"/>
  <c r="A388" i="33" s="1"/>
  <c r="A389" i="33" s="1"/>
  <c r="A390" i="33" s="1"/>
  <c r="A391" i="33" s="1"/>
  <c r="A392" i="33" s="1"/>
  <c r="A393" i="33" s="1"/>
  <c r="A394" i="33" s="1"/>
  <c r="A395" i="33" s="1"/>
  <c r="A396" i="33" s="1"/>
  <c r="A397" i="33" s="1"/>
  <c r="A398" i="33" s="1"/>
  <c r="A399" i="33" s="1"/>
  <c r="A408" i="33"/>
  <c r="Z1016" i="33"/>
  <c r="H34" i="5" s="1"/>
  <c r="AG8" i="37"/>
  <c r="AG43" i="9"/>
  <c r="AD1053" i="33"/>
  <c r="AD595" i="33"/>
  <c r="L23" i="4" s="1"/>
  <c r="C48" i="9"/>
  <c r="D48" i="9" s="1"/>
  <c r="Q38" i="8"/>
  <c r="AD371" i="33"/>
  <c r="L17" i="4" s="1"/>
  <c r="J47" i="7"/>
  <c r="J48" i="7" s="1"/>
  <c r="Q36" i="6"/>
  <c r="Q37" i="6" s="1"/>
  <c r="N59" i="6"/>
  <c r="Q40" i="6"/>
  <c r="Q43" i="7"/>
  <c r="Q45" i="7" s="1"/>
  <c r="Q48" i="7" s="1"/>
  <c r="Q41" i="5"/>
  <c r="Q49" i="5" s="1"/>
  <c r="AA248" i="33"/>
  <c r="I14" i="4" s="1"/>
  <c r="AD133" i="33"/>
  <c r="L11" i="4" s="1"/>
  <c r="I10" i="4"/>
  <c r="AD94" i="33"/>
  <c r="Z95" i="33" s="1"/>
  <c r="A17" i="56"/>
  <c r="A6" i="37"/>
  <c r="S6" i="37" s="1"/>
  <c r="A1127" i="33"/>
  <c r="A1090" i="33"/>
  <c r="A1091" i="33" s="1"/>
  <c r="A1092" i="33" s="1"/>
  <c r="A1093" i="33" s="1"/>
  <c r="A1094" i="33" s="1"/>
  <c r="A1095" i="33" s="1"/>
  <c r="A1096" i="33" s="1"/>
  <c r="A1097" i="33" s="1"/>
  <c r="A1098" i="33" s="1"/>
  <c r="A1099" i="33" s="1"/>
  <c r="A1100" i="33" s="1"/>
  <c r="A1101" i="33" s="1"/>
  <c r="A1102" i="33" s="1"/>
  <c r="A1103" i="33" s="1"/>
  <c r="A1104" i="33" s="1"/>
  <c r="A1105" i="33" s="1"/>
  <c r="A1106" i="33" s="1"/>
  <c r="A1107" i="33" s="1"/>
  <c r="A1108" i="33" s="1"/>
  <c r="AA212" i="33"/>
  <c r="I13" i="5" s="1"/>
  <c r="I8" i="4"/>
  <c r="AD10" i="33"/>
  <c r="AD56" i="33"/>
  <c r="I9" i="4"/>
  <c r="AC33" i="5"/>
  <c r="AE33" i="5" s="1"/>
  <c r="AA43" i="5"/>
  <c r="AF33" i="8"/>
  <c r="AF43" i="7"/>
  <c r="A28" i="33"/>
  <c r="A73" i="33"/>
  <c r="N10" i="37"/>
  <c r="N46" i="9"/>
  <c r="Z411" i="33"/>
  <c r="H18" i="5" s="1"/>
  <c r="M46" i="8"/>
  <c r="M8" i="9"/>
  <c r="AF32" i="37"/>
  <c r="N8" i="12"/>
  <c r="AJ21" i="11"/>
  <c r="AJ23" i="11" s="1"/>
  <c r="AJ25" i="37"/>
  <c r="AA9" i="7"/>
  <c r="AF10" i="13"/>
  <c r="AC10" i="9"/>
  <c r="AE10" i="9" s="1"/>
  <c r="AJ8" i="14"/>
  <c r="AJ10" i="14" s="1"/>
  <c r="AF55" i="24" l="1"/>
  <c r="AF49" i="25" s="1"/>
  <c r="AF53" i="25" s="1"/>
  <c r="AF55" i="25" s="1"/>
  <c r="AF49" i="26" s="1"/>
  <c r="AF53" i="26" s="1"/>
  <c r="AF55" i="26" s="1"/>
  <c r="AF49" i="27" s="1"/>
  <c r="AF53" i="27" s="1"/>
  <c r="AF55" i="27" s="1"/>
  <c r="AF49" i="28" s="1"/>
  <c r="AF53" i="28" s="1"/>
  <c r="AF55" i="28" s="1"/>
  <c r="AF49" i="29" s="1"/>
  <c r="AF53" i="29" s="1"/>
  <c r="AF55" i="29" s="1"/>
  <c r="AF49" i="30" s="1"/>
  <c r="AF53" i="30" s="1"/>
  <c r="AF55" i="30" s="1"/>
  <c r="AF49" i="31" s="1"/>
  <c r="AF53" i="31" s="1"/>
  <c r="AF55" i="31" s="1"/>
  <c r="AF49" i="32" s="1"/>
  <c r="AF53" i="32" s="1"/>
  <c r="AF55" i="32" s="1"/>
  <c r="N41" i="54" s="1"/>
  <c r="N43" i="54" s="1"/>
  <c r="L35" i="4"/>
  <c r="Z1054" i="33"/>
  <c r="H35" i="5" s="1"/>
  <c r="Z748" i="33"/>
  <c r="L27" i="4"/>
  <c r="L31" i="4"/>
  <c r="Z901" i="33"/>
  <c r="F30" i="54"/>
  <c r="Z330" i="33"/>
  <c r="H16" i="5" s="1"/>
  <c r="AA1130" i="33"/>
  <c r="I37" i="5" s="1"/>
  <c r="H37" i="5"/>
  <c r="Z1183" i="33"/>
  <c r="L38" i="20"/>
  <c r="T21" i="32"/>
  <c r="V21" i="32" s="1"/>
  <c r="X21" i="32" s="1"/>
  <c r="C21" i="54" s="1"/>
  <c r="E21" i="54" s="1"/>
  <c r="E24" i="54"/>
  <c r="F31" i="54" s="1"/>
  <c r="H24" i="5"/>
  <c r="AA634" i="33"/>
  <c r="H21" i="5"/>
  <c r="AA522" i="33"/>
  <c r="L15" i="4"/>
  <c r="Z289" i="33"/>
  <c r="I12" i="4"/>
  <c r="AD171" i="33"/>
  <c r="AB49" i="37"/>
  <c r="AB53" i="37" s="1"/>
  <c r="AB55" i="37" s="1"/>
  <c r="AB49" i="11" s="1"/>
  <c r="A1128" i="33"/>
  <c r="A1129" i="33" s="1"/>
  <c r="A1130" i="33" s="1"/>
  <c r="A1131" i="33" s="1"/>
  <c r="A1132" i="33" s="1"/>
  <c r="A1133" i="33" s="1"/>
  <c r="A1134" i="33" s="1"/>
  <c r="A1135" i="33" s="1"/>
  <c r="A1136" i="33" s="1"/>
  <c r="A1137" i="33" s="1"/>
  <c r="A1138" i="33" s="1"/>
  <c r="A1139" i="33" s="1"/>
  <c r="A1140" i="33" s="1"/>
  <c r="A1141" i="33" s="1"/>
  <c r="A1142" i="33" s="1"/>
  <c r="A1143" i="33" s="1"/>
  <c r="A1144" i="33" s="1"/>
  <c r="A1145" i="33" s="1"/>
  <c r="A1146" i="33" s="1"/>
  <c r="A1147" i="33" s="1"/>
  <c r="A1148" i="33" s="1"/>
  <c r="A1149" i="33" s="1"/>
  <c r="A1150" i="33" s="1"/>
  <c r="A1151" i="33" s="1"/>
  <c r="A1152" i="33" s="1"/>
  <c r="A1153" i="33" s="1"/>
  <c r="A1154" i="33" s="1"/>
  <c r="A1155" i="33" s="1"/>
  <c r="A1156" i="33" s="1"/>
  <c r="A1157" i="33" s="1"/>
  <c r="A1164" i="33"/>
  <c r="A1109" i="33"/>
  <c r="A1110" i="33" s="1"/>
  <c r="A1111" i="33" s="1"/>
  <c r="A1112" i="33" s="1"/>
  <c r="A1113" i="33" s="1"/>
  <c r="A1114" i="33" s="1"/>
  <c r="A1115" i="33" s="1"/>
  <c r="A1116" i="33" s="1"/>
  <c r="A1117" i="33" s="1"/>
  <c r="A1118" i="33" s="1"/>
  <c r="A1119" i="33" s="1"/>
  <c r="AD560" i="33"/>
  <c r="L22" i="5" s="1"/>
  <c r="Z485" i="33"/>
  <c r="H20" i="5" s="1"/>
  <c r="Z1092" i="33"/>
  <c r="H36" i="5" s="1"/>
  <c r="G47" i="8"/>
  <c r="G48" i="8" s="1"/>
  <c r="N48" i="7"/>
  <c r="AD448" i="33"/>
  <c r="AA710" i="33"/>
  <c r="I26" i="5" s="1"/>
  <c r="Z978" i="33"/>
  <c r="H33" i="5" s="1"/>
  <c r="Z940" i="33"/>
  <c r="H32" i="5" s="1"/>
  <c r="AA862" i="33"/>
  <c r="I30" i="5" s="1"/>
  <c r="Z824" i="33"/>
  <c r="H29" i="5" s="1"/>
  <c r="Z786" i="33"/>
  <c r="H28" i="5" s="1"/>
  <c r="Z672" i="33"/>
  <c r="H25" i="5" s="1"/>
  <c r="A446" i="33"/>
  <c r="A409" i="33"/>
  <c r="A410" i="33" s="1"/>
  <c r="A411" i="33" s="1"/>
  <c r="A412" i="33" s="1"/>
  <c r="A413" i="33" s="1"/>
  <c r="A414" i="33" s="1"/>
  <c r="A415" i="33" s="1"/>
  <c r="A416" i="33" s="1"/>
  <c r="A417" i="33" s="1"/>
  <c r="A418" i="33" s="1"/>
  <c r="A419" i="33" s="1"/>
  <c r="A420" i="33" s="1"/>
  <c r="A421" i="33" s="1"/>
  <c r="A422" i="33" s="1"/>
  <c r="A423" i="33" s="1"/>
  <c r="A424" i="33" s="1"/>
  <c r="A425" i="33" s="1"/>
  <c r="A426" i="33" s="1"/>
  <c r="A427" i="33" s="1"/>
  <c r="A428" i="33" s="1"/>
  <c r="A429" i="33" s="1"/>
  <c r="A430" i="33" s="1"/>
  <c r="A431" i="33" s="1"/>
  <c r="A432" i="33" s="1"/>
  <c r="A433" i="33" s="1"/>
  <c r="A434" i="33" s="1"/>
  <c r="A435" i="33" s="1"/>
  <c r="A436" i="33" s="1"/>
  <c r="A437" i="33" s="1"/>
  <c r="A438" i="33" s="1"/>
  <c r="AG8" i="11"/>
  <c r="AG43" i="37"/>
  <c r="AA1016" i="33"/>
  <c r="I34" i="5" s="1"/>
  <c r="Z596" i="33"/>
  <c r="H23" i="5" s="1"/>
  <c r="C48" i="37"/>
  <c r="D48" i="37" s="1"/>
  <c r="Q38" i="9"/>
  <c r="Z372" i="33"/>
  <c r="H17" i="5" s="1"/>
  <c r="Q41" i="6"/>
  <c r="Q43" i="8"/>
  <c r="Q45" i="8" s="1"/>
  <c r="Q48" i="8" s="1"/>
  <c r="Q49" i="8" s="1"/>
  <c r="N59" i="7"/>
  <c r="Q40" i="7"/>
  <c r="Q36" i="7"/>
  <c r="Q37" i="7" s="1"/>
  <c r="J47" i="8"/>
  <c r="J48" i="8" s="1"/>
  <c r="AD248" i="33"/>
  <c r="Z134" i="33"/>
  <c r="H11" i="5" s="1"/>
  <c r="L10" i="4"/>
  <c r="A6" i="11"/>
  <c r="S6" i="11" s="1"/>
  <c r="A18" i="56"/>
  <c r="L8" i="4"/>
  <c r="Z11" i="33"/>
  <c r="AD212" i="33"/>
  <c r="L13" i="5" s="1"/>
  <c r="L9" i="4"/>
  <c r="Z57" i="33"/>
  <c r="AF33" i="9"/>
  <c r="AF43" i="8"/>
  <c r="AA33" i="6"/>
  <c r="AE43" i="5"/>
  <c r="N10" i="11"/>
  <c r="N46" i="37"/>
  <c r="A29" i="33"/>
  <c r="A74" i="33"/>
  <c r="M46" i="9"/>
  <c r="M8" i="37"/>
  <c r="AA411" i="33"/>
  <c r="I18" i="5" s="1"/>
  <c r="AF32" i="11"/>
  <c r="AG31" i="15"/>
  <c r="N8" i="13"/>
  <c r="AJ21" i="12"/>
  <c r="AJ23" i="12" s="1"/>
  <c r="AJ25" i="11"/>
  <c r="AC9" i="7"/>
  <c r="AE9" i="7" s="1"/>
  <c r="AF10" i="14"/>
  <c r="AA10" i="37"/>
  <c r="AJ8" i="15"/>
  <c r="AJ10" i="15" s="1"/>
  <c r="H27" i="5" l="1"/>
  <c r="AA748" i="33"/>
  <c r="H31" i="5"/>
  <c r="AA901" i="33"/>
  <c r="AA330" i="33"/>
  <c r="I16" i="5" s="1"/>
  <c r="E37" i="54"/>
  <c r="AA1183" i="33"/>
  <c r="H38" i="21"/>
  <c r="Z449" i="33"/>
  <c r="H19" i="5" s="1"/>
  <c r="L19" i="4"/>
  <c r="I24" i="5"/>
  <c r="AD634" i="33"/>
  <c r="I21" i="5"/>
  <c r="AD522" i="33"/>
  <c r="H15" i="5"/>
  <c r="AA289" i="33"/>
  <c r="Z249" i="33"/>
  <c r="H14" i="5" s="1"/>
  <c r="L14" i="4"/>
  <c r="L12" i="4"/>
  <c r="Z172" i="33"/>
  <c r="A1165" i="33"/>
  <c r="A1166" i="33" s="1"/>
  <c r="A1167" i="33" s="1"/>
  <c r="A1168" i="33" s="1"/>
  <c r="A1169" i="33" s="1"/>
  <c r="A1170" i="33" s="1"/>
  <c r="A1171" i="33" s="1"/>
  <c r="A1172" i="33" s="1"/>
  <c r="A1173" i="33" s="1"/>
  <c r="A1174" i="33" s="1"/>
  <c r="A1175" i="33" s="1"/>
  <c r="A1176" i="33" s="1"/>
  <c r="A1177" i="33" s="1"/>
  <c r="A1178" i="33" s="1"/>
  <c r="A1179" i="33" s="1"/>
  <c r="A1180" i="33" s="1"/>
  <c r="A1181" i="33" s="1"/>
  <c r="A1182" i="33" s="1"/>
  <c r="A1183" i="33" s="1"/>
  <c r="A1184" i="33" s="1"/>
  <c r="A1185" i="33" s="1"/>
  <c r="A1186" i="33" s="1"/>
  <c r="A1187" i="33" s="1"/>
  <c r="A1188" i="33" s="1"/>
  <c r="A1189" i="33" s="1"/>
  <c r="A1190" i="33" s="1"/>
  <c r="A1191" i="33" s="1"/>
  <c r="A1192" i="33" s="1"/>
  <c r="A1193" i="33" s="1"/>
  <c r="A1194" i="33" s="1"/>
  <c r="A1201" i="33"/>
  <c r="AB53" i="11"/>
  <c r="AB55" i="11" s="1"/>
  <c r="Z561" i="33"/>
  <c r="H22" i="6" s="1"/>
  <c r="AA485" i="33"/>
  <c r="I20" i="5" s="1"/>
  <c r="AA1092" i="33"/>
  <c r="I36" i="5" s="1"/>
  <c r="G47" i="9"/>
  <c r="G48" i="9" s="1"/>
  <c r="N48" i="8"/>
  <c r="AD710" i="33"/>
  <c r="L26" i="5" s="1"/>
  <c r="AA786" i="33"/>
  <c r="I28" i="5" s="1"/>
  <c r="AA672" i="33"/>
  <c r="I25" i="5" s="1"/>
  <c r="AA824" i="33"/>
  <c r="I29" i="5" s="1"/>
  <c r="AD862" i="33"/>
  <c r="L30" i="5" s="1"/>
  <c r="AA940" i="33"/>
  <c r="I32" i="5" s="1"/>
  <c r="AA978" i="33"/>
  <c r="I33" i="5" s="1"/>
  <c r="AD1016" i="33"/>
  <c r="AG8" i="12"/>
  <c r="AG43" i="11"/>
  <c r="AA1054" i="33"/>
  <c r="I35" i="5" s="1"/>
  <c r="A482" i="33"/>
  <c r="A447" i="33"/>
  <c r="A448" i="33" s="1"/>
  <c r="A449" i="33" s="1"/>
  <c r="A450" i="33" s="1"/>
  <c r="A451" i="33" s="1"/>
  <c r="A452" i="33" s="1"/>
  <c r="A453" i="33" s="1"/>
  <c r="A454" i="33" s="1"/>
  <c r="A455" i="33" s="1"/>
  <c r="A456" i="33" s="1"/>
  <c r="A457" i="33" s="1"/>
  <c r="A458" i="33" s="1"/>
  <c r="A459" i="33" s="1"/>
  <c r="A460" i="33" s="1"/>
  <c r="A461" i="33" s="1"/>
  <c r="A462" i="33" s="1"/>
  <c r="A463" i="33" s="1"/>
  <c r="A464" i="33" s="1"/>
  <c r="A465" i="33" s="1"/>
  <c r="A466" i="33" s="1"/>
  <c r="A467" i="33" s="1"/>
  <c r="A468" i="33" s="1"/>
  <c r="A469" i="33" s="1"/>
  <c r="A470" i="33" s="1"/>
  <c r="A471" i="33" s="1"/>
  <c r="A472" i="33" s="1"/>
  <c r="A473" i="33" s="1"/>
  <c r="A474" i="33" s="1"/>
  <c r="A475" i="33" s="1"/>
  <c r="A476" i="33" s="1"/>
  <c r="AA596" i="33"/>
  <c r="I23" i="5" s="1"/>
  <c r="AD1130" i="33"/>
  <c r="C48" i="11"/>
  <c r="D48" i="11" s="1"/>
  <c r="Q38" i="37"/>
  <c r="AA372" i="33"/>
  <c r="I17" i="5" s="1"/>
  <c r="Q36" i="8"/>
  <c r="Q37" i="8" s="1"/>
  <c r="J47" i="9"/>
  <c r="J48" i="9" s="1"/>
  <c r="Q43" i="9"/>
  <c r="Q45" i="9" s="1"/>
  <c r="Q48" i="9" s="1"/>
  <c r="Q40" i="8"/>
  <c r="N59" i="8"/>
  <c r="Q41" i="7"/>
  <c r="Q49" i="7" s="1"/>
  <c r="AA134" i="33"/>
  <c r="I11" i="5" s="1"/>
  <c r="H10" i="5"/>
  <c r="AA95" i="33"/>
  <c r="A6" i="12"/>
  <c r="S6" i="12" s="1"/>
  <c r="A19" i="56"/>
  <c r="AA57" i="33"/>
  <c r="H9" i="5"/>
  <c r="AA11" i="33"/>
  <c r="H8" i="5"/>
  <c r="Z213" i="33"/>
  <c r="H13" i="6" s="1"/>
  <c r="AC33" i="6"/>
  <c r="AE33" i="6" s="1"/>
  <c r="AA43" i="6"/>
  <c r="AF33" i="37"/>
  <c r="AF43" i="9"/>
  <c r="AD411" i="33"/>
  <c r="L18" i="5" s="1"/>
  <c r="AD330" i="33"/>
  <c r="L16" i="5" s="1"/>
  <c r="M46" i="37"/>
  <c r="M8" i="11"/>
  <c r="A30" i="33"/>
  <c r="A75" i="33"/>
  <c r="N10" i="12"/>
  <c r="N46" i="11"/>
  <c r="AF32" i="12"/>
  <c r="AG31" i="16"/>
  <c r="N8" i="14"/>
  <c r="AJ21" i="13"/>
  <c r="AJ23" i="13" s="1"/>
  <c r="AJ25" i="12"/>
  <c r="AA9" i="8"/>
  <c r="AF10" i="15"/>
  <c r="AC10" i="37"/>
  <c r="AE10" i="37" s="1"/>
  <c r="AJ8" i="16"/>
  <c r="AJ10" i="16" s="1"/>
  <c r="P9" i="54" l="1"/>
  <c r="Z44" i="54"/>
  <c r="I27" i="5"/>
  <c r="AD748" i="33"/>
  <c r="I31" i="5"/>
  <c r="AD901" i="33"/>
  <c r="Z1131" i="33"/>
  <c r="L37" i="5"/>
  <c r="AD1183" i="33"/>
  <c r="I38" i="21"/>
  <c r="Z1017" i="33"/>
  <c r="H34" i="6" s="1"/>
  <c r="L34" i="5"/>
  <c r="L24" i="5"/>
  <c r="Z635" i="33"/>
  <c r="L21" i="5"/>
  <c r="Z523" i="33"/>
  <c r="I15" i="5"/>
  <c r="AD289" i="33"/>
  <c r="H12" i="5"/>
  <c r="AA172" i="33"/>
  <c r="A1202" i="33"/>
  <c r="A1203" i="33" s="1"/>
  <c r="A1204" i="33" s="1"/>
  <c r="A1205" i="33" s="1"/>
  <c r="A1206" i="33" s="1"/>
  <c r="A1207" i="33" s="1"/>
  <c r="A1208" i="33" s="1"/>
  <c r="A1209" i="33" s="1"/>
  <c r="A1210" i="33" s="1"/>
  <c r="A1211" i="33" s="1"/>
  <c r="A1212" i="33" s="1"/>
  <c r="A1213" i="33" s="1"/>
  <c r="A1214" i="33" s="1"/>
  <c r="A1215" i="33" s="1"/>
  <c r="A1216" i="33" s="1"/>
  <c r="A1217" i="33" s="1"/>
  <c r="A1218" i="33" s="1"/>
  <c r="A1219" i="33" s="1"/>
  <c r="A1220" i="33" s="1"/>
  <c r="A1221" i="33" s="1"/>
  <c r="A1222" i="33" s="1"/>
  <c r="A1223" i="33" s="1"/>
  <c r="A1224" i="33" s="1"/>
  <c r="A1225" i="33" s="1"/>
  <c r="A1226" i="33" s="1"/>
  <c r="A1227" i="33" s="1"/>
  <c r="A1228" i="33" s="1"/>
  <c r="A1229" i="33" s="1"/>
  <c r="A1230" i="33" s="1"/>
  <c r="A1231" i="33" s="1"/>
  <c r="A1238" i="33"/>
  <c r="L46" i="4"/>
  <c r="AB49" i="12"/>
  <c r="AB53" i="12" s="1"/>
  <c r="AB55" i="12" s="1"/>
  <c r="AA561" i="33"/>
  <c r="I22" i="6" s="1"/>
  <c r="AD485" i="33"/>
  <c r="L20" i="5" s="1"/>
  <c r="AD1092" i="33"/>
  <c r="L36" i="5" s="1"/>
  <c r="G47" i="37"/>
  <c r="G48" i="37" s="1"/>
  <c r="N48" i="9"/>
  <c r="AA449" i="33"/>
  <c r="I19" i="5" s="1"/>
  <c r="Z711" i="33"/>
  <c r="H26" i="6" s="1"/>
  <c r="Z863" i="33"/>
  <c r="H30" i="6" s="1"/>
  <c r="AD786" i="33"/>
  <c r="L28" i="5" s="1"/>
  <c r="AD978" i="33"/>
  <c r="L33" i="5" s="1"/>
  <c r="AD940" i="33"/>
  <c r="L32" i="5" s="1"/>
  <c r="AD824" i="33"/>
  <c r="L29" i="5" s="1"/>
  <c r="AD672" i="33"/>
  <c r="L25" i="5" s="1"/>
  <c r="A519" i="33"/>
  <c r="A483" i="33"/>
  <c r="A484" i="33" s="1"/>
  <c r="A485" i="33" s="1"/>
  <c r="A486" i="33" s="1"/>
  <c r="A487" i="33" s="1"/>
  <c r="A488" i="33" s="1"/>
  <c r="A489" i="33" s="1"/>
  <c r="A490" i="33" s="1"/>
  <c r="A491" i="33" s="1"/>
  <c r="A492" i="33" s="1"/>
  <c r="A493" i="33" s="1"/>
  <c r="A494" i="33" s="1"/>
  <c r="A495" i="33" s="1"/>
  <c r="A496" i="33" s="1"/>
  <c r="A497" i="33" s="1"/>
  <c r="A498" i="33" s="1"/>
  <c r="A499" i="33" s="1"/>
  <c r="A500" i="33" s="1"/>
  <c r="A501" i="33" s="1"/>
  <c r="A502" i="33" s="1"/>
  <c r="A503" i="33" s="1"/>
  <c r="A504" i="33" s="1"/>
  <c r="A505" i="33" s="1"/>
  <c r="A506" i="33" s="1"/>
  <c r="A507" i="33" s="1"/>
  <c r="A508" i="33" s="1"/>
  <c r="A509" i="33" s="1"/>
  <c r="A510" i="33" s="1"/>
  <c r="A511" i="33" s="1"/>
  <c r="A512" i="33" s="1"/>
  <c r="AD1054" i="33"/>
  <c r="L35" i="5" s="1"/>
  <c r="AG8" i="13"/>
  <c r="AG43" i="12"/>
  <c r="AD596" i="33"/>
  <c r="L23" i="5" s="1"/>
  <c r="Q38" i="11"/>
  <c r="C48" i="12"/>
  <c r="D48" i="12" s="1"/>
  <c r="AD372" i="33"/>
  <c r="L17" i="5" s="1"/>
  <c r="Q36" i="9"/>
  <c r="Q37" i="9" s="1"/>
  <c r="J47" i="37"/>
  <c r="J48" i="37" s="1"/>
  <c r="Q40" i="9"/>
  <c r="Q43" i="37"/>
  <c r="Q45" i="37" s="1"/>
  <c r="Q48" i="37" s="1"/>
  <c r="N59" i="9"/>
  <c r="Q41" i="8"/>
  <c r="AA249" i="33"/>
  <c r="I14" i="5" s="1"/>
  <c r="AD134" i="33"/>
  <c r="L11" i="5" s="1"/>
  <c r="AD95" i="33"/>
  <c r="I10" i="5"/>
  <c r="A6" i="13"/>
  <c r="S6" i="13" s="1"/>
  <c r="A20" i="56"/>
  <c r="AA213" i="33"/>
  <c r="I13" i="6" s="1"/>
  <c r="I8" i="5"/>
  <c r="AD11" i="33"/>
  <c r="AD57" i="33"/>
  <c r="I9" i="5"/>
  <c r="AF33" i="11"/>
  <c r="AF43" i="37"/>
  <c r="AA33" i="7"/>
  <c r="AE43" i="6"/>
  <c r="M8" i="12"/>
  <c r="M46" i="11"/>
  <c r="N10" i="13"/>
  <c r="N46" i="12"/>
  <c r="A31" i="33"/>
  <c r="A76" i="33"/>
  <c r="Z331" i="33"/>
  <c r="H16" i="6" s="1"/>
  <c r="Z412" i="33"/>
  <c r="H18" i="6" s="1"/>
  <c r="AF32" i="13"/>
  <c r="AF32" i="14" s="1"/>
  <c r="AG31" i="17"/>
  <c r="N8" i="15"/>
  <c r="AJ21" i="14"/>
  <c r="AJ23" i="14" s="1"/>
  <c r="AJ25" i="13"/>
  <c r="AC9" i="8"/>
  <c r="AE9" i="8" s="1"/>
  <c r="AF10" i="16"/>
  <c r="AA10" i="11"/>
  <c r="AJ8" i="17"/>
  <c r="AJ10" i="17" s="1"/>
  <c r="L27" i="5" l="1"/>
  <c r="Z749" i="33"/>
  <c r="L31" i="5"/>
  <c r="Z902" i="33"/>
  <c r="AA1131" i="33"/>
  <c r="I37" i="6" s="1"/>
  <c r="H37" i="6"/>
  <c r="Z1184" i="33"/>
  <c r="L38" i="21"/>
  <c r="H24" i="6"/>
  <c r="AA635" i="33"/>
  <c r="H21" i="6"/>
  <c r="AA523" i="33"/>
  <c r="Z290" i="33"/>
  <c r="L15" i="5"/>
  <c r="I12" i="5"/>
  <c r="AD172" i="33"/>
  <c r="A1239" i="33"/>
  <c r="A1240" i="33" s="1"/>
  <c r="A1241" i="33" s="1"/>
  <c r="A1242" i="33" s="1"/>
  <c r="A1243" i="33" s="1"/>
  <c r="A1244" i="33" s="1"/>
  <c r="A1245" i="33" s="1"/>
  <c r="A1246" i="33" s="1"/>
  <c r="A1247" i="33" s="1"/>
  <c r="A1248" i="33" s="1"/>
  <c r="A1249" i="33" s="1"/>
  <c r="A1250" i="33" s="1"/>
  <c r="A1251" i="33" s="1"/>
  <c r="A1252" i="33" s="1"/>
  <c r="A1253" i="33" s="1"/>
  <c r="A1254" i="33" s="1"/>
  <c r="A1255" i="33" s="1"/>
  <c r="A1256" i="33" s="1"/>
  <c r="A1257" i="33" s="1"/>
  <c r="A1258" i="33" s="1"/>
  <c r="A1259" i="33" s="1"/>
  <c r="A1260" i="33" s="1"/>
  <c r="A1261" i="33" s="1"/>
  <c r="A1262" i="33" s="1"/>
  <c r="A1263" i="33" s="1"/>
  <c r="A1264" i="33" s="1"/>
  <c r="A1265" i="33" s="1"/>
  <c r="A1266" i="33" s="1"/>
  <c r="A1267" i="33" s="1"/>
  <c r="A1268" i="33" s="1"/>
  <c r="A1275" i="33"/>
  <c r="AB49" i="13"/>
  <c r="AB53" i="13" s="1"/>
  <c r="AB55" i="13" s="1"/>
  <c r="AB49" i="14" s="1"/>
  <c r="AB53" i="14" s="1"/>
  <c r="AB55" i="14" s="1"/>
  <c r="AB49" i="15" s="1"/>
  <c r="AB53" i="15" s="1"/>
  <c r="AB55" i="15" s="1"/>
  <c r="AB49" i="16" s="1"/>
  <c r="AB53" i="16" s="1"/>
  <c r="AB55" i="16" s="1"/>
  <c r="AB49" i="17" s="1"/>
  <c r="AB53" i="17" s="1"/>
  <c r="AB55" i="17" s="1"/>
  <c r="AB49" i="18" s="1"/>
  <c r="AB53" i="18" s="1"/>
  <c r="AB55" i="18" s="1"/>
  <c r="AB49" i="19" s="1"/>
  <c r="AB53" i="19" s="1"/>
  <c r="AB55" i="19" s="1"/>
  <c r="AB49" i="20" s="1"/>
  <c r="AB53" i="20" s="1"/>
  <c r="AB55" i="20" s="1"/>
  <c r="AB49" i="21" s="1"/>
  <c r="AB53" i="21" s="1"/>
  <c r="AB55" i="21" s="1"/>
  <c r="AD561" i="33"/>
  <c r="L22" i="6" s="1"/>
  <c r="Z486" i="33"/>
  <c r="H20" i="6" s="1"/>
  <c r="Z1093" i="33"/>
  <c r="H36" i="6" s="1"/>
  <c r="G47" i="11"/>
  <c r="G48" i="11" s="1"/>
  <c r="N48" i="37"/>
  <c r="AD449" i="33"/>
  <c r="L19" i="5" s="1"/>
  <c r="AA711" i="33"/>
  <c r="I26" i="6" s="1"/>
  <c r="Z673" i="33"/>
  <c r="H25" i="6" s="1"/>
  <c r="Z825" i="33"/>
  <c r="H29" i="6" s="1"/>
  <c r="Z941" i="33"/>
  <c r="H32" i="6" s="1"/>
  <c r="Z787" i="33"/>
  <c r="H28" i="6" s="1"/>
  <c r="Z979" i="33"/>
  <c r="H33" i="6" s="1"/>
  <c r="AA863" i="33"/>
  <c r="I30" i="6" s="1"/>
  <c r="AA1017" i="33"/>
  <c r="I34" i="6" s="1"/>
  <c r="AG8" i="14"/>
  <c r="AG43" i="13"/>
  <c r="Z1055" i="33"/>
  <c r="H35" i="6" s="1"/>
  <c r="A557" i="33"/>
  <c r="A520" i="33"/>
  <c r="A521" i="33" s="1"/>
  <c r="A522" i="33" s="1"/>
  <c r="A523" i="33" s="1"/>
  <c r="A524" i="33" s="1"/>
  <c r="A525" i="33" s="1"/>
  <c r="A526" i="33" s="1"/>
  <c r="A527" i="33" s="1"/>
  <c r="A528" i="33" s="1"/>
  <c r="A529" i="33" s="1"/>
  <c r="A530" i="33" s="1"/>
  <c r="A531" i="33" s="1"/>
  <c r="A532" i="33" s="1"/>
  <c r="A533" i="33" s="1"/>
  <c r="A534" i="33" s="1"/>
  <c r="A535" i="33" s="1"/>
  <c r="A536" i="33" s="1"/>
  <c r="A537" i="33" s="1"/>
  <c r="A538" i="33" s="1"/>
  <c r="A539" i="33" s="1"/>
  <c r="A540" i="33" s="1"/>
  <c r="A541" i="33" s="1"/>
  <c r="A542" i="33" s="1"/>
  <c r="A543" i="33" s="1"/>
  <c r="A544" i="33" s="1"/>
  <c r="A545" i="33" s="1"/>
  <c r="A546" i="33" s="1"/>
  <c r="A547" i="33" s="1"/>
  <c r="A548" i="33" s="1"/>
  <c r="A549" i="33" s="1"/>
  <c r="Z597" i="33"/>
  <c r="H23" i="6" s="1"/>
  <c r="C48" i="13"/>
  <c r="D48" i="13" s="1"/>
  <c r="Q38" i="12"/>
  <c r="Z373" i="33"/>
  <c r="H17" i="6" s="1"/>
  <c r="Q43" i="11"/>
  <c r="Q45" i="11" s="1"/>
  <c r="Q48" i="11" s="1"/>
  <c r="Q40" i="37"/>
  <c r="N59" i="37"/>
  <c r="Q36" i="37"/>
  <c r="Q37" i="37" s="1"/>
  <c r="J47" i="11"/>
  <c r="J48" i="11" s="1"/>
  <c r="Q41" i="9"/>
  <c r="Q49" i="9" s="1"/>
  <c r="Q50" i="9" s="1"/>
  <c r="AD249" i="33"/>
  <c r="L14" i="5" s="1"/>
  <c r="Z135" i="33"/>
  <c r="H11" i="6" s="1"/>
  <c r="Z96" i="33"/>
  <c r="L10" i="5"/>
  <c r="A6" i="14"/>
  <c r="S6" i="14" s="1"/>
  <c r="A21" i="56"/>
  <c r="Z58" i="33"/>
  <c r="L9" i="5"/>
  <c r="AD213" i="33"/>
  <c r="L13" i="6" s="1"/>
  <c r="L8" i="5"/>
  <c r="Z12" i="33"/>
  <c r="AC33" i="7"/>
  <c r="AE33" i="7" s="1"/>
  <c r="AA43" i="7"/>
  <c r="AF33" i="12"/>
  <c r="AF43" i="11"/>
  <c r="AA412" i="33"/>
  <c r="I18" i="6" s="1"/>
  <c r="AA331" i="33"/>
  <c r="I16" i="6" s="1"/>
  <c r="A32" i="33"/>
  <c r="A77" i="33"/>
  <c r="N10" i="14"/>
  <c r="N46" i="13"/>
  <c r="M8" i="13"/>
  <c r="M46" i="12"/>
  <c r="AG31" i="18"/>
  <c r="N8" i="16"/>
  <c r="AJ21" i="15"/>
  <c r="AJ23" i="15" s="1"/>
  <c r="AJ25" i="14"/>
  <c r="AA9" i="9"/>
  <c r="AF10" i="17"/>
  <c r="AF10" i="18" s="1"/>
  <c r="AF10" i="19" s="1"/>
  <c r="AF10" i="20" s="1"/>
  <c r="AC10" i="11"/>
  <c r="AE10" i="11" s="1"/>
  <c r="AJ8" i="18"/>
  <c r="AJ18" i="18" s="1"/>
  <c r="H27" i="6" l="1"/>
  <c r="AA749" i="33"/>
  <c r="H31" i="6"/>
  <c r="AA902" i="33"/>
  <c r="AA1184" i="33"/>
  <c r="H38" i="22"/>
  <c r="I24" i="6"/>
  <c r="AD635" i="33"/>
  <c r="I21" i="6"/>
  <c r="AD523" i="33"/>
  <c r="H15" i="6"/>
  <c r="AA290" i="33"/>
  <c r="L12" i="5"/>
  <c r="Z173" i="33"/>
  <c r="A1276" i="33"/>
  <c r="A1277" i="33" s="1"/>
  <c r="A1278" i="33" s="1"/>
  <c r="A1279" i="33" s="1"/>
  <c r="A1280" i="33" s="1"/>
  <c r="A1281" i="33" s="1"/>
  <c r="A1282" i="33" s="1"/>
  <c r="A1283" i="33" s="1"/>
  <c r="A1284" i="33" s="1"/>
  <c r="A1285" i="33" s="1"/>
  <c r="A1286" i="33" s="1"/>
  <c r="A1287" i="33" s="1"/>
  <c r="A1288" i="33" s="1"/>
  <c r="A1289" i="33" s="1"/>
  <c r="A1290" i="33" s="1"/>
  <c r="A1291" i="33" s="1"/>
  <c r="A1292" i="33" s="1"/>
  <c r="A1293" i="33" s="1"/>
  <c r="A1294" i="33" s="1"/>
  <c r="A1295" i="33" s="1"/>
  <c r="A1296" i="33" s="1"/>
  <c r="A1297" i="33" s="1"/>
  <c r="A1298" i="33" s="1"/>
  <c r="A1299" i="33" s="1"/>
  <c r="A1300" i="33" s="1"/>
  <c r="A1301" i="33" s="1"/>
  <c r="A1302" i="33" s="1"/>
  <c r="A1303" i="33" s="1"/>
  <c r="A1304" i="33" s="1"/>
  <c r="A1305" i="33" s="1"/>
  <c r="A1312" i="33"/>
  <c r="AB49" i="22"/>
  <c r="AB53" i="22" s="1"/>
  <c r="AB55" i="22" s="1"/>
  <c r="AB49" i="23" s="1"/>
  <c r="AB53" i="23" s="1"/>
  <c r="AB55" i="23" s="1"/>
  <c r="AB49" i="24" s="1"/>
  <c r="AB53" i="24" s="1"/>
  <c r="AB55" i="24" s="1"/>
  <c r="AB49" i="25" s="1"/>
  <c r="AB53" i="25" s="1"/>
  <c r="AB55" i="25" s="1"/>
  <c r="Z562" i="33"/>
  <c r="H22" i="7" s="1"/>
  <c r="AA486" i="33"/>
  <c r="I20" i="6" s="1"/>
  <c r="AA1093" i="33"/>
  <c r="I36" i="6" s="1"/>
  <c r="G47" i="12"/>
  <c r="G48" i="12" s="1"/>
  <c r="N48" i="11"/>
  <c r="Q41" i="37"/>
  <c r="Q49" i="37" s="1"/>
  <c r="Q50" i="37" s="1"/>
  <c r="Z450" i="33"/>
  <c r="H19" i="6" s="1"/>
  <c r="AD711" i="33"/>
  <c r="L26" i="6" s="1"/>
  <c r="AD863" i="33"/>
  <c r="L30" i="6" s="1"/>
  <c r="AA787" i="33"/>
  <c r="I28" i="6" s="1"/>
  <c r="AA979" i="33"/>
  <c r="I33" i="6" s="1"/>
  <c r="AA941" i="33"/>
  <c r="I32" i="6" s="1"/>
  <c r="AA825" i="33"/>
  <c r="I29" i="6" s="1"/>
  <c r="AA673" i="33"/>
  <c r="I25" i="6" s="1"/>
  <c r="A558" i="33"/>
  <c r="A559" i="33" s="1"/>
  <c r="A560" i="33" s="1"/>
  <c r="A561" i="33" s="1"/>
  <c r="A562" i="33" s="1"/>
  <c r="A563" i="33" s="1"/>
  <c r="A564" i="33" s="1"/>
  <c r="A565" i="33" s="1"/>
  <c r="A566" i="33" s="1"/>
  <c r="A567" i="33" s="1"/>
  <c r="A568" i="33" s="1"/>
  <c r="A569" i="33" s="1"/>
  <c r="A570" i="33" s="1"/>
  <c r="A571" i="33" s="1"/>
  <c r="A572" i="33" s="1"/>
  <c r="A573" i="33" s="1"/>
  <c r="A574" i="33" s="1"/>
  <c r="A575" i="33" s="1"/>
  <c r="A576" i="33" s="1"/>
  <c r="A577" i="33" s="1"/>
  <c r="A578" i="33" s="1"/>
  <c r="A579" i="33" s="1"/>
  <c r="A580" i="33" s="1"/>
  <c r="A581" i="33" s="1"/>
  <c r="A582" i="33" s="1"/>
  <c r="A583" i="33" s="1"/>
  <c r="A584" i="33" s="1"/>
  <c r="A669" i="33"/>
  <c r="AA1055" i="33"/>
  <c r="I35" i="6" s="1"/>
  <c r="AG8" i="15"/>
  <c r="AG43" i="14"/>
  <c r="AD1017" i="33"/>
  <c r="L34" i="6" s="1"/>
  <c r="AA597" i="33"/>
  <c r="I23" i="6" s="1"/>
  <c r="AD1131" i="33"/>
  <c r="Q38" i="13"/>
  <c r="C48" i="14"/>
  <c r="D48" i="14" s="1"/>
  <c r="AA373" i="33"/>
  <c r="I17" i="6" s="1"/>
  <c r="J47" i="12"/>
  <c r="J48" i="12" s="1"/>
  <c r="Q36" i="11"/>
  <c r="Q37" i="11" s="1"/>
  <c r="Q43" i="12"/>
  <c r="Q45" i="12" s="1"/>
  <c r="Q48" i="12" s="1"/>
  <c r="Q43" i="13" s="1"/>
  <c r="N59" i="11"/>
  <c r="Q40" i="11"/>
  <c r="Z250" i="33"/>
  <c r="H14" i="6" s="1"/>
  <c r="AA135" i="33"/>
  <c r="I11" i="6" s="1"/>
  <c r="AA96" i="33"/>
  <c r="H10" i="6"/>
  <c r="A6" i="15"/>
  <c r="S6" i="15" s="1"/>
  <c r="A22" i="56"/>
  <c r="Z214" i="33"/>
  <c r="H13" i="7" s="1"/>
  <c r="H9" i="6"/>
  <c r="AA58" i="33"/>
  <c r="AA12" i="33"/>
  <c r="H8" i="6"/>
  <c r="AF33" i="13"/>
  <c r="AF33" i="14" s="1"/>
  <c r="AF43" i="12"/>
  <c r="AA33" i="8"/>
  <c r="AE43" i="7"/>
  <c r="M8" i="14"/>
  <c r="M46" i="13"/>
  <c r="AD331" i="33"/>
  <c r="L16" i="6" s="1"/>
  <c r="AD412" i="33"/>
  <c r="L18" i="6" s="1"/>
  <c r="N10" i="15"/>
  <c r="N46" i="14"/>
  <c r="A33" i="33"/>
  <c r="A78" i="33"/>
  <c r="AF32" i="15"/>
  <c r="AG31" i="19"/>
  <c r="N8" i="17"/>
  <c r="AJ21" i="16"/>
  <c r="AJ23" i="16" s="1"/>
  <c r="AJ25" i="15"/>
  <c r="AC9" i="9"/>
  <c r="AE9" i="9" s="1"/>
  <c r="AA10" i="12"/>
  <c r="AJ8" i="19"/>
  <c r="AJ10" i="19" s="1"/>
  <c r="A585" i="33" l="1"/>
  <c r="A586" i="33" s="1"/>
  <c r="A587" i="33" s="1"/>
  <c r="I27" i="6"/>
  <c r="AD749" i="33"/>
  <c r="I31" i="6"/>
  <c r="AD902" i="33"/>
  <c r="Z1132" i="33"/>
  <c r="L37" i="6"/>
  <c r="AD1184" i="33"/>
  <c r="I38" i="22"/>
  <c r="L24" i="6"/>
  <c r="Z636" i="33"/>
  <c r="L21" i="6"/>
  <c r="Z524" i="33"/>
  <c r="I15" i="6"/>
  <c r="AD290" i="33"/>
  <c r="H12" i="6"/>
  <c r="AA173" i="33"/>
  <c r="A1313" i="33"/>
  <c r="A1314" i="33" s="1"/>
  <c r="A1315" i="33" s="1"/>
  <c r="A1316" i="33" s="1"/>
  <c r="A1317" i="33" s="1"/>
  <c r="A1318" i="33" s="1"/>
  <c r="A1319" i="33" s="1"/>
  <c r="A1320" i="33" s="1"/>
  <c r="A1321" i="33" s="1"/>
  <c r="A1322" i="33" s="1"/>
  <c r="A1323" i="33" s="1"/>
  <c r="A1324" i="33" s="1"/>
  <c r="A1325" i="33" s="1"/>
  <c r="A1326" i="33" s="1"/>
  <c r="A1327" i="33" s="1"/>
  <c r="A1328" i="33" s="1"/>
  <c r="A1329" i="33" s="1"/>
  <c r="A1330" i="33" s="1"/>
  <c r="A1331" i="33" s="1"/>
  <c r="A1332" i="33" s="1"/>
  <c r="A1333" i="33" s="1"/>
  <c r="A1334" i="33" s="1"/>
  <c r="A1335" i="33" s="1"/>
  <c r="A1336" i="33" s="1"/>
  <c r="A1337" i="33" s="1"/>
  <c r="A1338" i="33" s="1"/>
  <c r="A1339" i="33" s="1"/>
  <c r="A1340" i="33" s="1"/>
  <c r="A1341" i="33" s="1"/>
  <c r="A1342" i="33" s="1"/>
  <c r="A1349" i="33"/>
  <c r="AB49" i="26"/>
  <c r="AB53" i="26" s="1"/>
  <c r="AB55" i="26" s="1"/>
  <c r="AB49" i="27" s="1"/>
  <c r="AB53" i="27" s="1"/>
  <c r="AB55" i="27" s="1"/>
  <c r="AA562" i="33"/>
  <c r="I22" i="7" s="1"/>
  <c r="AD486" i="33"/>
  <c r="L20" i="6" s="1"/>
  <c r="AD1093" i="33"/>
  <c r="L36" i="6" s="1"/>
  <c r="G47" i="13"/>
  <c r="G48" i="13" s="1"/>
  <c r="N48" i="12"/>
  <c r="L46" i="5"/>
  <c r="AA450" i="33"/>
  <c r="I19" i="6" s="1"/>
  <c r="Z712" i="33"/>
  <c r="H26" i="7" s="1"/>
  <c r="AD673" i="33"/>
  <c r="L25" i="6" s="1"/>
  <c r="AD825" i="33"/>
  <c r="L29" i="6" s="1"/>
  <c r="AD941" i="33"/>
  <c r="L32" i="6" s="1"/>
  <c r="AD787" i="33"/>
  <c r="L28" i="6" s="1"/>
  <c r="AD979" i="33"/>
  <c r="L33" i="6" s="1"/>
  <c r="Z864" i="33"/>
  <c r="H30" i="7" s="1"/>
  <c r="Z1018" i="33"/>
  <c r="H34" i="7" s="1"/>
  <c r="A707" i="33"/>
  <c r="A670" i="33"/>
  <c r="A671" i="33" s="1"/>
  <c r="A672" i="33" s="1"/>
  <c r="A673" i="33" s="1"/>
  <c r="A674" i="33" s="1"/>
  <c r="A675" i="33" s="1"/>
  <c r="A676" i="33" s="1"/>
  <c r="A677" i="33" s="1"/>
  <c r="A678" i="33" s="1"/>
  <c r="A679" i="33" s="1"/>
  <c r="A680" i="33" s="1"/>
  <c r="A681" i="33" s="1"/>
  <c r="A682" i="33" s="1"/>
  <c r="A683" i="33" s="1"/>
  <c r="A684" i="33" s="1"/>
  <c r="A685" i="33" s="1"/>
  <c r="A686" i="33" s="1"/>
  <c r="A687" i="33" s="1"/>
  <c r="A688" i="33" s="1"/>
  <c r="A689" i="33" s="1"/>
  <c r="A690" i="33" s="1"/>
  <c r="A691" i="33" s="1"/>
  <c r="A692" i="33" s="1"/>
  <c r="A693" i="33" s="1"/>
  <c r="A694" i="33" s="1"/>
  <c r="A695" i="33" s="1"/>
  <c r="A696" i="33" s="1"/>
  <c r="A697" i="33" s="1"/>
  <c r="A698" i="33" s="1"/>
  <c r="A699" i="33" s="1"/>
  <c r="AG8" i="16"/>
  <c r="AG43" i="15"/>
  <c r="AD1055" i="33"/>
  <c r="L35" i="6" s="1"/>
  <c r="AD597" i="33"/>
  <c r="L23" i="6" s="1"/>
  <c r="Q38" i="14"/>
  <c r="C48" i="15"/>
  <c r="D48" i="15" s="1"/>
  <c r="AD373" i="33"/>
  <c r="L17" i="6" s="1"/>
  <c r="Q41" i="11"/>
  <c r="Q49" i="11" s="1"/>
  <c r="Q40" i="12"/>
  <c r="N59" i="12"/>
  <c r="N61" i="12" s="1"/>
  <c r="Q45" i="13"/>
  <c r="Q48" i="13" s="1"/>
  <c r="J47" i="13"/>
  <c r="J48" i="13" s="1"/>
  <c r="Q36" i="12"/>
  <c r="Q37" i="12" s="1"/>
  <c r="AA250" i="33"/>
  <c r="I14" i="6" s="1"/>
  <c r="AD135" i="33"/>
  <c r="L11" i="6" s="1"/>
  <c r="I10" i="6"/>
  <c r="AD96" i="33"/>
  <c r="A6" i="16"/>
  <c r="S6" i="16" s="1"/>
  <c r="A23" i="56"/>
  <c r="I8" i="6"/>
  <c r="AD12" i="33"/>
  <c r="AA214" i="33"/>
  <c r="I13" i="7" s="1"/>
  <c r="AD58" i="33"/>
  <c r="I9" i="6"/>
  <c r="AC33" i="8"/>
  <c r="AE33" i="8" s="1"/>
  <c r="AA43" i="8"/>
  <c r="AF43" i="13"/>
  <c r="A34" i="33"/>
  <c r="A79" i="33"/>
  <c r="N10" i="16"/>
  <c r="N46" i="15"/>
  <c r="Z413" i="33"/>
  <c r="H18" i="7" s="1"/>
  <c r="Z332" i="33"/>
  <c r="H16" i="7" s="1"/>
  <c r="M8" i="15"/>
  <c r="M46" i="14"/>
  <c r="AF32" i="16"/>
  <c r="AG31" i="20"/>
  <c r="N8" i="18"/>
  <c r="AJ21" i="17"/>
  <c r="AJ23" i="17" s="1"/>
  <c r="AJ25" i="16"/>
  <c r="AA9" i="37"/>
  <c r="AC10" i="12"/>
  <c r="AE10" i="12" s="1"/>
  <c r="N20" i="21"/>
  <c r="N20" i="22" s="1"/>
  <c r="N20" i="23" s="1"/>
  <c r="N20" i="24" s="1"/>
  <c r="N20" i="25" s="1"/>
  <c r="N20" i="26" s="1"/>
  <c r="N20" i="27" s="1"/>
  <c r="N20" i="28" s="1"/>
  <c r="N20" i="29" s="1"/>
  <c r="N20" i="30" s="1"/>
  <c r="N20" i="31" s="1"/>
  <c r="N20" i="32" s="1"/>
  <c r="AJ8" i="20"/>
  <c r="AJ10" i="20" s="1"/>
  <c r="L27" i="6" l="1"/>
  <c r="Z750" i="33"/>
  <c r="L31" i="6"/>
  <c r="Z903" i="33"/>
  <c r="AA1132" i="33"/>
  <c r="I37" i="7" s="1"/>
  <c r="H37" i="7"/>
  <c r="Z1185" i="33"/>
  <c r="L38" i="22"/>
  <c r="H24" i="7"/>
  <c r="AA636" i="33"/>
  <c r="H21" i="7"/>
  <c r="AA524" i="33"/>
  <c r="L15" i="6"/>
  <c r="Z291" i="33"/>
  <c r="I12" i="6"/>
  <c r="AD173" i="33"/>
  <c r="A1350" i="33"/>
  <c r="A1351" i="33" s="1"/>
  <c r="A1352" i="33" s="1"/>
  <c r="A1353" i="33" s="1"/>
  <c r="A1354" i="33" s="1"/>
  <c r="A1355" i="33" s="1"/>
  <c r="A1356" i="33" s="1"/>
  <c r="A1357" i="33" s="1"/>
  <c r="A1358" i="33" s="1"/>
  <c r="A1359" i="33" s="1"/>
  <c r="A1360" i="33" s="1"/>
  <c r="A1361" i="33" s="1"/>
  <c r="A1362" i="33" s="1"/>
  <c r="A1363" i="33" s="1"/>
  <c r="A1364" i="33" s="1"/>
  <c r="A1365" i="33" s="1"/>
  <c r="A1366" i="33" s="1"/>
  <c r="A1367" i="33" s="1"/>
  <c r="A1368" i="33" s="1"/>
  <c r="A1369" i="33" s="1"/>
  <c r="A1370" i="33" s="1"/>
  <c r="A1371" i="33" s="1"/>
  <c r="A1372" i="33" s="1"/>
  <c r="A1373" i="33" s="1"/>
  <c r="A1374" i="33" s="1"/>
  <c r="A1375" i="33" s="1"/>
  <c r="A1376" i="33" s="1"/>
  <c r="A1377" i="33" s="1"/>
  <c r="A1378" i="33" s="1"/>
  <c r="A1379" i="33" s="1"/>
  <c r="A1386" i="33"/>
  <c r="AB49" i="28"/>
  <c r="AB53" i="28" s="1"/>
  <c r="AB55" i="28" s="1"/>
  <c r="AB49" i="29" s="1"/>
  <c r="AB53" i="29" s="1"/>
  <c r="AB55" i="29" s="1"/>
  <c r="AB49" i="30" s="1"/>
  <c r="AB53" i="30" s="1"/>
  <c r="AB55" i="30" s="1"/>
  <c r="AB49" i="31" s="1"/>
  <c r="AB53" i="31" s="1"/>
  <c r="AB55" i="31" s="1"/>
  <c r="AB49" i="32" s="1"/>
  <c r="AB53" i="32" s="1"/>
  <c r="AB55" i="32" s="1"/>
  <c r="J41" i="54" s="1"/>
  <c r="J43" i="54" s="1"/>
  <c r="AD562" i="33"/>
  <c r="L22" i="7" s="1"/>
  <c r="Q41" i="12"/>
  <c r="Q49" i="12" s="1"/>
  <c r="Z487" i="33"/>
  <c r="H20" i="7" s="1"/>
  <c r="Z1094" i="33"/>
  <c r="H36" i="7" s="1"/>
  <c r="G47" i="14"/>
  <c r="G48" i="14" s="1"/>
  <c r="N48" i="13"/>
  <c r="AD450" i="33"/>
  <c r="AA712" i="33"/>
  <c r="I26" i="7" s="1"/>
  <c r="Z980" i="33"/>
  <c r="H33" i="7" s="1"/>
  <c r="Z942" i="33"/>
  <c r="H32" i="7" s="1"/>
  <c r="Z826" i="33"/>
  <c r="H29" i="7" s="1"/>
  <c r="Z674" i="33"/>
  <c r="H25" i="7" s="1"/>
  <c r="AA864" i="33"/>
  <c r="I30" i="7" s="1"/>
  <c r="Z788" i="33"/>
  <c r="H28" i="7" s="1"/>
  <c r="AA1018" i="33"/>
  <c r="I34" i="7" s="1"/>
  <c r="Z1056" i="33"/>
  <c r="H35" i="7" s="1"/>
  <c r="AG8" i="17"/>
  <c r="AG43" i="16"/>
  <c r="A708" i="33"/>
  <c r="A709" i="33" s="1"/>
  <c r="A710" i="33" s="1"/>
  <c r="A711" i="33" s="1"/>
  <c r="A712" i="33" s="1"/>
  <c r="A713" i="33" s="1"/>
  <c r="A714" i="33" s="1"/>
  <c r="A715" i="33" s="1"/>
  <c r="A716" i="33" s="1"/>
  <c r="A717" i="33" s="1"/>
  <c r="A718" i="33" s="1"/>
  <c r="A719" i="33" s="1"/>
  <c r="A720" i="33" s="1"/>
  <c r="A721" i="33" s="1"/>
  <c r="A722" i="33" s="1"/>
  <c r="A723" i="33" s="1"/>
  <c r="A724" i="33" s="1"/>
  <c r="A725" i="33" s="1"/>
  <c r="A726" i="33" s="1"/>
  <c r="A727" i="33" s="1"/>
  <c r="A728" i="33" s="1"/>
  <c r="A729" i="33" s="1"/>
  <c r="A730" i="33" s="1"/>
  <c r="A731" i="33" s="1"/>
  <c r="A732" i="33" s="1"/>
  <c r="A733" i="33" s="1"/>
  <c r="A734" i="33" s="1"/>
  <c r="A735" i="33" s="1"/>
  <c r="A736" i="33" s="1"/>
  <c r="A737" i="33" s="1"/>
  <c r="A745" i="33"/>
  <c r="Z598" i="33"/>
  <c r="H23" i="7" s="1"/>
  <c r="C48" i="16"/>
  <c r="D48" i="16" s="1"/>
  <c r="Q38" i="15"/>
  <c r="Z374" i="33"/>
  <c r="H17" i="7" s="1"/>
  <c r="J47" i="14"/>
  <c r="J48" i="14" s="1"/>
  <c r="Q36" i="13"/>
  <c r="Q37" i="13" s="1"/>
  <c r="Q40" i="13"/>
  <c r="N59" i="13"/>
  <c r="Q43" i="14"/>
  <c r="Q45" i="14" s="1"/>
  <c r="Q48" i="14" s="1"/>
  <c r="AD250" i="33"/>
  <c r="L14" i="6" s="1"/>
  <c r="Z136" i="33"/>
  <c r="H11" i="7" s="1"/>
  <c r="Z97" i="33"/>
  <c r="L10" i="6"/>
  <c r="A6" i="17"/>
  <c r="S6" i="17" s="1"/>
  <c r="A24" i="56"/>
  <c r="L9" i="6"/>
  <c r="Z59" i="33"/>
  <c r="AD214" i="33"/>
  <c r="L13" i="7" s="1"/>
  <c r="L8" i="6"/>
  <c r="Z13" i="33"/>
  <c r="AF33" i="15"/>
  <c r="AF43" i="14"/>
  <c r="AA33" i="9"/>
  <c r="AE43" i="8"/>
  <c r="M46" i="15"/>
  <c r="M8" i="16"/>
  <c r="N10" i="17"/>
  <c r="N10" i="18" s="1"/>
  <c r="N10" i="19" s="1"/>
  <c r="N46" i="16"/>
  <c r="A35" i="33"/>
  <c r="A36" i="33" s="1"/>
  <c r="A82" i="33" s="1"/>
  <c r="A80" i="33"/>
  <c r="AA332" i="33"/>
  <c r="I16" i="7" s="1"/>
  <c r="AA413" i="33"/>
  <c r="I18" i="7" s="1"/>
  <c r="AF32" i="17"/>
  <c r="AG31" i="21"/>
  <c r="N8" i="19"/>
  <c r="AJ21" i="18"/>
  <c r="AJ23" i="18" s="1"/>
  <c r="AJ25" i="17"/>
  <c r="AC9" i="37"/>
  <c r="AE9" i="37" s="1"/>
  <c r="AA10" i="13"/>
  <c r="AJ8" i="21"/>
  <c r="AJ10" i="21" s="1"/>
  <c r="H27" i="7" l="1"/>
  <c r="AA750" i="33"/>
  <c r="H31" i="7"/>
  <c r="AA903" i="33"/>
  <c r="AA1185" i="33"/>
  <c r="H38" i="23"/>
  <c r="Z451" i="33"/>
  <c r="H19" i="7" s="1"/>
  <c r="L19" i="6"/>
  <c r="I24" i="7"/>
  <c r="AD636" i="33"/>
  <c r="I21" i="7"/>
  <c r="AD524" i="33"/>
  <c r="H15" i="7"/>
  <c r="AA291" i="33"/>
  <c r="Z174" i="33"/>
  <c r="L12" i="6"/>
  <c r="A1387" i="33"/>
  <c r="A1388" i="33" s="1"/>
  <c r="A1389" i="33" s="1"/>
  <c r="A1390" i="33" s="1"/>
  <c r="A1391" i="33" s="1"/>
  <c r="A1392" i="33" s="1"/>
  <c r="A1393" i="33" s="1"/>
  <c r="A1394" i="33" s="1"/>
  <c r="A1395" i="33" s="1"/>
  <c r="A1396" i="33" s="1"/>
  <c r="A1397" i="33" s="1"/>
  <c r="A1398" i="33" s="1"/>
  <c r="A1399" i="33" s="1"/>
  <c r="A1400" i="33" s="1"/>
  <c r="A1401" i="33" s="1"/>
  <c r="A1402" i="33" s="1"/>
  <c r="A1403" i="33" s="1"/>
  <c r="A1404" i="33" s="1"/>
  <c r="A1405" i="33" s="1"/>
  <c r="A1406" i="33" s="1"/>
  <c r="A1407" i="33" s="1"/>
  <c r="A1408" i="33" s="1"/>
  <c r="A1409" i="33" s="1"/>
  <c r="A1410" i="33" s="1"/>
  <c r="A1411" i="33" s="1"/>
  <c r="A1412" i="33" s="1"/>
  <c r="A1413" i="33" s="1"/>
  <c r="A1414" i="33" s="1"/>
  <c r="A1415" i="33" s="1"/>
  <c r="A1416" i="33" s="1"/>
  <c r="A1422" i="33"/>
  <c r="Z563" i="33"/>
  <c r="H22" i="8" s="1"/>
  <c r="AA487" i="33"/>
  <c r="I20" i="7" s="1"/>
  <c r="AA1094" i="33"/>
  <c r="I36" i="7" s="1"/>
  <c r="G47" i="15"/>
  <c r="G48" i="15" s="1"/>
  <c r="N48" i="14"/>
  <c r="AD712" i="33"/>
  <c r="L26" i="7" s="1"/>
  <c r="AD864" i="33"/>
  <c r="L30" i="7" s="1"/>
  <c r="AA674" i="33"/>
  <c r="I25" i="7" s="1"/>
  <c r="AA826" i="33"/>
  <c r="I29" i="7" s="1"/>
  <c r="AA942" i="33"/>
  <c r="I32" i="7" s="1"/>
  <c r="AA788" i="33"/>
  <c r="I28" i="7" s="1"/>
  <c r="AA980" i="33"/>
  <c r="I33" i="7" s="1"/>
  <c r="A783" i="33"/>
  <c r="A784" i="33" s="1"/>
  <c r="A785" i="33" s="1"/>
  <c r="A786" i="33" s="1"/>
  <c r="A787" i="33" s="1"/>
  <c r="A788" i="33" s="1"/>
  <c r="A789" i="33" s="1"/>
  <c r="A790" i="33" s="1"/>
  <c r="A791" i="33" s="1"/>
  <c r="A792" i="33" s="1"/>
  <c r="A793" i="33" s="1"/>
  <c r="A794" i="33" s="1"/>
  <c r="A795" i="33" s="1"/>
  <c r="A796" i="33" s="1"/>
  <c r="A797" i="33" s="1"/>
  <c r="A798" i="33" s="1"/>
  <c r="A799" i="33" s="1"/>
  <c r="A800" i="33" s="1"/>
  <c r="A801" i="33" s="1"/>
  <c r="A802" i="33" s="1"/>
  <c r="A803" i="33" s="1"/>
  <c r="A804" i="33" s="1"/>
  <c r="A805" i="33" s="1"/>
  <c r="A806" i="33" s="1"/>
  <c r="A807" i="33" s="1"/>
  <c r="A808" i="33" s="1"/>
  <c r="A809" i="33" s="1"/>
  <c r="A810" i="33" s="1"/>
  <c r="A811" i="33" s="1"/>
  <c r="A812" i="33" s="1"/>
  <c r="A813" i="33" s="1"/>
  <c r="A746" i="33"/>
  <c r="A747" i="33" s="1"/>
  <c r="A748" i="33" s="1"/>
  <c r="A749" i="33" s="1"/>
  <c r="A750" i="33" s="1"/>
  <c r="A751" i="33" s="1"/>
  <c r="A752" i="33" s="1"/>
  <c r="A753" i="33" s="1"/>
  <c r="A754" i="33" s="1"/>
  <c r="A755" i="33" s="1"/>
  <c r="A756" i="33" s="1"/>
  <c r="A757" i="33" s="1"/>
  <c r="A758" i="33" s="1"/>
  <c r="A759" i="33" s="1"/>
  <c r="A760" i="33" s="1"/>
  <c r="A761" i="33" s="1"/>
  <c r="A762" i="33" s="1"/>
  <c r="A763" i="33" s="1"/>
  <c r="A764" i="33" s="1"/>
  <c r="A765" i="33" s="1"/>
  <c r="A766" i="33" s="1"/>
  <c r="A767" i="33" s="1"/>
  <c r="A768" i="33" s="1"/>
  <c r="A769" i="33" s="1"/>
  <c r="A770" i="33" s="1"/>
  <c r="A771" i="33" s="1"/>
  <c r="A772" i="33" s="1"/>
  <c r="A773" i="33" s="1"/>
  <c r="A774" i="33" s="1"/>
  <c r="A775" i="33" s="1"/>
  <c r="AA1056" i="33"/>
  <c r="I35" i="7" s="1"/>
  <c r="AD1018" i="33"/>
  <c r="L34" i="7" s="1"/>
  <c r="AG8" i="18"/>
  <c r="AG43" i="17"/>
  <c r="AA598" i="33"/>
  <c r="I23" i="7" s="1"/>
  <c r="AD1132" i="33"/>
  <c r="Q38" i="16"/>
  <c r="C48" i="17"/>
  <c r="D48" i="17" s="1"/>
  <c r="AA374" i="33"/>
  <c r="I17" i="7" s="1"/>
  <c r="Q41" i="13"/>
  <c r="N59" i="14"/>
  <c r="Q40" i="14"/>
  <c r="Q43" i="15"/>
  <c r="Q45" i="15" s="1"/>
  <c r="Q48" i="15" s="1"/>
  <c r="Q36" i="14"/>
  <c r="Q37" i="14" s="1"/>
  <c r="J47" i="15"/>
  <c r="J48" i="15" s="1"/>
  <c r="Z251" i="33"/>
  <c r="H14" i="7" s="1"/>
  <c r="AA136" i="33"/>
  <c r="I11" i="7" s="1"/>
  <c r="AA97" i="33"/>
  <c r="H10" i="7"/>
  <c r="A6" i="18"/>
  <c r="S6" i="18" s="1"/>
  <c r="A25" i="56"/>
  <c r="H8" i="7"/>
  <c r="AA13" i="33"/>
  <c r="Z215" i="33"/>
  <c r="H13" i="8" s="1"/>
  <c r="AA59" i="33"/>
  <c r="H9" i="7"/>
  <c r="AC33" i="9"/>
  <c r="AE33" i="9" s="1"/>
  <c r="AA43" i="9"/>
  <c r="AF33" i="16"/>
  <c r="AF43" i="15"/>
  <c r="AD413" i="33"/>
  <c r="L18" i="7" s="1"/>
  <c r="M46" i="16"/>
  <c r="M8" i="17"/>
  <c r="AD332" i="33"/>
  <c r="L16" i="7" s="1"/>
  <c r="A81" i="33"/>
  <c r="N46" i="17"/>
  <c r="AF32" i="18"/>
  <c r="AG31" i="22"/>
  <c r="N8" i="20"/>
  <c r="AJ21" i="19"/>
  <c r="AJ23" i="19" s="1"/>
  <c r="AJ25" i="18"/>
  <c r="AA9" i="11"/>
  <c r="AF10" i="21"/>
  <c r="AF10" i="22" s="1"/>
  <c r="AC10" i="13"/>
  <c r="AE10" i="13" s="1"/>
  <c r="AJ8" i="22"/>
  <c r="AJ10" i="22" s="1"/>
  <c r="I27" i="7" l="1"/>
  <c r="AD750" i="33"/>
  <c r="I31" i="7"/>
  <c r="AD903" i="33"/>
  <c r="Z1133" i="33"/>
  <c r="L37" i="7"/>
  <c r="AD1185" i="33"/>
  <c r="I38" i="23"/>
  <c r="L24" i="7"/>
  <c r="Z637" i="33"/>
  <c r="L21" i="7"/>
  <c r="Z525" i="33"/>
  <c r="I15" i="7"/>
  <c r="AD291" i="33"/>
  <c r="H12" i="7"/>
  <c r="AA174" i="33"/>
  <c r="A1423" i="33"/>
  <c r="A1459" i="33"/>
  <c r="AA563" i="33"/>
  <c r="I22" i="8" s="1"/>
  <c r="AD487" i="33"/>
  <c r="L20" i="7" s="1"/>
  <c r="AD1094" i="33"/>
  <c r="L36" i="7" s="1"/>
  <c r="G47" i="16"/>
  <c r="G48" i="16" s="1"/>
  <c r="N48" i="15"/>
  <c r="L46" i="6"/>
  <c r="AA451" i="33"/>
  <c r="I19" i="7" s="1"/>
  <c r="Z713" i="33"/>
  <c r="H26" i="8" s="1"/>
  <c r="AD980" i="33"/>
  <c r="AD942" i="33"/>
  <c r="AD826" i="33"/>
  <c r="L29" i="7" s="1"/>
  <c r="AD674" i="33"/>
  <c r="L25" i="7" s="1"/>
  <c r="Z865" i="33"/>
  <c r="H30" i="8" s="1"/>
  <c r="AD788" i="33"/>
  <c r="L28" i="7" s="1"/>
  <c r="AG8" i="19"/>
  <c r="AG43" i="18"/>
  <c r="Z1019" i="33"/>
  <c r="H34" i="8" s="1"/>
  <c r="AD1056" i="33"/>
  <c r="L35" i="7" s="1"/>
  <c r="Q41" i="14"/>
  <c r="Q49" i="14" s="1"/>
  <c r="AD598" i="33"/>
  <c r="L23" i="7" s="1"/>
  <c r="Q38" i="17"/>
  <c r="C48" i="18"/>
  <c r="D48" i="18" s="1"/>
  <c r="AD374" i="33"/>
  <c r="L17" i="7" s="1"/>
  <c r="J47" i="16"/>
  <c r="J48" i="16" s="1"/>
  <c r="Q36" i="15"/>
  <c r="Q37" i="15" s="1"/>
  <c r="Q40" i="15"/>
  <c r="N59" i="15"/>
  <c r="Q43" i="16"/>
  <c r="Q45" i="16" s="1"/>
  <c r="Q48" i="16" s="1"/>
  <c r="Q43" i="17" s="1"/>
  <c r="AA251" i="33"/>
  <c r="I14" i="7" s="1"/>
  <c r="AD136" i="33"/>
  <c r="L11" i="7" s="1"/>
  <c r="AD97" i="33"/>
  <c r="I10" i="7"/>
  <c r="A6" i="19"/>
  <c r="S6" i="19" s="1"/>
  <c r="A26" i="56"/>
  <c r="AD59" i="33"/>
  <c r="I9" i="7"/>
  <c r="AA215" i="33"/>
  <c r="I13" i="8" s="1"/>
  <c r="I8" i="7"/>
  <c r="AD13" i="33"/>
  <c r="Z14" i="33" s="1"/>
  <c r="AF33" i="17"/>
  <c r="AF43" i="16"/>
  <c r="AA33" i="37"/>
  <c r="AE43" i="9"/>
  <c r="N46" i="18"/>
  <c r="A37" i="33"/>
  <c r="A83" i="33" s="1"/>
  <c r="Z333" i="33"/>
  <c r="H16" i="8" s="1"/>
  <c r="M46" i="17"/>
  <c r="M8" i="18"/>
  <c r="Z414" i="33"/>
  <c r="H18" i="8" s="1"/>
  <c r="AF32" i="19"/>
  <c r="AG31" i="23"/>
  <c r="N8" i="21"/>
  <c r="AJ21" i="20"/>
  <c r="AJ23" i="20" s="1"/>
  <c r="AJ25" i="19"/>
  <c r="AC9" i="11"/>
  <c r="AE9" i="11" s="1"/>
  <c r="AA10" i="14"/>
  <c r="AJ8" i="23"/>
  <c r="AJ10" i="23" s="1"/>
  <c r="L27" i="7" l="1"/>
  <c r="Z751" i="33"/>
  <c r="Z904" i="33"/>
  <c r="L31" i="7"/>
  <c r="AA1133" i="33"/>
  <c r="I37" i="8" s="1"/>
  <c r="H37" i="8"/>
  <c r="Z943" i="33"/>
  <c r="H32" i="8" s="1"/>
  <c r="L32" i="7"/>
  <c r="Z1186" i="33"/>
  <c r="L38" i="23"/>
  <c r="Z981" i="33"/>
  <c r="H33" i="8" s="1"/>
  <c r="L33" i="7"/>
  <c r="H24" i="8"/>
  <c r="AA637" i="33"/>
  <c r="H21" i="8"/>
  <c r="AA525" i="33"/>
  <c r="L15" i="7"/>
  <c r="Z292" i="33"/>
  <c r="I12" i="7"/>
  <c r="AD174" i="33"/>
  <c r="A1460" i="33"/>
  <c r="A1424" i="33"/>
  <c r="AD563" i="33"/>
  <c r="L22" i="8" s="1"/>
  <c r="Z488" i="33"/>
  <c r="H20" i="8" s="1"/>
  <c r="Z1095" i="33"/>
  <c r="H36" i="8" s="1"/>
  <c r="G47" i="17"/>
  <c r="G48" i="17" s="1"/>
  <c r="N48" i="16"/>
  <c r="AD451" i="33"/>
  <c r="L19" i="7" s="1"/>
  <c r="AA713" i="33"/>
  <c r="I26" i="8" s="1"/>
  <c r="AA865" i="33"/>
  <c r="I30" i="8" s="1"/>
  <c r="Z675" i="33"/>
  <c r="H25" i="8" s="1"/>
  <c r="Z827" i="33"/>
  <c r="H29" i="8" s="1"/>
  <c r="Z789" i="33"/>
  <c r="H28" i="8" s="1"/>
  <c r="Z1057" i="33"/>
  <c r="H35" i="8" s="1"/>
  <c r="AA1019" i="33"/>
  <c r="I34" i="8" s="1"/>
  <c r="AG8" i="20"/>
  <c r="AG43" i="19"/>
  <c r="Z599" i="33"/>
  <c r="H23" i="8" s="1"/>
  <c r="Q38" i="18"/>
  <c r="C48" i="19"/>
  <c r="D48" i="19" s="1"/>
  <c r="Z375" i="33"/>
  <c r="H17" i="8" s="1"/>
  <c r="Q41" i="15"/>
  <c r="Q49" i="15" s="1"/>
  <c r="Q40" i="16"/>
  <c r="N59" i="16"/>
  <c r="Q45" i="17"/>
  <c r="Q48" i="17" s="1"/>
  <c r="Q36" i="16"/>
  <c r="Q37" i="16" s="1"/>
  <c r="J47" i="17"/>
  <c r="J48" i="17" s="1"/>
  <c r="AD251" i="33"/>
  <c r="L14" i="7" s="1"/>
  <c r="Z137" i="33"/>
  <c r="H11" i="8" s="1"/>
  <c r="L10" i="7"/>
  <c r="Z98" i="33"/>
  <c r="A6" i="20"/>
  <c r="S6" i="20" s="1"/>
  <c r="A27" i="56"/>
  <c r="L8" i="7"/>
  <c r="AD215" i="33"/>
  <c r="L13" i="8" s="1"/>
  <c r="L9" i="7"/>
  <c r="Z60" i="33"/>
  <c r="AC33" i="37"/>
  <c r="AE33" i="37" s="1"/>
  <c r="AA43" i="37"/>
  <c r="AF33" i="18"/>
  <c r="AF43" i="17"/>
  <c r="AA414" i="33"/>
  <c r="I18" i="8" s="1"/>
  <c r="AA333" i="33"/>
  <c r="I16" i="8" s="1"/>
  <c r="M8" i="19"/>
  <c r="M46" i="18"/>
  <c r="A38" i="33"/>
  <c r="A84" i="33" s="1"/>
  <c r="N10" i="20"/>
  <c r="N46" i="19"/>
  <c r="AF32" i="20"/>
  <c r="AG31" i="24"/>
  <c r="N8" i="22"/>
  <c r="AJ21" i="21"/>
  <c r="AJ23" i="21" s="1"/>
  <c r="AJ25" i="20"/>
  <c r="AA9" i="12"/>
  <c r="AF10" i="23"/>
  <c r="AH10" i="23" s="1"/>
  <c r="AC10" i="14"/>
  <c r="AE10" i="14" s="1"/>
  <c r="AJ8" i="24"/>
  <c r="AJ10" i="24" s="1"/>
  <c r="H27" i="8" l="1"/>
  <c r="AA751" i="33"/>
  <c r="H31" i="8"/>
  <c r="AA904" i="33"/>
  <c r="AA1186" i="33"/>
  <c r="H38" i="24"/>
  <c r="I24" i="8"/>
  <c r="AD637" i="33"/>
  <c r="I21" i="8"/>
  <c r="AD525" i="33"/>
  <c r="H15" i="8"/>
  <c r="AA292" i="33"/>
  <c r="L12" i="7"/>
  <c r="Z175" i="33"/>
  <c r="A1461" i="33"/>
  <c r="A1425" i="33"/>
  <c r="Z564" i="33"/>
  <c r="H22" i="9" s="1"/>
  <c r="AA488" i="33"/>
  <c r="I20" i="8" s="1"/>
  <c r="AA1095" i="33"/>
  <c r="I36" i="8" s="1"/>
  <c r="G47" i="18"/>
  <c r="G48" i="18" s="1"/>
  <c r="N48" i="17"/>
  <c r="Z452" i="33"/>
  <c r="H19" i="8" s="1"/>
  <c r="AD713" i="33"/>
  <c r="L26" i="8" s="1"/>
  <c r="AA981" i="33"/>
  <c r="I33" i="8" s="1"/>
  <c r="AA943" i="33"/>
  <c r="I32" i="8" s="1"/>
  <c r="AA827" i="33"/>
  <c r="I29" i="8" s="1"/>
  <c r="AA675" i="33"/>
  <c r="I25" i="8" s="1"/>
  <c r="AD865" i="33"/>
  <c r="L30" i="8" s="1"/>
  <c r="AA789" i="33"/>
  <c r="I28" i="8" s="1"/>
  <c r="AD1019" i="33"/>
  <c r="L34" i="8" s="1"/>
  <c r="AA1057" i="33"/>
  <c r="I35" i="8" s="1"/>
  <c r="AG8" i="21"/>
  <c r="AG43" i="20"/>
  <c r="AA599" i="33"/>
  <c r="I23" i="8" s="1"/>
  <c r="AD1133" i="33"/>
  <c r="L37" i="8" s="1"/>
  <c r="Q38" i="19"/>
  <c r="C48" i="20"/>
  <c r="D48" i="20" s="1"/>
  <c r="AA375" i="33"/>
  <c r="I17" i="8" s="1"/>
  <c r="Q41" i="16"/>
  <c r="Q49" i="16" s="1"/>
  <c r="Q36" i="17"/>
  <c r="Q37" i="17" s="1"/>
  <c r="J47" i="18"/>
  <c r="J48" i="18" s="1"/>
  <c r="Q40" i="17"/>
  <c r="N59" i="17"/>
  <c r="Q43" i="18"/>
  <c r="Q45" i="18" s="1"/>
  <c r="Q48" i="18" s="1"/>
  <c r="Q43" i="19" s="1"/>
  <c r="Z252" i="33"/>
  <c r="H14" i="8" s="1"/>
  <c r="AA137" i="33"/>
  <c r="I11" i="8" s="1"/>
  <c r="AA98" i="33"/>
  <c r="H10" i="8"/>
  <c r="A6" i="21"/>
  <c r="S6" i="21" s="1"/>
  <c r="A28" i="56"/>
  <c r="AA14" i="33"/>
  <c r="H8" i="8"/>
  <c r="AA60" i="33"/>
  <c r="H9" i="8"/>
  <c r="Z216" i="33"/>
  <c r="H13" i="9" s="1"/>
  <c r="AF33" i="19"/>
  <c r="AF43" i="18"/>
  <c r="AA33" i="11"/>
  <c r="AE43" i="37"/>
  <c r="N10" i="21"/>
  <c r="N46" i="20"/>
  <c r="M8" i="20"/>
  <c r="M46" i="19"/>
  <c r="AD333" i="33"/>
  <c r="L16" i="8" s="1"/>
  <c r="AD414" i="33"/>
  <c r="L18" i="8" s="1"/>
  <c r="AF32" i="21"/>
  <c r="AF32" i="22" s="1"/>
  <c r="AG31" i="25"/>
  <c r="N8" i="23"/>
  <c r="AJ21" i="22"/>
  <c r="AJ23" i="22" s="1"/>
  <c r="AJ25" i="21"/>
  <c r="AC9" i="12"/>
  <c r="AE9" i="12" s="1"/>
  <c r="AF10" i="24"/>
  <c r="AA10" i="15"/>
  <c r="AJ8" i="25"/>
  <c r="AJ10" i="25" s="1"/>
  <c r="I27" i="8" l="1"/>
  <c r="AD751" i="33"/>
  <c r="I31" i="8"/>
  <c r="AD904" i="33"/>
  <c r="AD1186" i="33"/>
  <c r="I38" i="24"/>
  <c r="L24" i="8"/>
  <c r="Z638" i="33"/>
  <c r="L21" i="8"/>
  <c r="Z526" i="33"/>
  <c r="I15" i="8"/>
  <c r="AD292" i="33"/>
  <c r="H12" i="8"/>
  <c r="AA175" i="33"/>
  <c r="A1426" i="33"/>
  <c r="A1462" i="33"/>
  <c r="AA564" i="33"/>
  <c r="I22" i="9" s="1"/>
  <c r="AD488" i="33"/>
  <c r="L20" i="8" s="1"/>
  <c r="AD1095" i="33"/>
  <c r="L36" i="8" s="1"/>
  <c r="G47" i="19"/>
  <c r="G48" i="19" s="1"/>
  <c r="N48" i="18"/>
  <c r="L46" i="7"/>
  <c r="AA452" i="33"/>
  <c r="I19" i="8" s="1"/>
  <c r="Z714" i="33"/>
  <c r="H26" i="9" s="1"/>
  <c r="Z866" i="33"/>
  <c r="H30" i="9" s="1"/>
  <c r="AD675" i="33"/>
  <c r="L25" i="8" s="1"/>
  <c r="AD827" i="33"/>
  <c r="L29" i="8" s="1"/>
  <c r="AD943" i="33"/>
  <c r="L32" i="8" s="1"/>
  <c r="AD789" i="33"/>
  <c r="L28" i="8" s="1"/>
  <c r="AD981" i="33"/>
  <c r="L33" i="8" s="1"/>
  <c r="Z1020" i="33"/>
  <c r="H34" i="9" s="1"/>
  <c r="AG8" i="22"/>
  <c r="AG43" i="21"/>
  <c r="AD1057" i="33"/>
  <c r="L35" i="8" s="1"/>
  <c r="AD599" i="33"/>
  <c r="L23" i="8" s="1"/>
  <c r="Z1134" i="33"/>
  <c r="H37" i="9" s="1"/>
  <c r="Q38" i="20"/>
  <c r="C48" i="21"/>
  <c r="D48" i="21" s="1"/>
  <c r="AD375" i="33"/>
  <c r="L17" i="8" s="1"/>
  <c r="Q36" i="18"/>
  <c r="Q37" i="18" s="1"/>
  <c r="J47" i="19"/>
  <c r="J48" i="19" s="1"/>
  <c r="N59" i="18"/>
  <c r="Q40" i="18"/>
  <c r="Q45" i="19"/>
  <c r="Q48" i="19" s="1"/>
  <c r="Q43" i="20" s="1"/>
  <c r="Q41" i="17"/>
  <c r="Q49" i="17" s="1"/>
  <c r="AA252" i="33"/>
  <c r="I14" i="8" s="1"/>
  <c r="AD137" i="33"/>
  <c r="L11" i="8" s="1"/>
  <c r="AD98" i="33"/>
  <c r="I10" i="8"/>
  <c r="A6" i="22"/>
  <c r="S6" i="22" s="1"/>
  <c r="A29" i="56"/>
  <c r="AA216" i="33"/>
  <c r="I13" i="9" s="1"/>
  <c r="AD60" i="33"/>
  <c r="I9" i="8"/>
  <c r="I8" i="8"/>
  <c r="AD14" i="33"/>
  <c r="AC33" i="11"/>
  <c r="AE33" i="11" s="1"/>
  <c r="AA43" i="11"/>
  <c r="AF33" i="20"/>
  <c r="AF43" i="19"/>
  <c r="Z415" i="33"/>
  <c r="H18" i="9" s="1"/>
  <c r="Z334" i="33"/>
  <c r="H16" i="9" s="1"/>
  <c r="M46" i="20"/>
  <c r="M8" i="21"/>
  <c r="N10" i="22"/>
  <c r="N46" i="21"/>
  <c r="AG31" i="26"/>
  <c r="N8" i="24"/>
  <c r="AJ21" i="23"/>
  <c r="AJ23" i="23" s="1"/>
  <c r="AJ25" i="22"/>
  <c r="AA9" i="13"/>
  <c r="AF10" i="25"/>
  <c r="AC10" i="15"/>
  <c r="AE10" i="15" s="1"/>
  <c r="AJ8" i="26"/>
  <c r="AJ10" i="26" s="1"/>
  <c r="L27" i="8" l="1"/>
  <c r="Z752" i="33"/>
  <c r="L31" i="8"/>
  <c r="Z905" i="33"/>
  <c r="Z1187" i="33"/>
  <c r="L38" i="24"/>
  <c r="H24" i="9"/>
  <c r="AA638" i="33"/>
  <c r="H21" i="9"/>
  <c r="AA526" i="33"/>
  <c r="L15" i="8"/>
  <c r="Z293" i="33"/>
  <c r="I12" i="8"/>
  <c r="AD175" i="33"/>
  <c r="A1427" i="33"/>
  <c r="A1463" i="33"/>
  <c r="AD564" i="33"/>
  <c r="L22" i="9" s="1"/>
  <c r="Z489" i="33"/>
  <c r="H20" i="9" s="1"/>
  <c r="Z1096" i="33"/>
  <c r="H36" i="9" s="1"/>
  <c r="G47" i="20"/>
  <c r="G48" i="20" s="1"/>
  <c r="N48" i="19"/>
  <c r="AD452" i="33"/>
  <c r="L19" i="8" s="1"/>
  <c r="AA714" i="33"/>
  <c r="I26" i="9" s="1"/>
  <c r="Z944" i="33"/>
  <c r="H32" i="9" s="1"/>
  <c r="Z828" i="33"/>
  <c r="H29" i="9" s="1"/>
  <c r="Z676" i="33"/>
  <c r="H25" i="9" s="1"/>
  <c r="AA866" i="33"/>
  <c r="I30" i="9" s="1"/>
  <c r="Z982" i="33"/>
  <c r="H33" i="9" s="1"/>
  <c r="Z790" i="33"/>
  <c r="H28" i="9" s="1"/>
  <c r="AA1020" i="33"/>
  <c r="I34" i="9" s="1"/>
  <c r="Z1058" i="33"/>
  <c r="H35" i="9" s="1"/>
  <c r="AG8" i="23"/>
  <c r="AH8" i="23" s="1"/>
  <c r="AG43" i="22"/>
  <c r="Z600" i="33"/>
  <c r="H23" i="9" s="1"/>
  <c r="AA1134" i="33"/>
  <c r="I37" i="9" s="1"/>
  <c r="C48" i="22"/>
  <c r="D48" i="22" s="1"/>
  <c r="Q38" i="21"/>
  <c r="Z376" i="33"/>
  <c r="H17" i="9" s="1"/>
  <c r="J47" i="20"/>
  <c r="J48" i="20" s="1"/>
  <c r="Q36" i="19"/>
  <c r="Q37" i="19" s="1"/>
  <c r="Q45" i="20"/>
  <c r="Q48" i="20" s="1"/>
  <c r="Q43" i="21" s="1"/>
  <c r="N59" i="19"/>
  <c r="Q40" i="19"/>
  <c r="Q40" i="20" s="1"/>
  <c r="Q41" i="18"/>
  <c r="AD252" i="33"/>
  <c r="L14" i="8" s="1"/>
  <c r="Z138" i="33"/>
  <c r="H11" i="9" s="1"/>
  <c r="L10" i="8"/>
  <c r="Z99" i="33"/>
  <c r="A6" i="23"/>
  <c r="S6" i="23" s="1"/>
  <c r="A30" i="56"/>
  <c r="Z15" i="33"/>
  <c r="L8" i="8"/>
  <c r="AD216" i="33"/>
  <c r="L13" i="9" s="1"/>
  <c r="Z61" i="33"/>
  <c r="L9" i="8"/>
  <c r="AF33" i="21"/>
  <c r="AF33" i="22" s="1"/>
  <c r="AF43" i="20"/>
  <c r="AA33" i="12"/>
  <c r="AE43" i="11"/>
  <c r="M8" i="22"/>
  <c r="M46" i="21"/>
  <c r="AA334" i="33"/>
  <c r="I16" i="9" s="1"/>
  <c r="AA415" i="33"/>
  <c r="I18" i="9" s="1"/>
  <c r="N10" i="23"/>
  <c r="N46" i="22"/>
  <c r="AF32" i="23"/>
  <c r="AG31" i="27"/>
  <c r="N8" i="25"/>
  <c r="AJ21" i="24"/>
  <c r="AJ23" i="24" s="1"/>
  <c r="AJ25" i="23"/>
  <c r="AC9" i="13"/>
  <c r="AE9" i="13" s="1"/>
  <c r="AF10" i="26"/>
  <c r="AA10" i="16"/>
  <c r="AJ8" i="27"/>
  <c r="AJ10" i="27" s="1"/>
  <c r="H27" i="9" l="1"/>
  <c r="AA752" i="33"/>
  <c r="H31" i="9"/>
  <c r="AA905" i="33"/>
  <c r="AA1187" i="33"/>
  <c r="H38" i="25"/>
  <c r="I24" i="9"/>
  <c r="AD638" i="33"/>
  <c r="I21" i="9"/>
  <c r="AD526" i="33"/>
  <c r="H15" i="9"/>
  <c r="AA293" i="33"/>
  <c r="L12" i="8"/>
  <c r="Z176" i="33"/>
  <c r="A1428" i="33"/>
  <c r="A1464" i="33"/>
  <c r="Z565" i="33"/>
  <c r="H22" i="37" s="1"/>
  <c r="AA489" i="33"/>
  <c r="I20" i="9" s="1"/>
  <c r="AA1096" i="33"/>
  <c r="I36" i="9" s="1"/>
  <c r="G47" i="21"/>
  <c r="G48" i="21" s="1"/>
  <c r="N48" i="20"/>
  <c r="Z453" i="33"/>
  <c r="H19" i="9" s="1"/>
  <c r="AD714" i="33"/>
  <c r="L26" i="9" s="1"/>
  <c r="AD866" i="33"/>
  <c r="L30" i="9" s="1"/>
  <c r="AA676" i="33"/>
  <c r="I25" i="9" s="1"/>
  <c r="AA828" i="33"/>
  <c r="I29" i="9" s="1"/>
  <c r="AA944" i="33"/>
  <c r="I32" i="9" s="1"/>
  <c r="AA790" i="33"/>
  <c r="I28" i="9" s="1"/>
  <c r="AA982" i="33"/>
  <c r="I33" i="9" s="1"/>
  <c r="AG8" i="24"/>
  <c r="AG43" i="23"/>
  <c r="AA1058" i="33"/>
  <c r="I35" i="9" s="1"/>
  <c r="AD1020" i="33"/>
  <c r="L34" i="9" s="1"/>
  <c r="AA600" i="33"/>
  <c r="I23" i="9" s="1"/>
  <c r="AD1134" i="33"/>
  <c r="L37" i="9" s="1"/>
  <c r="Q38" i="22"/>
  <c r="C48" i="23"/>
  <c r="D48" i="23" s="1"/>
  <c r="AA376" i="33"/>
  <c r="I17" i="9" s="1"/>
  <c r="Q41" i="19"/>
  <c r="Q45" i="21"/>
  <c r="Q48" i="21" s="1"/>
  <c r="N59" i="20"/>
  <c r="Q36" i="20"/>
  <c r="Q37" i="20" s="1"/>
  <c r="J47" i="21"/>
  <c r="J48" i="21" s="1"/>
  <c r="Z253" i="33"/>
  <c r="H14" i="9" s="1"/>
  <c r="AA138" i="33"/>
  <c r="I11" i="9" s="1"/>
  <c r="AA99" i="33"/>
  <c r="H10" i="9"/>
  <c r="A6" i="24"/>
  <c r="S6" i="24" s="1"/>
  <c r="A31" i="56"/>
  <c r="AA61" i="33"/>
  <c r="H9" i="9"/>
  <c r="Z217" i="33"/>
  <c r="H13" i="37" s="1"/>
  <c r="H8" i="9"/>
  <c r="AA15" i="33"/>
  <c r="AC33" i="12"/>
  <c r="AE33" i="12" s="1"/>
  <c r="AA43" i="12"/>
  <c r="AF43" i="21"/>
  <c r="N10" i="24"/>
  <c r="N46" i="23"/>
  <c r="AD415" i="33"/>
  <c r="L18" i="9" s="1"/>
  <c r="AD334" i="33"/>
  <c r="L16" i="9" s="1"/>
  <c r="M8" i="23"/>
  <c r="M46" i="22"/>
  <c r="AF32" i="24"/>
  <c r="AG31" i="28"/>
  <c r="N8" i="26"/>
  <c r="AJ21" i="25"/>
  <c r="AJ23" i="25" s="1"/>
  <c r="AJ25" i="24"/>
  <c r="AA9" i="14"/>
  <c r="AF10" i="27"/>
  <c r="AC10" i="16"/>
  <c r="AE10" i="16" s="1"/>
  <c r="AJ8" i="28"/>
  <c r="AJ10" i="28" s="1"/>
  <c r="I27" i="9" l="1"/>
  <c r="AD752" i="33"/>
  <c r="I31" i="9"/>
  <c r="AD905" i="33"/>
  <c r="AD1187" i="33"/>
  <c r="I38" i="25"/>
  <c r="L24" i="9"/>
  <c r="Z639" i="33"/>
  <c r="L21" i="9"/>
  <c r="Z527" i="33"/>
  <c r="I15" i="9"/>
  <c r="AD293" i="33"/>
  <c r="H12" i="9"/>
  <c r="AA176" i="33"/>
  <c r="A1429" i="33"/>
  <c r="A1465" i="33"/>
  <c r="L46" i="8"/>
  <c r="AA565" i="33"/>
  <c r="I22" i="37" s="1"/>
  <c r="AD489" i="33"/>
  <c r="L20" i="9" s="1"/>
  <c r="AD1096" i="33"/>
  <c r="L36" i="9" s="1"/>
  <c r="G47" i="22"/>
  <c r="G48" i="22" s="1"/>
  <c r="N48" i="21"/>
  <c r="AA453" i="33"/>
  <c r="I19" i="9" s="1"/>
  <c r="Z715" i="33"/>
  <c r="H26" i="37" s="1"/>
  <c r="AD944" i="33"/>
  <c r="AD828" i="33"/>
  <c r="L29" i="9" s="1"/>
  <c r="AD676" i="33"/>
  <c r="L25" i="9" s="1"/>
  <c r="Z867" i="33"/>
  <c r="H30" i="37" s="1"/>
  <c r="AD982" i="33"/>
  <c r="L33" i="9" s="1"/>
  <c r="AD790" i="33"/>
  <c r="L28" i="9" s="1"/>
  <c r="Z1021" i="33"/>
  <c r="H34" i="37" s="1"/>
  <c r="AD1058" i="33"/>
  <c r="L35" i="9" s="1"/>
  <c r="AG8" i="25"/>
  <c r="AG43" i="24"/>
  <c r="AD600" i="33"/>
  <c r="L23" i="9" s="1"/>
  <c r="Z1135" i="33"/>
  <c r="H37" i="37" s="1"/>
  <c r="Q38" i="23"/>
  <c r="C48" i="24"/>
  <c r="D48" i="24" s="1"/>
  <c r="AD376" i="33"/>
  <c r="L17" i="9" s="1"/>
  <c r="Q41" i="20"/>
  <c r="Q43" i="22"/>
  <c r="Q45" i="22" s="1"/>
  <c r="Q48" i="22" s="1"/>
  <c r="Q43" i="23" s="1"/>
  <c r="N59" i="21"/>
  <c r="Q40" i="21"/>
  <c r="Q36" i="21"/>
  <c r="Q37" i="21" s="1"/>
  <c r="J47" i="22"/>
  <c r="J48" i="22" s="1"/>
  <c r="AA253" i="33"/>
  <c r="I14" i="9" s="1"/>
  <c r="AD138" i="33"/>
  <c r="L11" i="9" s="1"/>
  <c r="I10" i="9"/>
  <c r="AD99" i="33"/>
  <c r="A6" i="25"/>
  <c r="S6" i="25" s="1"/>
  <c r="A32" i="56"/>
  <c r="AD61" i="33"/>
  <c r="I9" i="9"/>
  <c r="I8" i="9"/>
  <c r="AD15" i="33"/>
  <c r="AA217" i="33"/>
  <c r="I13" i="37" s="1"/>
  <c r="AF33" i="23"/>
  <c r="AF43" i="22"/>
  <c r="AA33" i="13"/>
  <c r="AE43" i="12"/>
  <c r="M46" i="23"/>
  <c r="M8" i="24"/>
  <c r="Z416" i="33"/>
  <c r="H18" i="37" s="1"/>
  <c r="Z335" i="33"/>
  <c r="H16" i="37" s="1"/>
  <c r="N10" i="25"/>
  <c r="N46" i="24"/>
  <c r="AF32" i="25"/>
  <c r="AG31" i="29"/>
  <c r="N8" i="27"/>
  <c r="AJ21" i="26"/>
  <c r="AJ23" i="26" s="1"/>
  <c r="AJ25" i="25"/>
  <c r="AC9" i="14"/>
  <c r="AE9" i="14" s="1"/>
  <c r="AF10" i="28"/>
  <c r="AA10" i="17"/>
  <c r="AJ8" i="29"/>
  <c r="AJ10" i="29" s="1"/>
  <c r="L27" i="9" l="1"/>
  <c r="Z753" i="33"/>
  <c r="L31" i="9"/>
  <c r="Z906" i="33"/>
  <c r="Z945" i="33"/>
  <c r="H32" i="37" s="1"/>
  <c r="L32" i="9"/>
  <c r="Z1188" i="33"/>
  <c r="L38" i="25"/>
  <c r="H24" i="37"/>
  <c r="AA639" i="33"/>
  <c r="H21" i="37"/>
  <c r="AA527" i="33"/>
  <c r="L15" i="9"/>
  <c r="Z294" i="33"/>
  <c r="I12" i="9"/>
  <c r="AD176" i="33"/>
  <c r="A1430" i="33"/>
  <c r="A1466" i="33"/>
  <c r="AD565" i="33"/>
  <c r="L22" i="37" s="1"/>
  <c r="Z490" i="33"/>
  <c r="H20" i="37" s="1"/>
  <c r="Z1097" i="33"/>
  <c r="H36" i="37" s="1"/>
  <c r="G47" i="23"/>
  <c r="G48" i="23" s="1"/>
  <c r="N48" i="22"/>
  <c r="AD453" i="33"/>
  <c r="L19" i="9" s="1"/>
  <c r="AA715" i="33"/>
  <c r="I26" i="37" s="1"/>
  <c r="AA867" i="33"/>
  <c r="I30" i="37" s="1"/>
  <c r="Z677" i="33"/>
  <c r="H25" i="37" s="1"/>
  <c r="Z829" i="33"/>
  <c r="H29" i="37" s="1"/>
  <c r="Z791" i="33"/>
  <c r="H28" i="37" s="1"/>
  <c r="Z983" i="33"/>
  <c r="H33" i="37" s="1"/>
  <c r="AA1021" i="33"/>
  <c r="I34" i="37" s="1"/>
  <c r="AG8" i="26"/>
  <c r="AG43" i="25"/>
  <c r="Z1059" i="33"/>
  <c r="H35" i="37" s="1"/>
  <c r="Z601" i="33"/>
  <c r="H23" i="37" s="1"/>
  <c r="AA1135" i="33"/>
  <c r="I37" i="37" s="1"/>
  <c r="C48" i="25"/>
  <c r="D48" i="25" s="1"/>
  <c r="Q38" i="24"/>
  <c r="Z377" i="33"/>
  <c r="H17" i="37" s="1"/>
  <c r="Q41" i="21"/>
  <c r="J47" i="23"/>
  <c r="J48" i="23" s="1"/>
  <c r="Q36" i="22"/>
  <c r="Q37" i="22" s="1"/>
  <c r="Q40" i="22"/>
  <c r="Q45" i="23"/>
  <c r="Q48" i="23" s="1"/>
  <c r="N59" i="22"/>
  <c r="AD253" i="33"/>
  <c r="L14" i="9" s="1"/>
  <c r="Z139" i="33"/>
  <c r="H11" i="37" s="1"/>
  <c r="Z100" i="33"/>
  <c r="L10" i="9"/>
  <c r="A6" i="26"/>
  <c r="S6" i="26" s="1"/>
  <c r="A33" i="56"/>
  <c r="AD217" i="33"/>
  <c r="L13" i="37" s="1"/>
  <c r="Z16" i="33"/>
  <c r="L8" i="9"/>
  <c r="L9" i="9"/>
  <c r="Z62" i="33"/>
  <c r="AC33" i="13"/>
  <c r="AE33" i="13" s="1"/>
  <c r="AA33" i="14" s="1"/>
  <c r="AC33" i="14" s="1"/>
  <c r="AE33" i="14" s="1"/>
  <c r="AA43" i="13"/>
  <c r="AF33" i="24"/>
  <c r="AF43" i="23"/>
  <c r="N10" i="26"/>
  <c r="N46" i="25"/>
  <c r="AA416" i="33"/>
  <c r="I18" i="37" s="1"/>
  <c r="M8" i="25"/>
  <c r="M46" i="24"/>
  <c r="AA335" i="33"/>
  <c r="I16" i="37" s="1"/>
  <c r="AF32" i="26"/>
  <c r="AG31" i="30"/>
  <c r="N8" i="28"/>
  <c r="AJ21" i="27"/>
  <c r="AJ23" i="27" s="1"/>
  <c r="AJ25" i="26"/>
  <c r="AA9" i="15"/>
  <c r="AF10" i="29"/>
  <c r="AC10" i="17"/>
  <c r="AE10" i="17" s="1"/>
  <c r="AA10" i="18" s="1"/>
  <c r="AC10" i="18" s="1"/>
  <c r="AE10" i="18" s="1"/>
  <c r="AA10" i="19" s="1"/>
  <c r="AC10" i="19" s="1"/>
  <c r="AE10" i="19" s="1"/>
  <c r="AA10" i="20" s="1"/>
  <c r="AC10" i="20" s="1"/>
  <c r="AE10" i="20" s="1"/>
  <c r="AJ8" i="30"/>
  <c r="AJ10" i="30" s="1"/>
  <c r="H27" i="37" l="1"/>
  <c r="AA753" i="33"/>
  <c r="H31" i="37"/>
  <c r="AA906" i="33"/>
  <c r="AA1188" i="33"/>
  <c r="H38" i="26"/>
  <c r="I24" i="37"/>
  <c r="AD639" i="33"/>
  <c r="I21" i="37"/>
  <c r="AD527" i="33"/>
  <c r="H15" i="37"/>
  <c r="AA294" i="33"/>
  <c r="L12" i="9"/>
  <c r="L46" i="9" s="1"/>
  <c r="Z177" i="33"/>
  <c r="A1431" i="33"/>
  <c r="A1467" i="33"/>
  <c r="Z566" i="33"/>
  <c r="H22" i="11" s="1"/>
  <c r="AA490" i="33"/>
  <c r="I20" i="37" s="1"/>
  <c r="AA1097" i="33"/>
  <c r="I36" i="37" s="1"/>
  <c r="G47" i="24"/>
  <c r="G48" i="24" s="1"/>
  <c r="N48" i="23"/>
  <c r="Z454" i="33"/>
  <c r="H19" i="37" s="1"/>
  <c r="AD715" i="33"/>
  <c r="L26" i="37" s="1"/>
  <c r="AA945" i="33"/>
  <c r="I32" i="37" s="1"/>
  <c r="AA829" i="33"/>
  <c r="I29" i="37" s="1"/>
  <c r="AA677" i="33"/>
  <c r="I25" i="37" s="1"/>
  <c r="AD867" i="33"/>
  <c r="L30" i="37" s="1"/>
  <c r="AA983" i="33"/>
  <c r="I33" i="37" s="1"/>
  <c r="AA791" i="33"/>
  <c r="I28" i="37" s="1"/>
  <c r="AD1021" i="33"/>
  <c r="L34" i="37" s="1"/>
  <c r="AA1059" i="33"/>
  <c r="I35" i="37" s="1"/>
  <c r="AG8" i="27"/>
  <c r="AG43" i="26"/>
  <c r="AA601" i="33"/>
  <c r="I23" i="37" s="1"/>
  <c r="AD1135" i="33"/>
  <c r="L37" i="37" s="1"/>
  <c r="Q38" i="25"/>
  <c r="C48" i="26"/>
  <c r="D48" i="26" s="1"/>
  <c r="AA377" i="33"/>
  <c r="I17" i="37" s="1"/>
  <c r="Q41" i="22"/>
  <c r="N59" i="23"/>
  <c r="Q43" i="24"/>
  <c r="Q45" i="24" s="1"/>
  <c r="Q48" i="24" s="1"/>
  <c r="Q40" i="23"/>
  <c r="Q36" i="23"/>
  <c r="Q37" i="23" s="1"/>
  <c r="J47" i="24"/>
  <c r="J48" i="24" s="1"/>
  <c r="Z254" i="33"/>
  <c r="H14" i="37" s="1"/>
  <c r="AA139" i="33"/>
  <c r="I11" i="37" s="1"/>
  <c r="H10" i="37"/>
  <c r="AA100" i="33"/>
  <c r="A6" i="27"/>
  <c r="S6" i="27" s="1"/>
  <c r="A34" i="56"/>
  <c r="H8" i="37"/>
  <c r="AA16" i="33"/>
  <c r="AA62" i="33"/>
  <c r="H9" i="37"/>
  <c r="Z218" i="33"/>
  <c r="H13" i="11" s="1"/>
  <c r="AF33" i="25"/>
  <c r="AF43" i="24"/>
  <c r="AE43" i="13"/>
  <c r="AD335" i="33"/>
  <c r="L16" i="37" s="1"/>
  <c r="AD416" i="33"/>
  <c r="L18" i="37" s="1"/>
  <c r="M46" i="25"/>
  <c r="M8" i="26"/>
  <c r="N10" i="27"/>
  <c r="N46" i="26"/>
  <c r="AF32" i="27"/>
  <c r="AG31" i="31"/>
  <c r="N8" i="29"/>
  <c r="AJ21" i="28"/>
  <c r="AJ23" i="28" s="1"/>
  <c r="AJ25" i="27"/>
  <c r="AC9" i="15"/>
  <c r="AE9" i="15" s="1"/>
  <c r="AF10" i="30"/>
  <c r="AJ8" i="31"/>
  <c r="AJ10" i="31" s="1"/>
  <c r="I27" i="37" l="1"/>
  <c r="AD753" i="33"/>
  <c r="I31" i="37"/>
  <c r="AD906" i="33"/>
  <c r="AD1188" i="33"/>
  <c r="I38" i="26"/>
  <c r="L24" i="37"/>
  <c r="Z640" i="33"/>
  <c r="L21" i="37"/>
  <c r="Z528" i="33"/>
  <c r="I15" i="37"/>
  <c r="AD294" i="33"/>
  <c r="H12" i="37"/>
  <c r="AA177" i="33"/>
  <c r="A1468" i="33"/>
  <c r="A1432" i="33"/>
  <c r="AA566" i="33"/>
  <c r="I22" i="11" s="1"/>
  <c r="AD490" i="33"/>
  <c r="L20" i="37" s="1"/>
  <c r="AD1097" i="33"/>
  <c r="L36" i="37" s="1"/>
  <c r="G47" i="25"/>
  <c r="G48" i="25" s="1"/>
  <c r="N48" i="24"/>
  <c r="AA454" i="33"/>
  <c r="I19" i="37" s="1"/>
  <c r="Z716" i="33"/>
  <c r="H26" i="11" s="1"/>
  <c r="Z868" i="33"/>
  <c r="H30" i="11" s="1"/>
  <c r="AD677" i="33"/>
  <c r="L25" i="37" s="1"/>
  <c r="AD829" i="33"/>
  <c r="L29" i="37" s="1"/>
  <c r="AD945" i="33"/>
  <c r="L32" i="37" s="1"/>
  <c r="AD791" i="33"/>
  <c r="L28" i="37" s="1"/>
  <c r="AD983" i="33"/>
  <c r="L33" i="37" s="1"/>
  <c r="AG8" i="28"/>
  <c r="AG43" i="27"/>
  <c r="AD1059" i="33"/>
  <c r="L35" i="37" s="1"/>
  <c r="Z1022" i="33"/>
  <c r="H34" i="11" s="1"/>
  <c r="AD601" i="33"/>
  <c r="L23" i="37" s="1"/>
  <c r="Z1136" i="33"/>
  <c r="H37" i="11" s="1"/>
  <c r="C48" i="27"/>
  <c r="D48" i="27" s="1"/>
  <c r="Q38" i="26"/>
  <c r="AD377" i="33"/>
  <c r="L17" i="37" s="1"/>
  <c r="Q41" i="23"/>
  <c r="N59" i="24"/>
  <c r="Q40" i="24"/>
  <c r="Q43" i="25"/>
  <c r="Q45" i="25" s="1"/>
  <c r="Q48" i="25" s="1"/>
  <c r="Q36" i="24"/>
  <c r="Q37" i="24" s="1"/>
  <c r="J47" i="25"/>
  <c r="J48" i="25" s="1"/>
  <c r="AA254" i="33"/>
  <c r="I14" i="37" s="1"/>
  <c r="AD139" i="33"/>
  <c r="L11" i="37" s="1"/>
  <c r="AD100" i="33"/>
  <c r="I10" i="37"/>
  <c r="A6" i="28"/>
  <c r="S6" i="28" s="1"/>
  <c r="A35" i="56"/>
  <c r="AA218" i="33"/>
  <c r="I13" i="11" s="1"/>
  <c r="AD16" i="33"/>
  <c r="I8" i="37"/>
  <c r="I9" i="37"/>
  <c r="AD62" i="33"/>
  <c r="AA43" i="14"/>
  <c r="AF33" i="26"/>
  <c r="AF43" i="25"/>
  <c r="M46" i="26"/>
  <c r="M8" i="27"/>
  <c r="Z336" i="33"/>
  <c r="H16" i="11" s="1"/>
  <c r="N10" i="28"/>
  <c r="N46" i="27"/>
  <c r="Z417" i="33"/>
  <c r="H18" i="11" s="1"/>
  <c r="AF32" i="28"/>
  <c r="AG31" i="32"/>
  <c r="N8" i="30"/>
  <c r="AJ21" i="29"/>
  <c r="AJ23" i="29" s="1"/>
  <c r="AJ25" i="28"/>
  <c r="AA9" i="16"/>
  <c r="AF10" i="31"/>
  <c r="AF10" i="32" s="1"/>
  <c r="AJ8" i="32"/>
  <c r="AJ10" i="32" s="1"/>
  <c r="L27" i="37" l="1"/>
  <c r="Z754" i="33"/>
  <c r="L31" i="37"/>
  <c r="Z907" i="33"/>
  <c r="Z1189" i="33"/>
  <c r="L38" i="26"/>
  <c r="H24" i="11"/>
  <c r="AA640" i="33"/>
  <c r="H21" i="11"/>
  <c r="AA528" i="33"/>
  <c r="L15" i="37"/>
  <c r="Z295" i="33"/>
  <c r="I12" i="37"/>
  <c r="AD177" i="33"/>
  <c r="A1433" i="33"/>
  <c r="A1469" i="33"/>
  <c r="AD566" i="33"/>
  <c r="L22" i="11" s="1"/>
  <c r="Z491" i="33"/>
  <c r="H20" i="11" s="1"/>
  <c r="Z1098" i="33"/>
  <c r="H36" i="11" s="1"/>
  <c r="G47" i="26"/>
  <c r="G48" i="26" s="1"/>
  <c r="N48" i="25"/>
  <c r="AD454" i="33"/>
  <c r="L19" i="37" s="1"/>
  <c r="AA716" i="33"/>
  <c r="I26" i="11" s="1"/>
  <c r="Q41" i="24"/>
  <c r="Z946" i="33"/>
  <c r="H32" i="11" s="1"/>
  <c r="Z830" i="33"/>
  <c r="H29" i="11" s="1"/>
  <c r="Z678" i="33"/>
  <c r="H25" i="11" s="1"/>
  <c r="AA868" i="33"/>
  <c r="I30" i="11" s="1"/>
  <c r="Z984" i="33"/>
  <c r="H33" i="11" s="1"/>
  <c r="Z792" i="33"/>
  <c r="H28" i="11" s="1"/>
  <c r="AA1022" i="33"/>
  <c r="I34" i="11" s="1"/>
  <c r="Z1060" i="33"/>
  <c r="H35" i="11" s="1"/>
  <c r="AG8" i="29"/>
  <c r="AG43" i="28"/>
  <c r="Z602" i="33"/>
  <c r="H23" i="11" s="1"/>
  <c r="AA1136" i="33"/>
  <c r="I37" i="11" s="1"/>
  <c r="C48" i="28"/>
  <c r="D48" i="28" s="1"/>
  <c r="Q38" i="27"/>
  <c r="Z378" i="33"/>
  <c r="H17" i="11" s="1"/>
  <c r="J47" i="26"/>
  <c r="J48" i="26" s="1"/>
  <c r="Q36" i="25"/>
  <c r="Q37" i="25" s="1"/>
  <c r="Q40" i="25"/>
  <c r="N59" i="25"/>
  <c r="Q43" i="26"/>
  <c r="Q45" i="26" s="1"/>
  <c r="Q48" i="26" s="1"/>
  <c r="AD254" i="33"/>
  <c r="L14" i="37" s="1"/>
  <c r="Z140" i="33"/>
  <c r="H11" i="11" s="1"/>
  <c r="L10" i="37"/>
  <c r="Z101" i="33"/>
  <c r="A6" i="29"/>
  <c r="S6" i="29" s="1"/>
  <c r="A36" i="56"/>
  <c r="Z63" i="33"/>
  <c r="L9" i="37"/>
  <c r="Z17" i="33"/>
  <c r="L8" i="37"/>
  <c r="AD218" i="33"/>
  <c r="L13" i="11" s="1"/>
  <c r="AF33" i="27"/>
  <c r="AF43" i="26"/>
  <c r="AA33" i="15"/>
  <c r="AE43" i="14"/>
  <c r="AA336" i="33"/>
  <c r="I16" i="11" s="1"/>
  <c r="AA417" i="33"/>
  <c r="I18" i="11" s="1"/>
  <c r="N10" i="29"/>
  <c r="N46" i="28"/>
  <c r="M46" i="27"/>
  <c r="M8" i="28"/>
  <c r="AF32" i="29"/>
  <c r="N8" i="31"/>
  <c r="AJ21" i="30"/>
  <c r="AJ23" i="30" s="1"/>
  <c r="AJ25" i="29"/>
  <c r="AC9" i="16"/>
  <c r="AE9" i="16" s="1"/>
  <c r="H27" i="11" l="1"/>
  <c r="AA754" i="33"/>
  <c r="H31" i="11"/>
  <c r="AA907" i="33"/>
  <c r="AA1189" i="33"/>
  <c r="H38" i="27"/>
  <c r="I24" i="11"/>
  <c r="AD640" i="33"/>
  <c r="I21" i="11"/>
  <c r="AD528" i="33"/>
  <c r="H15" i="11"/>
  <c r="AA295" i="33"/>
  <c r="L12" i="37"/>
  <c r="Z178" i="33"/>
  <c r="A1434" i="33"/>
  <c r="A1470" i="33"/>
  <c r="Z567" i="33"/>
  <c r="H22" i="12" s="1"/>
  <c r="AA491" i="33"/>
  <c r="I20" i="11" s="1"/>
  <c r="AA1098" i="33"/>
  <c r="I36" i="11" s="1"/>
  <c r="G47" i="27"/>
  <c r="G48" i="27" s="1"/>
  <c r="G47" i="28" s="1"/>
  <c r="G48" i="28" s="1"/>
  <c r="G47" i="29" s="1"/>
  <c r="G48" i="29" s="1"/>
  <c r="G47" i="30" s="1"/>
  <c r="G48" i="30" s="1"/>
  <c r="G47" i="31" s="1"/>
  <c r="G48" i="31" s="1"/>
  <c r="G47" i="32" s="1"/>
  <c r="G48" i="32" s="1"/>
  <c r="N48" i="26"/>
  <c r="Z455" i="33"/>
  <c r="H19" i="11" s="1"/>
  <c r="AD716" i="33"/>
  <c r="L26" i="11" s="1"/>
  <c r="AD868" i="33"/>
  <c r="L30" i="11" s="1"/>
  <c r="AA678" i="33"/>
  <c r="I25" i="11" s="1"/>
  <c r="AA830" i="33"/>
  <c r="I29" i="11" s="1"/>
  <c r="AA946" i="33"/>
  <c r="I32" i="11" s="1"/>
  <c r="AA792" i="33"/>
  <c r="I28" i="11" s="1"/>
  <c r="AA984" i="33"/>
  <c r="I33" i="11" s="1"/>
  <c r="AG8" i="30"/>
  <c r="AG43" i="29"/>
  <c r="AA1060" i="33"/>
  <c r="I35" i="11" s="1"/>
  <c r="AD1022" i="33"/>
  <c r="L34" i="11" s="1"/>
  <c r="AA602" i="33"/>
  <c r="I23" i="11" s="1"/>
  <c r="AD1136" i="33"/>
  <c r="L37" i="11" s="1"/>
  <c r="C48" i="29"/>
  <c r="D48" i="29" s="1"/>
  <c r="Q38" i="28"/>
  <c r="AA378" i="33"/>
  <c r="I17" i="11" s="1"/>
  <c r="Q41" i="25"/>
  <c r="Q40" i="26"/>
  <c r="Q43" i="27"/>
  <c r="Q45" i="27" s="1"/>
  <c r="Q48" i="27" s="1"/>
  <c r="N59" i="26"/>
  <c r="Q36" i="26"/>
  <c r="Q37" i="26" s="1"/>
  <c r="J47" i="27"/>
  <c r="J48" i="27" s="1"/>
  <c r="Z255" i="33"/>
  <c r="H14" i="11" s="1"/>
  <c r="AA140" i="33"/>
  <c r="I11" i="11" s="1"/>
  <c r="AA101" i="33"/>
  <c r="H10" i="11"/>
  <c r="A6" i="30"/>
  <c r="S6" i="30" s="1"/>
  <c r="A37" i="56"/>
  <c r="H8" i="11"/>
  <c r="AA17" i="33"/>
  <c r="AA63" i="33"/>
  <c r="H9" i="11"/>
  <c r="Z219" i="33"/>
  <c r="H13" i="12" s="1"/>
  <c r="AC33" i="15"/>
  <c r="AE33" i="15" s="1"/>
  <c r="AA43" i="15"/>
  <c r="AF33" i="28"/>
  <c r="AF43" i="27"/>
  <c r="N10" i="30"/>
  <c r="N46" i="29"/>
  <c r="AD336" i="33"/>
  <c r="L16" i="11" s="1"/>
  <c r="M46" i="28"/>
  <c r="M8" i="29"/>
  <c r="AD417" i="33"/>
  <c r="L18" i="11" s="1"/>
  <c r="AF32" i="30"/>
  <c r="N8" i="32"/>
  <c r="AJ21" i="31"/>
  <c r="AJ23" i="31" s="1"/>
  <c r="AJ25" i="30"/>
  <c r="AA9" i="17"/>
  <c r="I27" i="11" l="1"/>
  <c r="AD754" i="33"/>
  <c r="I31" i="11"/>
  <c r="AD907" i="33"/>
  <c r="Q43" i="28"/>
  <c r="Q45" i="28" s="1"/>
  <c r="Q48" i="28" s="1"/>
  <c r="AD1189" i="33"/>
  <c r="I38" i="27"/>
  <c r="L24" i="11"/>
  <c r="Z641" i="33"/>
  <c r="L21" i="11"/>
  <c r="Z529" i="33"/>
  <c r="I15" i="11"/>
  <c r="AD295" i="33"/>
  <c r="H12" i="11"/>
  <c r="AA178" i="33"/>
  <c r="A1435" i="33"/>
  <c r="A1471" i="33"/>
  <c r="L46" i="37"/>
  <c r="AA567" i="33"/>
  <c r="I22" i="12" s="1"/>
  <c r="AD491" i="33"/>
  <c r="L20" i="11" s="1"/>
  <c r="AD1098" i="33"/>
  <c r="L36" i="11" s="1"/>
  <c r="N48" i="27"/>
  <c r="AA455" i="33"/>
  <c r="I19" i="11" s="1"/>
  <c r="Z717" i="33"/>
  <c r="H26" i="12" s="1"/>
  <c r="AD946" i="33"/>
  <c r="L32" i="11" s="1"/>
  <c r="AD830" i="33"/>
  <c r="L29" i="11" s="1"/>
  <c r="AD678" i="33"/>
  <c r="L25" i="11" s="1"/>
  <c r="Z869" i="33"/>
  <c r="H30" i="12" s="1"/>
  <c r="AD984" i="33"/>
  <c r="L33" i="11" s="1"/>
  <c r="AD792" i="33"/>
  <c r="L28" i="11" s="1"/>
  <c r="Z1023" i="33"/>
  <c r="H34" i="12" s="1"/>
  <c r="AD1060" i="33"/>
  <c r="L35" i="11" s="1"/>
  <c r="AG8" i="31"/>
  <c r="AG43" i="30"/>
  <c r="AD602" i="33"/>
  <c r="L23" i="11" s="1"/>
  <c r="Z1137" i="33"/>
  <c r="H37" i="12" s="1"/>
  <c r="Q38" i="29"/>
  <c r="C48" i="30"/>
  <c r="D48" i="30" s="1"/>
  <c r="AD378" i="33"/>
  <c r="L17" i="11" s="1"/>
  <c r="Q41" i="26"/>
  <c r="Q49" i="26" s="1"/>
  <c r="Q50" i="26" s="1"/>
  <c r="Q40" i="27"/>
  <c r="N59" i="27"/>
  <c r="Q36" i="27"/>
  <c r="Q37" i="27" s="1"/>
  <c r="J47" i="28"/>
  <c r="J48" i="28" s="1"/>
  <c r="N48" i="28" s="1"/>
  <c r="AA255" i="33"/>
  <c r="I14" i="11" s="1"/>
  <c r="AD140" i="33"/>
  <c r="L11" i="11" s="1"/>
  <c r="AD101" i="33"/>
  <c r="I10" i="11"/>
  <c r="A38" i="56"/>
  <c r="A6" i="31"/>
  <c r="S6" i="31" s="1"/>
  <c r="AA219" i="33"/>
  <c r="I13" i="12" s="1"/>
  <c r="AD17" i="33"/>
  <c r="I8" i="11"/>
  <c r="AD63" i="33"/>
  <c r="I9" i="11"/>
  <c r="AF33" i="29"/>
  <c r="AF43" i="28"/>
  <c r="AA33" i="16"/>
  <c r="AE43" i="15"/>
  <c r="Z337" i="33"/>
  <c r="H16" i="12" s="1"/>
  <c r="Z418" i="33"/>
  <c r="H18" i="12" s="1"/>
  <c r="M46" i="29"/>
  <c r="M8" i="30"/>
  <c r="N10" i="31"/>
  <c r="N46" i="30"/>
  <c r="AF32" i="31"/>
  <c r="AJ21" i="32"/>
  <c r="AJ23" i="32" s="1"/>
  <c r="AJ25" i="32" s="1"/>
  <c r="P16" i="54" s="1"/>
  <c r="AJ25" i="31"/>
  <c r="AC9" i="17"/>
  <c r="AE9" i="17" s="1"/>
  <c r="L27" i="11" l="1"/>
  <c r="Z755" i="33"/>
  <c r="L31" i="11"/>
  <c r="Z908" i="33"/>
  <c r="Z1190" i="33"/>
  <c r="L38" i="27"/>
  <c r="H24" i="12"/>
  <c r="AA641" i="33"/>
  <c r="H21" i="12"/>
  <c r="AA529" i="33"/>
  <c r="L15" i="11"/>
  <c r="Z296" i="33"/>
  <c r="I12" i="11"/>
  <c r="AD178" i="33"/>
  <c r="A1472" i="33"/>
  <c r="A1436" i="33"/>
  <c r="AD567" i="33"/>
  <c r="L22" i="12" s="1"/>
  <c r="Z492" i="33"/>
  <c r="H20" i="12" s="1"/>
  <c r="Z1099" i="33"/>
  <c r="H36" i="12" s="1"/>
  <c r="AD455" i="33"/>
  <c r="L19" i="11" s="1"/>
  <c r="AA717" i="33"/>
  <c r="I26" i="12" s="1"/>
  <c r="Z679" i="33"/>
  <c r="H25" i="12" s="1"/>
  <c r="Z831" i="33"/>
  <c r="H29" i="12" s="1"/>
  <c r="Z947" i="33"/>
  <c r="H32" i="12" s="1"/>
  <c r="Z793" i="33"/>
  <c r="H28" i="12" s="1"/>
  <c r="Z985" i="33"/>
  <c r="H33" i="12" s="1"/>
  <c r="AA869" i="33"/>
  <c r="I30" i="12" s="1"/>
  <c r="AG8" i="32"/>
  <c r="AG43" i="32" s="1"/>
  <c r="AG43" i="31"/>
  <c r="Z1061" i="33"/>
  <c r="H35" i="12" s="1"/>
  <c r="AA1023" i="33"/>
  <c r="I34" i="12" s="1"/>
  <c r="Z603" i="33"/>
  <c r="H23" i="12" s="1"/>
  <c r="AA1137" i="33"/>
  <c r="I37" i="12" s="1"/>
  <c r="Q38" i="30"/>
  <c r="C48" i="31"/>
  <c r="D48" i="31" s="1"/>
  <c r="Z379" i="33"/>
  <c r="H17" i="12" s="1"/>
  <c r="Q41" i="27"/>
  <c r="Q49" i="27" s="1"/>
  <c r="Q36" i="28"/>
  <c r="Q37" i="28" s="1"/>
  <c r="J47" i="29"/>
  <c r="J48" i="29" s="1"/>
  <c r="N48" i="29" s="1"/>
  <c r="Q40" i="28"/>
  <c r="Q43" i="29"/>
  <c r="Q45" i="29" s="1"/>
  <c r="Q48" i="29" s="1"/>
  <c r="N59" i="28"/>
  <c r="AD255" i="33"/>
  <c r="L14" i="11" s="1"/>
  <c r="Z141" i="33"/>
  <c r="H11" i="12" s="1"/>
  <c r="Z102" i="33"/>
  <c r="L10" i="11"/>
  <c r="A39" i="56"/>
  <c r="A6" i="32"/>
  <c r="S6" i="32" s="1"/>
  <c r="AD219" i="33"/>
  <c r="L13" i="12" s="1"/>
  <c r="L9" i="11"/>
  <c r="Z64" i="33"/>
  <c r="L8" i="11"/>
  <c r="Z18" i="33"/>
  <c r="AC33" i="16"/>
  <c r="AE33" i="16" s="1"/>
  <c r="AA43" i="16"/>
  <c r="AF33" i="30"/>
  <c r="AF43" i="29"/>
  <c r="AA418" i="33"/>
  <c r="I18" i="12" s="1"/>
  <c r="N10" i="32"/>
  <c r="N46" i="32" s="1"/>
  <c r="N46" i="31"/>
  <c r="M46" i="30"/>
  <c r="M8" i="31"/>
  <c r="AA337" i="33"/>
  <c r="I16" i="12" s="1"/>
  <c r="AF32" i="32"/>
  <c r="AA9" i="18"/>
  <c r="H27" i="12" l="1"/>
  <c r="AA755" i="33"/>
  <c r="H31" i="12"/>
  <c r="AA908" i="33"/>
  <c r="AA1190" i="33"/>
  <c r="H38" i="28"/>
  <c r="I24" i="12"/>
  <c r="AD641" i="33"/>
  <c r="I21" i="12"/>
  <c r="AD529" i="33"/>
  <c r="H15" i="12"/>
  <c r="AA296" i="33"/>
  <c r="L12" i="11"/>
  <c r="L46" i="11" s="1"/>
  <c r="Z179" i="33"/>
  <c r="A1437" i="33"/>
  <c r="A1473" i="33"/>
  <c r="Z568" i="33"/>
  <c r="H22" i="13" s="1"/>
  <c r="AA492" i="33"/>
  <c r="I20" i="12" s="1"/>
  <c r="AA1099" i="33"/>
  <c r="I36" i="12" s="1"/>
  <c r="Z456" i="33"/>
  <c r="H19" i="12" s="1"/>
  <c r="AD717" i="33"/>
  <c r="L26" i="12" s="1"/>
  <c r="AD869" i="33"/>
  <c r="L30" i="12" s="1"/>
  <c r="AA985" i="33"/>
  <c r="I33" i="12" s="1"/>
  <c r="AA793" i="33"/>
  <c r="I28" i="12" s="1"/>
  <c r="AA947" i="33"/>
  <c r="I32" i="12" s="1"/>
  <c r="AA831" i="33"/>
  <c r="I29" i="12" s="1"/>
  <c r="AA679" i="33"/>
  <c r="I25" i="12" s="1"/>
  <c r="AD1023" i="33"/>
  <c r="AA1061" i="33"/>
  <c r="I35" i="12" s="1"/>
  <c r="AA603" i="33"/>
  <c r="I23" i="12" s="1"/>
  <c r="AD1137" i="33"/>
  <c r="L37" i="12" s="1"/>
  <c r="Q38" i="31"/>
  <c r="C48" i="32"/>
  <c r="D48" i="32" s="1"/>
  <c r="AA379" i="33"/>
  <c r="I17" i="12" s="1"/>
  <c r="Q43" i="30"/>
  <c r="Q45" i="30" s="1"/>
  <c r="Q48" i="30" s="1"/>
  <c r="N59" i="29"/>
  <c r="Q40" i="29"/>
  <c r="Q36" i="29"/>
  <c r="Q37" i="29" s="1"/>
  <c r="J47" i="30"/>
  <c r="J48" i="30" s="1"/>
  <c r="N48" i="30" s="1"/>
  <c r="Q41" i="28"/>
  <c r="Q49" i="28" s="1"/>
  <c r="Z256" i="33"/>
  <c r="H14" i="12" s="1"/>
  <c r="AA141" i="33"/>
  <c r="I11" i="12" s="1"/>
  <c r="H10" i="12"/>
  <c r="AA102" i="33"/>
  <c r="AA18" i="33"/>
  <c r="H8" i="12"/>
  <c r="H9" i="12"/>
  <c r="AA64" i="33"/>
  <c r="Z220" i="33"/>
  <c r="H13" i="13" s="1"/>
  <c r="AF33" i="31"/>
  <c r="AF43" i="30"/>
  <c r="AA33" i="17"/>
  <c r="AE43" i="16"/>
  <c r="AD337" i="33"/>
  <c r="L16" i="12" s="1"/>
  <c r="M8" i="32"/>
  <c r="M46" i="32" s="1"/>
  <c r="M46" i="31"/>
  <c r="AD418" i="33"/>
  <c r="L18" i="12" s="1"/>
  <c r="AC9" i="18"/>
  <c r="AE9" i="18" s="1"/>
  <c r="AA10" i="21"/>
  <c r="I27" i="12" l="1"/>
  <c r="AD755" i="33"/>
  <c r="I31" i="12"/>
  <c r="AD908" i="33"/>
  <c r="AD1190" i="33"/>
  <c r="I38" i="28"/>
  <c r="Z1024" i="33"/>
  <c r="H34" i="13" s="1"/>
  <c r="L34" i="12"/>
  <c r="L24" i="12"/>
  <c r="Z642" i="33"/>
  <c r="L21" i="12"/>
  <c r="Z530" i="33"/>
  <c r="I15" i="12"/>
  <c r="AD296" i="33"/>
  <c r="H12" i="12"/>
  <c r="AA179" i="33"/>
  <c r="A1438" i="33"/>
  <c r="A1474" i="33"/>
  <c r="AA568" i="33"/>
  <c r="I22" i="13" s="1"/>
  <c r="AD492" i="33"/>
  <c r="L20" i="12" s="1"/>
  <c r="AD1099" i="33"/>
  <c r="L36" i="12" s="1"/>
  <c r="AA456" i="33"/>
  <c r="I19" i="12" s="1"/>
  <c r="Z718" i="33"/>
  <c r="H26" i="13" s="1"/>
  <c r="AD679" i="33"/>
  <c r="L25" i="12" s="1"/>
  <c r="AD831" i="33"/>
  <c r="L29" i="12" s="1"/>
  <c r="AD947" i="33"/>
  <c r="L32" i="12" s="1"/>
  <c r="AD793" i="33"/>
  <c r="L28" i="12" s="1"/>
  <c r="AD985" i="33"/>
  <c r="L33" i="12" s="1"/>
  <c r="Z870" i="33"/>
  <c r="H30" i="13" s="1"/>
  <c r="AD1061" i="33"/>
  <c r="L35" i="12" s="1"/>
  <c r="AD603" i="33"/>
  <c r="L23" i="12" s="1"/>
  <c r="Z1138" i="33"/>
  <c r="H37" i="13" s="1"/>
  <c r="Q38" i="32"/>
  <c r="BC72" i="32"/>
  <c r="AD379" i="33"/>
  <c r="L17" i="12" s="1"/>
  <c r="Q41" i="29"/>
  <c r="Q49" i="29" s="1"/>
  <c r="J47" i="31"/>
  <c r="J48" i="31" s="1"/>
  <c r="N48" i="31" s="1"/>
  <c r="Q36" i="30"/>
  <c r="Q37" i="30" s="1"/>
  <c r="Q43" i="31"/>
  <c r="Q45" i="31" s="1"/>
  <c r="Q48" i="31" s="1"/>
  <c r="N59" i="30"/>
  <c r="Q40" i="30"/>
  <c r="AA256" i="33"/>
  <c r="I14" i="12" s="1"/>
  <c r="AD141" i="33"/>
  <c r="L11" i="12" s="1"/>
  <c r="I10" i="12"/>
  <c r="AD102" i="33"/>
  <c r="AA220" i="33"/>
  <c r="I13" i="13" s="1"/>
  <c r="I9" i="12"/>
  <c r="AD64" i="33"/>
  <c r="AD18" i="33"/>
  <c r="I8" i="12"/>
  <c r="AC33" i="17"/>
  <c r="AE33" i="17" s="1"/>
  <c r="AA43" i="17"/>
  <c r="AF33" i="32"/>
  <c r="AF43" i="32" s="1"/>
  <c r="AF43" i="31"/>
  <c r="Z419" i="33"/>
  <c r="H18" i="13" s="1"/>
  <c r="Z338" i="33"/>
  <c r="H16" i="13" s="1"/>
  <c r="AA9" i="19"/>
  <c r="AC10" i="21"/>
  <c r="AE10" i="21" s="1"/>
  <c r="L27" i="12" l="1"/>
  <c r="Z756" i="33"/>
  <c r="L31" i="12"/>
  <c r="Z909" i="33"/>
  <c r="Z1191" i="33"/>
  <c r="L38" i="28"/>
  <c r="H24" i="13"/>
  <c r="AA642" i="33"/>
  <c r="H21" i="13"/>
  <c r="AA530" i="33"/>
  <c r="L15" i="12"/>
  <c r="Z297" i="33"/>
  <c r="I12" i="12"/>
  <c r="AD179" i="33"/>
  <c r="A1475" i="33"/>
  <c r="A1439" i="33"/>
  <c r="AD568" i="33"/>
  <c r="L22" i="13" s="1"/>
  <c r="Z493" i="33"/>
  <c r="H20" i="13" s="1"/>
  <c r="Z1100" i="33"/>
  <c r="H36" i="13" s="1"/>
  <c r="AD456" i="33"/>
  <c r="L19" i="12" s="1"/>
  <c r="AA718" i="33"/>
  <c r="I26" i="13" s="1"/>
  <c r="AA870" i="33"/>
  <c r="I30" i="13" s="1"/>
  <c r="Z986" i="33"/>
  <c r="H33" i="13" s="1"/>
  <c r="Z794" i="33"/>
  <c r="H28" i="13" s="1"/>
  <c r="Z948" i="33"/>
  <c r="H32" i="13" s="1"/>
  <c r="Z832" i="33"/>
  <c r="H29" i="13" s="1"/>
  <c r="Z680" i="33"/>
  <c r="H25" i="13" s="1"/>
  <c r="Z1062" i="33"/>
  <c r="H35" i="13" s="1"/>
  <c r="AA1024" i="33"/>
  <c r="I34" i="13" s="1"/>
  <c r="Z604" i="33"/>
  <c r="H23" i="13" s="1"/>
  <c r="AA1138" i="33"/>
  <c r="I37" i="13" s="1"/>
  <c r="Z380" i="33"/>
  <c r="H17" i="13" s="1"/>
  <c r="Q41" i="30"/>
  <c r="Q49" i="30" s="1"/>
  <c r="Q40" i="31"/>
  <c r="N59" i="31"/>
  <c r="Q43" i="32"/>
  <c r="Q45" i="32" s="1"/>
  <c r="Q48" i="32" s="1"/>
  <c r="J47" i="32"/>
  <c r="J48" i="32" s="1"/>
  <c r="N48" i="32" s="1"/>
  <c r="Q36" i="31"/>
  <c r="Q37" i="31" s="1"/>
  <c r="AD256" i="33"/>
  <c r="L14" i="12" s="1"/>
  <c r="Z142" i="33"/>
  <c r="H11" i="13" s="1"/>
  <c r="L10" i="12"/>
  <c r="Z103" i="33"/>
  <c r="Z65" i="33"/>
  <c r="L9" i="12"/>
  <c r="AD220" i="33"/>
  <c r="L13" i="13" s="1"/>
  <c r="L8" i="12"/>
  <c r="Z19" i="33"/>
  <c r="AA33" i="18"/>
  <c r="AE43" i="17"/>
  <c r="AA338" i="33"/>
  <c r="I16" i="13" s="1"/>
  <c r="AA419" i="33"/>
  <c r="I18" i="13" s="1"/>
  <c r="AC9" i="19"/>
  <c r="AE9" i="19" s="1"/>
  <c r="AA10" i="22"/>
  <c r="AC10" i="22" s="1"/>
  <c r="H27" i="13" l="1"/>
  <c r="AA756" i="33"/>
  <c r="H31" i="13"/>
  <c r="AA909" i="33"/>
  <c r="AA1191" i="33"/>
  <c r="H38" i="29"/>
  <c r="I24" i="13"/>
  <c r="AD642" i="33"/>
  <c r="I21" i="13"/>
  <c r="AD530" i="33"/>
  <c r="H15" i="13"/>
  <c r="AA297" i="33"/>
  <c r="L12" i="12"/>
  <c r="Z180" i="33"/>
  <c r="A1476" i="33"/>
  <c r="A1440" i="33"/>
  <c r="Z569" i="33"/>
  <c r="H22" i="14" s="1"/>
  <c r="AA493" i="33"/>
  <c r="I20" i="13" s="1"/>
  <c r="AA1100" i="33"/>
  <c r="I36" i="13" s="1"/>
  <c r="Q41" i="31"/>
  <c r="Q49" i="31" s="1"/>
  <c r="Z457" i="33"/>
  <c r="H19" i="13" s="1"/>
  <c r="AD718" i="33"/>
  <c r="L26" i="13" s="1"/>
  <c r="AA794" i="33"/>
  <c r="I28" i="13" s="1"/>
  <c r="AA680" i="33"/>
  <c r="I25" i="13" s="1"/>
  <c r="AA832" i="33"/>
  <c r="I29" i="13" s="1"/>
  <c r="AA948" i="33"/>
  <c r="I32" i="13" s="1"/>
  <c r="AA986" i="33"/>
  <c r="I33" i="13" s="1"/>
  <c r="AD870" i="33"/>
  <c r="L30" i="13" s="1"/>
  <c r="AD1024" i="33"/>
  <c r="L34" i="13" s="1"/>
  <c r="AA1062" i="33"/>
  <c r="I35" i="13" s="1"/>
  <c r="AA604" i="33"/>
  <c r="I23" i="13" s="1"/>
  <c r="AD1138" i="33"/>
  <c r="L37" i="13" s="1"/>
  <c r="AA380" i="33"/>
  <c r="I17" i="13" s="1"/>
  <c r="Q36" i="32"/>
  <c r="Q37" i="32" s="1"/>
  <c r="BC70" i="32"/>
  <c r="BC71" i="32" s="1"/>
  <c r="BC77" i="32" s="1"/>
  <c r="BF71" i="32"/>
  <c r="BF77" i="32" s="1"/>
  <c r="P11" i="54"/>
  <c r="N59" i="32"/>
  <c r="Q40" i="32"/>
  <c r="Z257" i="33"/>
  <c r="H14" i="13" s="1"/>
  <c r="AA142" i="33"/>
  <c r="I11" i="13" s="1"/>
  <c r="AA103" i="33"/>
  <c r="H10" i="13"/>
  <c r="H8" i="13"/>
  <c r="AA19" i="33"/>
  <c r="AA65" i="33"/>
  <c r="H9" i="13"/>
  <c r="Z221" i="33"/>
  <c r="H13" i="14" s="1"/>
  <c r="AC33" i="18"/>
  <c r="AE33" i="18" s="1"/>
  <c r="AA43" i="18"/>
  <c r="AD419" i="33"/>
  <c r="L18" i="13" s="1"/>
  <c r="AD338" i="33"/>
  <c r="L16" i="13" s="1"/>
  <c r="AA9" i="20"/>
  <c r="AE10" i="22"/>
  <c r="I27" i="13" l="1"/>
  <c r="AD756" i="33"/>
  <c r="I31" i="13"/>
  <c r="AD909" i="33"/>
  <c r="AD1191" i="33"/>
  <c r="I38" i="29"/>
  <c r="L24" i="13"/>
  <c r="Z643" i="33"/>
  <c r="L21" i="13"/>
  <c r="Z531" i="33"/>
  <c r="I15" i="13"/>
  <c r="AD297" i="33"/>
  <c r="H12" i="13"/>
  <c r="AA180" i="33"/>
  <c r="A1477" i="33"/>
  <c r="A1441" i="33"/>
  <c r="AA569" i="33"/>
  <c r="I22" i="14" s="1"/>
  <c r="AD493" i="33"/>
  <c r="L20" i="13" s="1"/>
  <c r="AD1100" i="33"/>
  <c r="L36" i="13" s="1"/>
  <c r="L46" i="12"/>
  <c r="AA457" i="33"/>
  <c r="I19" i="13" s="1"/>
  <c r="Z719" i="33"/>
  <c r="H26" i="14" s="1"/>
  <c r="AD948" i="33"/>
  <c r="L32" i="13" s="1"/>
  <c r="AD794" i="33"/>
  <c r="L28" i="13" s="1"/>
  <c r="Z871" i="33"/>
  <c r="H30" i="14" s="1"/>
  <c r="AD986" i="33"/>
  <c r="L33" i="13" s="1"/>
  <c r="AD832" i="33"/>
  <c r="L29" i="13" s="1"/>
  <c r="AD680" i="33"/>
  <c r="L25" i="13" s="1"/>
  <c r="AD1062" i="33"/>
  <c r="L35" i="13" s="1"/>
  <c r="Z1025" i="33"/>
  <c r="H34" i="14" s="1"/>
  <c r="AD604" i="33"/>
  <c r="L23" i="13" s="1"/>
  <c r="Z1139" i="33"/>
  <c r="H37" i="14" s="1"/>
  <c r="AD380" i="33"/>
  <c r="L17" i="13" s="1"/>
  <c r="BD80" i="32"/>
  <c r="Q41" i="32"/>
  <c r="Q49" i="32" s="1"/>
  <c r="AA257" i="33"/>
  <c r="I14" i="13" s="1"/>
  <c r="AD142" i="33"/>
  <c r="L11" i="13" s="1"/>
  <c r="AD103" i="33"/>
  <c r="I10" i="13"/>
  <c r="AA221" i="33"/>
  <c r="I13" i="14" s="1"/>
  <c r="I8" i="13"/>
  <c r="AD19" i="33"/>
  <c r="AD65" i="33"/>
  <c r="I9" i="13"/>
  <c r="AA33" i="19"/>
  <c r="AE43" i="18"/>
  <c r="Z339" i="33"/>
  <c r="H16" i="14" s="1"/>
  <c r="Z420" i="33"/>
  <c r="H18" i="14" s="1"/>
  <c r="AC9" i="20"/>
  <c r="AE9" i="20" s="1"/>
  <c r="AA10" i="23"/>
  <c r="L27" i="13" l="1"/>
  <c r="Z757" i="33"/>
  <c r="L31" i="13"/>
  <c r="Z910" i="33"/>
  <c r="Z1192" i="33"/>
  <c r="L38" i="29"/>
  <c r="H24" i="14"/>
  <c r="AA643" i="33"/>
  <c r="H21" i="14"/>
  <c r="AA531" i="33"/>
  <c r="L15" i="13"/>
  <c r="Z298" i="33"/>
  <c r="I12" i="13"/>
  <c r="AD180" i="33"/>
  <c r="A1478" i="33"/>
  <c r="A1442" i="33"/>
  <c r="AD569" i="33"/>
  <c r="L22" i="14" s="1"/>
  <c r="Z494" i="33"/>
  <c r="H20" i="14" s="1"/>
  <c r="Z1101" i="33"/>
  <c r="H36" i="14" s="1"/>
  <c r="AD457" i="33"/>
  <c r="L19" i="13" s="1"/>
  <c r="AA719" i="33"/>
  <c r="I26" i="14" s="1"/>
  <c r="Z681" i="33"/>
  <c r="H25" i="14" s="1"/>
  <c r="Z833" i="33"/>
  <c r="H29" i="14" s="1"/>
  <c r="AA871" i="33"/>
  <c r="I30" i="14" s="1"/>
  <c r="Z795" i="33"/>
  <c r="H28" i="14" s="1"/>
  <c r="Z987" i="33"/>
  <c r="H33" i="14" s="1"/>
  <c r="Z949" i="33"/>
  <c r="H32" i="14" s="1"/>
  <c r="AA1025" i="33"/>
  <c r="I34" i="14" s="1"/>
  <c r="Z1063" i="33"/>
  <c r="H35" i="14" s="1"/>
  <c r="Z605" i="33"/>
  <c r="H23" i="14" s="1"/>
  <c r="AA1139" i="33"/>
  <c r="I37" i="14" s="1"/>
  <c r="Z381" i="33"/>
  <c r="H17" i="14" s="1"/>
  <c r="AD257" i="33"/>
  <c r="L14" i="13" s="1"/>
  <c r="Z143" i="33"/>
  <c r="H11" i="14" s="1"/>
  <c r="L10" i="13"/>
  <c r="Z104" i="33"/>
  <c r="L8" i="13"/>
  <c r="Z20" i="33"/>
  <c r="L9" i="13"/>
  <c r="Z66" i="33"/>
  <c r="AD221" i="33"/>
  <c r="L13" i="14" s="1"/>
  <c r="AC33" i="19"/>
  <c r="AE33" i="19" s="1"/>
  <c r="AA43" i="19"/>
  <c r="AA420" i="33"/>
  <c r="I18" i="14" s="1"/>
  <c r="AA339" i="33"/>
  <c r="I16" i="14" s="1"/>
  <c r="AA9" i="21"/>
  <c r="AC10" i="23"/>
  <c r="AE10" i="23" s="1"/>
  <c r="H27" i="14" l="1"/>
  <c r="AA757" i="33"/>
  <c r="H31" i="14"/>
  <c r="AA910" i="33"/>
  <c r="AA1192" i="33"/>
  <c r="H38" i="30"/>
  <c r="I24" i="14"/>
  <c r="AD643" i="33"/>
  <c r="I21" i="14"/>
  <c r="AD531" i="33"/>
  <c r="H15" i="14"/>
  <c r="AA298" i="33"/>
  <c r="L12" i="13"/>
  <c r="Z181" i="33"/>
  <c r="A1443" i="33"/>
  <c r="A1479" i="33"/>
  <c r="Z570" i="33"/>
  <c r="H22" i="15" s="1"/>
  <c r="AA494" i="33"/>
  <c r="I20" i="14" s="1"/>
  <c r="AA1101" i="33"/>
  <c r="I36" i="14" s="1"/>
  <c r="Z458" i="33"/>
  <c r="H19" i="14" s="1"/>
  <c r="AD719" i="33"/>
  <c r="L26" i="14" s="1"/>
  <c r="AA949" i="33"/>
  <c r="I32" i="14" s="1"/>
  <c r="AA795" i="33"/>
  <c r="I28" i="14" s="1"/>
  <c r="AD871" i="33"/>
  <c r="L30" i="14" s="1"/>
  <c r="AA833" i="33"/>
  <c r="I29" i="14" s="1"/>
  <c r="AA987" i="33"/>
  <c r="I33" i="14" s="1"/>
  <c r="AA681" i="33"/>
  <c r="I25" i="14" s="1"/>
  <c r="AA1063" i="33"/>
  <c r="I35" i="14" s="1"/>
  <c r="AD1025" i="33"/>
  <c r="L34" i="14" s="1"/>
  <c r="AA605" i="33"/>
  <c r="I23" i="14" s="1"/>
  <c r="AD1139" i="33"/>
  <c r="L37" i="14" s="1"/>
  <c r="AA381" i="33"/>
  <c r="I17" i="14" s="1"/>
  <c r="Z258" i="33"/>
  <c r="H14" i="14" s="1"/>
  <c r="AA143" i="33"/>
  <c r="I11" i="14" s="1"/>
  <c r="H10" i="14"/>
  <c r="AA104" i="33"/>
  <c r="Z222" i="33"/>
  <c r="H13" i="15" s="1"/>
  <c r="AA66" i="33"/>
  <c r="H9" i="14"/>
  <c r="AA20" i="33"/>
  <c r="H8" i="14"/>
  <c r="AA33" i="20"/>
  <c r="AE43" i="19"/>
  <c r="AD339" i="33"/>
  <c r="L16" i="14" s="1"/>
  <c r="AD420" i="33"/>
  <c r="L18" i="14" s="1"/>
  <c r="AC9" i="21"/>
  <c r="AE9" i="21" s="1"/>
  <c r="AA10" i="24"/>
  <c r="I27" i="14" l="1"/>
  <c r="AD757" i="33"/>
  <c r="I31" i="14"/>
  <c r="AD910" i="33"/>
  <c r="AD1192" i="33"/>
  <c r="I38" i="30"/>
  <c r="L24" i="14"/>
  <c r="Z644" i="33"/>
  <c r="L21" i="14"/>
  <c r="Z532" i="33"/>
  <c r="I15" i="14"/>
  <c r="AD298" i="33"/>
  <c r="H12" i="14"/>
  <c r="AA181" i="33"/>
  <c r="A1444" i="33"/>
  <c r="A1480" i="33"/>
  <c r="AA570" i="33"/>
  <c r="I22" i="15" s="1"/>
  <c r="AD494" i="33"/>
  <c r="L20" i="14" s="1"/>
  <c r="AD1101" i="33"/>
  <c r="L36" i="14" s="1"/>
  <c r="L46" i="13"/>
  <c r="AA458" i="33"/>
  <c r="I19" i="14" s="1"/>
  <c r="Z720" i="33"/>
  <c r="H26" i="15" s="1"/>
  <c r="AD795" i="33"/>
  <c r="L28" i="14" s="1"/>
  <c r="AD949" i="33"/>
  <c r="L32" i="14" s="1"/>
  <c r="AD681" i="33"/>
  <c r="L25" i="14" s="1"/>
  <c r="AD987" i="33"/>
  <c r="L33" i="14" s="1"/>
  <c r="AD833" i="33"/>
  <c r="L29" i="14" s="1"/>
  <c r="Z872" i="33"/>
  <c r="H30" i="15" s="1"/>
  <c r="Z1026" i="33"/>
  <c r="H34" i="15" s="1"/>
  <c r="AD1063" i="33"/>
  <c r="L35" i="14" s="1"/>
  <c r="AD605" i="33"/>
  <c r="L23" i="14" s="1"/>
  <c r="Z1140" i="33"/>
  <c r="H37" i="15" s="1"/>
  <c r="AD381" i="33"/>
  <c r="L17" i="14" s="1"/>
  <c r="AA258" i="33"/>
  <c r="I14" i="14" s="1"/>
  <c r="AD143" i="33"/>
  <c r="L11" i="14" s="1"/>
  <c r="AD104" i="33"/>
  <c r="I10" i="14"/>
  <c r="AA222" i="33"/>
  <c r="I13" i="15" s="1"/>
  <c r="AD20" i="33"/>
  <c r="I8" i="14"/>
  <c r="I9" i="14"/>
  <c r="AD66" i="33"/>
  <c r="AC33" i="20"/>
  <c r="AE33" i="20" s="1"/>
  <c r="AA43" i="20"/>
  <c r="Z421" i="33"/>
  <c r="H18" i="15" s="1"/>
  <c r="Z340" i="33"/>
  <c r="H16" i="15" s="1"/>
  <c r="AA9" i="22"/>
  <c r="AC9" i="22" s="1"/>
  <c r="AC10" i="24"/>
  <c r="AE10" i="24" s="1"/>
  <c r="L27" i="14" l="1"/>
  <c r="Z758" i="33"/>
  <c r="L31" i="14"/>
  <c r="Z911" i="33"/>
  <c r="Z1193" i="33"/>
  <c r="L38" i="30"/>
  <c r="H24" i="15"/>
  <c r="AA644" i="33"/>
  <c r="H21" i="15"/>
  <c r="AA532" i="33"/>
  <c r="L15" i="14"/>
  <c r="Z299" i="33"/>
  <c r="I12" i="14"/>
  <c r="AD181" i="33"/>
  <c r="A1445" i="33"/>
  <c r="A1481" i="33"/>
  <c r="AD570" i="33"/>
  <c r="L22" i="15" s="1"/>
  <c r="Z495" i="33"/>
  <c r="H20" i="15" s="1"/>
  <c r="Z1102" i="33"/>
  <c r="H36" i="15" s="1"/>
  <c r="AD458" i="33"/>
  <c r="L19" i="14" s="1"/>
  <c r="AA720" i="33"/>
  <c r="I26" i="15" s="1"/>
  <c r="Z796" i="33"/>
  <c r="AA872" i="33"/>
  <c r="I30" i="15" s="1"/>
  <c r="Z834" i="33"/>
  <c r="H29" i="15" s="1"/>
  <c r="Z988" i="33"/>
  <c r="H33" i="15" s="1"/>
  <c r="Z682" i="33"/>
  <c r="H25" i="15" s="1"/>
  <c r="Z950" i="33"/>
  <c r="H32" i="15" s="1"/>
  <c r="AA1026" i="33"/>
  <c r="I34" i="15" s="1"/>
  <c r="Z1064" i="33"/>
  <c r="H35" i="15" s="1"/>
  <c r="Z606" i="33"/>
  <c r="H23" i="15" s="1"/>
  <c r="AA1140" i="33"/>
  <c r="I37" i="15" s="1"/>
  <c r="Z382" i="33"/>
  <c r="H17" i="15" s="1"/>
  <c r="AD258" i="33"/>
  <c r="L14" i="14" s="1"/>
  <c r="Z144" i="33"/>
  <c r="H11" i="15" s="1"/>
  <c r="Z105" i="33"/>
  <c r="L10" i="14"/>
  <c r="Z67" i="33"/>
  <c r="L9" i="14"/>
  <c r="L8" i="14"/>
  <c r="Z21" i="33"/>
  <c r="AD222" i="33"/>
  <c r="L13" i="15" s="1"/>
  <c r="AA33" i="21"/>
  <c r="AE43" i="20"/>
  <c r="AA340" i="33"/>
  <c r="I16" i="15" s="1"/>
  <c r="AA421" i="33"/>
  <c r="I18" i="15" s="1"/>
  <c r="AE9" i="22"/>
  <c r="AA10" i="25"/>
  <c r="H27" i="15" l="1"/>
  <c r="AA758" i="33"/>
  <c r="H31" i="15"/>
  <c r="AA911" i="33"/>
  <c r="H28" i="15"/>
  <c r="AA796" i="33"/>
  <c r="I28" i="15" s="1"/>
  <c r="AA1193" i="33"/>
  <c r="H38" i="31"/>
  <c r="I24" i="15"/>
  <c r="AD644" i="33"/>
  <c r="I21" i="15"/>
  <c r="AD532" i="33"/>
  <c r="H15" i="15"/>
  <c r="AA299" i="33"/>
  <c r="L12" i="14"/>
  <c r="Z182" i="33"/>
  <c r="A1446" i="33"/>
  <c r="A1482" i="33"/>
  <c r="Z571" i="33"/>
  <c r="H22" i="16" s="1"/>
  <c r="AA495" i="33"/>
  <c r="I20" i="15" s="1"/>
  <c r="AA1102" i="33"/>
  <c r="I36" i="15" s="1"/>
  <c r="Z459" i="33"/>
  <c r="H19" i="15" s="1"/>
  <c r="AD720" i="33"/>
  <c r="L26" i="15" s="1"/>
  <c r="AA950" i="33"/>
  <c r="I32" i="15" s="1"/>
  <c r="AA682" i="33"/>
  <c r="I25" i="15" s="1"/>
  <c r="AA988" i="33"/>
  <c r="I33" i="15" s="1"/>
  <c r="AA834" i="33"/>
  <c r="I29" i="15" s="1"/>
  <c r="AD872" i="33"/>
  <c r="L30" i="15" s="1"/>
  <c r="AA1064" i="33"/>
  <c r="I35" i="15" s="1"/>
  <c r="AD1026" i="33"/>
  <c r="L34" i="15" s="1"/>
  <c r="AA606" i="33"/>
  <c r="I23" i="15" s="1"/>
  <c r="AD1140" i="33"/>
  <c r="L37" i="15" s="1"/>
  <c r="AA382" i="33"/>
  <c r="I17" i="15" s="1"/>
  <c r="Z259" i="33"/>
  <c r="H14" i="15" s="1"/>
  <c r="AA144" i="33"/>
  <c r="I11" i="15" s="1"/>
  <c r="AA105" i="33"/>
  <c r="H10" i="15"/>
  <c r="Z223" i="33"/>
  <c r="H13" i="16" s="1"/>
  <c r="H9" i="15"/>
  <c r="AA67" i="33"/>
  <c r="H8" i="15"/>
  <c r="AA21" i="33"/>
  <c r="AC33" i="21"/>
  <c r="AE33" i="21" s="1"/>
  <c r="AA43" i="21"/>
  <c r="AD421" i="33"/>
  <c r="L18" i="15" s="1"/>
  <c r="AD340" i="33"/>
  <c r="L16" i="15" s="1"/>
  <c r="AA9" i="23"/>
  <c r="AC10" i="25"/>
  <c r="AE10" i="25" s="1"/>
  <c r="I27" i="15" l="1"/>
  <c r="AD758" i="33"/>
  <c r="I31" i="15"/>
  <c r="AD911" i="33"/>
  <c r="AD1193" i="33"/>
  <c r="I38" i="31"/>
  <c r="L24" i="15"/>
  <c r="Z645" i="33"/>
  <c r="L21" i="15"/>
  <c r="Z533" i="33"/>
  <c r="I15" i="15"/>
  <c r="AD299" i="33"/>
  <c r="H12" i="15"/>
  <c r="AA182" i="33"/>
  <c r="A1447" i="33"/>
  <c r="A1483" i="33"/>
  <c r="AA571" i="33"/>
  <c r="I22" i="16" s="1"/>
  <c r="AD495" i="33"/>
  <c r="L20" i="15" s="1"/>
  <c r="AD1102" i="33"/>
  <c r="L36" i="15" s="1"/>
  <c r="L46" i="14"/>
  <c r="AA459" i="33"/>
  <c r="I19" i="15" s="1"/>
  <c r="Z721" i="33"/>
  <c r="H26" i="16" s="1"/>
  <c r="AD834" i="33"/>
  <c r="L29" i="15" s="1"/>
  <c r="AD796" i="33"/>
  <c r="L28" i="15" s="1"/>
  <c r="Z873" i="33"/>
  <c r="H30" i="16" s="1"/>
  <c r="AD988" i="33"/>
  <c r="L33" i="15" s="1"/>
  <c r="AD682" i="33"/>
  <c r="L25" i="15" s="1"/>
  <c r="AD950" i="33"/>
  <c r="L32" i="15" s="1"/>
  <c r="Z1027" i="33"/>
  <c r="H34" i="16" s="1"/>
  <c r="AD1064" i="33"/>
  <c r="L35" i="15" s="1"/>
  <c r="AD606" i="33"/>
  <c r="L23" i="15" s="1"/>
  <c r="Z1141" i="33"/>
  <c r="H37" i="16" s="1"/>
  <c r="AD382" i="33"/>
  <c r="L17" i="15" s="1"/>
  <c r="AA259" i="33"/>
  <c r="I14" i="15" s="1"/>
  <c r="AD144" i="33"/>
  <c r="L11" i="15" s="1"/>
  <c r="AD105" i="33"/>
  <c r="I10" i="15"/>
  <c r="I8" i="15"/>
  <c r="AD21" i="33"/>
  <c r="AD67" i="33"/>
  <c r="I9" i="15"/>
  <c r="AA223" i="33"/>
  <c r="I13" i="16" s="1"/>
  <c r="AA33" i="22"/>
  <c r="AE43" i="21"/>
  <c r="Z341" i="33"/>
  <c r="H16" i="16" s="1"/>
  <c r="Z422" i="33"/>
  <c r="H18" i="16" s="1"/>
  <c r="AC9" i="23"/>
  <c r="AE9" i="23" s="1"/>
  <c r="AA10" i="26"/>
  <c r="L27" i="15" l="1"/>
  <c r="Z759" i="33"/>
  <c r="L31" i="15"/>
  <c r="Z912" i="33"/>
  <c r="Z1194" i="33"/>
  <c r="L38" i="31"/>
  <c r="H24" i="16"/>
  <c r="AA645" i="33"/>
  <c r="H21" i="16"/>
  <c r="AA533" i="33"/>
  <c r="L15" i="15"/>
  <c r="Z300" i="33"/>
  <c r="I12" i="15"/>
  <c r="AD182" i="33"/>
  <c r="A1448" i="33"/>
  <c r="A1484" i="33"/>
  <c r="AD571" i="33"/>
  <c r="L22" i="16" s="1"/>
  <c r="Z496" i="33"/>
  <c r="H20" i="16" s="1"/>
  <c r="Z1103" i="33"/>
  <c r="H36" i="16" s="1"/>
  <c r="AD459" i="33"/>
  <c r="L19" i="15" s="1"/>
  <c r="AA721" i="33"/>
  <c r="I26" i="16" s="1"/>
  <c r="Z797" i="33"/>
  <c r="H28" i="16" s="1"/>
  <c r="Z835" i="33"/>
  <c r="H29" i="16" s="1"/>
  <c r="Z951" i="33"/>
  <c r="H32" i="16" s="1"/>
  <c r="Z683" i="33"/>
  <c r="H25" i="16" s="1"/>
  <c r="Z989" i="33"/>
  <c r="H33" i="16" s="1"/>
  <c r="AA873" i="33"/>
  <c r="I30" i="16" s="1"/>
  <c r="Z1065" i="33"/>
  <c r="H35" i="16" s="1"/>
  <c r="AA1027" i="33"/>
  <c r="I34" i="16" s="1"/>
  <c r="Z607" i="33"/>
  <c r="H23" i="16" s="1"/>
  <c r="AA1141" i="33"/>
  <c r="I37" i="16" s="1"/>
  <c r="Z383" i="33"/>
  <c r="H17" i="16" s="1"/>
  <c r="AD259" i="33"/>
  <c r="L14" i="15" s="1"/>
  <c r="Z145" i="33"/>
  <c r="H11" i="16" s="1"/>
  <c r="L10" i="15"/>
  <c r="Z106" i="33"/>
  <c r="L8" i="15"/>
  <c r="Z22" i="33"/>
  <c r="AD223" i="33"/>
  <c r="L13" i="16" s="1"/>
  <c r="Z68" i="33"/>
  <c r="L9" i="15"/>
  <c r="AC33" i="22"/>
  <c r="AE33" i="22" s="1"/>
  <c r="AA43" i="22"/>
  <c r="AA422" i="33"/>
  <c r="I18" i="16" s="1"/>
  <c r="AA341" i="33"/>
  <c r="I16" i="16" s="1"/>
  <c r="AA9" i="24"/>
  <c r="AC10" i="26"/>
  <c r="AE10" i="26" s="1"/>
  <c r="H27" i="16" l="1"/>
  <c r="AA759" i="33"/>
  <c r="H31" i="16"/>
  <c r="AA912" i="33"/>
  <c r="AA1194" i="33"/>
  <c r="H38" i="32"/>
  <c r="I24" i="16"/>
  <c r="AD645" i="33"/>
  <c r="I21" i="16"/>
  <c r="AD533" i="33"/>
  <c r="H15" i="16"/>
  <c r="AA300" i="33"/>
  <c r="L12" i="15"/>
  <c r="Z183" i="33"/>
  <c r="A1449" i="33"/>
  <c r="A1485" i="33"/>
  <c r="Z572" i="33"/>
  <c r="H22" i="17" s="1"/>
  <c r="AA496" i="33"/>
  <c r="I20" i="16" s="1"/>
  <c r="AA1103" i="33"/>
  <c r="I36" i="16" s="1"/>
  <c r="Z460" i="33"/>
  <c r="H19" i="16" s="1"/>
  <c r="AD721" i="33"/>
  <c r="L26" i="16" s="1"/>
  <c r="AA835" i="33"/>
  <c r="I29" i="16" s="1"/>
  <c r="AA797" i="33"/>
  <c r="I28" i="16" s="1"/>
  <c r="AD873" i="33"/>
  <c r="L30" i="16" s="1"/>
  <c r="AA989" i="33"/>
  <c r="I33" i="16" s="1"/>
  <c r="AA683" i="33"/>
  <c r="I25" i="16" s="1"/>
  <c r="AA951" i="33"/>
  <c r="I32" i="16" s="1"/>
  <c r="AD1027" i="33"/>
  <c r="L34" i="16" s="1"/>
  <c r="AA1065" i="33"/>
  <c r="I35" i="16" s="1"/>
  <c r="AA607" i="33"/>
  <c r="I23" i="16" s="1"/>
  <c r="AD1141" i="33"/>
  <c r="L37" i="16" s="1"/>
  <c r="AA383" i="33"/>
  <c r="I17" i="16" s="1"/>
  <c r="Z260" i="33"/>
  <c r="H14" i="16" s="1"/>
  <c r="AA145" i="33"/>
  <c r="I11" i="16" s="1"/>
  <c r="AA106" i="33"/>
  <c r="H10" i="16"/>
  <c r="H8" i="16"/>
  <c r="AA22" i="33"/>
  <c r="AA68" i="33"/>
  <c r="H9" i="16"/>
  <c r="Z224" i="33"/>
  <c r="H13" i="17" s="1"/>
  <c r="AA33" i="23"/>
  <c r="AE43" i="22"/>
  <c r="AD341" i="33"/>
  <c r="L16" i="16" s="1"/>
  <c r="AD422" i="33"/>
  <c r="L18" i="16" s="1"/>
  <c r="AC9" i="24"/>
  <c r="AE9" i="24" s="1"/>
  <c r="AA10" i="27"/>
  <c r="I27" i="16" l="1"/>
  <c r="AD759" i="33"/>
  <c r="I31" i="16"/>
  <c r="AD912" i="33"/>
  <c r="AD1194" i="33"/>
  <c r="L38" i="32" s="1"/>
  <c r="I38" i="32"/>
  <c r="L24" i="16"/>
  <c r="Z646" i="33"/>
  <c r="L21" i="16"/>
  <c r="Z534" i="33"/>
  <c r="I15" i="16"/>
  <c r="AD300" i="33"/>
  <c r="H12" i="16"/>
  <c r="AA183" i="33"/>
  <c r="A1450" i="33"/>
  <c r="A1486" i="33"/>
  <c r="AA572" i="33"/>
  <c r="I22" i="17" s="1"/>
  <c r="AD496" i="33"/>
  <c r="L20" i="16" s="1"/>
  <c r="AD1103" i="33"/>
  <c r="L36" i="16" s="1"/>
  <c r="L46" i="15"/>
  <c r="AA460" i="33"/>
  <c r="I19" i="16" s="1"/>
  <c r="Z722" i="33"/>
  <c r="H26" i="17" s="1"/>
  <c r="AD797" i="33"/>
  <c r="L28" i="16" s="1"/>
  <c r="AD835" i="33"/>
  <c r="L29" i="16" s="1"/>
  <c r="AD951" i="33"/>
  <c r="L32" i="16" s="1"/>
  <c r="AD683" i="33"/>
  <c r="L25" i="16" s="1"/>
  <c r="AD989" i="33"/>
  <c r="L33" i="16" s="1"/>
  <c r="Z874" i="33"/>
  <c r="H30" i="17" s="1"/>
  <c r="Z1028" i="33"/>
  <c r="H34" i="17" s="1"/>
  <c r="AD1065" i="33"/>
  <c r="L35" i="16" s="1"/>
  <c r="AD607" i="33"/>
  <c r="L23" i="16" s="1"/>
  <c r="Z1142" i="33"/>
  <c r="H37" i="17" s="1"/>
  <c r="AD383" i="33"/>
  <c r="L17" i="16" s="1"/>
  <c r="AA260" i="33"/>
  <c r="I14" i="16" s="1"/>
  <c r="AD145" i="33"/>
  <c r="L11" i="16" s="1"/>
  <c r="AD106" i="33"/>
  <c r="I10" i="16"/>
  <c r="AD22" i="33"/>
  <c r="I8" i="16"/>
  <c r="AA224" i="33"/>
  <c r="I13" i="17" s="1"/>
  <c r="AD68" i="33"/>
  <c r="I9" i="16"/>
  <c r="AC33" i="23"/>
  <c r="AE33" i="23" s="1"/>
  <c r="AA43" i="23"/>
  <c r="Z423" i="33"/>
  <c r="H18" i="17" s="1"/>
  <c r="Z342" i="33"/>
  <c r="H16" i="17" s="1"/>
  <c r="AA9" i="25"/>
  <c r="AC10" i="27"/>
  <c r="AE10" i="27" s="1"/>
  <c r="L27" i="16" l="1"/>
  <c r="Z760" i="33"/>
  <c r="L31" i="16"/>
  <c r="Z913" i="33"/>
  <c r="H24" i="17"/>
  <c r="AA646" i="33"/>
  <c r="H21" i="17"/>
  <c r="AA534" i="33"/>
  <c r="L15" i="16"/>
  <c r="Z301" i="33"/>
  <c r="I12" i="16"/>
  <c r="AD183" i="33"/>
  <c r="A1451" i="33"/>
  <c r="A1487" i="33"/>
  <c r="AD572" i="33"/>
  <c r="L22" i="17" s="1"/>
  <c r="Z497" i="33"/>
  <c r="H20" i="17" s="1"/>
  <c r="Z1104" i="33"/>
  <c r="H36" i="17" s="1"/>
  <c r="AD460" i="33"/>
  <c r="L19" i="16" s="1"/>
  <c r="AA722" i="33"/>
  <c r="I26" i="17" s="1"/>
  <c r="AA874" i="33"/>
  <c r="I30" i="17" s="1"/>
  <c r="Z836" i="33"/>
  <c r="H29" i="17" s="1"/>
  <c r="Z798" i="33"/>
  <c r="H28" i="17" s="1"/>
  <c r="Z990" i="33"/>
  <c r="H33" i="17" s="1"/>
  <c r="Z684" i="33"/>
  <c r="H25" i="17" s="1"/>
  <c r="Z952" i="33"/>
  <c r="H32" i="17" s="1"/>
  <c r="Z1066" i="33"/>
  <c r="H35" i="17" s="1"/>
  <c r="AA1028" i="33"/>
  <c r="I34" i="17" s="1"/>
  <c r="Z608" i="33"/>
  <c r="H23" i="17" s="1"/>
  <c r="AA1142" i="33"/>
  <c r="I37" i="17" s="1"/>
  <c r="Z384" i="33"/>
  <c r="H17" i="17" s="1"/>
  <c r="AD260" i="33"/>
  <c r="L14" i="16" s="1"/>
  <c r="Z146" i="33"/>
  <c r="H11" i="17" s="1"/>
  <c r="L10" i="16"/>
  <c r="Z107" i="33"/>
  <c r="L9" i="16"/>
  <c r="Z69" i="33"/>
  <c r="AD224" i="33"/>
  <c r="L13" i="17" s="1"/>
  <c r="Z23" i="33"/>
  <c r="L8" i="16"/>
  <c r="AA33" i="24"/>
  <c r="AE43" i="23"/>
  <c r="AA342" i="33"/>
  <c r="I16" i="17" s="1"/>
  <c r="AA423" i="33"/>
  <c r="I18" i="17" s="1"/>
  <c r="AC9" i="25"/>
  <c r="AE9" i="25" s="1"/>
  <c r="AA10" i="28"/>
  <c r="H27" i="17" l="1"/>
  <c r="AA760" i="33"/>
  <c r="H31" i="17"/>
  <c r="AA913" i="33"/>
  <c r="I24" i="17"/>
  <c r="AD646" i="33"/>
  <c r="I21" i="17"/>
  <c r="AD534" i="33"/>
  <c r="H15" i="17"/>
  <c r="AA301" i="33"/>
  <c r="L12" i="16"/>
  <c r="Z184" i="33"/>
  <c r="A1452" i="33"/>
  <c r="A1489" i="33" s="1"/>
  <c r="A1488" i="33"/>
  <c r="Z573" i="33"/>
  <c r="H22" i="18" s="1"/>
  <c r="AA497" i="33"/>
  <c r="I20" i="17" s="1"/>
  <c r="AA1104" i="33"/>
  <c r="I36" i="17" s="1"/>
  <c r="Z461" i="33"/>
  <c r="H19" i="17" s="1"/>
  <c r="AD722" i="33"/>
  <c r="L26" i="17" s="1"/>
  <c r="AA952" i="33"/>
  <c r="I32" i="17" s="1"/>
  <c r="AA684" i="33"/>
  <c r="I25" i="17" s="1"/>
  <c r="AA798" i="33"/>
  <c r="I28" i="17" s="1"/>
  <c r="AA990" i="33"/>
  <c r="I33" i="17" s="1"/>
  <c r="AA836" i="33"/>
  <c r="I29" i="17" s="1"/>
  <c r="AD874" i="33"/>
  <c r="L30" i="17" s="1"/>
  <c r="AD1028" i="33"/>
  <c r="L34" i="17" s="1"/>
  <c r="AA1066" i="33"/>
  <c r="I35" i="17" s="1"/>
  <c r="AA608" i="33"/>
  <c r="I23" i="17" s="1"/>
  <c r="AD1142" i="33"/>
  <c r="L37" i="17" s="1"/>
  <c r="AA384" i="33"/>
  <c r="I17" i="17" s="1"/>
  <c r="Z261" i="33"/>
  <c r="H14" i="17" s="1"/>
  <c r="AA146" i="33"/>
  <c r="I11" i="17" s="1"/>
  <c r="AA107" i="33"/>
  <c r="H10" i="17"/>
  <c r="Z225" i="33"/>
  <c r="H13" i="18" s="1"/>
  <c r="AA69" i="33"/>
  <c r="H9" i="17"/>
  <c r="AA23" i="33"/>
  <c r="H8" i="17"/>
  <c r="AC33" i="24"/>
  <c r="AE33" i="24" s="1"/>
  <c r="AA43" i="24"/>
  <c r="AD342" i="33"/>
  <c r="L16" i="17" s="1"/>
  <c r="AD423" i="33"/>
  <c r="L18" i="17" s="1"/>
  <c r="AA9" i="26"/>
  <c r="AC10" i="28"/>
  <c r="AE10" i="28" s="1"/>
  <c r="I27" i="17" l="1"/>
  <c r="AD760" i="33"/>
  <c r="I31" i="17"/>
  <c r="AD913" i="33"/>
  <c r="L24" i="17"/>
  <c r="Z647" i="33"/>
  <c r="L21" i="17"/>
  <c r="Z535" i="33"/>
  <c r="I15" i="17"/>
  <c r="AD301" i="33"/>
  <c r="H12" i="17"/>
  <c r="AA184" i="33"/>
  <c r="L46" i="16"/>
  <c r="AA573" i="33"/>
  <c r="I22" i="18" s="1"/>
  <c r="AD497" i="33"/>
  <c r="L20" i="17" s="1"/>
  <c r="AD1104" i="33"/>
  <c r="L36" i="17" s="1"/>
  <c r="AA461" i="33"/>
  <c r="I19" i="17" s="1"/>
  <c r="Z723" i="33"/>
  <c r="H26" i="18" s="1"/>
  <c r="Z875" i="33"/>
  <c r="H30" i="18" s="1"/>
  <c r="AD836" i="33"/>
  <c r="L29" i="17" s="1"/>
  <c r="AD798" i="33"/>
  <c r="L28" i="17" s="1"/>
  <c r="AD990" i="33"/>
  <c r="L33" i="17" s="1"/>
  <c r="AD684" i="33"/>
  <c r="L25" i="17" s="1"/>
  <c r="AD952" i="33"/>
  <c r="L32" i="17" s="1"/>
  <c r="Z1029" i="33"/>
  <c r="H34" i="18" s="1"/>
  <c r="AD1066" i="33"/>
  <c r="L35" i="17" s="1"/>
  <c r="AD608" i="33"/>
  <c r="L23" i="17" s="1"/>
  <c r="Z1143" i="33"/>
  <c r="H37" i="18" s="1"/>
  <c r="AD384" i="33"/>
  <c r="L17" i="17" s="1"/>
  <c r="AA261" i="33"/>
  <c r="I14" i="17" s="1"/>
  <c r="AD146" i="33"/>
  <c r="L11" i="17" s="1"/>
  <c r="AD107" i="33"/>
  <c r="I10" i="17"/>
  <c r="AA225" i="33"/>
  <c r="I13" i="18" s="1"/>
  <c r="I8" i="17"/>
  <c r="AD23" i="33"/>
  <c r="AD69" i="33"/>
  <c r="I9" i="17"/>
  <c r="AA33" i="25"/>
  <c r="AE43" i="24"/>
  <c r="Z343" i="33"/>
  <c r="H16" i="18" s="1"/>
  <c r="Z424" i="33"/>
  <c r="H18" i="18" s="1"/>
  <c r="AC9" i="26"/>
  <c r="AE9" i="26" s="1"/>
  <c r="AA10" i="29"/>
  <c r="L27" i="17" l="1"/>
  <c r="Z761" i="33"/>
  <c r="L31" i="17"/>
  <c r="Z914" i="33"/>
  <c r="H24" i="18"/>
  <c r="AA647" i="33"/>
  <c r="H21" i="18"/>
  <c r="AA535" i="33"/>
  <c r="L15" i="17"/>
  <c r="Z302" i="33"/>
  <c r="I12" i="17"/>
  <c r="AD184" i="33"/>
  <c r="AD573" i="33"/>
  <c r="L22" i="18" s="1"/>
  <c r="Z498" i="33"/>
  <c r="H20" i="18" s="1"/>
  <c r="Z1105" i="33"/>
  <c r="H36" i="18" s="1"/>
  <c r="AD461" i="33"/>
  <c r="L19" i="17" s="1"/>
  <c r="AA723" i="33"/>
  <c r="I26" i="18" s="1"/>
  <c r="Z953" i="33"/>
  <c r="H32" i="18" s="1"/>
  <c r="Z685" i="33"/>
  <c r="H25" i="18" s="1"/>
  <c r="Z799" i="33"/>
  <c r="H28" i="18" s="1"/>
  <c r="Z991" i="33"/>
  <c r="H33" i="18" s="1"/>
  <c r="Z837" i="33"/>
  <c r="H29" i="18" s="1"/>
  <c r="AA875" i="33"/>
  <c r="I30" i="18" s="1"/>
  <c r="AA1029" i="33"/>
  <c r="I34" i="18" s="1"/>
  <c r="Z1067" i="33"/>
  <c r="H35" i="18" s="1"/>
  <c r="Z609" i="33"/>
  <c r="H23" i="18" s="1"/>
  <c r="AA1143" i="33"/>
  <c r="I37" i="18" s="1"/>
  <c r="Z385" i="33"/>
  <c r="H17" i="18" s="1"/>
  <c r="AD261" i="33"/>
  <c r="L14" i="17" s="1"/>
  <c r="Z147" i="33"/>
  <c r="H11" i="18" s="1"/>
  <c r="L10" i="17"/>
  <c r="Z108" i="33"/>
  <c r="H10" i="18" s="1"/>
  <c r="L8" i="17"/>
  <c r="Z24" i="33"/>
  <c r="AD225" i="33"/>
  <c r="L13" i="18" s="1"/>
  <c r="Z70" i="33"/>
  <c r="L9" i="17"/>
  <c r="AC33" i="25"/>
  <c r="AE33" i="25" s="1"/>
  <c r="AA43" i="25"/>
  <c r="AA424" i="33"/>
  <c r="I18" i="18" s="1"/>
  <c r="AA343" i="33"/>
  <c r="I16" i="18" s="1"/>
  <c r="AA9" i="27"/>
  <c r="AC10" i="29"/>
  <c r="AE10" i="29" s="1"/>
  <c r="H27" i="18" l="1"/>
  <c r="AA761" i="33"/>
  <c r="H31" i="18"/>
  <c r="AA914" i="33"/>
  <c r="I24" i="18"/>
  <c r="AD647" i="33"/>
  <c r="I21" i="18"/>
  <c r="AD535" i="33"/>
  <c r="H15" i="18"/>
  <c r="AA302" i="33"/>
  <c r="L12" i="17"/>
  <c r="Z185" i="33"/>
  <c r="Z574" i="33"/>
  <c r="H22" i="19" s="1"/>
  <c r="AA498" i="33"/>
  <c r="I20" i="18" s="1"/>
  <c r="AA1105" i="33"/>
  <c r="I36" i="18" s="1"/>
  <c r="Z462" i="33"/>
  <c r="H19" i="18" s="1"/>
  <c r="AD723" i="33"/>
  <c r="L26" i="18" s="1"/>
  <c r="AD875" i="33"/>
  <c r="L30" i="18" s="1"/>
  <c r="AA799" i="33"/>
  <c r="I28" i="18" s="1"/>
  <c r="AA837" i="33"/>
  <c r="I29" i="18" s="1"/>
  <c r="AA991" i="33"/>
  <c r="I33" i="18" s="1"/>
  <c r="AA685" i="33"/>
  <c r="I25" i="18" s="1"/>
  <c r="AA953" i="33"/>
  <c r="I32" i="18" s="1"/>
  <c r="AD1029" i="33"/>
  <c r="L34" i="18" s="1"/>
  <c r="AA1067" i="33"/>
  <c r="I35" i="18" s="1"/>
  <c r="AA609" i="33"/>
  <c r="I23" i="18" s="1"/>
  <c r="AD1143" i="33"/>
  <c r="L37" i="18" s="1"/>
  <c r="AA385" i="33"/>
  <c r="I17" i="18" s="1"/>
  <c r="Z262" i="33"/>
  <c r="H14" i="18" s="1"/>
  <c r="AA147" i="33"/>
  <c r="I11" i="18" s="1"/>
  <c r="AA108" i="33"/>
  <c r="I10" i="18" s="1"/>
  <c r="Z226" i="33"/>
  <c r="H13" i="19" s="1"/>
  <c r="H8" i="18"/>
  <c r="AA24" i="33"/>
  <c r="AA70" i="33"/>
  <c r="H9" i="18"/>
  <c r="AA33" i="26"/>
  <c r="AE43" i="25"/>
  <c r="AD343" i="33"/>
  <c r="L16" i="18" s="1"/>
  <c r="AD424" i="33"/>
  <c r="L18" i="18" s="1"/>
  <c r="AC9" i="27"/>
  <c r="AE9" i="27" s="1"/>
  <c r="AA10" i="30"/>
  <c r="I27" i="18" l="1"/>
  <c r="AD761" i="33"/>
  <c r="I31" i="18"/>
  <c r="AD914" i="33"/>
  <c r="L24" i="18"/>
  <c r="Z648" i="33"/>
  <c r="L21" i="18"/>
  <c r="Z536" i="33"/>
  <c r="I15" i="18"/>
  <c r="AD302" i="33"/>
  <c r="H12" i="18"/>
  <c r="AA185" i="33"/>
  <c r="AA574" i="33"/>
  <c r="I22" i="19" s="1"/>
  <c r="AD498" i="33"/>
  <c r="L20" i="18" s="1"/>
  <c r="AD1105" i="33"/>
  <c r="L36" i="18" s="1"/>
  <c r="L46" i="17"/>
  <c r="AA462" i="33"/>
  <c r="I19" i="18" s="1"/>
  <c r="Z724" i="33"/>
  <c r="H26" i="19" s="1"/>
  <c r="AD953" i="33"/>
  <c r="L32" i="18" s="1"/>
  <c r="AD685" i="33"/>
  <c r="L25" i="18" s="1"/>
  <c r="AD837" i="33"/>
  <c r="L29" i="18" s="1"/>
  <c r="AD799" i="33"/>
  <c r="L28" i="18" s="1"/>
  <c r="AD991" i="33"/>
  <c r="L33" i="18" s="1"/>
  <c r="Z876" i="33"/>
  <c r="H30" i="19" s="1"/>
  <c r="AD1067" i="33"/>
  <c r="L35" i="18" s="1"/>
  <c r="Z1030" i="33"/>
  <c r="H34" i="19" s="1"/>
  <c r="AD609" i="33"/>
  <c r="L23" i="18" s="1"/>
  <c r="Z1144" i="33"/>
  <c r="H37" i="19" s="1"/>
  <c r="AD385" i="33"/>
  <c r="L17" i="18" s="1"/>
  <c r="AA262" i="33"/>
  <c r="I14" i="18" s="1"/>
  <c r="AD147" i="33"/>
  <c r="L11" i="18" s="1"/>
  <c r="AD108" i="33"/>
  <c r="L10" i="18" s="1"/>
  <c r="AD24" i="33"/>
  <c r="I8" i="18"/>
  <c r="I9" i="18"/>
  <c r="AD70" i="33"/>
  <c r="AA226" i="33"/>
  <c r="I13" i="19" s="1"/>
  <c r="AC33" i="26"/>
  <c r="AE33" i="26" s="1"/>
  <c r="AA43" i="26"/>
  <c r="Z425" i="33"/>
  <c r="H18" i="19" s="1"/>
  <c r="Z344" i="33"/>
  <c r="H16" i="19" s="1"/>
  <c r="AA9" i="28"/>
  <c r="AC10" i="30"/>
  <c r="AE10" i="30" s="1"/>
  <c r="L27" i="18" l="1"/>
  <c r="Z762" i="33"/>
  <c r="L31" i="18"/>
  <c r="Z915" i="33"/>
  <c r="H24" i="19"/>
  <c r="AA648" i="33"/>
  <c r="H21" i="19"/>
  <c r="AA536" i="33"/>
  <c r="L15" i="18"/>
  <c r="Z303" i="33"/>
  <c r="I12" i="18"/>
  <c r="AD185" i="33"/>
  <c r="AD574" i="33"/>
  <c r="L22" i="19" s="1"/>
  <c r="Z499" i="33"/>
  <c r="H20" i="19" s="1"/>
  <c r="Z1106" i="33"/>
  <c r="H36" i="19" s="1"/>
  <c r="AD462" i="33"/>
  <c r="L19" i="18" s="1"/>
  <c r="AA724" i="33"/>
  <c r="I26" i="19" s="1"/>
  <c r="AA876" i="33"/>
  <c r="I30" i="19" s="1"/>
  <c r="Z800" i="33"/>
  <c r="H28" i="19" s="1"/>
  <c r="Z992" i="33"/>
  <c r="H33" i="19" s="1"/>
  <c r="Z838" i="33"/>
  <c r="H29" i="19" s="1"/>
  <c r="Z686" i="33"/>
  <c r="H25" i="19" s="1"/>
  <c r="Z954" i="33"/>
  <c r="H32" i="19" s="1"/>
  <c r="AA1030" i="33"/>
  <c r="I34" i="19" s="1"/>
  <c r="Z1068" i="33"/>
  <c r="H35" i="19" s="1"/>
  <c r="Z610" i="33"/>
  <c r="H23" i="19" s="1"/>
  <c r="AA1144" i="33"/>
  <c r="I37" i="19" s="1"/>
  <c r="Z386" i="33"/>
  <c r="H17" i="19" s="1"/>
  <c r="AD262" i="33"/>
  <c r="L14" i="18" s="1"/>
  <c r="Z148" i="33"/>
  <c r="H11" i="19" s="1"/>
  <c r="Z109" i="33"/>
  <c r="Z71" i="33"/>
  <c r="L9" i="18"/>
  <c r="AD226" i="33"/>
  <c r="L13" i="19" s="1"/>
  <c r="L8" i="18"/>
  <c r="Z25" i="33"/>
  <c r="AA33" i="27"/>
  <c r="AE43" i="26"/>
  <c r="AA344" i="33"/>
  <c r="I16" i="19" s="1"/>
  <c r="AA425" i="33"/>
  <c r="I18" i="19" s="1"/>
  <c r="AC9" i="28"/>
  <c r="AE9" i="28" s="1"/>
  <c r="AA10" i="31"/>
  <c r="H27" i="19" l="1"/>
  <c r="AA762" i="33"/>
  <c r="H31" i="19"/>
  <c r="AA915" i="33"/>
  <c r="I24" i="19"/>
  <c r="AD648" i="33"/>
  <c r="I21" i="19"/>
  <c r="AD536" i="33"/>
  <c r="H15" i="19"/>
  <c r="AA303" i="33"/>
  <c r="L12" i="18"/>
  <c r="Z186" i="33"/>
  <c r="Z575" i="33"/>
  <c r="H22" i="20" s="1"/>
  <c r="AA499" i="33"/>
  <c r="I20" i="19" s="1"/>
  <c r="AA1106" i="33"/>
  <c r="I36" i="19" s="1"/>
  <c r="Z463" i="33"/>
  <c r="H19" i="19" s="1"/>
  <c r="AD724" i="33"/>
  <c r="L26" i="19" s="1"/>
  <c r="AA954" i="33"/>
  <c r="I32" i="19" s="1"/>
  <c r="AA686" i="33"/>
  <c r="I25" i="19" s="1"/>
  <c r="AA800" i="33"/>
  <c r="I28" i="19" s="1"/>
  <c r="AA838" i="33"/>
  <c r="I29" i="19" s="1"/>
  <c r="AA992" i="33"/>
  <c r="I33" i="19" s="1"/>
  <c r="AD876" i="33"/>
  <c r="L30" i="19" s="1"/>
  <c r="AD1030" i="33"/>
  <c r="L34" i="19" s="1"/>
  <c r="AA1068" i="33"/>
  <c r="I35" i="19" s="1"/>
  <c r="AA610" i="33"/>
  <c r="I23" i="19" s="1"/>
  <c r="AD1144" i="33"/>
  <c r="L37" i="19" s="1"/>
  <c r="AA386" i="33"/>
  <c r="I17" i="19" s="1"/>
  <c r="Z263" i="33"/>
  <c r="H14" i="19" s="1"/>
  <c r="AA148" i="33"/>
  <c r="I11" i="19" s="1"/>
  <c r="AA109" i="33"/>
  <c r="H10" i="19"/>
  <c r="Z227" i="33"/>
  <c r="H13" i="20" s="1"/>
  <c r="H9" i="19"/>
  <c r="AA71" i="33"/>
  <c r="H8" i="19"/>
  <c r="AA25" i="33"/>
  <c r="AC33" i="27"/>
  <c r="AE33" i="27" s="1"/>
  <c r="AA43" i="27"/>
  <c r="AD425" i="33"/>
  <c r="L18" i="19" s="1"/>
  <c r="AD344" i="33"/>
  <c r="L16" i="19" s="1"/>
  <c r="AA9" i="29"/>
  <c r="AC10" i="31"/>
  <c r="AE10" i="31" s="1"/>
  <c r="AA10" i="32" s="1"/>
  <c r="AC10" i="32" s="1"/>
  <c r="AE10" i="32" s="1"/>
  <c r="I27" i="19" l="1"/>
  <c r="AD762" i="33"/>
  <c r="I31" i="19"/>
  <c r="AD915" i="33"/>
  <c r="L24" i="19"/>
  <c r="Z649" i="33"/>
  <c r="L21" i="19"/>
  <c r="Z537" i="33"/>
  <c r="I15" i="19"/>
  <c r="AD303" i="33"/>
  <c r="H12" i="19"/>
  <c r="AA186" i="33"/>
  <c r="L46" i="18"/>
  <c r="AA575" i="33"/>
  <c r="I22" i="20" s="1"/>
  <c r="AD499" i="33"/>
  <c r="L20" i="19" s="1"/>
  <c r="AD1106" i="33"/>
  <c r="L36" i="19" s="1"/>
  <c r="AA463" i="33"/>
  <c r="I19" i="19" s="1"/>
  <c r="Z725" i="33"/>
  <c r="H26" i="20" s="1"/>
  <c r="Z877" i="33"/>
  <c r="H30" i="20" s="1"/>
  <c r="AD838" i="33"/>
  <c r="L29" i="19" s="1"/>
  <c r="AD800" i="33"/>
  <c r="L28" i="19" s="1"/>
  <c r="AD992" i="33"/>
  <c r="L33" i="19" s="1"/>
  <c r="AD686" i="33"/>
  <c r="L25" i="19" s="1"/>
  <c r="AD954" i="33"/>
  <c r="L32" i="19" s="1"/>
  <c r="Z1031" i="33"/>
  <c r="H34" i="20" s="1"/>
  <c r="AD1068" i="33"/>
  <c r="L35" i="19" s="1"/>
  <c r="AD610" i="33"/>
  <c r="L23" i="19" s="1"/>
  <c r="Z1145" i="33"/>
  <c r="H37" i="20" s="1"/>
  <c r="AD386" i="33"/>
  <c r="L17" i="19" s="1"/>
  <c r="AA263" i="33"/>
  <c r="I14" i="19" s="1"/>
  <c r="AD148" i="33"/>
  <c r="L11" i="19" s="1"/>
  <c r="AD109" i="33"/>
  <c r="I10" i="19"/>
  <c r="AD25" i="33"/>
  <c r="I8" i="19"/>
  <c r="AD71" i="33"/>
  <c r="I9" i="19"/>
  <c r="AA227" i="33"/>
  <c r="I13" i="20" s="1"/>
  <c r="AA33" i="28"/>
  <c r="AE43" i="27"/>
  <c r="Z345" i="33"/>
  <c r="H16" i="20" s="1"/>
  <c r="Z426" i="33"/>
  <c r="H18" i="20" s="1"/>
  <c r="AC9" i="29"/>
  <c r="AE9" i="29" s="1"/>
  <c r="L27" i="19" l="1"/>
  <c r="Z763" i="33"/>
  <c r="L31" i="19"/>
  <c r="Z916" i="33"/>
  <c r="H24" i="20"/>
  <c r="AA649" i="33"/>
  <c r="H21" i="20"/>
  <c r="AA537" i="33"/>
  <c r="L15" i="19"/>
  <c r="Z304" i="33"/>
  <c r="I12" i="19"/>
  <c r="AD186" i="33"/>
  <c r="AD575" i="33"/>
  <c r="L22" i="20" s="1"/>
  <c r="Z500" i="33"/>
  <c r="H20" i="20" s="1"/>
  <c r="Z1107" i="33"/>
  <c r="H36" i="20" s="1"/>
  <c r="AD463" i="33"/>
  <c r="L19" i="19" s="1"/>
  <c r="AA725" i="33"/>
  <c r="I26" i="20" s="1"/>
  <c r="Z955" i="33"/>
  <c r="H32" i="20" s="1"/>
  <c r="Z687" i="33"/>
  <c r="H25" i="20" s="1"/>
  <c r="Z801" i="33"/>
  <c r="H28" i="20" s="1"/>
  <c r="Z993" i="33"/>
  <c r="H33" i="20" s="1"/>
  <c r="Z839" i="33"/>
  <c r="H29" i="20" s="1"/>
  <c r="AA877" i="33"/>
  <c r="I30" i="20" s="1"/>
  <c r="Z1069" i="33"/>
  <c r="H35" i="20" s="1"/>
  <c r="AA1031" i="33"/>
  <c r="I34" i="20" s="1"/>
  <c r="Z611" i="33"/>
  <c r="H23" i="20" s="1"/>
  <c r="AA1145" i="33"/>
  <c r="I37" i="20" s="1"/>
  <c r="Z387" i="33"/>
  <c r="H17" i="20" s="1"/>
  <c r="AD263" i="33"/>
  <c r="L14" i="19" s="1"/>
  <c r="Z149" i="33"/>
  <c r="H11" i="20" s="1"/>
  <c r="L10" i="19"/>
  <c r="Z110" i="33"/>
  <c r="AD227" i="33"/>
  <c r="L13" i="20" s="1"/>
  <c r="L9" i="19"/>
  <c r="Z72" i="33"/>
  <c r="Z26" i="33"/>
  <c r="L8" i="19"/>
  <c r="AC33" i="28"/>
  <c r="AE33" i="28" s="1"/>
  <c r="AA43" i="28"/>
  <c r="AA426" i="33"/>
  <c r="I18" i="20" s="1"/>
  <c r="AA345" i="33"/>
  <c r="I16" i="20" s="1"/>
  <c r="AA9" i="30"/>
  <c r="H27" i="20" l="1"/>
  <c r="AA763" i="33"/>
  <c r="H31" i="20"/>
  <c r="AA916" i="33"/>
  <c r="I24" i="20"/>
  <c r="AD649" i="33"/>
  <c r="I21" i="20"/>
  <c r="AD537" i="33"/>
  <c r="H15" i="20"/>
  <c r="AA304" i="33"/>
  <c r="L12" i="19"/>
  <c r="Z187" i="33"/>
  <c r="Z576" i="33"/>
  <c r="H22" i="21" s="1"/>
  <c r="AA500" i="33"/>
  <c r="I20" i="20" s="1"/>
  <c r="AA1107" i="33"/>
  <c r="I36" i="20" s="1"/>
  <c r="Z464" i="33"/>
  <c r="H19" i="20" s="1"/>
  <c r="AD725" i="33"/>
  <c r="L26" i="20" s="1"/>
  <c r="AD877" i="33"/>
  <c r="L30" i="20" s="1"/>
  <c r="AA801" i="33"/>
  <c r="I28" i="20" s="1"/>
  <c r="AA839" i="33"/>
  <c r="I29" i="20" s="1"/>
  <c r="AA993" i="33"/>
  <c r="I33" i="20" s="1"/>
  <c r="AA687" i="33"/>
  <c r="I25" i="20" s="1"/>
  <c r="AA955" i="33"/>
  <c r="I32" i="20" s="1"/>
  <c r="AD1031" i="33"/>
  <c r="L34" i="20" s="1"/>
  <c r="AA1069" i="33"/>
  <c r="I35" i="20" s="1"/>
  <c r="AA611" i="33"/>
  <c r="I23" i="20" s="1"/>
  <c r="AD1145" i="33"/>
  <c r="L37" i="20" s="1"/>
  <c r="AA387" i="33"/>
  <c r="I17" i="20" s="1"/>
  <c r="Z264" i="33"/>
  <c r="H14" i="20" s="1"/>
  <c r="AA149" i="33"/>
  <c r="I11" i="20" s="1"/>
  <c r="H10" i="20"/>
  <c r="AA110" i="33"/>
  <c r="H9" i="20"/>
  <c r="AA72" i="33"/>
  <c r="Z228" i="33"/>
  <c r="H13" i="21" s="1"/>
  <c r="AA26" i="33"/>
  <c r="H8" i="20"/>
  <c r="AA33" i="29"/>
  <c r="AE43" i="28"/>
  <c r="AD345" i="33"/>
  <c r="L16" i="20" s="1"/>
  <c r="AD426" i="33"/>
  <c r="L18" i="20" s="1"/>
  <c r="AC9" i="30"/>
  <c r="AE9" i="30" s="1"/>
  <c r="I27" i="20" l="1"/>
  <c r="AD763" i="33"/>
  <c r="I31" i="20"/>
  <c r="AD916" i="33"/>
  <c r="L24" i="20"/>
  <c r="Z650" i="33"/>
  <c r="L21" i="20"/>
  <c r="Z538" i="33"/>
  <c r="I15" i="20"/>
  <c r="AD304" i="33"/>
  <c r="H12" i="20"/>
  <c r="AA187" i="33"/>
  <c r="AA576" i="33"/>
  <c r="I22" i="21" s="1"/>
  <c r="AD500" i="33"/>
  <c r="L20" i="20" s="1"/>
  <c r="AD1107" i="33"/>
  <c r="L36" i="20" s="1"/>
  <c r="L46" i="19"/>
  <c r="AA464" i="33"/>
  <c r="I19" i="20" s="1"/>
  <c r="Z726" i="33"/>
  <c r="H26" i="21" s="1"/>
  <c r="AD955" i="33"/>
  <c r="L32" i="20" s="1"/>
  <c r="AD687" i="33"/>
  <c r="L25" i="20" s="1"/>
  <c r="AD839" i="33"/>
  <c r="L29" i="20" s="1"/>
  <c r="AD801" i="33"/>
  <c r="L28" i="20" s="1"/>
  <c r="Z878" i="33"/>
  <c r="H30" i="21" s="1"/>
  <c r="AD993" i="33"/>
  <c r="L33" i="20" s="1"/>
  <c r="Z1032" i="33"/>
  <c r="H34" i="21" s="1"/>
  <c r="AD1069" i="33"/>
  <c r="L35" i="20" s="1"/>
  <c r="AD611" i="33"/>
  <c r="L23" i="20" s="1"/>
  <c r="Z1146" i="33"/>
  <c r="H37" i="21" s="1"/>
  <c r="AD387" i="33"/>
  <c r="L17" i="20" s="1"/>
  <c r="AA264" i="33"/>
  <c r="I14" i="20" s="1"/>
  <c r="AD149" i="33"/>
  <c r="L11" i="20" s="1"/>
  <c r="AD110" i="33"/>
  <c r="I10" i="20"/>
  <c r="AA228" i="33"/>
  <c r="I13" i="21" s="1"/>
  <c r="AD72" i="33"/>
  <c r="I9" i="20"/>
  <c r="I8" i="20"/>
  <c r="AD26" i="33"/>
  <c r="AC33" i="29"/>
  <c r="AE33" i="29" s="1"/>
  <c r="AA43" i="29"/>
  <c r="Z427" i="33"/>
  <c r="H18" i="21" s="1"/>
  <c r="Z346" i="33"/>
  <c r="H16" i="21" s="1"/>
  <c r="AA9" i="31"/>
  <c r="L27" i="20" l="1"/>
  <c r="Z764" i="33"/>
  <c r="L31" i="20"/>
  <c r="Z917" i="33"/>
  <c r="H24" i="21"/>
  <c r="AA650" i="33"/>
  <c r="H21" i="21"/>
  <c r="AA538" i="33"/>
  <c r="L15" i="20"/>
  <c r="Z305" i="33"/>
  <c r="I12" i="20"/>
  <c r="AD187" i="33"/>
  <c r="AD576" i="33"/>
  <c r="L22" i="21" s="1"/>
  <c r="Z501" i="33"/>
  <c r="H20" i="21" s="1"/>
  <c r="Z1108" i="33"/>
  <c r="H36" i="21" s="1"/>
  <c r="AD464" i="33"/>
  <c r="L19" i="20" s="1"/>
  <c r="AA726" i="33"/>
  <c r="I26" i="21" s="1"/>
  <c r="AA878" i="33"/>
  <c r="I30" i="21" s="1"/>
  <c r="Z802" i="33"/>
  <c r="H28" i="21" s="1"/>
  <c r="Z840" i="33"/>
  <c r="H29" i="21" s="1"/>
  <c r="Z688" i="33"/>
  <c r="H25" i="21" s="1"/>
  <c r="Z956" i="33"/>
  <c r="H32" i="21" s="1"/>
  <c r="Z994" i="33"/>
  <c r="H33" i="21" s="1"/>
  <c r="AA1032" i="33"/>
  <c r="I34" i="21" s="1"/>
  <c r="Z1070" i="33"/>
  <c r="H35" i="21" s="1"/>
  <c r="Z612" i="33"/>
  <c r="H23" i="21" s="1"/>
  <c r="AA1146" i="33"/>
  <c r="I37" i="21" s="1"/>
  <c r="Z388" i="33"/>
  <c r="H17" i="21" s="1"/>
  <c r="AD264" i="33"/>
  <c r="L14" i="20" s="1"/>
  <c r="Z150" i="33"/>
  <c r="H11" i="21" s="1"/>
  <c r="L10" i="20"/>
  <c r="Z111" i="33"/>
  <c r="L8" i="20"/>
  <c r="Z27" i="33"/>
  <c r="Z73" i="33"/>
  <c r="L9" i="20"/>
  <c r="AD228" i="33"/>
  <c r="L13" i="21" s="1"/>
  <c r="AA33" i="30"/>
  <c r="AE43" i="29"/>
  <c r="AA346" i="33"/>
  <c r="I16" i="21" s="1"/>
  <c r="AA427" i="33"/>
  <c r="I18" i="21" s="1"/>
  <c r="AC9" i="31"/>
  <c r="AE9" i="31" s="1"/>
  <c r="H27" i="21" l="1"/>
  <c r="AA764" i="33"/>
  <c r="H31" i="21"/>
  <c r="AA917" i="33"/>
  <c r="I24" i="21"/>
  <c r="AD650" i="33"/>
  <c r="I21" i="21"/>
  <c r="AD538" i="33"/>
  <c r="H15" i="21"/>
  <c r="AA305" i="33"/>
  <c r="L12" i="20"/>
  <c r="Z188" i="33"/>
  <c r="Z577" i="33"/>
  <c r="H22" i="22" s="1"/>
  <c r="AA501" i="33"/>
  <c r="I20" i="21" s="1"/>
  <c r="AA1108" i="33"/>
  <c r="I36" i="21" s="1"/>
  <c r="Z465" i="33"/>
  <c r="H19" i="21" s="1"/>
  <c r="AD726" i="33"/>
  <c r="L26" i="21" s="1"/>
  <c r="AA956" i="33"/>
  <c r="I32" i="21" s="1"/>
  <c r="AA688" i="33"/>
  <c r="I25" i="21" s="1"/>
  <c r="AA840" i="33"/>
  <c r="I29" i="21" s="1"/>
  <c r="AA802" i="33"/>
  <c r="I28" i="21" s="1"/>
  <c r="AD878" i="33"/>
  <c r="L30" i="21" s="1"/>
  <c r="AA994" i="33"/>
  <c r="I33" i="21" s="1"/>
  <c r="AD1032" i="33"/>
  <c r="L34" i="21" s="1"/>
  <c r="AA1070" i="33"/>
  <c r="I35" i="21" s="1"/>
  <c r="AA612" i="33"/>
  <c r="I23" i="21" s="1"/>
  <c r="AD1146" i="33"/>
  <c r="L37" i="21" s="1"/>
  <c r="AA388" i="33"/>
  <c r="I17" i="21" s="1"/>
  <c r="Z265" i="33"/>
  <c r="H14" i="21" s="1"/>
  <c r="AA150" i="33"/>
  <c r="I11" i="21" s="1"/>
  <c r="AA111" i="33"/>
  <c r="H10" i="21"/>
  <c r="Z229" i="33"/>
  <c r="H13" i="22" s="1"/>
  <c r="AA73" i="33"/>
  <c r="H9" i="21"/>
  <c r="H8" i="21"/>
  <c r="AA27" i="33"/>
  <c r="AC33" i="30"/>
  <c r="AE33" i="30" s="1"/>
  <c r="AA43" i="30"/>
  <c r="AD427" i="33"/>
  <c r="L18" i="21" s="1"/>
  <c r="AD346" i="33"/>
  <c r="L16" i="21" s="1"/>
  <c r="AA9" i="32"/>
  <c r="I27" i="21" l="1"/>
  <c r="AD764" i="33"/>
  <c r="I31" i="21"/>
  <c r="AD917" i="33"/>
  <c r="L24" i="21"/>
  <c r="Z651" i="33"/>
  <c r="L21" i="21"/>
  <c r="Z539" i="33"/>
  <c r="I15" i="21"/>
  <c r="AD305" i="33"/>
  <c r="H12" i="21"/>
  <c r="AA188" i="33"/>
  <c r="L46" i="20"/>
  <c r="AA577" i="33"/>
  <c r="I22" i="22" s="1"/>
  <c r="AD501" i="33"/>
  <c r="L20" i="21" s="1"/>
  <c r="AD1108" i="33"/>
  <c r="L36" i="21" s="1"/>
  <c r="AA465" i="33"/>
  <c r="I19" i="21" s="1"/>
  <c r="Z727" i="33"/>
  <c r="H26" i="22" s="1"/>
  <c r="Z879" i="33"/>
  <c r="H30" i="22" s="1"/>
  <c r="AD688" i="33"/>
  <c r="L25" i="21" s="1"/>
  <c r="AD956" i="33"/>
  <c r="L32" i="21" s="1"/>
  <c r="AD994" i="33"/>
  <c r="L33" i="21" s="1"/>
  <c r="AD802" i="33"/>
  <c r="L28" i="21" s="1"/>
  <c r="AD840" i="33"/>
  <c r="L29" i="21" s="1"/>
  <c r="Z1033" i="33"/>
  <c r="H34" i="22" s="1"/>
  <c r="AD1070" i="33"/>
  <c r="L35" i="21" s="1"/>
  <c r="AD612" i="33"/>
  <c r="L23" i="21" s="1"/>
  <c r="Z1147" i="33"/>
  <c r="H37" i="22" s="1"/>
  <c r="AD388" i="33"/>
  <c r="L17" i="21" s="1"/>
  <c r="AA265" i="33"/>
  <c r="I14" i="21" s="1"/>
  <c r="AD150" i="33"/>
  <c r="L11" i="21" s="1"/>
  <c r="AD111" i="33"/>
  <c r="I10" i="21"/>
  <c r="I8" i="21"/>
  <c r="AD27" i="33"/>
  <c r="I9" i="21"/>
  <c r="AD73" i="33"/>
  <c r="AA229" i="33"/>
  <c r="I13" i="22" s="1"/>
  <c r="AA33" i="31"/>
  <c r="AE43" i="30"/>
  <c r="Z347" i="33"/>
  <c r="H16" i="22" s="1"/>
  <c r="Z428" i="33"/>
  <c r="H18" i="22" s="1"/>
  <c r="AC9" i="32"/>
  <c r="AE9" i="32" s="1"/>
  <c r="L27" i="21" l="1"/>
  <c r="Z765" i="33"/>
  <c r="L31" i="21"/>
  <c r="Z918" i="33"/>
  <c r="H24" i="22"/>
  <c r="AA651" i="33"/>
  <c r="H21" i="22"/>
  <c r="AA539" i="33"/>
  <c r="L15" i="21"/>
  <c r="Z306" i="33"/>
  <c r="I12" i="21"/>
  <c r="AD188" i="33"/>
  <c r="AD577" i="33"/>
  <c r="L22" i="22" s="1"/>
  <c r="Z502" i="33"/>
  <c r="H20" i="22" s="1"/>
  <c r="Z1109" i="33"/>
  <c r="H36" i="22" s="1"/>
  <c r="AD465" i="33"/>
  <c r="L19" i="21" s="1"/>
  <c r="AA727" i="33"/>
  <c r="I26" i="22" s="1"/>
  <c r="Z803" i="33"/>
  <c r="H28" i="22" s="1"/>
  <c r="Z957" i="33"/>
  <c r="H32" i="22" s="1"/>
  <c r="Z689" i="33"/>
  <c r="H25" i="22" s="1"/>
  <c r="AA879" i="33"/>
  <c r="I30" i="22" s="1"/>
  <c r="Z841" i="33"/>
  <c r="H29" i="22" s="1"/>
  <c r="Z995" i="33"/>
  <c r="H33" i="22" s="1"/>
  <c r="AA1033" i="33"/>
  <c r="I34" i="22" s="1"/>
  <c r="Z1071" i="33"/>
  <c r="H35" i="22" s="1"/>
  <c r="Z613" i="33"/>
  <c r="H23" i="22" s="1"/>
  <c r="AA1147" i="33"/>
  <c r="I37" i="22" s="1"/>
  <c r="Z389" i="33"/>
  <c r="H17" i="22" s="1"/>
  <c r="AD265" i="33"/>
  <c r="L14" i="21" s="1"/>
  <c r="Z151" i="33"/>
  <c r="H11" i="22" s="1"/>
  <c r="L10" i="21"/>
  <c r="Z112" i="33"/>
  <c r="AD229" i="33"/>
  <c r="L13" i="22" s="1"/>
  <c r="Z74" i="33"/>
  <c r="L9" i="21"/>
  <c r="L8" i="21"/>
  <c r="Z28" i="33"/>
  <c r="AC33" i="31"/>
  <c r="AE33" i="31" s="1"/>
  <c r="AA43" i="31"/>
  <c r="AA347" i="33"/>
  <c r="I16" i="22" s="1"/>
  <c r="AA428" i="33"/>
  <c r="I18" i="22" s="1"/>
  <c r="H27" i="22" l="1"/>
  <c r="AA765" i="33"/>
  <c r="H31" i="22"/>
  <c r="AA918" i="33"/>
  <c r="I24" i="22"/>
  <c r="AD651" i="33"/>
  <c r="I21" i="22"/>
  <c r="AD539" i="33"/>
  <c r="H15" i="22"/>
  <c r="AA306" i="33"/>
  <c r="L12" i="21"/>
  <c r="Z189" i="33"/>
  <c r="Z578" i="33"/>
  <c r="H22" i="23" s="1"/>
  <c r="AA502" i="33"/>
  <c r="I20" i="22" s="1"/>
  <c r="AA1109" i="33"/>
  <c r="I36" i="22" s="1"/>
  <c r="Z466" i="33"/>
  <c r="H19" i="22" s="1"/>
  <c r="AD727" i="33"/>
  <c r="L26" i="22" s="1"/>
  <c r="AD879" i="33"/>
  <c r="L30" i="22" s="1"/>
  <c r="AA689" i="33"/>
  <c r="I25" i="22" s="1"/>
  <c r="AA957" i="33"/>
  <c r="I32" i="22" s="1"/>
  <c r="AA995" i="33"/>
  <c r="I33" i="22" s="1"/>
  <c r="AA841" i="33"/>
  <c r="I29" i="22" s="1"/>
  <c r="AA803" i="33"/>
  <c r="I28" i="22" s="1"/>
  <c r="AD1033" i="33"/>
  <c r="L34" i="22" s="1"/>
  <c r="AA1071" i="33"/>
  <c r="I35" i="22" s="1"/>
  <c r="AA613" i="33"/>
  <c r="I23" i="22" s="1"/>
  <c r="AD1147" i="33"/>
  <c r="L37" i="22" s="1"/>
  <c r="AA389" i="33"/>
  <c r="I17" i="22" s="1"/>
  <c r="Z266" i="33"/>
  <c r="H14" i="22" s="1"/>
  <c r="AA151" i="33"/>
  <c r="I11" i="22" s="1"/>
  <c r="H10" i="22"/>
  <c r="AA112" i="33"/>
  <c r="AA74" i="33"/>
  <c r="H9" i="22"/>
  <c r="Z230" i="33"/>
  <c r="H13" i="23" s="1"/>
  <c r="H8" i="22"/>
  <c r="AA28" i="33"/>
  <c r="AA33" i="32"/>
  <c r="AE43" i="31"/>
  <c r="AD428" i="33"/>
  <c r="L18" i="22" s="1"/>
  <c r="AD347" i="33"/>
  <c r="L16" i="22" s="1"/>
  <c r="I27" i="22" l="1"/>
  <c r="AD765" i="33"/>
  <c r="I31" i="22"/>
  <c r="AD918" i="33"/>
  <c r="L24" i="22"/>
  <c r="Z652" i="33"/>
  <c r="L21" i="22"/>
  <c r="Z540" i="33"/>
  <c r="I15" i="22"/>
  <c r="AD306" i="33"/>
  <c r="H12" i="22"/>
  <c r="AA189" i="33"/>
  <c r="AA578" i="33"/>
  <c r="I22" i="23" s="1"/>
  <c r="AD502" i="33"/>
  <c r="L20" i="22" s="1"/>
  <c r="AD1109" i="33"/>
  <c r="L36" i="22" s="1"/>
  <c r="L46" i="21"/>
  <c r="AA466" i="33"/>
  <c r="I19" i="22" s="1"/>
  <c r="Z728" i="33"/>
  <c r="H26" i="23" s="1"/>
  <c r="AD957" i="33"/>
  <c r="L32" i="22" s="1"/>
  <c r="AD689" i="33"/>
  <c r="L25" i="22" s="1"/>
  <c r="AD803" i="33"/>
  <c r="L28" i="22" s="1"/>
  <c r="AD841" i="33"/>
  <c r="L29" i="22" s="1"/>
  <c r="AD995" i="33"/>
  <c r="L33" i="22" s="1"/>
  <c r="Z880" i="33"/>
  <c r="H30" i="23" s="1"/>
  <c r="Z1034" i="33"/>
  <c r="H34" i="23" s="1"/>
  <c r="AD1071" i="33"/>
  <c r="L35" i="22" s="1"/>
  <c r="AD613" i="33"/>
  <c r="L23" i="22" s="1"/>
  <c r="Z1148" i="33"/>
  <c r="H37" i="23" s="1"/>
  <c r="AD389" i="33"/>
  <c r="L17" i="22" s="1"/>
  <c r="AA266" i="33"/>
  <c r="I14" i="22" s="1"/>
  <c r="AD151" i="33"/>
  <c r="L11" i="22" s="1"/>
  <c r="AD112" i="33"/>
  <c r="I10" i="22"/>
  <c r="I8" i="22"/>
  <c r="AD28" i="33"/>
  <c r="AA230" i="33"/>
  <c r="I13" i="23" s="1"/>
  <c r="AD74" i="33"/>
  <c r="I9" i="22"/>
  <c r="AC33" i="32"/>
  <c r="AE33" i="32" s="1"/>
  <c r="AE43" i="32" s="1"/>
  <c r="P15" i="54" s="1"/>
  <c r="AA43" i="32"/>
  <c r="Z348" i="33"/>
  <c r="H16" i="23" s="1"/>
  <c r="Z429" i="33"/>
  <c r="H18" i="23" s="1"/>
  <c r="L27" i="22" l="1"/>
  <c r="Z766" i="33"/>
  <c r="L31" i="22"/>
  <c r="Z919" i="33"/>
  <c r="H24" i="23"/>
  <c r="AA652" i="33"/>
  <c r="H21" i="23"/>
  <c r="AA540" i="33"/>
  <c r="L15" i="22"/>
  <c r="Z307" i="33"/>
  <c r="I12" i="22"/>
  <c r="AD189" i="33"/>
  <c r="AD578" i="33"/>
  <c r="L22" i="23" s="1"/>
  <c r="Z503" i="33"/>
  <c r="H20" i="23" s="1"/>
  <c r="Z1110" i="33"/>
  <c r="H36" i="23" s="1"/>
  <c r="AD466" i="33"/>
  <c r="L19" i="22" s="1"/>
  <c r="AA728" i="33"/>
  <c r="I26" i="23" s="1"/>
  <c r="AA880" i="33"/>
  <c r="I30" i="23" s="1"/>
  <c r="Z842" i="33"/>
  <c r="H29" i="23" s="1"/>
  <c r="Z804" i="33"/>
  <c r="H28" i="23" s="1"/>
  <c r="Z996" i="33"/>
  <c r="H33" i="23" s="1"/>
  <c r="Z690" i="33"/>
  <c r="H25" i="23" s="1"/>
  <c r="Z958" i="33"/>
  <c r="H32" i="23" s="1"/>
  <c r="AA1034" i="33"/>
  <c r="I34" i="23" s="1"/>
  <c r="Z1072" i="33"/>
  <c r="H35" i="23" s="1"/>
  <c r="Z614" i="33"/>
  <c r="H23" i="23" s="1"/>
  <c r="AA1148" i="33"/>
  <c r="I37" i="23" s="1"/>
  <c r="Z390" i="33"/>
  <c r="H17" i="23" s="1"/>
  <c r="AD266" i="33"/>
  <c r="L14" i="22" s="1"/>
  <c r="Z152" i="33"/>
  <c r="H11" i="23" s="1"/>
  <c r="Z113" i="33"/>
  <c r="L10" i="22"/>
  <c r="AD230" i="33"/>
  <c r="L13" i="23" s="1"/>
  <c r="Z29" i="33"/>
  <c r="L8" i="22"/>
  <c r="Z75" i="33"/>
  <c r="L9" i="22"/>
  <c r="AA429" i="33"/>
  <c r="I18" i="23" s="1"/>
  <c r="AA348" i="33"/>
  <c r="I16" i="23" s="1"/>
  <c r="H27" i="23" l="1"/>
  <c r="AA766" i="33"/>
  <c r="H31" i="23"/>
  <c r="AA919" i="33"/>
  <c r="I24" i="23"/>
  <c r="AD652" i="33"/>
  <c r="I21" i="23"/>
  <c r="AD540" i="33"/>
  <c r="H15" i="23"/>
  <c r="AA307" i="33"/>
  <c r="L12" i="22"/>
  <c r="Z190" i="33"/>
  <c r="Z579" i="33"/>
  <c r="H22" i="24" s="1"/>
  <c r="AA503" i="33"/>
  <c r="I20" i="23" s="1"/>
  <c r="AA1110" i="33"/>
  <c r="I36" i="23" s="1"/>
  <c r="Z467" i="33"/>
  <c r="H19" i="23" s="1"/>
  <c r="AD728" i="33"/>
  <c r="L26" i="23" s="1"/>
  <c r="AA958" i="33"/>
  <c r="I32" i="23" s="1"/>
  <c r="AA690" i="33"/>
  <c r="I25" i="23" s="1"/>
  <c r="AA842" i="33"/>
  <c r="I29" i="23" s="1"/>
  <c r="AD880" i="33"/>
  <c r="L30" i="23" s="1"/>
  <c r="AA996" i="33"/>
  <c r="I33" i="23" s="1"/>
  <c r="AA804" i="33"/>
  <c r="I28" i="23" s="1"/>
  <c r="AD1034" i="33"/>
  <c r="L34" i="23" s="1"/>
  <c r="AA1072" i="33"/>
  <c r="I35" i="23" s="1"/>
  <c r="AA614" i="33"/>
  <c r="I23" i="23" s="1"/>
  <c r="AD1148" i="33"/>
  <c r="L37" i="23" s="1"/>
  <c r="AA390" i="33"/>
  <c r="I17" i="23" s="1"/>
  <c r="Z267" i="33"/>
  <c r="H14" i="23" s="1"/>
  <c r="AA152" i="33"/>
  <c r="I11" i="23" s="1"/>
  <c r="AA113" i="33"/>
  <c r="H10" i="23"/>
  <c r="H9" i="23"/>
  <c r="AA75" i="33"/>
  <c r="H8" i="23"/>
  <c r="AA29" i="33"/>
  <c r="Z231" i="33"/>
  <c r="H14" i="24" s="1"/>
  <c r="AD348" i="33"/>
  <c r="L16" i="23" s="1"/>
  <c r="AD429" i="33"/>
  <c r="L18" i="23" s="1"/>
  <c r="I27" i="23" l="1"/>
  <c r="AD766" i="33"/>
  <c r="I31" i="23"/>
  <c r="AD919" i="33"/>
  <c r="L24" i="23"/>
  <c r="Z653" i="33"/>
  <c r="L21" i="23"/>
  <c r="Z541" i="33"/>
  <c r="I15" i="23"/>
  <c r="AD307" i="33"/>
  <c r="H12" i="23"/>
  <c r="AA190" i="33"/>
  <c r="L46" i="22"/>
  <c r="AA579" i="33"/>
  <c r="I22" i="24" s="1"/>
  <c r="AD503" i="33"/>
  <c r="L20" i="23" s="1"/>
  <c r="AD1110" i="33"/>
  <c r="L36" i="23" s="1"/>
  <c r="AA467" i="33"/>
  <c r="I19" i="23" s="1"/>
  <c r="Z729" i="33"/>
  <c r="H26" i="24" s="1"/>
  <c r="Z881" i="33"/>
  <c r="H30" i="24" s="1"/>
  <c r="AD690" i="33"/>
  <c r="L25" i="23" s="1"/>
  <c r="AD958" i="33"/>
  <c r="L32" i="23" s="1"/>
  <c r="AD804" i="33"/>
  <c r="L28" i="23" s="1"/>
  <c r="AD996" i="33"/>
  <c r="L33" i="23" s="1"/>
  <c r="AD842" i="33"/>
  <c r="L29" i="23" s="1"/>
  <c r="Z1035" i="33"/>
  <c r="H34" i="24" s="1"/>
  <c r="AD1072" i="33"/>
  <c r="L35" i="23" s="1"/>
  <c r="AD614" i="33"/>
  <c r="L23" i="23" s="1"/>
  <c r="Z1149" i="33"/>
  <c r="H37" i="24" s="1"/>
  <c r="AD390" i="33"/>
  <c r="L17" i="23" s="1"/>
  <c r="AA267" i="33"/>
  <c r="I14" i="23" s="1"/>
  <c r="AD152" i="33"/>
  <c r="L11" i="23" s="1"/>
  <c r="I10" i="23"/>
  <c r="AD113" i="33"/>
  <c r="AA231" i="33"/>
  <c r="I14" i="24" s="1"/>
  <c r="I8" i="23"/>
  <c r="AD29" i="33"/>
  <c r="AD75" i="33"/>
  <c r="I9" i="23"/>
  <c r="Z430" i="33"/>
  <c r="H18" i="24" s="1"/>
  <c r="Z349" i="33"/>
  <c r="H16" i="24" s="1"/>
  <c r="L27" i="23" l="1"/>
  <c r="Z767" i="33"/>
  <c r="L31" i="23"/>
  <c r="Z920" i="33"/>
  <c r="H24" i="24"/>
  <c r="AA653" i="33"/>
  <c r="H21" i="24"/>
  <c r="AA541" i="33"/>
  <c r="L15" i="23"/>
  <c r="Z308" i="33"/>
  <c r="AA308" i="33" s="1"/>
  <c r="AD308" i="33" s="1"/>
  <c r="I12" i="23"/>
  <c r="AD190" i="33"/>
  <c r="AD579" i="33"/>
  <c r="L22" i="24" s="1"/>
  <c r="Z504" i="33"/>
  <c r="H20" i="24" s="1"/>
  <c r="Z1111" i="33"/>
  <c r="H36" i="24" s="1"/>
  <c r="AD467" i="33"/>
  <c r="L19" i="23" s="1"/>
  <c r="AA729" i="33"/>
  <c r="I26" i="24" s="1"/>
  <c r="Z959" i="33"/>
  <c r="H32" i="24" s="1"/>
  <c r="Z691" i="33"/>
  <c r="H25" i="24" s="1"/>
  <c r="Z843" i="33"/>
  <c r="H29" i="24" s="1"/>
  <c r="Z997" i="33"/>
  <c r="H33" i="24" s="1"/>
  <c r="Z805" i="33"/>
  <c r="H28" i="24" s="1"/>
  <c r="AA881" i="33"/>
  <c r="I30" i="24" s="1"/>
  <c r="AA1035" i="33"/>
  <c r="I34" i="24" s="1"/>
  <c r="Z1073" i="33"/>
  <c r="H35" i="24" s="1"/>
  <c r="Z615" i="33"/>
  <c r="H23" i="24" s="1"/>
  <c r="AA1149" i="33"/>
  <c r="I37" i="24" s="1"/>
  <c r="Z391" i="33"/>
  <c r="H17" i="24" s="1"/>
  <c r="AD267" i="33"/>
  <c r="L14" i="23" s="1"/>
  <c r="Z153" i="33"/>
  <c r="H11" i="24" s="1"/>
  <c r="L10" i="23"/>
  <c r="Z114" i="33"/>
  <c r="L8" i="23"/>
  <c r="Z30" i="33"/>
  <c r="L9" i="23"/>
  <c r="Z76" i="33"/>
  <c r="AD231" i="33"/>
  <c r="L14" i="24" s="1"/>
  <c r="AA349" i="33"/>
  <c r="I16" i="24" s="1"/>
  <c r="AA430" i="33"/>
  <c r="I18" i="24" s="1"/>
  <c r="H27" i="24" l="1"/>
  <c r="AA767" i="33"/>
  <c r="H31" i="24"/>
  <c r="AA920" i="33"/>
  <c r="I24" i="24"/>
  <c r="AD653" i="33"/>
  <c r="I21" i="24"/>
  <c r="AD541" i="33"/>
  <c r="L12" i="23"/>
  <c r="Z191" i="33"/>
  <c r="Z580" i="33"/>
  <c r="H22" i="25" s="1"/>
  <c r="AA504" i="33"/>
  <c r="I20" i="24" s="1"/>
  <c r="AA1111" i="33"/>
  <c r="I36" i="24" s="1"/>
  <c r="Z468" i="33"/>
  <c r="H19" i="24" s="1"/>
  <c r="AD729" i="33"/>
  <c r="L26" i="24" s="1"/>
  <c r="AA843" i="33"/>
  <c r="I29" i="24" s="1"/>
  <c r="AD881" i="33"/>
  <c r="L30" i="24" s="1"/>
  <c r="AA805" i="33"/>
  <c r="I28" i="24" s="1"/>
  <c r="AA997" i="33"/>
  <c r="I33" i="24" s="1"/>
  <c r="AA691" i="33"/>
  <c r="I25" i="24" s="1"/>
  <c r="AA959" i="33"/>
  <c r="I32" i="24" s="1"/>
  <c r="AD1035" i="33"/>
  <c r="L34" i="24" s="1"/>
  <c r="AA1073" i="33"/>
  <c r="I35" i="24" s="1"/>
  <c r="AA615" i="33"/>
  <c r="I23" i="24" s="1"/>
  <c r="AD1149" i="33"/>
  <c r="L37" i="24" s="1"/>
  <c r="AA391" i="33"/>
  <c r="I17" i="24" s="1"/>
  <c r="Z268" i="33"/>
  <c r="H15" i="24" s="1"/>
  <c r="AA153" i="33"/>
  <c r="I11" i="24" s="1"/>
  <c r="AA114" i="33"/>
  <c r="H10" i="24"/>
  <c r="Z232" i="33"/>
  <c r="H13" i="25" s="1"/>
  <c r="H9" i="24"/>
  <c r="AA76" i="33"/>
  <c r="H8" i="24"/>
  <c r="AA30" i="33"/>
  <c r="Z309" i="33"/>
  <c r="H15" i="25" s="1"/>
  <c r="AD349" i="33"/>
  <c r="L16" i="24" s="1"/>
  <c r="AD430" i="33"/>
  <c r="L18" i="24" s="1"/>
  <c r="I27" i="24" l="1"/>
  <c r="AD767" i="33"/>
  <c r="I31" i="24"/>
  <c r="AD920" i="33"/>
  <c r="L24" i="24"/>
  <c r="Z654" i="33"/>
  <c r="L21" i="24"/>
  <c r="Z542" i="33"/>
  <c r="H13" i="24"/>
  <c r="AA191" i="33"/>
  <c r="AA580" i="33"/>
  <c r="I22" i="25" s="1"/>
  <c r="AD504" i="33"/>
  <c r="L20" i="24" s="1"/>
  <c r="AD1111" i="33"/>
  <c r="L36" i="24" s="1"/>
  <c r="L46" i="23"/>
  <c r="AA468" i="33"/>
  <c r="I19" i="24" s="1"/>
  <c r="Z730" i="33"/>
  <c r="H26" i="25" s="1"/>
  <c r="AD805" i="33"/>
  <c r="L28" i="24" s="1"/>
  <c r="Z882" i="33"/>
  <c r="H30" i="25" s="1"/>
  <c r="AD959" i="33"/>
  <c r="L32" i="24" s="1"/>
  <c r="AD691" i="33"/>
  <c r="L25" i="24" s="1"/>
  <c r="AD997" i="33"/>
  <c r="L33" i="24" s="1"/>
  <c r="AD843" i="33"/>
  <c r="L29" i="24" s="1"/>
  <c r="Z1036" i="33"/>
  <c r="H34" i="25" s="1"/>
  <c r="AD1073" i="33"/>
  <c r="L35" i="24" s="1"/>
  <c r="AD615" i="33"/>
  <c r="L23" i="24" s="1"/>
  <c r="Z1150" i="33"/>
  <c r="H37" i="25" s="1"/>
  <c r="AD391" i="33"/>
  <c r="L17" i="24" s="1"/>
  <c r="AA268" i="33"/>
  <c r="I15" i="24" s="1"/>
  <c r="AD153" i="33"/>
  <c r="L11" i="24" s="1"/>
  <c r="I10" i="24"/>
  <c r="AD114" i="33"/>
  <c r="AD30" i="33"/>
  <c r="I8" i="24"/>
  <c r="AD76" i="33"/>
  <c r="I9" i="24"/>
  <c r="AA309" i="33"/>
  <c r="I15" i="25" s="1"/>
  <c r="AA232" i="33"/>
  <c r="I13" i="25" s="1"/>
  <c r="Z431" i="33"/>
  <c r="H18" i="25" s="1"/>
  <c r="Z350" i="33"/>
  <c r="H16" i="25" s="1"/>
  <c r="L27" i="24" l="1"/>
  <c r="Z768" i="33"/>
  <c r="L31" i="24"/>
  <c r="Z921" i="33"/>
  <c r="H24" i="25"/>
  <c r="AA654" i="33"/>
  <c r="H21" i="25"/>
  <c r="AA542" i="33"/>
  <c r="I13" i="24"/>
  <c r="AD191" i="33"/>
  <c r="AD580" i="33"/>
  <c r="L22" i="25" s="1"/>
  <c r="Z505" i="33"/>
  <c r="H20" i="25" s="1"/>
  <c r="Z1112" i="33"/>
  <c r="H36" i="25" s="1"/>
  <c r="AD468" i="33"/>
  <c r="L19" i="24" s="1"/>
  <c r="AA730" i="33"/>
  <c r="I26" i="25" s="1"/>
  <c r="Z844" i="33"/>
  <c r="H29" i="25" s="1"/>
  <c r="Z692" i="33"/>
  <c r="H25" i="25" s="1"/>
  <c r="Z960" i="33"/>
  <c r="H32" i="25" s="1"/>
  <c r="AA882" i="33"/>
  <c r="I30" i="25" s="1"/>
  <c r="Z998" i="33"/>
  <c r="H33" i="25" s="1"/>
  <c r="Z806" i="33"/>
  <c r="H28" i="25" s="1"/>
  <c r="Z1074" i="33"/>
  <c r="H35" i="25" s="1"/>
  <c r="AA1036" i="33"/>
  <c r="I34" i="25" s="1"/>
  <c r="Z616" i="33"/>
  <c r="H23" i="25" s="1"/>
  <c r="AA1150" i="33"/>
  <c r="I37" i="25" s="1"/>
  <c r="Z392" i="33"/>
  <c r="H17" i="25" s="1"/>
  <c r="AD268" i="33"/>
  <c r="L15" i="24" s="1"/>
  <c r="Z154" i="33"/>
  <c r="H11" i="25" s="1"/>
  <c r="Z115" i="33"/>
  <c r="L10" i="24"/>
  <c r="AD232" i="33"/>
  <c r="L13" i="25" s="1"/>
  <c r="AD309" i="33"/>
  <c r="L15" i="25" s="1"/>
  <c r="L9" i="24"/>
  <c r="Z77" i="33"/>
  <c r="Z31" i="33"/>
  <c r="L8" i="24"/>
  <c r="AA431" i="33"/>
  <c r="I18" i="25" s="1"/>
  <c r="AA350" i="33"/>
  <c r="I16" i="25" s="1"/>
  <c r="H27" i="25" l="1"/>
  <c r="AA768" i="33"/>
  <c r="H31" i="25"/>
  <c r="AA921" i="33"/>
  <c r="I24" i="25"/>
  <c r="AD654" i="33"/>
  <c r="I21" i="25"/>
  <c r="AD542" i="33"/>
  <c r="L13" i="24"/>
  <c r="Z192" i="33"/>
  <c r="Z581" i="33"/>
  <c r="H22" i="26" s="1"/>
  <c r="AA505" i="33"/>
  <c r="I20" i="25" s="1"/>
  <c r="AA1112" i="33"/>
  <c r="I36" i="25" s="1"/>
  <c r="Z469" i="33"/>
  <c r="H19" i="25" s="1"/>
  <c r="AD730" i="33"/>
  <c r="L26" i="25" s="1"/>
  <c r="AA998" i="33"/>
  <c r="I33" i="25" s="1"/>
  <c r="AD882" i="33"/>
  <c r="L30" i="25" s="1"/>
  <c r="AA960" i="33"/>
  <c r="I32" i="25" s="1"/>
  <c r="AA692" i="33"/>
  <c r="I25" i="25" s="1"/>
  <c r="AA844" i="33"/>
  <c r="I29" i="25" s="1"/>
  <c r="AA806" i="33"/>
  <c r="I28" i="25" s="1"/>
  <c r="AA1074" i="33"/>
  <c r="I35" i="25" s="1"/>
  <c r="AD1036" i="33"/>
  <c r="L34" i="25" s="1"/>
  <c r="AA616" i="33"/>
  <c r="I23" i="25" s="1"/>
  <c r="AD1150" i="33"/>
  <c r="L37" i="25" s="1"/>
  <c r="AA392" i="33"/>
  <c r="I17" i="25" s="1"/>
  <c r="Z269" i="33"/>
  <c r="AA154" i="33"/>
  <c r="I11" i="25" s="1"/>
  <c r="AA115" i="33"/>
  <c r="H10" i="25"/>
  <c r="AA31" i="33"/>
  <c r="H8" i="25"/>
  <c r="H9" i="25"/>
  <c r="AA77" i="33"/>
  <c r="Z310" i="33"/>
  <c r="H15" i="26" s="1"/>
  <c r="Z233" i="33"/>
  <c r="H13" i="26" s="1"/>
  <c r="AD350" i="33"/>
  <c r="L16" i="25" s="1"/>
  <c r="AD431" i="33"/>
  <c r="L18" i="25" s="1"/>
  <c r="I27" i="25" l="1"/>
  <c r="AD768" i="33"/>
  <c r="I31" i="25"/>
  <c r="AD921" i="33"/>
  <c r="L24" i="25"/>
  <c r="Z655" i="33"/>
  <c r="L21" i="25"/>
  <c r="Z543" i="33"/>
  <c r="AA269" i="33"/>
  <c r="I14" i="25" s="1"/>
  <c r="H14" i="25"/>
  <c r="H12" i="25"/>
  <c r="AA192" i="33"/>
  <c r="L46" i="24"/>
  <c r="AA581" i="33"/>
  <c r="I22" i="26" s="1"/>
  <c r="AD505" i="33"/>
  <c r="L20" i="25" s="1"/>
  <c r="AD1112" i="33"/>
  <c r="L36" i="25" s="1"/>
  <c r="AA469" i="33"/>
  <c r="I19" i="25" s="1"/>
  <c r="Z731" i="33"/>
  <c r="H26" i="26" s="1"/>
  <c r="AD844" i="33"/>
  <c r="L29" i="25" s="1"/>
  <c r="AD692" i="33"/>
  <c r="L25" i="25" s="1"/>
  <c r="AD960" i="33"/>
  <c r="L32" i="25" s="1"/>
  <c r="Z883" i="33"/>
  <c r="H30" i="26" s="1"/>
  <c r="AD806" i="33"/>
  <c r="L28" i="25" s="1"/>
  <c r="AD998" i="33"/>
  <c r="L33" i="25" s="1"/>
  <c r="Z1037" i="33"/>
  <c r="H34" i="26" s="1"/>
  <c r="AD1074" i="33"/>
  <c r="L35" i="25" s="1"/>
  <c r="AD616" i="33"/>
  <c r="L23" i="25" s="1"/>
  <c r="Z1151" i="33"/>
  <c r="H37" i="26" s="1"/>
  <c r="AD392" i="33"/>
  <c r="L17" i="25" s="1"/>
  <c r="AD154" i="33"/>
  <c r="L11" i="25" s="1"/>
  <c r="AD115" i="33"/>
  <c r="I10" i="25"/>
  <c r="AA233" i="33"/>
  <c r="I13" i="26" s="1"/>
  <c r="AA310" i="33"/>
  <c r="I15" i="26" s="1"/>
  <c r="AD77" i="33"/>
  <c r="I9" i="25"/>
  <c r="AD31" i="33"/>
  <c r="I8" i="25"/>
  <c r="Z432" i="33"/>
  <c r="H18" i="26" s="1"/>
  <c r="Z351" i="33"/>
  <c r="H16" i="26" s="1"/>
  <c r="L27" i="25" l="1"/>
  <c r="Z769" i="33"/>
  <c r="L31" i="25"/>
  <c r="Z922" i="33"/>
  <c r="H24" i="26"/>
  <c r="AA655" i="33"/>
  <c r="H21" i="26"/>
  <c r="AA543" i="33"/>
  <c r="I12" i="25"/>
  <c r="AD192" i="33"/>
  <c r="AD581" i="33"/>
  <c r="L22" i="26" s="1"/>
  <c r="Z506" i="33"/>
  <c r="H20" i="26" s="1"/>
  <c r="Z1113" i="33"/>
  <c r="H36" i="26" s="1"/>
  <c r="AD469" i="33"/>
  <c r="L19" i="25" s="1"/>
  <c r="AA731" i="33"/>
  <c r="I26" i="26" s="1"/>
  <c r="AA883" i="33"/>
  <c r="I30" i="26" s="1"/>
  <c r="Z961" i="33"/>
  <c r="H32" i="26" s="1"/>
  <c r="Z693" i="33"/>
  <c r="H25" i="26" s="1"/>
  <c r="Z845" i="33"/>
  <c r="H29" i="26" s="1"/>
  <c r="Z999" i="33"/>
  <c r="H33" i="26" s="1"/>
  <c r="Z807" i="33"/>
  <c r="H28" i="26" s="1"/>
  <c r="AA1037" i="33"/>
  <c r="I34" i="26" s="1"/>
  <c r="Z1075" i="33"/>
  <c r="H35" i="26" s="1"/>
  <c r="Z617" i="33"/>
  <c r="H23" i="26" s="1"/>
  <c r="AA1151" i="33"/>
  <c r="I37" i="26" s="1"/>
  <c r="Z393" i="33"/>
  <c r="H17" i="26" s="1"/>
  <c r="AD269" i="33"/>
  <c r="L14" i="25" s="1"/>
  <c r="Z155" i="33"/>
  <c r="H11" i="26" s="1"/>
  <c r="Z116" i="33"/>
  <c r="L10" i="25"/>
  <c r="AD310" i="33"/>
  <c r="L15" i="26" s="1"/>
  <c r="Z32" i="33"/>
  <c r="L8" i="25"/>
  <c r="L9" i="25"/>
  <c r="Z78" i="33"/>
  <c r="AD233" i="33"/>
  <c r="L13" i="26" s="1"/>
  <c r="AA351" i="33"/>
  <c r="I16" i="26" s="1"/>
  <c r="AA432" i="33"/>
  <c r="I18" i="26" s="1"/>
  <c r="H27" i="26" l="1"/>
  <c r="AA769" i="33"/>
  <c r="H31" i="26"/>
  <c r="AA922" i="33"/>
  <c r="I24" i="26"/>
  <c r="AD655" i="33"/>
  <c r="I21" i="26"/>
  <c r="AD543" i="33"/>
  <c r="L12" i="25"/>
  <c r="Z193" i="33"/>
  <c r="Z582" i="33"/>
  <c r="H22" i="27" s="1"/>
  <c r="AA506" i="33"/>
  <c r="I20" i="26" s="1"/>
  <c r="AA1113" i="33"/>
  <c r="I36" i="26" s="1"/>
  <c r="Z470" i="33"/>
  <c r="H19" i="26" s="1"/>
  <c r="AD731" i="33"/>
  <c r="L26" i="26" s="1"/>
  <c r="AA807" i="33"/>
  <c r="I28" i="26" s="1"/>
  <c r="AA999" i="33"/>
  <c r="I33" i="26" s="1"/>
  <c r="AA845" i="33"/>
  <c r="I29" i="26" s="1"/>
  <c r="AA693" i="33"/>
  <c r="I25" i="26" s="1"/>
  <c r="AA961" i="33"/>
  <c r="I32" i="26" s="1"/>
  <c r="AD883" i="33"/>
  <c r="L30" i="26" s="1"/>
  <c r="AA1075" i="33"/>
  <c r="I35" i="26" s="1"/>
  <c r="AD1037" i="33"/>
  <c r="L34" i="26" s="1"/>
  <c r="AA617" i="33"/>
  <c r="I23" i="26" s="1"/>
  <c r="AD1151" i="33"/>
  <c r="L37" i="26" s="1"/>
  <c r="AA393" i="33"/>
  <c r="I17" i="26" s="1"/>
  <c r="Z270" i="33"/>
  <c r="H14" i="26" s="1"/>
  <c r="AA155" i="33"/>
  <c r="I11" i="26" s="1"/>
  <c r="AA116" i="33"/>
  <c r="H10" i="26"/>
  <c r="Z234" i="33"/>
  <c r="H13" i="27" s="1"/>
  <c r="H8" i="26"/>
  <c r="AA32" i="33"/>
  <c r="H9" i="26"/>
  <c r="AA78" i="33"/>
  <c r="Z311" i="33"/>
  <c r="H15" i="27" s="1"/>
  <c r="AD432" i="33"/>
  <c r="L18" i="26" s="1"/>
  <c r="AD351" i="33"/>
  <c r="L16" i="26" s="1"/>
  <c r="I27" i="26" l="1"/>
  <c r="AD769" i="33"/>
  <c r="I31" i="26"/>
  <c r="AD922" i="33"/>
  <c r="L24" i="26"/>
  <c r="Z656" i="33"/>
  <c r="L21" i="26"/>
  <c r="Z544" i="33"/>
  <c r="H12" i="26"/>
  <c r="AA193" i="33"/>
  <c r="AA582" i="33"/>
  <c r="I22" i="27" s="1"/>
  <c r="AD506" i="33"/>
  <c r="L20" i="26" s="1"/>
  <c r="AD1113" i="33"/>
  <c r="L36" i="26" s="1"/>
  <c r="L46" i="25"/>
  <c r="AA470" i="33"/>
  <c r="I19" i="26" s="1"/>
  <c r="Z732" i="33"/>
  <c r="H26" i="27" s="1"/>
  <c r="AD961" i="33"/>
  <c r="L32" i="26" s="1"/>
  <c r="AD693" i="33"/>
  <c r="L25" i="26" s="1"/>
  <c r="AD845" i="33"/>
  <c r="L29" i="26" s="1"/>
  <c r="AD999" i="33"/>
  <c r="L33" i="26" s="1"/>
  <c r="AD807" i="33"/>
  <c r="L28" i="26" s="1"/>
  <c r="Z884" i="33"/>
  <c r="H30" i="27" s="1"/>
  <c r="Z1038" i="33"/>
  <c r="H34" i="27" s="1"/>
  <c r="AD1075" i="33"/>
  <c r="L35" i="26" s="1"/>
  <c r="AD617" i="33"/>
  <c r="L23" i="26" s="1"/>
  <c r="Z1152" i="33"/>
  <c r="H37" i="27" s="1"/>
  <c r="AD393" i="33"/>
  <c r="L17" i="26" s="1"/>
  <c r="AA270" i="33"/>
  <c r="I14" i="26" s="1"/>
  <c r="AD155" i="33"/>
  <c r="L11" i="26" s="1"/>
  <c r="AD116" i="33"/>
  <c r="I10" i="26"/>
  <c r="I9" i="26"/>
  <c r="AD78" i="33"/>
  <c r="AD32" i="33"/>
  <c r="I8" i="26"/>
  <c r="AA234" i="33"/>
  <c r="I13" i="27" s="1"/>
  <c r="AA311" i="33"/>
  <c r="I15" i="27" s="1"/>
  <c r="Z433" i="33"/>
  <c r="H18" i="27" s="1"/>
  <c r="Z352" i="33"/>
  <c r="H16" i="27" s="1"/>
  <c r="L27" i="26" l="1"/>
  <c r="Z770" i="33"/>
  <c r="L31" i="26"/>
  <c r="Z923" i="33"/>
  <c r="H24" i="27"/>
  <c r="AA656" i="33"/>
  <c r="H21" i="27"/>
  <c r="AA544" i="33"/>
  <c r="I12" i="26"/>
  <c r="AD193" i="33"/>
  <c r="AD582" i="33"/>
  <c r="L22" i="27" s="1"/>
  <c r="Z507" i="33"/>
  <c r="H20" i="27" s="1"/>
  <c r="Z1114" i="33"/>
  <c r="H36" i="27" s="1"/>
  <c r="AD470" i="33"/>
  <c r="L19" i="26" s="1"/>
  <c r="AA732" i="33"/>
  <c r="I26" i="27" s="1"/>
  <c r="AA884" i="33"/>
  <c r="I30" i="27" s="1"/>
  <c r="Z1000" i="33"/>
  <c r="H33" i="27" s="1"/>
  <c r="Z808" i="33"/>
  <c r="H28" i="27" s="1"/>
  <c r="Z846" i="33"/>
  <c r="H29" i="27" s="1"/>
  <c r="Z694" i="33"/>
  <c r="H25" i="27" s="1"/>
  <c r="Z962" i="33"/>
  <c r="H32" i="27" s="1"/>
  <c r="Z1076" i="33"/>
  <c r="H35" i="27" s="1"/>
  <c r="AA1038" i="33"/>
  <c r="I34" i="27" s="1"/>
  <c r="Z618" i="33"/>
  <c r="H23" i="27" s="1"/>
  <c r="AA1152" i="33"/>
  <c r="I37" i="27" s="1"/>
  <c r="Z394" i="33"/>
  <c r="H17" i="27" s="1"/>
  <c r="AD270" i="33"/>
  <c r="L14" i="26" s="1"/>
  <c r="Z156" i="33"/>
  <c r="H11" i="27" s="1"/>
  <c r="Z117" i="33"/>
  <c r="L10" i="26"/>
  <c r="AD311" i="33"/>
  <c r="L15" i="27" s="1"/>
  <c r="AD234" i="33"/>
  <c r="L13" i="27" s="1"/>
  <c r="Z79" i="33"/>
  <c r="L9" i="26"/>
  <c r="L8" i="26"/>
  <c r="Z33" i="33"/>
  <c r="AA433" i="33"/>
  <c r="I18" i="27" s="1"/>
  <c r="AA352" i="33"/>
  <c r="I16" i="27" s="1"/>
  <c r="H27" i="27" l="1"/>
  <c r="AA770" i="33"/>
  <c r="H31" i="27"/>
  <c r="AA923" i="33"/>
  <c r="I24" i="27"/>
  <c r="AD656" i="33"/>
  <c r="I21" i="27"/>
  <c r="AD544" i="33"/>
  <c r="L12" i="26"/>
  <c r="Z194" i="33"/>
  <c r="Z583" i="33"/>
  <c r="H22" i="28" s="1"/>
  <c r="AA507" i="33"/>
  <c r="I20" i="27" s="1"/>
  <c r="AA1114" i="33"/>
  <c r="I36" i="27" s="1"/>
  <c r="Z471" i="33"/>
  <c r="H19" i="27" s="1"/>
  <c r="AD732" i="33"/>
  <c r="L26" i="27" s="1"/>
  <c r="AA962" i="33"/>
  <c r="I32" i="27" s="1"/>
  <c r="AA694" i="33"/>
  <c r="I25" i="27" s="1"/>
  <c r="AA846" i="33"/>
  <c r="I29" i="27" s="1"/>
  <c r="AA1000" i="33"/>
  <c r="I33" i="27" s="1"/>
  <c r="AA808" i="33"/>
  <c r="I28" i="27" s="1"/>
  <c r="AD884" i="33"/>
  <c r="L30" i="27" s="1"/>
  <c r="AD1038" i="33"/>
  <c r="L34" i="27" s="1"/>
  <c r="AA1076" i="33"/>
  <c r="I35" i="27" s="1"/>
  <c r="AA618" i="33"/>
  <c r="I23" i="27" s="1"/>
  <c r="AD1152" i="33"/>
  <c r="L37" i="27" s="1"/>
  <c r="AA394" i="33"/>
  <c r="I17" i="27" s="1"/>
  <c r="Z271" i="33"/>
  <c r="H14" i="27" s="1"/>
  <c r="AA156" i="33"/>
  <c r="I11" i="27" s="1"/>
  <c r="H10" i="27"/>
  <c r="AA117" i="33"/>
  <c r="AA33" i="33"/>
  <c r="H8" i="27"/>
  <c r="AA79" i="33"/>
  <c r="H9" i="27"/>
  <c r="Z235" i="33"/>
  <c r="H13" i="28" s="1"/>
  <c r="Z312" i="33"/>
  <c r="H15" i="28" s="1"/>
  <c r="AD352" i="33"/>
  <c r="L16" i="27" s="1"/>
  <c r="AD433" i="33"/>
  <c r="L18" i="27" s="1"/>
  <c r="I27" i="27" l="1"/>
  <c r="AD770" i="33"/>
  <c r="I31" i="27"/>
  <c r="AD923" i="33"/>
  <c r="L24" i="27"/>
  <c r="Z657" i="33"/>
  <c r="L21" i="27"/>
  <c r="Z545" i="33"/>
  <c r="H12" i="27"/>
  <c r="AA194" i="33"/>
  <c r="L46" i="26"/>
  <c r="AA583" i="33"/>
  <c r="I22" i="28" s="1"/>
  <c r="AD507" i="33"/>
  <c r="L20" i="27" s="1"/>
  <c r="AD1114" i="33"/>
  <c r="L36" i="27" s="1"/>
  <c r="AA471" i="33"/>
  <c r="I19" i="27" s="1"/>
  <c r="Z733" i="33"/>
  <c r="H26" i="28" s="1"/>
  <c r="AD1000" i="33"/>
  <c r="L33" i="27" s="1"/>
  <c r="Z885" i="33"/>
  <c r="H30" i="28" s="1"/>
  <c r="AD808" i="33"/>
  <c r="L28" i="27" s="1"/>
  <c r="AD846" i="33"/>
  <c r="L29" i="27" s="1"/>
  <c r="AD694" i="33"/>
  <c r="L25" i="27" s="1"/>
  <c r="AD962" i="33"/>
  <c r="L32" i="27" s="1"/>
  <c r="Z1039" i="33"/>
  <c r="H34" i="28" s="1"/>
  <c r="AD1076" i="33"/>
  <c r="L35" i="27" s="1"/>
  <c r="AD618" i="33"/>
  <c r="L23" i="27" s="1"/>
  <c r="Z1153" i="33"/>
  <c r="H37" i="28" s="1"/>
  <c r="AD394" i="33"/>
  <c r="L17" i="27" s="1"/>
  <c r="AA271" i="33"/>
  <c r="I14" i="27" s="1"/>
  <c r="AD156" i="33"/>
  <c r="L11" i="27" s="1"/>
  <c r="AD117" i="33"/>
  <c r="I10" i="27"/>
  <c r="AA312" i="33"/>
  <c r="I15" i="28" s="1"/>
  <c r="AA235" i="33"/>
  <c r="I13" i="28" s="1"/>
  <c r="AD79" i="33"/>
  <c r="I9" i="27"/>
  <c r="I8" i="27"/>
  <c r="AD33" i="33"/>
  <c r="Z353" i="33"/>
  <c r="H16" i="28" s="1"/>
  <c r="Z434" i="33"/>
  <c r="H18" i="28" s="1"/>
  <c r="L27" i="27" l="1"/>
  <c r="Z771" i="33"/>
  <c r="L31" i="27"/>
  <c r="Z924" i="33"/>
  <c r="H24" i="28"/>
  <c r="AA657" i="33"/>
  <c r="H21" i="28"/>
  <c r="AA545" i="33"/>
  <c r="I12" i="27"/>
  <c r="AD194" i="33"/>
  <c r="AD583" i="33"/>
  <c r="L22" i="28" s="1"/>
  <c r="Z508" i="33"/>
  <c r="H20" i="28" s="1"/>
  <c r="Z1115" i="33"/>
  <c r="H36" i="28" s="1"/>
  <c r="AD471" i="33"/>
  <c r="L19" i="27" s="1"/>
  <c r="AA733" i="33"/>
  <c r="I26" i="28" s="1"/>
  <c r="AA885" i="33"/>
  <c r="I30" i="28" s="1"/>
  <c r="Z1001" i="33"/>
  <c r="H33" i="28" s="1"/>
  <c r="Z963" i="33"/>
  <c r="H32" i="28" s="1"/>
  <c r="Z695" i="33"/>
  <c r="H25" i="28" s="1"/>
  <c r="Z847" i="33"/>
  <c r="H29" i="28" s="1"/>
  <c r="Z809" i="33"/>
  <c r="H28" i="28" s="1"/>
  <c r="Z1077" i="33"/>
  <c r="H35" i="28" s="1"/>
  <c r="AA1039" i="33"/>
  <c r="I34" i="28" s="1"/>
  <c r="Z619" i="33"/>
  <c r="H23" i="28" s="1"/>
  <c r="AA1153" i="33"/>
  <c r="I37" i="28" s="1"/>
  <c r="Z395" i="33"/>
  <c r="H17" i="28" s="1"/>
  <c r="AD271" i="33"/>
  <c r="L14" i="27" s="1"/>
  <c r="Z157" i="33"/>
  <c r="H11" i="28" s="1"/>
  <c r="Z118" i="33"/>
  <c r="L10" i="27"/>
  <c r="Z34" i="33"/>
  <c r="L8" i="27"/>
  <c r="L9" i="27"/>
  <c r="Z80" i="33"/>
  <c r="AD235" i="33"/>
  <c r="L13" i="28" s="1"/>
  <c r="AD312" i="33"/>
  <c r="L15" i="28" s="1"/>
  <c r="AA353" i="33"/>
  <c r="I16" i="28" s="1"/>
  <c r="AA434" i="33"/>
  <c r="I18" i="28" s="1"/>
  <c r="H27" i="28" l="1"/>
  <c r="AA771" i="33"/>
  <c r="H31" i="28"/>
  <c r="AA924" i="33"/>
  <c r="I24" i="28"/>
  <c r="AD657" i="33"/>
  <c r="I21" i="28"/>
  <c r="AD545" i="33"/>
  <c r="L12" i="27"/>
  <c r="Z195" i="33"/>
  <c r="Z584" i="33"/>
  <c r="H22" i="29" s="1"/>
  <c r="AA508" i="33"/>
  <c r="I20" i="28" s="1"/>
  <c r="AA1115" i="33"/>
  <c r="I36" i="28" s="1"/>
  <c r="Z472" i="33"/>
  <c r="H19" i="28" s="1"/>
  <c r="AD733" i="33"/>
  <c r="L26" i="28" s="1"/>
  <c r="AA847" i="33"/>
  <c r="I29" i="28" s="1"/>
  <c r="AA695" i="33"/>
  <c r="I25" i="28" s="1"/>
  <c r="AA963" i="33"/>
  <c r="I32" i="28" s="1"/>
  <c r="AA1001" i="33"/>
  <c r="I33" i="28" s="1"/>
  <c r="AD885" i="33"/>
  <c r="L30" i="28" s="1"/>
  <c r="AA809" i="33"/>
  <c r="I28" i="28" s="1"/>
  <c r="AA1077" i="33"/>
  <c r="I35" i="28" s="1"/>
  <c r="AD1039" i="33"/>
  <c r="L34" i="28" s="1"/>
  <c r="AA619" i="33"/>
  <c r="I23" i="28" s="1"/>
  <c r="AD1153" i="33"/>
  <c r="L37" i="28" s="1"/>
  <c r="AA395" i="33"/>
  <c r="I17" i="28" s="1"/>
  <c r="Z272" i="33"/>
  <c r="H14" i="28" s="1"/>
  <c r="AA157" i="33"/>
  <c r="I11" i="28" s="1"/>
  <c r="AA118" i="33"/>
  <c r="H10" i="28"/>
  <c r="H8" i="28"/>
  <c r="AA34" i="33"/>
  <c r="Z313" i="33"/>
  <c r="H15" i="29" s="1"/>
  <c r="Z236" i="33"/>
  <c r="H13" i="29" s="1"/>
  <c r="H9" i="28"/>
  <c r="AA80" i="33"/>
  <c r="AD434" i="33"/>
  <c r="L18" i="28" s="1"/>
  <c r="AD353" i="33"/>
  <c r="L16" i="28" s="1"/>
  <c r="I27" i="28" l="1"/>
  <c r="AD771" i="33"/>
  <c r="I31" i="28"/>
  <c r="AD924" i="33"/>
  <c r="L24" i="28"/>
  <c r="Z658" i="33"/>
  <c r="L21" i="28"/>
  <c r="Z546" i="33"/>
  <c r="H12" i="28"/>
  <c r="AA195" i="33"/>
  <c r="AA584" i="33"/>
  <c r="I22" i="29" s="1"/>
  <c r="AD508" i="33"/>
  <c r="L20" i="28" s="1"/>
  <c r="AD1115" i="33"/>
  <c r="L36" i="28" s="1"/>
  <c r="L46" i="27"/>
  <c r="AA472" i="33"/>
  <c r="I19" i="28" s="1"/>
  <c r="Z734" i="33"/>
  <c r="H26" i="29" s="1"/>
  <c r="AD809" i="33"/>
  <c r="L28" i="28" s="1"/>
  <c r="AD1001" i="33"/>
  <c r="L33" i="28" s="1"/>
  <c r="AD963" i="33"/>
  <c r="L32" i="28" s="1"/>
  <c r="AD695" i="33"/>
  <c r="L25" i="28" s="1"/>
  <c r="AD847" i="33"/>
  <c r="L29" i="28" s="1"/>
  <c r="Z886" i="33"/>
  <c r="H30" i="29" s="1"/>
  <c r="AD1077" i="33"/>
  <c r="L35" i="28" s="1"/>
  <c r="Z1040" i="33"/>
  <c r="H34" i="29" s="1"/>
  <c r="AD619" i="33"/>
  <c r="L23" i="28" s="1"/>
  <c r="Z1154" i="33"/>
  <c r="H37" i="29" s="1"/>
  <c r="AD395" i="33"/>
  <c r="L17" i="28" s="1"/>
  <c r="AA272" i="33"/>
  <c r="I14" i="28" s="1"/>
  <c r="AD157" i="33"/>
  <c r="L11" i="28" s="1"/>
  <c r="I10" i="28"/>
  <c r="AD118" i="33"/>
  <c r="I9" i="28"/>
  <c r="AD80" i="33"/>
  <c r="AA236" i="33"/>
  <c r="I13" i="29" s="1"/>
  <c r="I8" i="28"/>
  <c r="AD34" i="33"/>
  <c r="AA313" i="33"/>
  <c r="I15" i="29" s="1"/>
  <c r="Z435" i="33"/>
  <c r="H18" i="29" s="1"/>
  <c r="Z354" i="33"/>
  <c r="H16" i="29" s="1"/>
  <c r="L27" i="28" l="1"/>
  <c r="Z772" i="33"/>
  <c r="L31" i="28"/>
  <c r="Z925" i="33"/>
  <c r="H24" i="29"/>
  <c r="AA658" i="33"/>
  <c r="H21" i="29"/>
  <c r="AA546" i="33"/>
  <c r="I12" i="28"/>
  <c r="AD195" i="33"/>
  <c r="AD584" i="33"/>
  <c r="L22" i="29" s="1"/>
  <c r="Z509" i="33"/>
  <c r="H20" i="29" s="1"/>
  <c r="Z1116" i="33"/>
  <c r="H36" i="29" s="1"/>
  <c r="AD472" i="33"/>
  <c r="L19" i="28" s="1"/>
  <c r="AA734" i="33"/>
  <c r="I26" i="29" s="1"/>
  <c r="Z1002" i="33"/>
  <c r="H33" i="29" s="1"/>
  <c r="AA886" i="33"/>
  <c r="I30" i="29" s="1"/>
  <c r="Z848" i="33"/>
  <c r="H29" i="29" s="1"/>
  <c r="Z696" i="33"/>
  <c r="H25" i="29" s="1"/>
  <c r="Z964" i="33"/>
  <c r="H32" i="29" s="1"/>
  <c r="Z810" i="33"/>
  <c r="H28" i="29" s="1"/>
  <c r="AA1040" i="33"/>
  <c r="I34" i="29" s="1"/>
  <c r="Z1078" i="33"/>
  <c r="H35" i="29" s="1"/>
  <c r="Z620" i="33"/>
  <c r="H23" i="29" s="1"/>
  <c r="AA1154" i="33"/>
  <c r="Z396" i="33"/>
  <c r="H17" i="29" s="1"/>
  <c r="AD272" i="33"/>
  <c r="L14" i="28" s="1"/>
  <c r="Z158" i="33"/>
  <c r="H11" i="29" s="1"/>
  <c r="Z119" i="33"/>
  <c r="L10" i="28"/>
  <c r="AD313" i="33"/>
  <c r="L15" i="29" s="1"/>
  <c r="L8" i="28"/>
  <c r="Z35" i="33"/>
  <c r="L9" i="28"/>
  <c r="Z81" i="33"/>
  <c r="AD236" i="33"/>
  <c r="L13" i="29" s="1"/>
  <c r="AA354" i="33"/>
  <c r="I16" i="29" s="1"/>
  <c r="AA435" i="33"/>
  <c r="I18" i="29" s="1"/>
  <c r="H27" i="29" l="1"/>
  <c r="AA772" i="33"/>
  <c r="H31" i="29"/>
  <c r="AA925" i="33"/>
  <c r="K46" i="29"/>
  <c r="K48" i="29" s="1"/>
  <c r="K47" i="30" s="1"/>
  <c r="K48" i="30" s="1"/>
  <c r="K47" i="31" s="1"/>
  <c r="I37" i="29"/>
  <c r="I24" i="29"/>
  <c r="AD658" i="33"/>
  <c r="I21" i="29"/>
  <c r="AD546" i="33"/>
  <c r="L12" i="28"/>
  <c r="Z196" i="33"/>
  <c r="Z585" i="33"/>
  <c r="H22" i="30" s="1"/>
  <c r="AA509" i="33"/>
  <c r="I20" i="29" s="1"/>
  <c r="AA1116" i="33"/>
  <c r="I36" i="29" s="1"/>
  <c r="Z473" i="33"/>
  <c r="H19" i="29" s="1"/>
  <c r="AD734" i="33"/>
  <c r="L26" i="29" s="1"/>
  <c r="AA1002" i="33"/>
  <c r="I33" i="29" s="1"/>
  <c r="AA810" i="33"/>
  <c r="I28" i="29" s="1"/>
  <c r="AA964" i="33"/>
  <c r="I32" i="29" s="1"/>
  <c r="AA696" i="33"/>
  <c r="I25" i="29" s="1"/>
  <c r="AA848" i="33"/>
  <c r="I29" i="29" s="1"/>
  <c r="AD886" i="33"/>
  <c r="L30" i="29" s="1"/>
  <c r="AA1078" i="33"/>
  <c r="I35" i="29" s="1"/>
  <c r="AD1040" i="33"/>
  <c r="L34" i="29" s="1"/>
  <c r="AA620" i="33"/>
  <c r="I23" i="29" s="1"/>
  <c r="AD1154" i="33"/>
  <c r="L37" i="29" s="1"/>
  <c r="AA396" i="33"/>
  <c r="I17" i="29" s="1"/>
  <c r="Z273" i="33"/>
  <c r="H14" i="29" s="1"/>
  <c r="AA158" i="33"/>
  <c r="I11" i="29" s="1"/>
  <c r="H10" i="29"/>
  <c r="AA119" i="33"/>
  <c r="H9" i="29"/>
  <c r="AA81" i="33"/>
  <c r="AA35" i="33"/>
  <c r="H8" i="29"/>
  <c r="Z237" i="33"/>
  <c r="H13" i="30" s="1"/>
  <c r="Z314" i="33"/>
  <c r="H15" i="30" s="1"/>
  <c r="AD354" i="33"/>
  <c r="L16" i="29" s="1"/>
  <c r="AD435" i="33"/>
  <c r="L18" i="29" s="1"/>
  <c r="I27" i="29" l="1"/>
  <c r="AD772" i="33"/>
  <c r="I31" i="29"/>
  <c r="AD925" i="33"/>
  <c r="L24" i="29"/>
  <c r="Z659" i="33"/>
  <c r="L21" i="29"/>
  <c r="Z547" i="33"/>
  <c r="H12" i="29"/>
  <c r="AA196" i="33"/>
  <c r="AA585" i="33"/>
  <c r="I22" i="30" s="1"/>
  <c r="AD509" i="33"/>
  <c r="L20" i="29" s="1"/>
  <c r="AD1116" i="33"/>
  <c r="L36" i="29" s="1"/>
  <c r="L46" i="28"/>
  <c r="AA473" i="33"/>
  <c r="I19" i="29" s="1"/>
  <c r="Z735" i="33"/>
  <c r="H26" i="30" s="1"/>
  <c r="AD1002" i="33"/>
  <c r="L33" i="29" s="1"/>
  <c r="Z887" i="33"/>
  <c r="H30" i="30" s="1"/>
  <c r="AD848" i="33"/>
  <c r="L29" i="29" s="1"/>
  <c r="AD696" i="33"/>
  <c r="L25" i="29" s="1"/>
  <c r="AD964" i="33"/>
  <c r="L32" i="29" s="1"/>
  <c r="AD810" i="33"/>
  <c r="L28" i="29" s="1"/>
  <c r="Z1041" i="33"/>
  <c r="H34" i="30" s="1"/>
  <c r="AD1078" i="33"/>
  <c r="L35" i="29" s="1"/>
  <c r="AD620" i="33"/>
  <c r="L23" i="29" s="1"/>
  <c r="Z1155" i="33"/>
  <c r="H37" i="30" s="1"/>
  <c r="AD396" i="33"/>
  <c r="L17" i="29" s="1"/>
  <c r="AA273" i="33"/>
  <c r="I14" i="29" s="1"/>
  <c r="AD158" i="33"/>
  <c r="L11" i="29" s="1"/>
  <c r="AD119" i="33"/>
  <c r="I10" i="29"/>
  <c r="AA314" i="33"/>
  <c r="I15" i="30" s="1"/>
  <c r="AA237" i="33"/>
  <c r="I13" i="30" s="1"/>
  <c r="I9" i="29"/>
  <c r="AD81" i="33"/>
  <c r="AD35" i="33"/>
  <c r="I8" i="29"/>
  <c r="Z436" i="33"/>
  <c r="H18" i="30" s="1"/>
  <c r="Z355" i="33"/>
  <c r="H16" i="30" s="1"/>
  <c r="L27" i="29" l="1"/>
  <c r="Z773" i="33"/>
  <c r="L31" i="29"/>
  <c r="Z926" i="33"/>
  <c r="H24" i="30"/>
  <c r="AA659" i="33"/>
  <c r="H21" i="30"/>
  <c r="AA547" i="33"/>
  <c r="I12" i="29"/>
  <c r="AD196" i="33"/>
  <c r="AD585" i="33"/>
  <c r="L22" i="30" s="1"/>
  <c r="Z510" i="33"/>
  <c r="H20" i="30" s="1"/>
  <c r="Z1117" i="33"/>
  <c r="H36" i="30" s="1"/>
  <c r="AD473" i="33"/>
  <c r="L19" i="29" s="1"/>
  <c r="AA735" i="33"/>
  <c r="I26" i="30" s="1"/>
  <c r="Z1003" i="33"/>
  <c r="H33" i="30" s="1"/>
  <c r="Z811" i="33"/>
  <c r="H28" i="30" s="1"/>
  <c r="Z965" i="33"/>
  <c r="H32" i="30" s="1"/>
  <c r="Z697" i="33"/>
  <c r="H25" i="30" s="1"/>
  <c r="Z849" i="33"/>
  <c r="H29" i="30" s="1"/>
  <c r="AA887" i="33"/>
  <c r="I30" i="30" s="1"/>
  <c r="Z1079" i="33"/>
  <c r="H35" i="30" s="1"/>
  <c r="AA1041" i="33"/>
  <c r="I34" i="30" s="1"/>
  <c r="Z621" i="33"/>
  <c r="H23" i="30" s="1"/>
  <c r="AA1155" i="33"/>
  <c r="I37" i="30" s="1"/>
  <c r="Z397" i="33"/>
  <c r="H17" i="30" s="1"/>
  <c r="AD273" i="33"/>
  <c r="L14" i="29" s="1"/>
  <c r="Z159" i="33"/>
  <c r="H11" i="30" s="1"/>
  <c r="Z120" i="33"/>
  <c r="L10" i="29"/>
  <c r="Z82" i="33"/>
  <c r="L9" i="29"/>
  <c r="L8" i="29"/>
  <c r="Z36" i="33"/>
  <c r="AD237" i="33"/>
  <c r="L13" i="30" s="1"/>
  <c r="AD314" i="33"/>
  <c r="L15" i="30" s="1"/>
  <c r="AA355" i="33"/>
  <c r="I16" i="30" s="1"/>
  <c r="AA436" i="33"/>
  <c r="I18" i="30" s="1"/>
  <c r="H27" i="30" l="1"/>
  <c r="AA773" i="33"/>
  <c r="H31" i="30"/>
  <c r="AA926" i="33"/>
  <c r="I24" i="30"/>
  <c r="AD659" i="33"/>
  <c r="I21" i="30"/>
  <c r="AD547" i="33"/>
  <c r="L12" i="29"/>
  <c r="Z197" i="33"/>
  <c r="Z586" i="33"/>
  <c r="H22" i="31" s="1"/>
  <c r="AA510" i="33"/>
  <c r="I20" i="30" s="1"/>
  <c r="AA1117" i="33"/>
  <c r="I36" i="30" s="1"/>
  <c r="Z474" i="33"/>
  <c r="H19" i="30" s="1"/>
  <c r="AD735" i="33"/>
  <c r="L26" i="30" s="1"/>
  <c r="AA811" i="33"/>
  <c r="I28" i="30" s="1"/>
  <c r="AA1003" i="33"/>
  <c r="I33" i="30" s="1"/>
  <c r="AD887" i="33"/>
  <c r="L30" i="30" s="1"/>
  <c r="AA849" i="33"/>
  <c r="I29" i="30" s="1"/>
  <c r="AA697" i="33"/>
  <c r="I25" i="30" s="1"/>
  <c r="AA965" i="33"/>
  <c r="I32" i="30" s="1"/>
  <c r="AD1041" i="33"/>
  <c r="L34" i="30" s="1"/>
  <c r="AA1079" i="33"/>
  <c r="I35" i="30" s="1"/>
  <c r="AA621" i="33"/>
  <c r="I23" i="30" s="1"/>
  <c r="AD1155" i="33"/>
  <c r="L37" i="30" s="1"/>
  <c r="AA397" i="33"/>
  <c r="I17" i="30" s="1"/>
  <c r="Z274" i="33"/>
  <c r="H14" i="30" s="1"/>
  <c r="AA159" i="33"/>
  <c r="I11" i="30" s="1"/>
  <c r="AA120" i="33"/>
  <c r="H10" i="30"/>
  <c r="H9" i="30"/>
  <c r="AA82" i="33"/>
  <c r="Z315" i="33"/>
  <c r="H15" i="31" s="1"/>
  <c r="Z238" i="33"/>
  <c r="H13" i="31" s="1"/>
  <c r="H8" i="30"/>
  <c r="AA36" i="33"/>
  <c r="AD436" i="33"/>
  <c r="L18" i="30" s="1"/>
  <c r="AD355" i="33"/>
  <c r="L16" i="30" s="1"/>
  <c r="I27" i="30" l="1"/>
  <c r="AD773" i="33"/>
  <c r="I31" i="30"/>
  <c r="AD926" i="33"/>
  <c r="L24" i="30"/>
  <c r="Z660" i="33"/>
  <c r="L21" i="30"/>
  <c r="Z548" i="33"/>
  <c r="H12" i="30"/>
  <c r="AA197" i="33"/>
  <c r="AA586" i="33"/>
  <c r="I22" i="31" s="1"/>
  <c r="AD510" i="33"/>
  <c r="L20" i="30" s="1"/>
  <c r="AD1117" i="33"/>
  <c r="L36" i="30" s="1"/>
  <c r="L46" i="29"/>
  <c r="AA474" i="33"/>
  <c r="I19" i="30" s="1"/>
  <c r="Z736" i="33"/>
  <c r="H26" i="31" s="1"/>
  <c r="AD1003" i="33"/>
  <c r="L33" i="30" s="1"/>
  <c r="AD965" i="33"/>
  <c r="L32" i="30" s="1"/>
  <c r="AD697" i="33"/>
  <c r="L25" i="30" s="1"/>
  <c r="AD849" i="33"/>
  <c r="L29" i="30" s="1"/>
  <c r="Z888" i="33"/>
  <c r="H30" i="31" s="1"/>
  <c r="AD811" i="33"/>
  <c r="L28" i="30" s="1"/>
  <c r="AD1079" i="33"/>
  <c r="L35" i="30" s="1"/>
  <c r="Z1042" i="33"/>
  <c r="H34" i="31" s="1"/>
  <c r="AD621" i="33"/>
  <c r="L23" i="30" s="1"/>
  <c r="Z1156" i="33"/>
  <c r="H37" i="31" s="1"/>
  <c r="AD397" i="33"/>
  <c r="L17" i="30" s="1"/>
  <c r="AA274" i="33"/>
  <c r="I14" i="30" s="1"/>
  <c r="AD159" i="33"/>
  <c r="L11" i="30" s="1"/>
  <c r="I10" i="30"/>
  <c r="AD120" i="33"/>
  <c r="I8" i="30"/>
  <c r="AD36" i="33"/>
  <c r="AA238" i="33"/>
  <c r="I13" i="31" s="1"/>
  <c r="AA315" i="33"/>
  <c r="I15" i="31" s="1"/>
  <c r="I9" i="30"/>
  <c r="AD82" i="33"/>
  <c r="Z356" i="33"/>
  <c r="H16" i="31" s="1"/>
  <c r="Z437" i="33"/>
  <c r="H18" i="31" s="1"/>
  <c r="L27" i="30" l="1"/>
  <c r="Z774" i="33"/>
  <c r="L31" i="30"/>
  <c r="Z927" i="33"/>
  <c r="H24" i="31"/>
  <c r="AA660" i="33"/>
  <c r="H21" i="31"/>
  <c r="AA548" i="33"/>
  <c r="I12" i="30"/>
  <c r="AD197" i="33"/>
  <c r="AD586" i="33"/>
  <c r="L22" i="31" s="1"/>
  <c r="Z511" i="33"/>
  <c r="H20" i="31" s="1"/>
  <c r="Z1118" i="33"/>
  <c r="H36" i="31" s="1"/>
  <c r="AD474" i="33"/>
  <c r="L19" i="30" s="1"/>
  <c r="AA736" i="33"/>
  <c r="I26" i="31" s="1"/>
  <c r="Z1004" i="33"/>
  <c r="H33" i="31" s="1"/>
  <c r="Z812" i="33"/>
  <c r="H28" i="31" s="1"/>
  <c r="AA888" i="33"/>
  <c r="I30" i="31" s="1"/>
  <c r="Z850" i="33"/>
  <c r="H29" i="31" s="1"/>
  <c r="Z698" i="33"/>
  <c r="H25" i="31" s="1"/>
  <c r="Z966" i="33"/>
  <c r="H32" i="31" s="1"/>
  <c r="Z1080" i="33"/>
  <c r="H35" i="31" s="1"/>
  <c r="AA1042" i="33"/>
  <c r="I34" i="31" s="1"/>
  <c r="Z622" i="33"/>
  <c r="H23" i="31" s="1"/>
  <c r="AA1156" i="33"/>
  <c r="I37" i="31" s="1"/>
  <c r="Z398" i="33"/>
  <c r="H17" i="31" s="1"/>
  <c r="AD274" i="33"/>
  <c r="L14" i="30" s="1"/>
  <c r="Z160" i="33"/>
  <c r="H11" i="31" s="1"/>
  <c r="Z121" i="33"/>
  <c r="L10" i="30"/>
  <c r="Z83" i="33"/>
  <c r="L9" i="30"/>
  <c r="L8" i="30"/>
  <c r="Z37" i="33"/>
  <c r="AD315" i="33"/>
  <c r="L15" i="31" s="1"/>
  <c r="AD238" i="33"/>
  <c r="L13" i="31" s="1"/>
  <c r="AA437" i="33"/>
  <c r="I18" i="31" s="1"/>
  <c r="AA356" i="33"/>
  <c r="I16" i="31" s="1"/>
  <c r="H27" i="31" l="1"/>
  <c r="AA774" i="33"/>
  <c r="H31" i="31"/>
  <c r="AA927" i="33"/>
  <c r="I24" i="31"/>
  <c r="AD660" i="33"/>
  <c r="I21" i="31"/>
  <c r="AD548" i="33"/>
  <c r="L12" i="30"/>
  <c r="Z198" i="33"/>
  <c r="K46" i="31"/>
  <c r="K48" i="31" s="1"/>
  <c r="K47" i="32" s="1"/>
  <c r="Z587" i="33"/>
  <c r="H22" i="32" s="1"/>
  <c r="AA511" i="33"/>
  <c r="I20" i="31" s="1"/>
  <c r="AA1118" i="33"/>
  <c r="I36" i="31" s="1"/>
  <c r="Z475" i="33"/>
  <c r="H19" i="31" s="1"/>
  <c r="AD736" i="33"/>
  <c r="L26" i="31" s="1"/>
  <c r="AA1004" i="33"/>
  <c r="I33" i="31" s="1"/>
  <c r="AA966" i="33"/>
  <c r="I32" i="31" s="1"/>
  <c r="AA698" i="33"/>
  <c r="I25" i="31" s="1"/>
  <c r="AA850" i="33"/>
  <c r="I29" i="31" s="1"/>
  <c r="AD888" i="33"/>
  <c r="L30" i="31" s="1"/>
  <c r="AA812" i="33"/>
  <c r="I28" i="31" s="1"/>
  <c r="AA1080" i="33"/>
  <c r="I35" i="31" s="1"/>
  <c r="AD1042" i="33"/>
  <c r="L34" i="31" s="1"/>
  <c r="AA622" i="33"/>
  <c r="I23" i="31" s="1"/>
  <c r="AA398" i="33"/>
  <c r="I17" i="31" s="1"/>
  <c r="Z275" i="33"/>
  <c r="H14" i="31" s="1"/>
  <c r="AA160" i="33"/>
  <c r="I11" i="31" s="1"/>
  <c r="AA121" i="33"/>
  <c r="H10" i="31"/>
  <c r="Z239" i="33"/>
  <c r="H13" i="32" s="1"/>
  <c r="H9" i="31"/>
  <c r="AA83" i="33"/>
  <c r="Z316" i="33"/>
  <c r="H15" i="32" s="1"/>
  <c r="H8" i="31"/>
  <c r="AA37" i="33"/>
  <c r="AD356" i="33"/>
  <c r="L16" i="31" s="1"/>
  <c r="AD437" i="33"/>
  <c r="L18" i="31" s="1"/>
  <c r="I27" i="31" l="1"/>
  <c r="AD774" i="33"/>
  <c r="I31" i="31"/>
  <c r="AD927" i="33"/>
  <c r="L24" i="31"/>
  <c r="Z661" i="33"/>
  <c r="L21" i="31"/>
  <c r="Z549" i="33"/>
  <c r="H12" i="31"/>
  <c r="AA198" i="33"/>
  <c r="AD1156" i="33"/>
  <c r="AA587" i="33"/>
  <c r="I22" i="32" s="1"/>
  <c r="AD511" i="33"/>
  <c r="L20" i="31" s="1"/>
  <c r="AD1118" i="33"/>
  <c r="L36" i="31" s="1"/>
  <c r="L46" i="30"/>
  <c r="AA475" i="33"/>
  <c r="I19" i="31" s="1"/>
  <c r="Z737" i="33"/>
  <c r="H26" i="32" s="1"/>
  <c r="AD1004" i="33"/>
  <c r="L33" i="31" s="1"/>
  <c r="AD812" i="33"/>
  <c r="L28" i="31" s="1"/>
  <c r="Z889" i="33"/>
  <c r="H30" i="32" s="1"/>
  <c r="AD850" i="33"/>
  <c r="L29" i="31" s="1"/>
  <c r="AD698" i="33"/>
  <c r="L25" i="31" s="1"/>
  <c r="AD966" i="33"/>
  <c r="L32" i="31" s="1"/>
  <c r="AD1080" i="33"/>
  <c r="L35" i="31" s="1"/>
  <c r="Z1043" i="33"/>
  <c r="H34" i="32" s="1"/>
  <c r="AD622" i="33"/>
  <c r="L23" i="31" s="1"/>
  <c r="AD398" i="33"/>
  <c r="L17" i="31" s="1"/>
  <c r="AA275" i="33"/>
  <c r="I14" i="31" s="1"/>
  <c r="AD160" i="33"/>
  <c r="L11" i="31" s="1"/>
  <c r="AD121" i="33"/>
  <c r="I10" i="31"/>
  <c r="I8" i="31"/>
  <c r="AD37" i="33"/>
  <c r="I9" i="31"/>
  <c r="AD83" i="33"/>
  <c r="AA239" i="33"/>
  <c r="I13" i="32" s="1"/>
  <c r="AA316" i="33"/>
  <c r="I15" i="32" s="1"/>
  <c r="Z438" i="33"/>
  <c r="H18" i="32" s="1"/>
  <c r="Z357" i="33"/>
  <c r="H16" i="32" s="1"/>
  <c r="L27" i="31" l="1"/>
  <c r="Z775" i="33"/>
  <c r="L31" i="31"/>
  <c r="Z928" i="33"/>
  <c r="Z1157" i="33"/>
  <c r="H37" i="32" s="1"/>
  <c r="L37" i="31"/>
  <c r="H24" i="32"/>
  <c r="AA661" i="33"/>
  <c r="H21" i="32"/>
  <c r="AA549" i="33"/>
  <c r="AD198" i="33"/>
  <c r="I12" i="31"/>
  <c r="AD587" i="33"/>
  <c r="L22" i="32" s="1"/>
  <c r="Z512" i="33"/>
  <c r="H20" i="32" s="1"/>
  <c r="Z1119" i="33"/>
  <c r="H36" i="32" s="1"/>
  <c r="AD475" i="33"/>
  <c r="L19" i="31" s="1"/>
  <c r="AA737" i="33"/>
  <c r="I26" i="32" s="1"/>
  <c r="Z1005" i="33"/>
  <c r="H33" i="32" s="1"/>
  <c r="Z967" i="33"/>
  <c r="H32" i="32" s="1"/>
  <c r="Z699" i="33"/>
  <c r="H25" i="32" s="1"/>
  <c r="Z851" i="33"/>
  <c r="H29" i="32" s="1"/>
  <c r="AA889" i="33"/>
  <c r="I30" i="32" s="1"/>
  <c r="Z813" i="33"/>
  <c r="H28" i="32" s="1"/>
  <c r="Z1081" i="33"/>
  <c r="H35" i="32" s="1"/>
  <c r="AA1043" i="33"/>
  <c r="I34" i="32" s="1"/>
  <c r="Z623" i="33"/>
  <c r="H23" i="32" s="1"/>
  <c r="Z399" i="33"/>
  <c r="H17" i="32" s="1"/>
  <c r="AD275" i="33"/>
  <c r="L14" i="31" s="1"/>
  <c r="Z161" i="33"/>
  <c r="H11" i="32" s="1"/>
  <c r="Z122" i="33"/>
  <c r="L10" i="31"/>
  <c r="Z84" i="33"/>
  <c r="L9" i="31"/>
  <c r="L8" i="31"/>
  <c r="Z38" i="33"/>
  <c r="AD316" i="33"/>
  <c r="L15" i="32" s="1"/>
  <c r="AD239" i="33"/>
  <c r="L13" i="32" s="1"/>
  <c r="AA357" i="33"/>
  <c r="I16" i="32" s="1"/>
  <c r="AA438" i="33"/>
  <c r="I18" i="32" s="1"/>
  <c r="H27" i="32" l="1"/>
  <c r="AA775" i="33"/>
  <c r="H31" i="32"/>
  <c r="AA928" i="33"/>
  <c r="AA1157" i="33"/>
  <c r="AC1157" i="33"/>
  <c r="K37" i="32" s="1"/>
  <c r="I37" i="32"/>
  <c r="I24" i="32"/>
  <c r="AD661" i="33"/>
  <c r="L24" i="32" s="1"/>
  <c r="I21" i="32"/>
  <c r="AD549" i="33"/>
  <c r="L21" i="32" s="1"/>
  <c r="L12" i="31"/>
  <c r="Z199" i="33"/>
  <c r="AA512" i="33"/>
  <c r="I20" i="32" s="1"/>
  <c r="AA1119" i="33"/>
  <c r="I36" i="32" s="1"/>
  <c r="K46" i="32"/>
  <c r="K48" i="32" s="1"/>
  <c r="Z476" i="33"/>
  <c r="H19" i="32" s="1"/>
  <c r="AD737" i="33"/>
  <c r="L26" i="32" s="1"/>
  <c r="AA1005" i="33"/>
  <c r="I33" i="32" s="1"/>
  <c r="AA813" i="33"/>
  <c r="I28" i="32" s="1"/>
  <c r="AD889" i="33"/>
  <c r="L30" i="32" s="1"/>
  <c r="AA851" i="33"/>
  <c r="I29" i="32" s="1"/>
  <c r="AA699" i="33"/>
  <c r="I25" i="32" s="1"/>
  <c r="AA967" i="33"/>
  <c r="I32" i="32" s="1"/>
  <c r="AA1081" i="33"/>
  <c r="I35" i="32" s="1"/>
  <c r="AD1043" i="33"/>
  <c r="L34" i="32" s="1"/>
  <c r="AA623" i="33"/>
  <c r="I23" i="32" s="1"/>
  <c r="AA399" i="33"/>
  <c r="I17" i="32" s="1"/>
  <c r="Z276" i="33"/>
  <c r="H14" i="32" s="1"/>
  <c r="AA161" i="33"/>
  <c r="I11" i="32" s="1"/>
  <c r="AA122" i="33"/>
  <c r="H10" i="32"/>
  <c r="AA84" i="33"/>
  <c r="H9" i="32"/>
  <c r="AA38" i="33"/>
  <c r="H8" i="32"/>
  <c r="AD438" i="33"/>
  <c r="L18" i="32" s="1"/>
  <c r="AD357" i="33"/>
  <c r="L16" i="32" s="1"/>
  <c r="I27" i="32" l="1"/>
  <c r="AD775" i="33"/>
  <c r="L27" i="32" s="1"/>
  <c r="I31" i="32"/>
  <c r="AD928" i="33"/>
  <c r="L31" i="32" s="1"/>
  <c r="H12" i="32"/>
  <c r="AA199" i="33"/>
  <c r="AD512" i="33"/>
  <c r="L20" i="32" s="1"/>
  <c r="AD1119" i="33"/>
  <c r="L36" i="32" s="1"/>
  <c r="L46" i="31"/>
  <c r="AD1157" i="33"/>
  <c r="L37" i="32" s="1"/>
  <c r="AA476" i="33"/>
  <c r="I19" i="32" s="1"/>
  <c r="AD1005" i="33"/>
  <c r="L33" i="32" s="1"/>
  <c r="AD967" i="33"/>
  <c r="L32" i="32" s="1"/>
  <c r="AD699" i="33"/>
  <c r="L25" i="32" s="1"/>
  <c r="AD851" i="33"/>
  <c r="L29" i="32" s="1"/>
  <c r="AD813" i="33"/>
  <c r="L28" i="32" s="1"/>
  <c r="AD1081" i="33"/>
  <c r="L35" i="32" s="1"/>
  <c r="AD623" i="33"/>
  <c r="L23" i="32" s="1"/>
  <c r="AD399" i="33"/>
  <c r="L17" i="32" s="1"/>
  <c r="AA276" i="33"/>
  <c r="I14" i="32" s="1"/>
  <c r="AD161" i="33"/>
  <c r="L11" i="32" s="1"/>
  <c r="I10" i="32"/>
  <c r="AD122" i="33"/>
  <c r="L10" i="32" s="1"/>
  <c r="I8" i="32"/>
  <c r="AD38" i="33"/>
  <c r="L8" i="32" s="1"/>
  <c r="AD84" i="33"/>
  <c r="L9" i="32" s="1"/>
  <c r="I9" i="32"/>
  <c r="I12" i="32" l="1"/>
  <c r="AD199" i="33"/>
  <c r="L12" i="32" s="1"/>
  <c r="AJ30" i="32"/>
  <c r="AD476" i="33"/>
  <c r="L19" i="32" s="1"/>
  <c r="AD276" i="33"/>
  <c r="L14" i="32" s="1"/>
  <c r="L46" i="32" l="1"/>
  <c r="P13" i="54" l="1"/>
  <c r="T58" i="14"/>
  <c r="T55" i="14"/>
  <c r="T49" i="15" s="1"/>
  <c r="T53" i="15" s="1"/>
  <c r="T55" i="15" s="1"/>
  <c r="T49" i="16" s="1"/>
  <c r="T53" i="16" s="1"/>
  <c r="T55" i="16" s="1"/>
  <c r="T49" i="17" s="1"/>
  <c r="T53" i="17" s="1"/>
  <c r="T55" i="17" s="1"/>
  <c r="T49" i="18" s="1"/>
  <c r="T53" i="18" s="1"/>
  <c r="T55" i="18" s="1"/>
  <c r="T49" i="19" s="1"/>
  <c r="T53" i="19" s="1"/>
  <c r="T55" i="19" s="1"/>
  <c r="T49" i="20" s="1"/>
  <c r="T53" i="20" s="1"/>
  <c r="T55" i="20" l="1"/>
  <c r="T49" i="21" s="1"/>
  <c r="T53" i="21" s="1"/>
  <c r="T55" i="21" s="1"/>
  <c r="T49" i="22" l="1"/>
  <c r="T53" i="22" s="1"/>
  <c r="T55" i="22" s="1"/>
  <c r="T49" i="23" s="1"/>
  <c r="T53" i="23" s="1"/>
  <c r="T55" i="23" s="1"/>
  <c r="T49" i="24" s="1"/>
  <c r="T53" i="24" s="1"/>
  <c r="T55" i="24" s="1"/>
  <c r="T49" i="25" s="1"/>
  <c r="T53" i="25" s="1"/>
  <c r="T55" i="25" s="1"/>
  <c r="T49" i="26" s="1"/>
  <c r="T53" i="26" s="1"/>
  <c r="T55" i="26" s="1"/>
  <c r="T49" i="27" s="1"/>
  <c r="T53" i="27" s="1"/>
  <c r="T55" i="27" s="1"/>
  <c r="T49" i="28" s="1"/>
  <c r="T53" i="28" s="1"/>
  <c r="T55" i="28" s="1"/>
  <c r="T49" i="29" s="1"/>
  <c r="T53" i="29" s="1"/>
  <c r="T55" i="29" s="1"/>
  <c r="T49" i="30" s="1"/>
  <c r="T53" i="30" s="1"/>
  <c r="T55" i="30" s="1"/>
  <c r="T49" i="31" s="1"/>
  <c r="T53" i="31" s="1"/>
  <c r="T55" i="31" s="1"/>
  <c r="T49" i="32" s="1"/>
  <c r="T53" i="32" s="1"/>
  <c r="T55" i="32" s="1"/>
  <c r="B41" i="54" s="1"/>
  <c r="B43" i="54" s="1"/>
  <c r="Z43" i="54" s="1"/>
  <c r="P7" i="54" l="1"/>
  <c r="P12" i="54" s="1"/>
  <c r="P14" i="54" s="1"/>
  <c r="P18" i="54" s="1"/>
  <c r="P37" i="54" s="1"/>
  <c r="L23" i="59"/>
  <c r="L25" i="59" s="1"/>
  <c r="L27" i="59" s="1"/>
</calcChain>
</file>

<file path=xl/comments1.xml><?xml version="1.0" encoding="utf-8"?>
<comments xmlns="http://schemas.openxmlformats.org/spreadsheetml/2006/main">
  <authors>
    <author>MAKKI GOLD RUSK</author>
    <author>Muhammad Zubair</author>
  </authors>
  <commentList>
    <comment ref="G44" authorId="0" shapeId="0">
      <text>
        <r>
          <rPr>
            <b/>
            <sz val="9"/>
            <color indexed="81"/>
            <rFont val="Tahoma"/>
            <family val="2"/>
          </rPr>
          <t>MAKKI GOLD RUSK: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45" authorId="1" shapeId="0">
      <text>
        <r>
          <rPr>
            <b/>
            <sz val="9"/>
            <color indexed="81"/>
            <rFont val="Tahoma"/>
            <family val="2"/>
          </rPr>
          <t>Muhammad Zubair: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<sst xmlns="http://schemas.openxmlformats.org/spreadsheetml/2006/main" count="7687" uniqueCount="506">
  <si>
    <t xml:space="preserve">       </t>
  </si>
  <si>
    <t xml:space="preserve"> </t>
  </si>
  <si>
    <t>`</t>
  </si>
  <si>
    <t xml:space="preserve">  </t>
  </si>
  <si>
    <t>MONTHLY   STOCK   AVERAGE</t>
  </si>
  <si>
    <t>Items</t>
  </si>
  <si>
    <t>2KG SPECIAL</t>
  </si>
  <si>
    <t xml:space="preserve">    1KG</t>
  </si>
  <si>
    <t>200 GRAM</t>
  </si>
  <si>
    <t>PILLOW PACK</t>
  </si>
  <si>
    <t>2KG SADA</t>
  </si>
  <si>
    <t>PILLOW
PACK</t>
  </si>
  <si>
    <t>STICK</t>
  </si>
  <si>
    <t>CANDY</t>
  </si>
  <si>
    <t>TOS</t>
  </si>
  <si>
    <t>SLICE</t>
  </si>
  <si>
    <t>GOAL</t>
  </si>
  <si>
    <t>WHITE</t>
  </si>
  <si>
    <t>ORANGE</t>
  </si>
  <si>
    <t>BLUE</t>
  </si>
  <si>
    <t>200 GM</t>
  </si>
  <si>
    <t>Production</t>
  </si>
  <si>
    <t>Bags</t>
  </si>
  <si>
    <t>Average</t>
  </si>
  <si>
    <t>Rate</t>
  </si>
  <si>
    <t>Amount</t>
  </si>
  <si>
    <t>Total
Amount</t>
  </si>
  <si>
    <t>S.NO</t>
  </si>
  <si>
    <t>SUN</t>
  </si>
  <si>
    <t>MON</t>
  </si>
  <si>
    <t>TUE</t>
  </si>
  <si>
    <t>WED</t>
  </si>
  <si>
    <t>THU</t>
  </si>
  <si>
    <t>FRI</t>
  </si>
  <si>
    <t>SAT</t>
  </si>
  <si>
    <t>OFFICE</t>
  </si>
  <si>
    <t>Working
Days</t>
  </si>
  <si>
    <t>Monthly
Salary</t>
  </si>
  <si>
    <t>Salary
Amount</t>
  </si>
  <si>
    <t>Expense</t>
  </si>
  <si>
    <t>Total
Balance</t>
  </si>
  <si>
    <t>EXPENSE</t>
  </si>
  <si>
    <t>SHAKEEL RUSK</t>
  </si>
  <si>
    <t>DATE</t>
  </si>
  <si>
    <t>WHITE 
PILLOW C</t>
  </si>
  <si>
    <t>RATE</t>
  </si>
  <si>
    <t>AMOUNT</t>
  </si>
  <si>
    <t>BLUE
PILLOW</t>
  </si>
  <si>
    <t>Total</t>
  </si>
  <si>
    <t>Previous</t>
  </si>
  <si>
    <t>Paid</t>
  </si>
  <si>
    <t>Balance</t>
  </si>
  <si>
    <t>AQEEL RUSK</t>
  </si>
  <si>
    <t>2KG
 Candy</t>
  </si>
  <si>
    <t>1KG
 Candy</t>
  </si>
  <si>
    <t>1KG
 STICK</t>
  </si>
  <si>
    <t>PAID
AMOUNT</t>
  </si>
  <si>
    <t xml:space="preserve">MONTHLY CLOSING </t>
  </si>
  <si>
    <t>MATERIAL</t>
  </si>
  <si>
    <t>BALANCE</t>
  </si>
  <si>
    <t>ITEMS</t>
  </si>
  <si>
    <t>SIZE</t>
  </si>
  <si>
    <t>KG</t>
  </si>
  <si>
    <t>TOTAL
USE</t>
  </si>
  <si>
    <t>RUSK CLOSING</t>
  </si>
  <si>
    <t>14*32</t>
  </si>
  <si>
    <t>RUSK 1ST DAY</t>
  </si>
  <si>
    <t>13*32</t>
  </si>
  <si>
    <t>10 1/2*26</t>
  </si>
  <si>
    <t>BANK</t>
  </si>
  <si>
    <t>9 /12*26</t>
  </si>
  <si>
    <t>CASH</t>
  </si>
  <si>
    <t>15 PC</t>
  </si>
  <si>
    <t>7*14</t>
  </si>
  <si>
    <t>TOTAL</t>
  </si>
  <si>
    <t>Diamond</t>
  </si>
  <si>
    <t>CUSTOMER BALANCE</t>
  </si>
  <si>
    <t>10*26</t>
  </si>
  <si>
    <t>MATERIAL PAYMENT</t>
  </si>
  <si>
    <t>LABOUR BALANCE</t>
  </si>
  <si>
    <t>OFFICE BALANCE</t>
  </si>
  <si>
    <t>TOTAL STOCK</t>
  </si>
  <si>
    <t>PREVIOUS STOCK</t>
  </si>
  <si>
    <t>7*15</t>
  </si>
  <si>
    <t>16*22</t>
  </si>
  <si>
    <t>14*30</t>
  </si>
  <si>
    <t>20*30</t>
  </si>
  <si>
    <t>10*20</t>
  </si>
  <si>
    <t>LOSS &amp; PROFIT</t>
  </si>
  <si>
    <t>1ST DAY PRODUCTION</t>
  </si>
  <si>
    <t>TOTAL
AMOUNT</t>
  </si>
  <si>
    <t xml:space="preserve">DAMAGE RETURN </t>
  </si>
  <si>
    <t>ITEM</t>
  </si>
  <si>
    <t>ISHAQ ANSARI</t>
  </si>
  <si>
    <t>Date</t>
  </si>
  <si>
    <t>2KG   SPECIAL</t>
  </si>
  <si>
    <t>4 PC ST</t>
  </si>
  <si>
    <t>PREVIOUS
BALANCE</t>
  </si>
  <si>
    <t>RECOVERY</t>
  </si>
  <si>
    <t>DISCOUNT</t>
  </si>
  <si>
    <t>TOTAL
BALANCE</t>
  </si>
  <si>
    <t xml:space="preserve">Total </t>
  </si>
  <si>
    <t>DIS</t>
  </si>
  <si>
    <t>MAKKI BAKERY</t>
  </si>
  <si>
    <t>ABID HUSSAIN</t>
  </si>
  <si>
    <t>ZULFIQAR</t>
  </si>
  <si>
    <t>CASH SALE</t>
  </si>
  <si>
    <t>FREE</t>
  </si>
  <si>
    <t>ONLINE/DEPOSIT</t>
  </si>
  <si>
    <t>CHQ PAID</t>
  </si>
  <si>
    <t>CASH PURCHASING &amp; EXPENSES</t>
  </si>
  <si>
    <t>Name</t>
  </si>
  <si>
    <t>Net
Amount</t>
  </si>
  <si>
    <t>Previous
Balance</t>
  </si>
  <si>
    <t>Recovery</t>
  </si>
  <si>
    <t>Discount</t>
  </si>
  <si>
    <t>Balance
Amount</t>
  </si>
  <si>
    <t>Customers
Sale</t>
  </si>
  <si>
    <t>Customers
Recovery</t>
  </si>
  <si>
    <t>PURCHASE</t>
  </si>
  <si>
    <t>USE</t>
  </si>
  <si>
    <t>PARTY
NAME</t>
  </si>
  <si>
    <t>PURCHASE
AMOUNT</t>
  </si>
  <si>
    <t>NUSRAT</t>
  </si>
  <si>
    <t>Opening Balance</t>
  </si>
  <si>
    <t>FLOUR</t>
  </si>
  <si>
    <t>PREVIOUS</t>
  </si>
  <si>
    <t>SUGAR</t>
  </si>
  <si>
    <t>EXPENSES</t>
  </si>
  <si>
    <t>GHEE</t>
  </si>
  <si>
    <t>YEAST</t>
  </si>
  <si>
    <t xml:space="preserve">EKKA </t>
  </si>
  <si>
    <t>BOL</t>
  </si>
  <si>
    <t>VANILLA</t>
  </si>
  <si>
    <t>COLOUR</t>
  </si>
  <si>
    <t>TILL</t>
  </si>
  <si>
    <t>OFFICE FOOD</t>
  </si>
  <si>
    <t>CHQ PAYMENT</t>
  </si>
  <si>
    <t>ILLAICHI</t>
  </si>
  <si>
    <t>S-THELLI</t>
  </si>
  <si>
    <t>SALT</t>
  </si>
  <si>
    <t>P-THELLI</t>
  </si>
  <si>
    <t>SHAHZORE</t>
  </si>
  <si>
    <t>RUBBER</t>
  </si>
  <si>
    <t>GENERATOR</t>
  </si>
  <si>
    <t>COTTON</t>
  </si>
  <si>
    <t>PATROL FAW</t>
  </si>
  <si>
    <t>TAPE</t>
  </si>
  <si>
    <t>UTILITY BILLS</t>
  </si>
  <si>
    <t>CHECK AND BALANCE</t>
  </si>
  <si>
    <t>Opening Bank</t>
  </si>
  <si>
    <t xml:space="preserve">Opening Office </t>
  </si>
  <si>
    <t>Total Recovery</t>
  </si>
  <si>
    <t>Total Amount</t>
  </si>
  <si>
    <t>Total Expenses</t>
  </si>
  <si>
    <t>Closing Cash</t>
  </si>
  <si>
    <t>ASSETS</t>
  </si>
  <si>
    <t>OFFICE CLOSING</t>
  </si>
  <si>
    <t>M.YOUSUF</t>
  </si>
  <si>
    <t xml:space="preserve">FREE </t>
  </si>
  <si>
    <t xml:space="preserve">          AMOUNT</t>
  </si>
  <si>
    <t xml:space="preserve">INVESTOR </t>
  </si>
  <si>
    <t xml:space="preserve">          P Balance</t>
  </si>
  <si>
    <t>Bank Online/Deposit</t>
  </si>
  <si>
    <t xml:space="preserve">          T Amount</t>
  </si>
  <si>
    <t>OPENING STOCK</t>
  </si>
  <si>
    <t>PRODUCTION</t>
  </si>
  <si>
    <t>DAMAGE REPAIR</t>
  </si>
  <si>
    <t>DEPARTURE</t>
  </si>
  <si>
    <t>STOCK BALANCE</t>
  </si>
  <si>
    <t xml:space="preserve">Bags          </t>
  </si>
  <si>
    <t>TOTAL CASH</t>
  </si>
  <si>
    <t>TOTAL DEPARTURE</t>
  </si>
  <si>
    <t>DIFFERENCE</t>
  </si>
  <si>
    <t>OPENING BALANCE OFFICE</t>
  </si>
  <si>
    <t>OPENING BALANCE BANK</t>
  </si>
  <si>
    <t>BANK ZAHID</t>
  </si>
  <si>
    <t>TOTAL RECOVERY</t>
  </si>
  <si>
    <t>TOTAL AMOUNT</t>
  </si>
  <si>
    <t>OFFICE CASH</t>
  </si>
  <si>
    <t>TOTAL EXPENSES</t>
  </si>
  <si>
    <t>QASIM ORANGI</t>
  </si>
  <si>
    <t>EXSIS CASH</t>
  </si>
  <si>
    <t>SHORT CASH</t>
  </si>
  <si>
    <t>B.C</t>
  </si>
  <si>
    <t>Paid
Amount</t>
  </si>
  <si>
    <t>ADVANCE</t>
  </si>
  <si>
    <t>MAKKI 2KG CANDY
SPECIAL</t>
  </si>
  <si>
    <t>MAKKI 2KG STICK
SPECIAL</t>
  </si>
  <si>
    <t>MAKKI 70 PC
STICK</t>
  </si>
  <si>
    <t>MAKKI 96 PC
SLICE</t>
  </si>
  <si>
    <t>CANDY DIAMOND</t>
  </si>
  <si>
    <t>NEW EXP KARACHI</t>
  </si>
  <si>
    <t>OLD EXP KARACHI</t>
  </si>
  <si>
    <t>NEW WITHOUT LABELL</t>
  </si>
  <si>
    <t>SHAMOON</t>
  </si>
  <si>
    <t>Monthly 
Salary</t>
  </si>
  <si>
    <t>Salary 
Amount</t>
  </si>
  <si>
    <t>2 KG
GOAL</t>
  </si>
  <si>
    <t>AVERAGE</t>
  </si>
  <si>
    <t>LOSS
AMOUNT</t>
  </si>
  <si>
    <t>60 PC</t>
  </si>
  <si>
    <t>CLOSING AUGUST 2018</t>
  </si>
  <si>
    <t>LABOUR SALARY</t>
  </si>
  <si>
    <t>OFFICE SALARY</t>
  </si>
  <si>
    <t>28 PC</t>
  </si>
  <si>
    <t>Advance</t>
  </si>
  <si>
    <t>Sign:</t>
  </si>
  <si>
    <t>MAXI</t>
  </si>
  <si>
    <t>SHALIMAR</t>
  </si>
  <si>
    <t>GHAZI</t>
  </si>
  <si>
    <t>SOHNI</t>
  </si>
  <si>
    <t>HUSSAINI</t>
  </si>
  <si>
    <t>ZAHEER</t>
  </si>
  <si>
    <t>FAISAL</t>
  </si>
  <si>
    <t>ICE</t>
  </si>
  <si>
    <t>SHAKEEL</t>
  </si>
  <si>
    <t>31.10.2018</t>
  </si>
  <si>
    <t>BADSHAH KHAN HYD</t>
  </si>
  <si>
    <t>WOOD</t>
  </si>
  <si>
    <t>TOLL</t>
  </si>
  <si>
    <t>FLOUR / SHGER</t>
  </si>
  <si>
    <t>KARACHI</t>
  </si>
  <si>
    <t>BADSHAH KHAN</t>
  </si>
  <si>
    <t>NAME</t>
  </si>
  <si>
    <t>2 KG SP</t>
  </si>
  <si>
    <t>THALI</t>
  </si>
  <si>
    <t>ELECTRIC</t>
  </si>
  <si>
    <t>GASS</t>
  </si>
  <si>
    <t xml:space="preserve">SALERY </t>
  </si>
  <si>
    <t>DIESEL</t>
  </si>
  <si>
    <t>TARANSP</t>
  </si>
  <si>
    <t>AVG PAR BOL</t>
  </si>
  <si>
    <t>CAST PAR PAK</t>
  </si>
  <si>
    <t>SALE PAR PIC</t>
  </si>
  <si>
    <t>SALE PAR BOL</t>
  </si>
  <si>
    <t xml:space="preserve">PARTICULAR </t>
  </si>
  <si>
    <t>PRUDUCTION RUSK</t>
  </si>
  <si>
    <t>PARCHASE RAW MATERIAL</t>
  </si>
  <si>
    <t>TOTAL MATERIAL</t>
  </si>
  <si>
    <t>TOTAL CONSUMPTION</t>
  </si>
  <si>
    <t>OPPNING STOCK MATERIAL</t>
  </si>
  <si>
    <t>RUSK COST</t>
  </si>
  <si>
    <t xml:space="preserve">TRAIL BALANCE </t>
  </si>
  <si>
    <t>FACTORY EXPANCE</t>
  </si>
  <si>
    <t>TOTAL EXPANCE</t>
  </si>
  <si>
    <t xml:space="preserve">PRUDUCTION </t>
  </si>
  <si>
    <t>TOTAL COST</t>
  </si>
  <si>
    <t>FINAL REPORT</t>
  </si>
  <si>
    <t>TOSS</t>
  </si>
  <si>
    <t>1 KG STICK</t>
  </si>
  <si>
    <t>WHITE CANDY</t>
  </si>
  <si>
    <t>2 KG SPECIAL</t>
  </si>
  <si>
    <t>2 KG
CANDY</t>
  </si>
  <si>
    <t>100 GM</t>
  </si>
  <si>
    <t>FOTON DIESEL</t>
  </si>
  <si>
    <t>2019 APRIL</t>
  </si>
  <si>
    <t>2 PC ST</t>
  </si>
  <si>
    <t>MAXI   60 PEC</t>
  </si>
  <si>
    <t>400 GM</t>
  </si>
  <si>
    <t>SHAHID 5 #</t>
  </si>
  <si>
    <t>MAKKI 5</t>
  </si>
  <si>
    <t>36 PC</t>
  </si>
  <si>
    <t xml:space="preserve">
GOAL</t>
  </si>
  <si>
    <t>AYAZ OUSTA</t>
  </si>
  <si>
    <t xml:space="preserve">All Party Monthly Sheet </t>
  </si>
  <si>
    <t>MAY</t>
  </si>
  <si>
    <t>RECOVER</t>
  </si>
  <si>
    <t>4 PES</t>
  </si>
  <si>
    <t>ORING</t>
  </si>
  <si>
    <t>BULE</t>
  </si>
  <si>
    <t>2 pes</t>
  </si>
  <si>
    <t>rool</t>
  </si>
  <si>
    <t>sada thali</t>
  </si>
  <si>
    <t>total</t>
  </si>
  <si>
    <t>AQASH S KOT</t>
  </si>
  <si>
    <t>RAPER</t>
  </si>
  <si>
    <t>SWEEPER</t>
  </si>
  <si>
    <t>WATE</t>
  </si>
  <si>
    <t>prives balance</t>
  </si>
  <si>
    <t>GHAREEB ULLHA KHAN</t>
  </si>
  <si>
    <t xml:space="preserve">HAMEED KHAN </t>
  </si>
  <si>
    <t xml:space="preserve">S STICK </t>
  </si>
  <si>
    <t>SALEEM T JAM</t>
  </si>
  <si>
    <t>35 PC</t>
  </si>
  <si>
    <t>AZHAR BADEEN</t>
  </si>
  <si>
    <t>FAISAL HUB</t>
  </si>
  <si>
    <t>PRIMR 15</t>
  </si>
  <si>
    <t>40 PC</t>
  </si>
  <si>
    <t>MAKKI</t>
  </si>
  <si>
    <t xml:space="preserve">MAXI </t>
  </si>
  <si>
    <t xml:space="preserve">  60 Pes</t>
  </si>
  <si>
    <t>40 P</t>
  </si>
  <si>
    <t xml:space="preserve">PRIME </t>
  </si>
  <si>
    <t>RANA EKKA</t>
  </si>
  <si>
    <t>MARVI</t>
  </si>
  <si>
    <t>AMJAD ORANGI</t>
  </si>
  <si>
    <t>PP ROL</t>
  </si>
  <si>
    <t xml:space="preserve">TOS </t>
  </si>
  <si>
    <t>JAMSHAD BADEEN</t>
  </si>
  <si>
    <t>tos</t>
  </si>
  <si>
    <t>candy</t>
  </si>
  <si>
    <t>GHULAM QUETTA</t>
  </si>
  <si>
    <t>ALI RAZA KAND KOT</t>
  </si>
  <si>
    <t>1 KG SADA</t>
  </si>
  <si>
    <t>TS</t>
  </si>
  <si>
    <t>SARFAZ MP</t>
  </si>
  <si>
    <t>NAVEED</t>
  </si>
  <si>
    <t>MAKKI 2 PES</t>
  </si>
  <si>
    <t>IQBAL MORO</t>
  </si>
  <si>
    <t>AQEEL</t>
  </si>
  <si>
    <t xml:space="preserve">ABDUL RASHEED </t>
  </si>
  <si>
    <t>SARFARAZ T ADAM</t>
  </si>
  <si>
    <t>MUMTAZ K N SHAH</t>
  </si>
  <si>
    <t>OVEN &amp; PP MACHINE</t>
  </si>
  <si>
    <t>KARACHI RUSK 220*220</t>
  </si>
  <si>
    <t>KARACHI RUSK 195.220</t>
  </si>
  <si>
    <t>T S RUSK 190*220</t>
  </si>
  <si>
    <t>TS RUSK 220*220</t>
  </si>
  <si>
    <t>MAKKI RUSK 220*220</t>
  </si>
  <si>
    <t>HUZAFA KOTRI</t>
  </si>
  <si>
    <t>wiat</t>
  </si>
  <si>
    <t>OFFICE SALERY</t>
  </si>
  <si>
    <t>NUSRAT PRV.ADVANCE</t>
  </si>
  <si>
    <t>SALEEM ORANGI</t>
  </si>
  <si>
    <t>SULEMAN  PRINT</t>
  </si>
  <si>
    <t>BIKE.INSTALMINT</t>
  </si>
  <si>
    <t>AFZAL MATLI</t>
  </si>
  <si>
    <t>HUSSAN GWADAR</t>
  </si>
  <si>
    <t>HAJI JAN GIWANI</t>
  </si>
  <si>
    <t>SHAMSHAD UNCLE</t>
  </si>
  <si>
    <t>IRFAN VANILA</t>
  </si>
  <si>
    <t>GOOL</t>
  </si>
  <si>
    <t xml:space="preserve">LABOUR </t>
  </si>
  <si>
    <t>Per Day Salary</t>
  </si>
  <si>
    <t>KACHA</t>
  </si>
  <si>
    <t xml:space="preserve">NUSRAT HUSSAIN </t>
  </si>
  <si>
    <t>MIXING</t>
  </si>
  <si>
    <t>WAIT</t>
  </si>
  <si>
    <t>MOLDING</t>
  </si>
  <si>
    <t>GRISING</t>
  </si>
  <si>
    <t>OVEN</t>
  </si>
  <si>
    <t>ATTENDANCE</t>
  </si>
  <si>
    <t xml:space="preserve">Total Salary </t>
  </si>
  <si>
    <t>ABDUL RAHMAN</t>
  </si>
  <si>
    <t>YOUSUF BHAI</t>
  </si>
  <si>
    <t>sheeba</t>
  </si>
  <si>
    <t>october</t>
  </si>
  <si>
    <t>IMRAN ALAM</t>
  </si>
  <si>
    <t>M A ORING</t>
  </si>
  <si>
    <t>M A WHITE</t>
  </si>
  <si>
    <t>MAKKI 7</t>
  </si>
  <si>
    <t>WHITE 6</t>
  </si>
  <si>
    <t>SHAHID UP</t>
  </si>
  <si>
    <t>BLUE 125 GM</t>
  </si>
  <si>
    <t xml:space="preserve">NIGHT </t>
  </si>
  <si>
    <t xml:space="preserve">YOUSUF </t>
  </si>
  <si>
    <t xml:space="preserve">PERVAIZ ALI </t>
  </si>
  <si>
    <t xml:space="preserve">QURBAN ALI </t>
  </si>
  <si>
    <t xml:space="preserve">NAWAZ ALI </t>
  </si>
  <si>
    <t xml:space="preserve">RAMZAN KHARAL </t>
  </si>
  <si>
    <t xml:space="preserve">JAWAID </t>
  </si>
  <si>
    <t xml:space="preserve">SHAHID </t>
  </si>
  <si>
    <t xml:space="preserve">MUSTAQEEM </t>
  </si>
  <si>
    <t xml:space="preserve">HAFIZ </t>
  </si>
  <si>
    <t xml:space="preserve">AKRAM </t>
  </si>
  <si>
    <t xml:space="preserve">ASHFAQ </t>
  </si>
  <si>
    <t xml:space="preserve">JANI </t>
  </si>
  <si>
    <t xml:space="preserve">WAQAR </t>
  </si>
  <si>
    <t>Majeed</t>
  </si>
  <si>
    <t xml:space="preserve">TITLE ACCOUNT  </t>
  </si>
  <si>
    <t>FOOD TECH</t>
  </si>
  <si>
    <t xml:space="preserve">MEEZAN </t>
  </si>
  <si>
    <t>02920102660606</t>
  </si>
  <si>
    <t>BANK AL HABIB</t>
  </si>
  <si>
    <t>01290081004467011</t>
  </si>
  <si>
    <t>SHEEBA PRINT</t>
  </si>
  <si>
    <t>01900102699458</t>
  </si>
  <si>
    <t>MEZAN BANK</t>
  </si>
  <si>
    <t>AUSAF LAEEQ</t>
  </si>
  <si>
    <t xml:space="preserve">PARTY NAME </t>
  </si>
  <si>
    <t xml:space="preserve">RANA GULZAR </t>
  </si>
  <si>
    <t>SHAHID SIDDIQUI</t>
  </si>
  <si>
    <t>MEEZAN BANK</t>
  </si>
  <si>
    <t>99390102430226</t>
  </si>
  <si>
    <t>SULEMAN LHR</t>
  </si>
  <si>
    <t>01250100182400</t>
  </si>
  <si>
    <t>MUHAMMAD SULEMAN</t>
  </si>
  <si>
    <t>SIBGHAT ULLHA</t>
  </si>
  <si>
    <t>02560103721536</t>
  </si>
  <si>
    <t>MEEZAN</t>
  </si>
  <si>
    <t xml:space="preserve">AQEEL AHMED </t>
  </si>
  <si>
    <t>99390102888540</t>
  </si>
  <si>
    <t>AQEEL AHMED</t>
  </si>
  <si>
    <t>SHAKEEL AHMED</t>
  </si>
  <si>
    <t>11900981000527015</t>
  </si>
  <si>
    <t>ZUBAIR ZAHID</t>
  </si>
  <si>
    <t>99390102065148</t>
  </si>
  <si>
    <t xml:space="preserve">ATHAR </t>
  </si>
  <si>
    <t>99280103566779</t>
  </si>
  <si>
    <t>PEOPLE CORPORATION</t>
  </si>
  <si>
    <t>01250102698871</t>
  </si>
  <si>
    <t>RIZWAN ALAM</t>
  </si>
  <si>
    <t>01560101358761</t>
  </si>
  <si>
    <t xml:space="preserve">ALI GULL </t>
  </si>
  <si>
    <t>HAJI USMAN</t>
  </si>
  <si>
    <t xml:space="preserve">ALTAF HUSSAIN </t>
  </si>
  <si>
    <t xml:space="preserve">ABDUL KHALIQ </t>
  </si>
  <si>
    <t>IBRAHEEM D.G KHAN</t>
  </si>
  <si>
    <t>zakat</t>
  </si>
  <si>
    <t>javeed manghopir</t>
  </si>
  <si>
    <t xml:space="preserve">MUKHTIYAR ALI </t>
  </si>
  <si>
    <t>20 wala</t>
  </si>
  <si>
    <t>Ttotal</t>
  </si>
  <si>
    <t>ALI QURESHI HYD</t>
  </si>
  <si>
    <t>RAFIQ ALI</t>
  </si>
  <si>
    <t>NAZEER BLOCH</t>
  </si>
  <si>
    <t>IKHTIYAR BLOCH</t>
  </si>
  <si>
    <t>ARIF BLOCH</t>
  </si>
  <si>
    <t>moin</t>
  </si>
  <si>
    <t xml:space="preserve">MINTHAR ALI </t>
  </si>
  <si>
    <t xml:space="preserve">SAEED ZAHOOR </t>
  </si>
  <si>
    <t>SAJJAD ALI</t>
  </si>
  <si>
    <t>RAMZAN ARAE</t>
  </si>
  <si>
    <t xml:space="preserve">ZAMEER BLOCH </t>
  </si>
  <si>
    <t>MOHAR ALI BLOCH</t>
  </si>
  <si>
    <t xml:space="preserve">FIDA ALI HASSAN </t>
  </si>
  <si>
    <t xml:space="preserve">SALMAN S </t>
  </si>
  <si>
    <t xml:space="preserve">MUSTAFA BAWARCHI </t>
  </si>
  <si>
    <t>ASLAM BLOCH</t>
  </si>
  <si>
    <t>LABOUR FOOD EXP</t>
  </si>
  <si>
    <t>ZAHID HUSSAN</t>
  </si>
  <si>
    <t>ALI HASSAN JATOI</t>
  </si>
  <si>
    <t xml:space="preserve">AYAZ BACHA </t>
  </si>
  <si>
    <t xml:space="preserve">YOUNUS </t>
  </si>
  <si>
    <t>ALI RAZA GULL</t>
  </si>
  <si>
    <t>HUSSAIN BAKHSH MAGSI</t>
  </si>
  <si>
    <t>KABEER ALI</t>
  </si>
  <si>
    <t>ALI RAZA KHALORO</t>
  </si>
  <si>
    <t>FEBRUARY</t>
  </si>
  <si>
    <t>FEBRUARY
2022</t>
  </si>
  <si>
    <t>MATEEN</t>
  </si>
  <si>
    <t>ather flour</t>
  </si>
  <si>
    <t>FAYYAZ ALI</t>
  </si>
  <si>
    <t>SHOUAIB MAGSI</t>
  </si>
  <si>
    <t>AZEEM</t>
  </si>
  <si>
    <t>RAJA MERANI</t>
  </si>
  <si>
    <t>NAWAB BHI</t>
  </si>
  <si>
    <t>GULLSHER</t>
  </si>
  <si>
    <t>RASHID BHAIO</t>
  </si>
  <si>
    <t>ABDULALLAH</t>
  </si>
  <si>
    <t>AFTAB MAGSI</t>
  </si>
  <si>
    <t>ASLAM</t>
  </si>
  <si>
    <t>SAEED KHARAL</t>
  </si>
  <si>
    <t>SAJID</t>
  </si>
  <si>
    <t>IMTIAZ ALI</t>
  </si>
  <si>
    <t>GHULAM MUSTAFA</t>
  </si>
  <si>
    <t>RASHID ALI</t>
  </si>
  <si>
    <t>AYAZ ALI</t>
  </si>
  <si>
    <t>NAWAB ALI</t>
  </si>
  <si>
    <t>ZEESHAN</t>
  </si>
  <si>
    <t>PISHAWAR</t>
  </si>
  <si>
    <t>HAFIZ DRIVER</t>
  </si>
  <si>
    <t>MUKHTYAR CHORA</t>
  </si>
  <si>
    <t>GHULAM RASOOL QU</t>
  </si>
  <si>
    <t>ghazi flour</t>
  </si>
  <si>
    <t>yousuf suger</t>
  </si>
  <si>
    <t>shahid up</t>
  </si>
  <si>
    <t>al hussani</t>
  </si>
  <si>
    <t>SADAM HUSSAN</t>
  </si>
  <si>
    <t>SHOUAIB ALI</t>
  </si>
  <si>
    <t>super</t>
  </si>
  <si>
    <t>sulaman print</t>
  </si>
  <si>
    <t>salt 5 bage</t>
  </si>
  <si>
    <t>irfan vanila</t>
  </si>
  <si>
    <t>sheeba print</t>
  </si>
  <si>
    <t>hydrabad</t>
  </si>
  <si>
    <t>MEER KHAN</t>
  </si>
  <si>
    <t>ABID MANGNAJO</t>
  </si>
  <si>
    <t>SAMAD ALI</t>
  </si>
  <si>
    <t>wall</t>
  </si>
  <si>
    <t>sigret</t>
  </si>
  <si>
    <t>imran alam</t>
  </si>
  <si>
    <t>ZAHID</t>
  </si>
  <si>
    <t>catton</t>
  </si>
  <si>
    <t>muntaqa</t>
  </si>
  <si>
    <t>oven bajri</t>
  </si>
  <si>
    <t>oven bhtti nusrat</t>
  </si>
  <si>
    <t>ahsnabad safai</t>
  </si>
  <si>
    <t>YASEEN BACHA</t>
  </si>
  <si>
    <t>ZAHID LAHORE</t>
  </si>
  <si>
    <t>SUNIL BACHA</t>
  </si>
  <si>
    <t>ABDUL WAHID ALI</t>
  </si>
  <si>
    <t>boom</t>
  </si>
  <si>
    <t>facktry balance</t>
  </si>
  <si>
    <t>zaheer theeli</t>
  </si>
  <si>
    <t>carban bloor</t>
  </si>
  <si>
    <t>petrol</t>
  </si>
  <si>
    <t>mixing shakeel</t>
  </si>
  <si>
    <t>disk ashfaq</t>
  </si>
  <si>
    <t>ghazi</t>
  </si>
  <si>
    <t>pailat rant</t>
  </si>
  <si>
    <t>cash count  maction</t>
  </si>
  <si>
    <t>IRANI GHEE</t>
  </si>
  <si>
    <t xml:space="preserve">Working
</t>
  </si>
  <si>
    <t>ghee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</si>
</sst>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3" formatCode="_(* #,##0.00_);_(* \(#,##0.00\);_(* &quot;-&quot;??_);_(@_)"/>
    <numFmt numFmtId="164" formatCode="_-* #,##0.00_-;_-* #,##0.00\-;_-* &quot;-&quot;??_-;_-@_-"/>
    <numFmt numFmtId="165" formatCode="[$-F800]dddd\,\ mmmm\ dd\,\ yyyy"/>
    <numFmt numFmtId="166" formatCode="[$-409]d\-mmm;@"/>
    <numFmt numFmtId="167" formatCode="[$-409]mmmm\ d\,\ yyyy;@"/>
    <numFmt numFmtId="168" formatCode="[$-409]mmm\-yy;@"/>
    <numFmt numFmtId="169" formatCode="_(* #,##0_);_(* \(#,##0\);_(* &quot;-&quot;??_);_(@_)"/>
    <numFmt numFmtId="170" formatCode="[$-409]dd\-mmm\-yy;@"/>
    <numFmt numFmtId="171" formatCode="[$-409]d\-mmm\-yy;@"/>
    <numFmt numFmtId="172" formatCode="_-* #,##0_-;_-* #,##0\-;_-* &quot;-&quot;??_-;_-@_-"/>
    <numFmt numFmtId="173" formatCode="_-* #,##0_-;\-* #,##0_-;_-* &quot;-&quot;??_-;_-@_-"/>
    <numFmt numFmtId="174" formatCode="_-* #,##0.0_-;_-* #,##0.0\-;_-* &quot;-&quot;??_-;_-@_-"/>
    <numFmt numFmtId="175" formatCode="0.000"/>
    <numFmt numFmtId="176" formatCode="_-* #,##0.000_-;_-* #,##0.000\-;_-* &quot;-&quot;??_-;_-@_-"/>
    <numFmt numFmtId="177" formatCode="0_);[Red]\(0\)"/>
    <numFmt numFmtId="178" formatCode="0.0"/>
  </numFmts>
  <fonts count="239">
    <font>
      <sz val="11"/>
      <color theme="1"/>
      <name val="Calibri"/>
      <family val="2"/>
      <scheme val="minor"/>
    </font>
    <font>
      <b/>
      <sz val="8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b/>
      <sz val="16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B050"/>
      <name val="Arial Rounded MT Bold"/>
      <family val="2"/>
    </font>
    <font>
      <b/>
      <sz val="14"/>
      <color theme="1"/>
      <name val="Calibri"/>
      <family val="2"/>
      <scheme val="minor"/>
    </font>
    <font>
      <sz val="24"/>
      <name val="Arial"/>
      <family val="2"/>
    </font>
    <font>
      <b/>
      <u/>
      <sz val="10"/>
      <name val="Arial"/>
      <family val="2"/>
    </font>
    <font>
      <sz val="10"/>
      <name val="Arial"/>
      <family val="2"/>
    </font>
    <font>
      <b/>
      <sz val="18"/>
      <color theme="1"/>
      <name val="Calibri"/>
      <family val="2"/>
      <scheme val="minor"/>
    </font>
    <font>
      <sz val="18"/>
      <name val="Arial"/>
      <family val="2"/>
    </font>
    <font>
      <b/>
      <sz val="16"/>
      <color theme="1"/>
      <name val="Calibri"/>
      <family val="2"/>
      <scheme val="minor"/>
    </font>
    <font>
      <b/>
      <sz val="18"/>
      <name val="Arial"/>
      <family val="2"/>
    </font>
    <font>
      <b/>
      <sz val="20"/>
      <name val="Arial"/>
      <family val="2"/>
    </font>
    <font>
      <b/>
      <sz val="20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1"/>
      <name val="Arial"/>
      <family val="2"/>
    </font>
    <font>
      <b/>
      <sz val="14"/>
      <color indexed="8"/>
      <name val="Arial"/>
      <family val="2"/>
    </font>
    <font>
      <b/>
      <sz val="14"/>
      <color rgb="FFFF0000"/>
      <name val="Arial"/>
      <family val="2"/>
    </font>
    <font>
      <b/>
      <sz val="22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sz val="20"/>
      <color rgb="FF00B0F0"/>
      <name val="Arial"/>
      <family val="2"/>
    </font>
    <font>
      <b/>
      <sz val="14"/>
      <color rgb="FF0070C0"/>
      <name val="Arial"/>
      <family val="2"/>
    </font>
    <font>
      <b/>
      <u/>
      <sz val="20"/>
      <name val="Arial"/>
      <family val="2"/>
    </font>
    <font>
      <b/>
      <sz val="18"/>
      <name val="Arial Black"/>
      <family val="2"/>
    </font>
    <font>
      <b/>
      <i/>
      <sz val="14"/>
      <color theme="1"/>
      <name val="Calibri"/>
      <family val="2"/>
      <scheme val="minor"/>
    </font>
    <font>
      <b/>
      <sz val="20"/>
      <name val="Calibri"/>
      <family val="2"/>
      <scheme val="minor"/>
    </font>
    <font>
      <sz val="48"/>
      <name val="Arial"/>
      <family val="2"/>
    </font>
    <font>
      <b/>
      <i/>
      <u/>
      <sz val="26"/>
      <name val="Arial"/>
      <family val="2"/>
    </font>
    <font>
      <b/>
      <u/>
      <sz val="22"/>
      <name val="Arial"/>
      <family val="2"/>
    </font>
    <font>
      <b/>
      <i/>
      <sz val="16"/>
      <name val="Arial"/>
      <family val="2"/>
    </font>
    <font>
      <b/>
      <sz val="18"/>
      <color rgb="FFFF0000"/>
      <name val="Arial"/>
      <family val="2"/>
    </font>
    <font>
      <b/>
      <sz val="20"/>
      <color rgb="FF0070C0"/>
      <name val="Arial"/>
      <family val="2"/>
    </font>
    <font>
      <b/>
      <sz val="20"/>
      <color rgb="FFFF0000"/>
      <name val="Calibri"/>
      <family val="2"/>
      <scheme val="minor"/>
    </font>
    <font>
      <b/>
      <sz val="18"/>
      <color rgb="FF7030A0"/>
      <name val="Arial"/>
      <family val="2"/>
    </font>
    <font>
      <b/>
      <sz val="28"/>
      <color rgb="FFFF0000"/>
      <name val="Calibri"/>
      <family val="2"/>
      <scheme val="minor"/>
    </font>
    <font>
      <b/>
      <sz val="36"/>
      <color theme="9" tint="-0.249977111117893"/>
      <name val="Calibri"/>
      <family val="2"/>
      <scheme val="minor"/>
    </font>
    <font>
      <b/>
      <sz val="22"/>
      <name val="Arial"/>
      <family val="2"/>
    </font>
    <font>
      <b/>
      <sz val="26"/>
      <color theme="1"/>
      <name val="Calibri"/>
      <family val="2"/>
      <scheme val="minor"/>
    </font>
    <font>
      <b/>
      <sz val="16"/>
      <color rgb="FFFF0000"/>
      <name val="Arial Unicode MS"/>
      <family val="2"/>
    </font>
    <font>
      <b/>
      <sz val="11"/>
      <name val="Arial Black"/>
      <family val="2"/>
    </font>
    <font>
      <b/>
      <i/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20"/>
      <color rgb="FF0000CC"/>
      <name val="Calibri"/>
      <family val="2"/>
      <scheme val="minor"/>
    </font>
    <font>
      <b/>
      <u/>
      <sz val="18"/>
      <color theme="1"/>
      <name val="Calibri"/>
      <family val="2"/>
      <scheme val="minor"/>
    </font>
    <font>
      <b/>
      <i/>
      <u/>
      <sz val="22"/>
      <color rgb="FF0000CC"/>
      <name val="Arial"/>
      <family val="2"/>
    </font>
    <font>
      <b/>
      <sz val="6"/>
      <name val="Arial"/>
      <family val="2"/>
    </font>
    <font>
      <b/>
      <sz val="14"/>
      <color theme="1"/>
      <name val="Aharoni"/>
    </font>
    <font>
      <b/>
      <sz val="16"/>
      <color theme="1"/>
      <name val="Aharoni"/>
    </font>
    <font>
      <b/>
      <u/>
      <sz val="26"/>
      <name val="Arial"/>
      <family val="2"/>
    </font>
    <font>
      <b/>
      <sz val="18"/>
      <color theme="9" tint="-0.249977111117893"/>
      <name val="Andalus"/>
      <family val="1"/>
    </font>
    <font>
      <b/>
      <sz val="36"/>
      <color theme="1"/>
      <name val="Calibri"/>
      <family val="2"/>
      <scheme val="minor"/>
    </font>
    <font>
      <b/>
      <i/>
      <u/>
      <sz val="24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b/>
      <i/>
      <u/>
      <sz val="36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8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8"/>
      <name val="Arial"/>
      <family val="2"/>
    </font>
    <font>
      <b/>
      <sz val="48"/>
      <color theme="1"/>
      <name val="Calibri"/>
      <family val="2"/>
      <scheme val="minor"/>
    </font>
    <font>
      <b/>
      <sz val="12"/>
      <color theme="1"/>
      <name val="Aharoni"/>
    </font>
    <font>
      <b/>
      <sz val="22"/>
      <color indexed="8"/>
      <name val="Arial"/>
      <family val="2"/>
    </font>
    <font>
      <b/>
      <sz val="24"/>
      <name val="Arial"/>
      <family val="2"/>
    </font>
    <font>
      <b/>
      <sz val="18"/>
      <color rgb="FF0000CC"/>
      <name val="Arial"/>
      <family val="2"/>
    </font>
    <font>
      <b/>
      <sz val="16"/>
      <color rgb="FFFF0000"/>
      <name val="Arial"/>
      <family val="2"/>
    </font>
    <font>
      <b/>
      <u/>
      <sz val="16"/>
      <color rgb="FFFF0000"/>
      <name val="Arial"/>
      <family val="2"/>
    </font>
    <font>
      <b/>
      <sz val="16"/>
      <color rgb="FFFF0000"/>
      <name val="Calibri"/>
      <family val="2"/>
      <scheme val="minor"/>
    </font>
    <font>
      <b/>
      <sz val="18"/>
      <color rgb="FF0000CC"/>
      <name val="Calibri"/>
      <family val="2"/>
      <scheme val="minor"/>
    </font>
    <font>
      <b/>
      <sz val="16"/>
      <color rgb="FF0000CC"/>
      <name val="Calibri"/>
      <family val="2"/>
      <scheme val="minor"/>
    </font>
    <font>
      <b/>
      <sz val="22"/>
      <color rgb="FFFF0000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2"/>
      <name val="Calibri"/>
      <family val="2"/>
      <scheme val="minor"/>
    </font>
    <font>
      <b/>
      <sz val="24"/>
      <color rgb="FF0000CC"/>
      <name val="Arial"/>
      <family val="2"/>
    </font>
    <font>
      <b/>
      <sz val="22"/>
      <color rgb="FF0000CC"/>
      <name val="Arial"/>
      <family val="2"/>
    </font>
    <font>
      <b/>
      <u/>
      <sz val="18"/>
      <name val="Calibri"/>
      <family val="2"/>
      <scheme val="minor"/>
    </font>
    <font>
      <b/>
      <sz val="20"/>
      <color rgb="FF0000CC"/>
      <name val="Arial"/>
      <family val="2"/>
    </font>
    <font>
      <b/>
      <sz val="20"/>
      <color theme="1"/>
      <name val="Aharoni"/>
    </font>
    <font>
      <b/>
      <sz val="18"/>
      <color rgb="FFC00000"/>
      <name val="Aharoni"/>
    </font>
    <font>
      <sz val="28"/>
      <name val="Arial Black"/>
      <family val="2"/>
    </font>
    <font>
      <sz val="26"/>
      <name val="Arial Black"/>
      <family val="2"/>
    </font>
    <font>
      <sz val="22"/>
      <name val="Arial Black"/>
      <family val="2"/>
    </font>
    <font>
      <sz val="24"/>
      <name val="Arial Black"/>
      <family val="2"/>
    </font>
    <font>
      <b/>
      <sz val="26"/>
      <name val="Arial Black"/>
      <family val="2"/>
    </font>
    <font>
      <b/>
      <sz val="24"/>
      <name val="Arial Black"/>
      <family val="2"/>
    </font>
    <font>
      <b/>
      <i/>
      <u val="singleAccounting"/>
      <sz val="24"/>
      <color theme="1"/>
      <name val="Calibri"/>
      <family val="2"/>
      <scheme val="minor"/>
    </font>
    <font>
      <b/>
      <i/>
      <u/>
      <sz val="14"/>
      <color theme="1"/>
      <name val="Calibri"/>
      <family val="2"/>
      <scheme val="minor"/>
    </font>
    <font>
      <b/>
      <sz val="36"/>
      <color rgb="FFFF0000"/>
      <name val="Calibri"/>
      <family val="2"/>
      <scheme val="minor"/>
    </font>
    <font>
      <b/>
      <sz val="24"/>
      <color rgb="FFFF0000"/>
      <name val="Calibri"/>
      <family val="2"/>
      <scheme val="minor"/>
    </font>
    <font>
      <b/>
      <u/>
      <sz val="26"/>
      <color rgb="FFFF0000"/>
      <name val="Arial"/>
      <family val="2"/>
    </font>
    <font>
      <b/>
      <sz val="18"/>
      <color rgb="FF3121AB"/>
      <name val="Arial"/>
      <family val="2"/>
    </font>
    <font>
      <b/>
      <sz val="16"/>
      <name val="Aharoni"/>
    </font>
    <font>
      <b/>
      <sz val="16"/>
      <name val="Calibri"/>
      <family val="2"/>
      <scheme val="minor"/>
    </font>
    <font>
      <b/>
      <sz val="22"/>
      <color rgb="FFFF0000"/>
      <name val="Arial"/>
      <family val="2"/>
    </font>
    <font>
      <b/>
      <sz val="22"/>
      <color rgb="FF00B050"/>
      <name val="Arial"/>
      <family val="2"/>
    </font>
    <font>
      <b/>
      <sz val="22"/>
      <color rgb="FF00B050"/>
      <name val="Calibri"/>
      <family val="2"/>
      <scheme val="minor"/>
    </font>
    <font>
      <sz val="22"/>
      <color rgb="FF00B050"/>
      <name val="Calibri"/>
      <family val="2"/>
      <scheme val="minor"/>
    </font>
    <font>
      <b/>
      <sz val="22"/>
      <color rgb="FF0000CC"/>
      <name val="Calibri"/>
      <family val="2"/>
      <scheme val="minor"/>
    </font>
    <font>
      <b/>
      <sz val="24"/>
      <color rgb="FF0000CC"/>
      <name val="Calibri"/>
      <family val="2"/>
      <scheme val="minor"/>
    </font>
    <font>
      <b/>
      <i/>
      <u/>
      <sz val="20"/>
      <color rgb="FF0000CC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u/>
      <sz val="36"/>
      <color rgb="FF0000CC"/>
      <name val="Calibri"/>
      <family val="2"/>
      <scheme val="minor"/>
    </font>
    <font>
      <b/>
      <sz val="36"/>
      <color rgb="FF0000CC"/>
      <name val="Calibri"/>
      <family val="2"/>
      <scheme val="minor"/>
    </font>
    <font>
      <b/>
      <u/>
      <sz val="22"/>
      <color rgb="FFFF0000"/>
      <name val="Arial"/>
      <family val="2"/>
    </font>
    <font>
      <b/>
      <sz val="16"/>
      <color rgb="FF0000CC"/>
      <name val="Arial Black"/>
      <family val="2"/>
    </font>
    <font>
      <b/>
      <sz val="16"/>
      <color rgb="FFFF0000"/>
      <name val="Arial Black"/>
      <family val="2"/>
    </font>
    <font>
      <b/>
      <sz val="16"/>
      <color rgb="FF00B050"/>
      <name val="Arial Black"/>
      <family val="2"/>
    </font>
    <font>
      <b/>
      <sz val="16"/>
      <color rgb="FF3121AB"/>
      <name val="Arial Black"/>
      <family val="2"/>
    </font>
    <font>
      <b/>
      <sz val="16"/>
      <color rgb="FF0000CC"/>
      <name val="Arial Unicode MS"/>
      <family val="2"/>
    </font>
    <font>
      <b/>
      <u val="singleAccounting"/>
      <sz val="18"/>
      <color rgb="FF0000CC"/>
      <name val="Calibri"/>
      <family val="2"/>
      <scheme val="minor"/>
    </font>
    <font>
      <b/>
      <u val="singleAccounting"/>
      <sz val="16"/>
      <color rgb="FFFF0000"/>
      <name val="Calibri"/>
      <family val="2"/>
      <scheme val="minor"/>
    </font>
    <font>
      <b/>
      <sz val="16"/>
      <color rgb="FF0000CC"/>
      <name val="Aharoni"/>
    </font>
    <font>
      <b/>
      <sz val="20"/>
      <color rgb="FF0000CC"/>
      <name val="Calibri"/>
      <family val="2"/>
    </font>
    <font>
      <b/>
      <sz val="24"/>
      <color rgb="FF00B050"/>
      <name val="Calibri"/>
      <family val="2"/>
      <scheme val="minor"/>
    </font>
    <font>
      <b/>
      <sz val="20"/>
      <color rgb="FF00B050"/>
      <name val="Calibri"/>
      <family val="2"/>
      <scheme val="minor"/>
    </font>
    <font>
      <b/>
      <sz val="36"/>
      <name val="Arial"/>
      <family val="2"/>
    </font>
    <font>
      <b/>
      <sz val="14"/>
      <color rgb="FF0000CC"/>
      <name val="Aharoni"/>
    </font>
    <font>
      <b/>
      <sz val="11"/>
      <color rgb="FFFF0000"/>
      <name val="Arial Black"/>
      <family val="2"/>
    </font>
    <font>
      <b/>
      <sz val="22"/>
      <color rgb="FFFF6600"/>
      <name val="Calibri"/>
      <family val="2"/>
      <scheme val="minor"/>
    </font>
    <font>
      <b/>
      <sz val="14"/>
      <color rgb="FF00B050"/>
      <name val="Arial"/>
      <family val="2"/>
    </font>
    <font>
      <b/>
      <u/>
      <sz val="14"/>
      <color rgb="FF0000CC"/>
      <name val="Arial"/>
      <family val="2"/>
    </font>
    <font>
      <b/>
      <sz val="20"/>
      <color rgb="FFFF0000"/>
      <name val="Arial"/>
      <family val="2"/>
    </font>
    <font>
      <b/>
      <u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4"/>
      <color rgb="FFFF0000"/>
      <name val="Arial Black"/>
      <family val="2"/>
    </font>
    <font>
      <sz val="18"/>
      <name val="Arial Black"/>
      <family val="2"/>
    </font>
    <font>
      <b/>
      <sz val="28"/>
      <color rgb="FF0000CC"/>
      <name val="Calibri"/>
      <family val="2"/>
      <scheme val="minor"/>
    </font>
    <font>
      <b/>
      <sz val="48"/>
      <color rgb="FF0000CC"/>
      <name val="Calibri"/>
      <family val="2"/>
      <scheme val="minor"/>
    </font>
    <font>
      <b/>
      <u/>
      <sz val="20"/>
      <color rgb="FFFF0000"/>
      <name val="Calibri"/>
      <family val="2"/>
      <scheme val="minor"/>
    </font>
    <font>
      <b/>
      <u/>
      <sz val="28"/>
      <color rgb="FFFF0000"/>
      <name val="Calibri"/>
      <family val="2"/>
      <scheme val="minor"/>
    </font>
    <font>
      <b/>
      <u val="singleAccounting"/>
      <sz val="28"/>
      <color rgb="FFFF0000"/>
      <name val="Calibri"/>
      <family val="2"/>
      <scheme val="minor"/>
    </font>
    <font>
      <b/>
      <u/>
      <sz val="20"/>
      <color rgb="FF0000CC"/>
      <name val="Calibri"/>
      <family val="2"/>
      <scheme val="minor"/>
    </font>
    <font>
      <b/>
      <u val="singleAccounting"/>
      <sz val="28"/>
      <color rgb="FF0000CC"/>
      <name val="Calibri"/>
      <family val="2"/>
      <scheme val="minor"/>
    </font>
    <font>
      <b/>
      <i/>
      <u/>
      <sz val="14"/>
      <color rgb="FF0000CC"/>
      <name val="Calibri"/>
      <family val="2"/>
      <scheme val="minor"/>
    </font>
    <font>
      <b/>
      <i/>
      <u/>
      <sz val="11"/>
      <color rgb="FF0000CC"/>
      <name val="Calibri"/>
      <family val="2"/>
      <scheme val="minor"/>
    </font>
    <font>
      <b/>
      <i/>
      <u/>
      <sz val="12"/>
      <color rgb="FF0000CC"/>
      <name val="Calibri"/>
      <family val="2"/>
      <scheme val="minor"/>
    </font>
    <font>
      <b/>
      <i/>
      <sz val="36"/>
      <color rgb="FF0000CC"/>
      <name val="Calibri"/>
      <family val="2"/>
      <scheme val="minor"/>
    </font>
    <font>
      <b/>
      <i/>
      <u/>
      <sz val="36"/>
      <color rgb="FF00B050"/>
      <name val="Calibri"/>
      <family val="2"/>
      <scheme val="minor"/>
    </font>
    <font>
      <sz val="36"/>
      <color rgb="FF00B050"/>
      <name val="Calibri"/>
      <family val="2"/>
      <scheme val="minor"/>
    </font>
    <font>
      <b/>
      <sz val="16"/>
      <color rgb="FFFF6600"/>
      <name val="Calibri"/>
      <family val="2"/>
      <scheme val="minor"/>
    </font>
    <font>
      <b/>
      <sz val="16"/>
      <color theme="9" tint="-0.249977111117893"/>
      <name val="Calibri"/>
      <family val="2"/>
      <scheme val="minor"/>
    </font>
    <font>
      <b/>
      <i/>
      <u/>
      <sz val="14"/>
      <color rgb="FFFF0000"/>
      <name val="Calibri"/>
      <family val="2"/>
      <scheme val="minor"/>
    </font>
    <font>
      <b/>
      <sz val="14"/>
      <color rgb="FF00B050"/>
      <name val="Arial Black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u val="singleAccounting"/>
      <sz val="16"/>
      <color rgb="FF0070C0"/>
      <name val="Arial"/>
      <family val="2"/>
    </font>
    <font>
      <b/>
      <u/>
      <sz val="16"/>
      <color rgb="FF0070C0"/>
      <name val="Arial"/>
      <family val="2"/>
    </font>
    <font>
      <b/>
      <u/>
      <sz val="16"/>
      <color theme="3" tint="0.39997558519241921"/>
      <name val="Arial"/>
      <family val="2"/>
    </font>
    <font>
      <b/>
      <sz val="16"/>
      <color rgb="FF00B0F0"/>
      <name val="Aharoni"/>
    </font>
    <font>
      <sz val="16"/>
      <color rgb="FF00B0F0"/>
      <name val="Aharoni"/>
    </font>
    <font>
      <b/>
      <sz val="22"/>
      <color rgb="FF0000CC"/>
      <name val="Aharoni"/>
    </font>
    <font>
      <b/>
      <sz val="14"/>
      <color rgb="FF00B0F0"/>
      <name val="Arial Rounded MT Bold"/>
      <family val="2"/>
    </font>
    <font>
      <b/>
      <sz val="22"/>
      <color rgb="FF0000CC"/>
      <name val="Arial Rounded MT Bold"/>
      <family val="2"/>
    </font>
    <font>
      <b/>
      <sz val="20"/>
      <color rgb="FFFF0000"/>
      <name val="Arial Rounded MT Bold"/>
      <family val="2"/>
    </font>
    <font>
      <b/>
      <sz val="20"/>
      <color rgb="FF0000CC"/>
      <name val="Arial Rounded MT Bold"/>
      <family val="2"/>
    </font>
    <font>
      <b/>
      <sz val="18"/>
      <color rgb="FFFF0000"/>
      <name val="Arial Rounded MT Bold"/>
      <family val="2"/>
    </font>
    <font>
      <b/>
      <sz val="28"/>
      <color rgb="FF0000CC"/>
      <name val="Aharoni"/>
    </font>
    <font>
      <b/>
      <u/>
      <sz val="18"/>
      <color rgb="FF0000CC"/>
      <name val="Arial Rounded MT Bold"/>
      <family val="2"/>
    </font>
    <font>
      <b/>
      <i/>
      <u/>
      <sz val="24"/>
      <color rgb="FF0000CC"/>
      <name val="Arial Rounded MT Bold"/>
      <family val="2"/>
    </font>
    <font>
      <b/>
      <i/>
      <u val="singleAccounting"/>
      <sz val="22"/>
      <color rgb="FF0000CC"/>
      <name val="Arial Rounded MT Bold"/>
      <family val="2"/>
    </font>
    <font>
      <b/>
      <i/>
      <u val="singleAccounting"/>
      <sz val="20"/>
      <color rgb="FF0000CC"/>
      <name val="Arial Rounded MT Bold"/>
      <family val="2"/>
    </font>
    <font>
      <b/>
      <sz val="22"/>
      <color rgb="FFFF0000"/>
      <name val="Arial Rounded MT Bold"/>
      <family val="2"/>
    </font>
    <font>
      <b/>
      <i/>
      <u/>
      <sz val="24"/>
      <color rgb="FF0000CC"/>
      <name val="Aharoni"/>
    </font>
    <font>
      <sz val="14"/>
      <color theme="1"/>
      <name val="Aharoni"/>
    </font>
    <font>
      <b/>
      <sz val="22"/>
      <color theme="1"/>
      <name val="Aharoni"/>
    </font>
    <font>
      <b/>
      <sz val="18"/>
      <color rgb="FF0000CC"/>
      <name val="Aharoni"/>
    </font>
    <font>
      <b/>
      <sz val="20"/>
      <color rgb="FF0000CC"/>
      <name val="Aharoni"/>
    </font>
    <font>
      <b/>
      <i/>
      <u val="singleAccounting"/>
      <sz val="22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20"/>
      <color rgb="FFFF0000"/>
      <name val="Aharoni"/>
    </font>
    <font>
      <sz val="20"/>
      <color theme="1"/>
      <name val="Aharoni"/>
    </font>
    <font>
      <b/>
      <sz val="18"/>
      <color rgb="FFFF0000"/>
      <name val="Aharoni"/>
    </font>
    <font>
      <b/>
      <sz val="18"/>
      <color rgb="FF00B0F0"/>
      <name val="Aharoni"/>
    </font>
    <font>
      <b/>
      <sz val="20"/>
      <color rgb="FF00B0F0"/>
      <name val="Aharoni"/>
    </font>
    <font>
      <b/>
      <sz val="36"/>
      <color rgb="FF00B0F0"/>
      <name val="Aharoni"/>
    </font>
    <font>
      <b/>
      <sz val="16"/>
      <color rgb="FF00B0F0"/>
      <name val="Arial Rounded MT Bold"/>
      <family val="2"/>
    </font>
    <font>
      <b/>
      <sz val="48"/>
      <color rgb="FF00B0F0"/>
      <name val="Eras Bold ITC"/>
      <family val="2"/>
    </font>
    <font>
      <b/>
      <sz val="24"/>
      <color rgb="FF00B0F0"/>
      <name val="Eras Bold ITC"/>
      <family val="2"/>
    </font>
    <font>
      <b/>
      <i/>
      <u val="singleAccounting"/>
      <sz val="22"/>
      <color rgb="FFFF0000"/>
      <name val="Arial Rounded MT Bold"/>
      <family val="2"/>
    </font>
    <font>
      <b/>
      <sz val="14"/>
      <color rgb="FF00B0F0"/>
      <name val="Aharoni"/>
    </font>
    <font>
      <b/>
      <i/>
      <u/>
      <sz val="18"/>
      <color rgb="FF00B050"/>
      <name val="Calibri"/>
      <family val="2"/>
      <scheme val="minor"/>
    </font>
    <font>
      <b/>
      <u/>
      <sz val="24"/>
      <color rgb="FF00B050"/>
      <name val="Calibri"/>
      <family val="2"/>
      <scheme val="minor"/>
    </font>
    <font>
      <b/>
      <sz val="18"/>
      <color theme="9" tint="-0.249977111117893"/>
      <name val="Calibri"/>
      <family val="2"/>
      <scheme val="minor"/>
    </font>
    <font>
      <b/>
      <sz val="48"/>
      <color rgb="FFFF0000"/>
      <name val="Calibri"/>
      <family val="2"/>
      <scheme val="minor"/>
    </font>
    <font>
      <b/>
      <sz val="20"/>
      <color rgb="FF3121AB"/>
      <name val="Calibri"/>
      <family val="2"/>
      <scheme val="minor"/>
    </font>
    <font>
      <b/>
      <sz val="24"/>
      <color rgb="FFFF0000"/>
      <name val="Arial"/>
      <family val="2"/>
    </font>
    <font>
      <b/>
      <sz val="12"/>
      <color rgb="FF0000CC"/>
      <name val="Arial"/>
      <family val="2"/>
    </font>
    <font>
      <b/>
      <sz val="18"/>
      <color rgb="FF3121AB"/>
      <name val="Calibri"/>
      <family val="2"/>
    </font>
    <font>
      <b/>
      <sz val="18"/>
      <color rgb="FF3121AB"/>
      <name val="Calibri"/>
      <family val="2"/>
      <scheme val="minor"/>
    </font>
    <font>
      <b/>
      <sz val="72"/>
      <color theme="9" tint="-0.249977111117893"/>
      <name val="Calibri"/>
      <family val="2"/>
      <scheme val="minor"/>
    </font>
    <font>
      <b/>
      <sz val="22"/>
      <color rgb="FF0070C0"/>
      <name val="Calibri"/>
      <family val="2"/>
      <scheme val="minor"/>
    </font>
    <font>
      <b/>
      <sz val="36"/>
      <color rgb="FF0070C0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48"/>
      <color rgb="FF0070C0"/>
      <name val="Calibri"/>
      <family val="2"/>
      <scheme val="minor"/>
    </font>
    <font>
      <b/>
      <sz val="26"/>
      <color rgb="FF0070C0"/>
      <name val="Calibri"/>
      <family val="2"/>
      <scheme val="minor"/>
    </font>
    <font>
      <b/>
      <sz val="48"/>
      <color theme="9" tint="-0.249977111117893"/>
      <name val="Calibri"/>
      <family val="2"/>
      <scheme val="minor"/>
    </font>
    <font>
      <b/>
      <sz val="18"/>
      <color rgb="FFFF0000"/>
      <name val="Andalus"/>
      <family val="1"/>
    </font>
    <font>
      <b/>
      <sz val="16"/>
      <color rgb="FF00B0F0"/>
      <name val="Aharoni"/>
    </font>
    <font>
      <b/>
      <sz val="20"/>
      <color rgb="FF0070C0"/>
      <name val="Calibri"/>
      <family val="2"/>
      <scheme val="minor"/>
    </font>
    <font>
      <b/>
      <sz val="14"/>
      <name val="Aharoni"/>
    </font>
    <font>
      <sz val="14"/>
      <color theme="1"/>
      <name val="Calibri"/>
      <family val="2"/>
      <scheme val="minor"/>
    </font>
    <font>
      <b/>
      <sz val="15"/>
      <color rgb="FF0000CC"/>
      <name val="Aharoni"/>
    </font>
    <font>
      <b/>
      <sz val="10"/>
      <color theme="1"/>
      <name val="Arial Rounded MT Bold"/>
      <family val="2"/>
    </font>
    <font>
      <sz val="24"/>
      <color rgb="FF0000CC"/>
      <name val="Arial"/>
      <family val="2"/>
    </font>
    <font>
      <sz val="28"/>
      <color rgb="FF00B0F0"/>
      <name val="Aharoni"/>
    </font>
    <font>
      <sz val="2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0"/>
      <name val="Arial"/>
      <family val="2"/>
    </font>
    <font>
      <sz val="16"/>
      <color theme="1"/>
      <name val="Calibri"/>
      <family val="2"/>
      <scheme val="minor"/>
    </font>
    <font>
      <sz val="16"/>
      <name val="Arial"/>
      <family val="2"/>
    </font>
    <font>
      <b/>
      <sz val="22"/>
      <color theme="9"/>
      <name val="Arial"/>
      <family val="2"/>
    </font>
    <font>
      <b/>
      <sz val="36"/>
      <color theme="3" tint="0.39997558519241921"/>
      <name val="Calibri"/>
      <family val="2"/>
      <scheme val="minor"/>
    </font>
    <font>
      <b/>
      <sz val="36"/>
      <color rgb="FFFF0000"/>
      <name val="Arial"/>
      <family val="2"/>
    </font>
    <font>
      <b/>
      <sz val="26"/>
      <color rgb="FFFF0000"/>
      <name val="Calibri"/>
      <family val="2"/>
      <scheme val="minor"/>
    </font>
    <font>
      <b/>
      <sz val="18"/>
      <color theme="1"/>
      <name val="Arial"/>
      <family val="2"/>
    </font>
    <font>
      <b/>
      <i/>
      <sz val="16"/>
      <color rgb="FFFF0000"/>
      <name val="Arial"/>
      <family val="2"/>
    </font>
    <font>
      <b/>
      <sz val="14"/>
      <color rgb="FF7030A0"/>
      <name val="Arial"/>
      <family val="2"/>
    </font>
    <font>
      <b/>
      <sz val="15"/>
      <color theme="1"/>
      <name val="Calibri"/>
      <family val="2"/>
      <scheme val="minor"/>
    </font>
    <font>
      <b/>
      <sz val="15"/>
      <color rgb="FF7030A0"/>
      <name val="Arial"/>
      <family val="2"/>
    </font>
    <font>
      <b/>
      <sz val="15"/>
      <color rgb="FF0000CC"/>
      <name val="Arial"/>
      <family val="2"/>
    </font>
    <font>
      <b/>
      <sz val="15"/>
      <color rgb="FFFF0000"/>
      <name val="Arial"/>
      <family val="2"/>
    </font>
    <font>
      <b/>
      <sz val="15"/>
      <color rgb="FF3121AB"/>
      <name val="Arial"/>
      <family val="2"/>
    </font>
    <font>
      <sz val="15"/>
      <color theme="1"/>
      <name val="Calibri"/>
      <family val="2"/>
      <scheme val="minor"/>
    </font>
    <font>
      <b/>
      <sz val="15"/>
      <color rgb="FF0000CC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i/>
      <sz val="15"/>
      <color theme="1"/>
      <name val="Calibri"/>
      <family val="2"/>
      <scheme val="minor"/>
    </font>
    <font>
      <b/>
      <i/>
      <sz val="15"/>
      <color rgb="FFFF0000"/>
      <name val="Calibri"/>
      <family val="2"/>
      <scheme val="minor"/>
    </font>
    <font>
      <b/>
      <sz val="14"/>
      <color rgb="FF0000CC"/>
      <name val="Arial"/>
      <family val="2"/>
    </font>
    <font>
      <b/>
      <sz val="14"/>
      <color rgb="FF3121AB"/>
      <name val="Arial"/>
      <family val="2"/>
    </font>
    <font>
      <b/>
      <sz val="14"/>
      <color rgb="FF0000CC"/>
      <name val="Calibri"/>
      <family val="2"/>
      <scheme val="minor"/>
    </font>
    <font>
      <b/>
      <sz val="14"/>
      <color rgb="FFC00000"/>
      <name val="Calibri"/>
      <family val="2"/>
      <scheme val="minor"/>
    </font>
    <font>
      <b/>
      <sz val="14"/>
      <color theme="9" tint="-0.249977111117893"/>
      <name val="Calibri"/>
      <family val="2"/>
      <scheme val="minor"/>
    </font>
    <font>
      <b/>
      <sz val="14"/>
      <color theme="5" tint="-0.499984740745262"/>
      <name val="Calibri"/>
      <family val="2"/>
      <scheme val="minor"/>
    </font>
    <font>
      <b/>
      <sz val="11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auto="1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</fills>
  <borders count="15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auto="1"/>
      </left>
      <right style="thick">
        <color auto="1"/>
      </right>
      <top style="thin">
        <color indexed="64"/>
      </top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ck">
        <color auto="1"/>
      </left>
      <right/>
      <top style="thin">
        <color indexed="64"/>
      </top>
      <bottom/>
      <diagonal/>
    </border>
    <border>
      <left style="medium">
        <color indexed="64"/>
      </left>
      <right/>
      <top style="thick">
        <color indexed="64"/>
      </top>
      <bottom style="medium">
        <color indexed="64"/>
      </bottom>
      <diagonal/>
    </border>
    <border>
      <left/>
      <right/>
      <top style="thick">
        <color indexed="64"/>
      </top>
      <bottom style="medium">
        <color indexed="64"/>
      </bottom>
      <diagonal/>
    </border>
    <border>
      <left/>
      <right style="medium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ck">
        <color auto="1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medium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/>
      <top/>
      <bottom style="thick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 style="thick">
        <color auto="1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thick">
        <color indexed="64"/>
      </right>
      <top/>
      <bottom style="double">
        <color indexed="64"/>
      </bottom>
      <diagonal/>
    </border>
    <border>
      <left style="thick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/>
      <top style="medium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/>
      <right style="medium">
        <color indexed="64"/>
      </right>
      <top style="thick">
        <color indexed="64"/>
      </top>
      <bottom/>
      <diagonal/>
    </border>
    <border>
      <left style="thick">
        <color indexed="64"/>
      </left>
      <right style="medium">
        <color indexed="64"/>
      </right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ck">
        <color indexed="64"/>
      </right>
      <top style="double">
        <color indexed="64"/>
      </top>
      <bottom/>
      <diagonal/>
    </border>
    <border>
      <left/>
      <right style="thick">
        <color auto="1"/>
      </right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double">
        <color indexed="64"/>
      </bottom>
      <diagonal/>
    </border>
    <border>
      <left/>
      <right style="thick">
        <color indexed="64"/>
      </right>
      <top style="thick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thick">
        <color auto="1"/>
      </left>
      <right/>
      <top style="thin">
        <color indexed="64"/>
      </top>
      <bottom style="thick">
        <color indexed="64"/>
      </bottom>
      <diagonal/>
    </border>
    <border>
      <left style="mediumDashed">
        <color indexed="64"/>
      </left>
      <right/>
      <top style="mediumDashed">
        <color indexed="64"/>
      </top>
      <bottom style="double">
        <color indexed="64"/>
      </bottom>
      <diagonal/>
    </border>
    <border>
      <left/>
      <right style="mediumDashed">
        <color indexed="64"/>
      </right>
      <top style="mediumDashed">
        <color indexed="64"/>
      </top>
      <bottom style="double">
        <color indexed="64"/>
      </bottom>
      <diagonal/>
    </border>
    <border>
      <left style="mediumDashed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Dashed">
        <color indexed="64"/>
      </right>
      <top style="double">
        <color indexed="64"/>
      </top>
      <bottom style="double">
        <color indexed="64"/>
      </bottom>
      <diagonal/>
    </border>
    <border>
      <left style="mediumDashed">
        <color indexed="64"/>
      </left>
      <right/>
      <top style="double">
        <color indexed="64"/>
      </top>
      <bottom/>
      <diagonal/>
    </border>
    <border>
      <left/>
      <right style="mediumDashed">
        <color indexed="64"/>
      </right>
      <top style="double">
        <color indexed="64"/>
      </top>
      <bottom/>
      <diagonal/>
    </border>
    <border>
      <left style="mediumDashed">
        <color indexed="64"/>
      </left>
      <right/>
      <top/>
      <bottom/>
      <diagonal/>
    </border>
    <border>
      <left/>
      <right style="mediumDashed">
        <color indexed="64"/>
      </right>
      <top/>
      <bottom/>
      <diagonal/>
    </border>
    <border>
      <left style="mediumDashed">
        <color indexed="64"/>
      </left>
      <right/>
      <top/>
      <bottom style="mediumDashed">
        <color indexed="64"/>
      </bottom>
      <diagonal/>
    </border>
    <border>
      <left/>
      <right style="mediumDashed">
        <color indexed="64"/>
      </right>
      <top/>
      <bottom style="mediumDashed">
        <color indexed="64"/>
      </bottom>
      <diagonal/>
    </border>
    <border>
      <left/>
      <right style="thick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Dashed">
        <color indexed="64"/>
      </right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thick">
        <color indexed="64"/>
      </right>
      <top style="medium">
        <color indexed="64"/>
      </top>
      <bottom style="thick">
        <color indexed="64"/>
      </bottom>
      <diagonal/>
    </border>
    <border>
      <left style="thick">
        <color indexed="64"/>
      </left>
      <right style="medium">
        <color indexed="64"/>
      </right>
      <top/>
      <bottom style="double">
        <color indexed="64"/>
      </bottom>
      <diagonal/>
    </border>
  </borders>
  <cellStyleXfs count="4">
    <xf numFmtId="0" fontId="0" fillId="0" borderId="0"/>
    <xf numFmtId="0" fontId="5" fillId="0" borderId="0"/>
    <xf numFmtId="0" fontId="14" fillId="0" borderId="0"/>
    <xf numFmtId="164" fontId="63" fillId="0" borderId="0" applyFont="0" applyFill="0" applyBorder="0" applyAlignment="0" applyProtection="0"/>
  </cellStyleXfs>
  <cellXfs count="1548">
    <xf numFmtId="0" fontId="0" fillId="0" borderId="0" xfId="0"/>
    <xf numFmtId="0" fontId="1" fillId="0" borderId="0" xfId="0" applyFont="1" applyFill="1" applyBorder="1" applyAlignment="1">
      <alignment horizontal="center"/>
    </xf>
    <xf numFmtId="0" fontId="0" fillId="0" borderId="0" xfId="0" applyBorder="1"/>
    <xf numFmtId="0" fontId="4" fillId="0" borderId="0" xfId="0" applyFont="1" applyFill="1" applyBorder="1" applyAlignment="1"/>
    <xf numFmtId="0" fontId="4" fillId="0" borderId="0" xfId="0" applyFont="1" applyFill="1" applyBorder="1" applyAlignment="1">
      <alignment horizontal="center" vertical="center"/>
    </xf>
    <xf numFmtId="0" fontId="0" fillId="0" borderId="0" xfId="0" applyAlignment="1"/>
    <xf numFmtId="0" fontId="0" fillId="0" borderId="3" xfId="0" applyBorder="1"/>
    <xf numFmtId="0" fontId="5" fillId="0" borderId="0" xfId="0" applyFont="1" applyFill="1"/>
    <xf numFmtId="0" fontId="5" fillId="0" borderId="0" xfId="0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center"/>
    </xf>
    <xf numFmtId="166" fontId="3" fillId="0" borderId="0" xfId="0" applyNumberFormat="1" applyFont="1" applyFill="1" applyBorder="1" applyAlignment="1">
      <alignment horizontal="right"/>
    </xf>
    <xf numFmtId="166" fontId="3" fillId="0" borderId="0" xfId="0" applyNumberFormat="1" applyFont="1" applyFill="1" applyBorder="1"/>
    <xf numFmtId="0" fontId="2" fillId="0" borderId="0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/>
    <xf numFmtId="0" fontId="5" fillId="0" borderId="0" xfId="0" applyFont="1" applyFill="1" applyBorder="1" applyAlignment="1">
      <alignment horizontal="center" vertical="center"/>
    </xf>
    <xf numFmtId="166" fontId="3" fillId="0" borderId="0" xfId="0" applyNumberFormat="1" applyFont="1" applyFill="1" applyBorder="1" applyAlignment="1">
      <alignment horizontal="right" vertical="center"/>
    </xf>
    <xf numFmtId="0" fontId="0" fillId="0" borderId="0" xfId="0" applyFill="1" applyBorder="1"/>
    <xf numFmtId="0" fontId="12" fillId="0" borderId="0" xfId="0" applyFont="1" applyFill="1" applyBorder="1" applyAlignment="1">
      <alignment vertical="center"/>
    </xf>
    <xf numFmtId="0" fontId="12" fillId="0" borderId="0" xfId="0" applyFont="1" applyFill="1" applyBorder="1" applyAlignment="1"/>
    <xf numFmtId="0" fontId="3" fillId="0" borderId="0" xfId="0" applyFont="1" applyFill="1" applyBorder="1" applyAlignment="1"/>
    <xf numFmtId="0" fontId="4" fillId="0" borderId="0" xfId="0" applyFont="1" applyFill="1" applyBorder="1" applyAlignment="1">
      <alignment horizontal="center" vertical="center" wrapText="1"/>
    </xf>
    <xf numFmtId="166" fontId="4" fillId="0" borderId="0" xfId="0" applyNumberFormat="1" applyFont="1" applyFill="1" applyBorder="1" applyAlignment="1">
      <alignment horizontal="right"/>
    </xf>
    <xf numFmtId="0" fontId="7" fillId="0" borderId="0" xfId="0" applyFont="1" applyFill="1" applyBorder="1" applyAlignment="1">
      <alignment horizontal="center"/>
    </xf>
    <xf numFmtId="0" fontId="1" fillId="0" borderId="0" xfId="0" applyFont="1" applyFill="1" applyBorder="1"/>
    <xf numFmtId="0" fontId="7" fillId="0" borderId="0" xfId="0" applyFont="1" applyFill="1" applyBorder="1"/>
    <xf numFmtId="0" fontId="4" fillId="0" borderId="0" xfId="0" applyFont="1" applyFill="1" applyBorder="1" applyAlignment="1">
      <alignment horizontal="left"/>
    </xf>
    <xf numFmtId="166" fontId="4" fillId="0" borderId="0" xfId="0" applyNumberFormat="1" applyFont="1" applyFill="1" applyBorder="1" applyAlignment="1">
      <alignment horizontal="right" vertical="center"/>
    </xf>
    <xf numFmtId="0" fontId="9" fillId="0" borderId="0" xfId="0" applyFont="1" applyBorder="1" applyAlignment="1"/>
    <xf numFmtId="0" fontId="19" fillId="0" borderId="0" xfId="0" applyFont="1" applyFill="1" applyAlignment="1">
      <alignment vertical="center"/>
    </xf>
    <xf numFmtId="0" fontId="0" fillId="3" borderId="0" xfId="0" applyFill="1"/>
    <xf numFmtId="165" fontId="10" fillId="3" borderId="0" xfId="0" applyNumberFormat="1" applyFont="1" applyFill="1"/>
    <xf numFmtId="0" fontId="4" fillId="0" borderId="0" xfId="0" applyFont="1" applyFill="1" applyBorder="1" applyAlignment="1">
      <alignment horizontal="center"/>
    </xf>
    <xf numFmtId="0" fontId="0" fillId="5" borderId="0" xfId="0" applyFill="1"/>
    <xf numFmtId="165" fontId="10" fillId="5" borderId="0" xfId="0" applyNumberFormat="1" applyFont="1" applyFill="1"/>
    <xf numFmtId="0" fontId="0" fillId="6" borderId="0" xfId="0" applyFill="1"/>
    <xf numFmtId="0" fontId="11" fillId="6" borderId="0" xfId="0" applyFont="1" applyFill="1"/>
    <xf numFmtId="0" fontId="6" fillId="0" borderId="0" xfId="0" applyFont="1" applyFill="1" applyAlignment="1">
      <alignment horizontal="center" vertical="center"/>
    </xf>
    <xf numFmtId="0" fontId="0" fillId="0" borderId="27" xfId="0" applyBorder="1"/>
    <xf numFmtId="0" fontId="0" fillId="0" borderId="11" xfId="0" applyBorder="1"/>
    <xf numFmtId="0" fontId="6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vertical="center"/>
    </xf>
    <xf numFmtId="0" fontId="8" fillId="6" borderId="0" xfId="0" applyFont="1" applyFill="1"/>
    <xf numFmtId="0" fontId="35" fillId="0" borderId="9" xfId="0" applyNumberFormat="1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20" fillId="0" borderId="3" xfId="0" applyFont="1" applyBorder="1" applyAlignment="1">
      <alignment vertical="center"/>
    </xf>
    <xf numFmtId="0" fontId="22" fillId="0" borderId="0" xfId="0" applyFont="1" applyFill="1" applyBorder="1" applyAlignment="1">
      <alignment horizontal="center" vertical="center" wrapText="1"/>
    </xf>
    <xf numFmtId="0" fontId="20" fillId="0" borderId="23" xfId="0" applyFont="1" applyBorder="1" applyAlignment="1">
      <alignment vertical="center"/>
    </xf>
    <xf numFmtId="0" fontId="20" fillId="0" borderId="23" xfId="0" applyFont="1" applyBorder="1" applyAlignment="1">
      <alignment horizontal="center" vertical="center"/>
    </xf>
    <xf numFmtId="0" fontId="0" fillId="0" borderId="23" xfId="0" applyBorder="1"/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15" fillId="0" borderId="36" xfId="0" applyFont="1" applyBorder="1" applyAlignment="1">
      <alignment vertical="center"/>
    </xf>
    <xf numFmtId="0" fontId="0" fillId="0" borderId="37" xfId="0" applyBorder="1"/>
    <xf numFmtId="0" fontId="0" fillId="0" borderId="1" xfId="0" applyBorder="1"/>
    <xf numFmtId="0" fontId="15" fillId="0" borderId="38" xfId="0" applyFont="1" applyBorder="1" applyAlignment="1">
      <alignment vertical="center"/>
    </xf>
    <xf numFmtId="0" fontId="0" fillId="0" borderId="0" xfId="0" applyAlignment="1">
      <alignment wrapText="1"/>
    </xf>
    <xf numFmtId="0" fontId="33" fillId="0" borderId="0" xfId="0" applyFont="1" applyFill="1" applyBorder="1" applyAlignment="1">
      <alignment horizontal="left" vertical="center"/>
    </xf>
    <xf numFmtId="166" fontId="6" fillId="0" borderId="4" xfId="0" applyNumberFormat="1" applyFont="1" applyFill="1" applyBorder="1" applyAlignment="1">
      <alignment horizontal="right"/>
    </xf>
    <xf numFmtId="166" fontId="6" fillId="0" borderId="5" xfId="0" applyNumberFormat="1" applyFont="1" applyFill="1" applyBorder="1" applyAlignment="1">
      <alignment horizontal="right"/>
    </xf>
    <xf numFmtId="166" fontId="6" fillId="0" borderId="22" xfId="0" applyNumberFormat="1" applyFont="1" applyFill="1" applyBorder="1" applyAlignment="1">
      <alignment horizontal="right"/>
    </xf>
    <xf numFmtId="166" fontId="6" fillId="0" borderId="25" xfId="0" applyNumberFormat="1" applyFont="1" applyFill="1" applyBorder="1" applyAlignment="1">
      <alignment horizontal="right"/>
    </xf>
    <xf numFmtId="166" fontId="6" fillId="0" borderId="24" xfId="0" applyNumberFormat="1" applyFont="1" applyFill="1" applyBorder="1" applyAlignment="1">
      <alignment horizontal="right"/>
    </xf>
    <xf numFmtId="0" fontId="25" fillId="0" borderId="36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7" fillId="0" borderId="0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12" fillId="0" borderId="40" xfId="0" applyFont="1" applyFill="1" applyBorder="1" applyAlignment="1"/>
    <xf numFmtId="0" fontId="56" fillId="0" borderId="0" xfId="0" applyFont="1" applyFill="1" applyBorder="1" applyAlignment="1">
      <alignment vertical="center"/>
    </xf>
    <xf numFmtId="0" fontId="56" fillId="0" borderId="7" xfId="0" applyFont="1" applyFill="1" applyBorder="1" applyAlignment="1">
      <alignment vertical="center"/>
    </xf>
    <xf numFmtId="0" fontId="20" fillId="0" borderId="39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5" fillId="0" borderId="3" xfId="0" applyFont="1" applyBorder="1" applyAlignment="1">
      <alignment horizontal="center" vertical="center"/>
    </xf>
    <xf numFmtId="0" fontId="25" fillId="0" borderId="15" xfId="0" applyFont="1" applyBorder="1" applyAlignment="1">
      <alignment horizontal="center" vertical="center"/>
    </xf>
    <xf numFmtId="0" fontId="41" fillId="0" borderId="60" xfId="0" applyFont="1" applyBorder="1" applyAlignment="1">
      <alignment horizontal="center" vertical="center"/>
    </xf>
    <xf numFmtId="0" fontId="0" fillId="0" borderId="39" xfId="0" applyBorder="1"/>
    <xf numFmtId="0" fontId="60" fillId="0" borderId="3" xfId="0" applyFont="1" applyBorder="1" applyAlignment="1">
      <alignment horizontal="center" vertical="center"/>
    </xf>
    <xf numFmtId="0" fontId="0" fillId="0" borderId="53" xfId="0" applyBorder="1"/>
    <xf numFmtId="0" fontId="15" fillId="0" borderId="53" xfId="0" applyFont="1" applyBorder="1" applyAlignment="1">
      <alignment horizontal="center" vertical="center"/>
    </xf>
    <xf numFmtId="0" fontId="15" fillId="0" borderId="39" xfId="0" applyFont="1" applyBorder="1" applyAlignment="1">
      <alignment horizontal="center" vertical="center"/>
    </xf>
    <xf numFmtId="0" fontId="0" fillId="0" borderId="56" xfId="0" applyBorder="1"/>
    <xf numFmtId="0" fontId="0" fillId="0" borderId="40" xfId="0" applyBorder="1"/>
    <xf numFmtId="0" fontId="0" fillId="0" borderId="2" xfId="0" applyBorder="1"/>
    <xf numFmtId="0" fontId="4" fillId="8" borderId="39" xfId="0" applyFont="1" applyFill="1" applyBorder="1" applyAlignment="1">
      <alignment vertical="center"/>
    </xf>
    <xf numFmtId="0" fontId="19" fillId="8" borderId="39" xfId="0" applyFont="1" applyFill="1" applyBorder="1" applyAlignment="1">
      <alignment horizontal="center" vertical="center"/>
    </xf>
    <xf numFmtId="0" fontId="3" fillId="8" borderId="39" xfId="0" applyFont="1" applyFill="1" applyBorder="1" applyAlignment="1">
      <alignment vertical="center"/>
    </xf>
    <xf numFmtId="0" fontId="19" fillId="0" borderId="39" xfId="0" applyFont="1" applyFill="1" applyBorder="1" applyAlignment="1">
      <alignment horizontal="center" vertical="center"/>
    </xf>
    <xf numFmtId="0" fontId="3" fillId="8" borderId="39" xfId="0" applyFont="1" applyFill="1" applyBorder="1" applyAlignment="1">
      <alignment horizontal="center"/>
    </xf>
    <xf numFmtId="0" fontId="19" fillId="8" borderId="43" xfId="0" applyFont="1" applyFill="1" applyBorder="1" applyAlignment="1">
      <alignment horizontal="center" vertical="center"/>
    </xf>
    <xf numFmtId="166" fontId="6" fillId="0" borderId="32" xfId="0" applyNumberFormat="1" applyFont="1" applyFill="1" applyBorder="1" applyAlignment="1">
      <alignment horizontal="right"/>
    </xf>
    <xf numFmtId="0" fontId="3" fillId="8" borderId="39" xfId="0" applyFont="1" applyFill="1" applyBorder="1"/>
    <xf numFmtId="0" fontId="5" fillId="8" borderId="39" xfId="0" applyFont="1" applyFill="1" applyBorder="1" applyAlignment="1">
      <alignment vertical="center"/>
    </xf>
    <xf numFmtId="0" fontId="52" fillId="0" borderId="0" xfId="0" applyFont="1" applyFill="1" applyBorder="1" applyAlignment="1"/>
    <xf numFmtId="0" fontId="5" fillId="8" borderId="41" xfId="0" applyFont="1" applyFill="1" applyBorder="1"/>
    <xf numFmtId="0" fontId="5" fillId="0" borderId="39" xfId="0" applyFont="1" applyFill="1" applyBorder="1"/>
    <xf numFmtId="0" fontId="5" fillId="8" borderId="39" xfId="0" applyFont="1" applyFill="1" applyBorder="1"/>
    <xf numFmtId="166" fontId="6" fillId="0" borderId="18" xfId="0" applyNumberFormat="1" applyFont="1" applyFill="1" applyBorder="1" applyAlignment="1">
      <alignment horizontal="right"/>
    </xf>
    <xf numFmtId="0" fontId="4" fillId="8" borderId="39" xfId="0" applyFont="1" applyFill="1" applyBorder="1"/>
    <xf numFmtId="0" fontId="19" fillId="8" borderId="39" xfId="0" applyFont="1" applyFill="1" applyBorder="1" applyAlignment="1">
      <alignment horizontal="center"/>
    </xf>
    <xf numFmtId="166" fontId="6" fillId="0" borderId="9" xfId="0" applyNumberFormat="1" applyFont="1" applyFill="1" applyBorder="1" applyAlignment="1">
      <alignment horizontal="right"/>
    </xf>
    <xf numFmtId="166" fontId="3" fillId="0" borderId="39" xfId="0" applyNumberFormat="1" applyFont="1" applyFill="1" applyBorder="1" applyAlignment="1">
      <alignment horizontal="right"/>
    </xf>
    <xf numFmtId="0" fontId="19" fillId="0" borderId="39" xfId="0" applyFont="1" applyFill="1" applyBorder="1" applyAlignment="1">
      <alignment horizontal="center"/>
    </xf>
    <xf numFmtId="0" fontId="3" fillId="0" borderId="39" xfId="0" applyFont="1" applyFill="1" applyBorder="1"/>
    <xf numFmtId="0" fontId="18" fillId="0" borderId="6" xfId="0" applyFont="1" applyFill="1" applyBorder="1" applyAlignment="1">
      <alignment horizontal="center" vertical="center"/>
    </xf>
    <xf numFmtId="0" fontId="8" fillId="0" borderId="3" xfId="0" applyFont="1" applyBorder="1"/>
    <xf numFmtId="169" fontId="0" fillId="0" borderId="0" xfId="0" applyNumberFormat="1"/>
    <xf numFmtId="0" fontId="15" fillId="0" borderId="0" xfId="0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  <xf numFmtId="0" fontId="46" fillId="0" borderId="0" xfId="0" applyFont="1" applyFill="1" applyBorder="1" applyAlignment="1">
      <alignment horizontal="left" vertical="center"/>
    </xf>
    <xf numFmtId="0" fontId="70" fillId="0" borderId="0" xfId="0" applyFont="1" applyFill="1" applyBorder="1" applyAlignment="1">
      <alignment horizontal="center" vertical="center"/>
    </xf>
    <xf numFmtId="0" fontId="71" fillId="0" borderId="0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74" xfId="0" applyBorder="1"/>
    <xf numFmtId="0" fontId="25" fillId="0" borderId="0" xfId="0" applyFont="1" applyFill="1" applyBorder="1" applyAlignment="1">
      <alignment horizontal="center" vertical="center"/>
    </xf>
    <xf numFmtId="0" fontId="18" fillId="0" borderId="0" xfId="0" applyNumberFormat="1" applyFont="1" applyFill="1" applyBorder="1" applyAlignment="1">
      <alignment horizontal="center" vertical="center"/>
    </xf>
    <xf numFmtId="0" fontId="67" fillId="0" borderId="0" xfId="0" applyFont="1" applyFill="1" applyBorder="1" applyAlignment="1">
      <alignment horizontal="center" vertical="center"/>
    </xf>
    <xf numFmtId="0" fontId="67" fillId="0" borderId="0" xfId="0" applyNumberFormat="1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0" fontId="17" fillId="0" borderId="0" xfId="0" applyFont="1" applyFill="1" applyBorder="1" applyAlignment="1">
      <alignment horizontal="center" vertical="center"/>
    </xf>
    <xf numFmtId="0" fontId="44" fillId="0" borderId="3" xfId="0" applyFont="1" applyBorder="1" applyAlignment="1">
      <alignment horizontal="center" vertical="center"/>
    </xf>
    <xf numFmtId="0" fontId="65" fillId="0" borderId="1" xfId="0" applyFont="1" applyBorder="1" applyAlignment="1">
      <alignment vertical="center"/>
    </xf>
    <xf numFmtId="0" fontId="65" fillId="0" borderId="2" xfId="0" applyFont="1" applyBorder="1" applyAlignment="1">
      <alignment vertical="center"/>
    </xf>
    <xf numFmtId="0" fontId="75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77" fillId="0" borderId="3" xfId="0" applyFont="1" applyBorder="1" applyAlignment="1">
      <alignment horizontal="center" vertical="center"/>
    </xf>
    <xf numFmtId="0" fontId="48" fillId="0" borderId="0" xfId="0" applyFont="1" applyFill="1" applyBorder="1" applyAlignment="1">
      <alignment horizontal="center" vertical="center"/>
    </xf>
    <xf numFmtId="0" fontId="48" fillId="0" borderId="0" xfId="0" applyFont="1" applyAlignment="1">
      <alignment horizontal="center" vertical="center"/>
    </xf>
    <xf numFmtId="0" fontId="29" fillId="0" borderId="0" xfId="0" applyFont="1" applyFill="1" applyBorder="1" applyAlignment="1">
      <alignment horizontal="center" vertical="center"/>
    </xf>
    <xf numFmtId="0" fontId="78" fillId="0" borderId="82" xfId="0" applyFont="1" applyFill="1" applyBorder="1" applyAlignment="1">
      <alignment horizontal="center" vertical="center"/>
    </xf>
    <xf numFmtId="0" fontId="78" fillId="0" borderId="49" xfId="0" applyFont="1" applyFill="1" applyBorder="1" applyAlignment="1">
      <alignment horizontal="center" vertical="center"/>
    </xf>
    <xf numFmtId="0" fontId="78" fillId="0" borderId="83" xfId="0" applyFont="1" applyFill="1" applyBorder="1" applyAlignment="1">
      <alignment horizontal="center" vertical="center"/>
    </xf>
    <xf numFmtId="0" fontId="78" fillId="0" borderId="26" xfId="0" applyFont="1" applyFill="1" applyBorder="1" applyAlignment="1">
      <alignment horizontal="center" vertical="center"/>
    </xf>
    <xf numFmtId="0" fontId="78" fillId="0" borderId="5" xfId="0" applyFont="1" applyFill="1" applyBorder="1" applyAlignment="1">
      <alignment horizontal="center" vertical="center"/>
    </xf>
    <xf numFmtId="0" fontId="78" fillId="0" borderId="25" xfId="0" applyFont="1" applyFill="1" applyBorder="1" applyAlignment="1">
      <alignment horizontal="center" vertical="center"/>
    </xf>
    <xf numFmtId="0" fontId="78" fillId="0" borderId="28" xfId="0" applyFont="1" applyFill="1" applyBorder="1" applyAlignment="1">
      <alignment horizontal="center" vertical="center"/>
    </xf>
    <xf numFmtId="0" fontId="78" fillId="0" borderId="22" xfId="0" applyFont="1" applyFill="1" applyBorder="1" applyAlignment="1">
      <alignment horizontal="center" vertical="center"/>
    </xf>
    <xf numFmtId="0" fontId="78" fillId="0" borderId="32" xfId="0" applyFont="1" applyFill="1" applyBorder="1" applyAlignment="1">
      <alignment horizontal="center" vertical="center"/>
    </xf>
    <xf numFmtId="0" fontId="19" fillId="8" borderId="41" xfId="0" applyFont="1" applyFill="1" applyBorder="1" applyAlignment="1">
      <alignment horizontal="center" vertical="center"/>
    </xf>
    <xf numFmtId="0" fontId="78" fillId="0" borderId="17" xfId="0" applyFont="1" applyFill="1" applyBorder="1" applyAlignment="1">
      <alignment horizontal="center" vertical="center"/>
    </xf>
    <xf numFmtId="0" fontId="78" fillId="0" borderId="50" xfId="0" applyFont="1" applyFill="1" applyBorder="1" applyAlignment="1">
      <alignment horizontal="center" vertical="center"/>
    </xf>
    <xf numFmtId="0" fontId="78" fillId="0" borderId="16" xfId="0" applyFont="1" applyFill="1" applyBorder="1" applyAlignment="1">
      <alignment horizontal="center" vertical="center"/>
    </xf>
    <xf numFmtId="0" fontId="78" fillId="0" borderId="27" xfId="0" applyFont="1" applyFill="1" applyBorder="1" applyAlignment="1">
      <alignment horizontal="center" vertical="center"/>
    </xf>
    <xf numFmtId="0" fontId="17" fillId="0" borderId="39" xfId="0" applyFont="1" applyBorder="1" applyAlignment="1">
      <alignment horizontal="center" vertical="center"/>
    </xf>
    <xf numFmtId="0" fontId="78" fillId="0" borderId="73" xfId="0" applyFont="1" applyFill="1" applyBorder="1" applyAlignment="1">
      <alignment horizontal="center" vertical="center"/>
    </xf>
    <xf numFmtId="0" fontId="78" fillId="0" borderId="31" xfId="0" applyFont="1" applyFill="1" applyBorder="1" applyAlignment="1">
      <alignment horizontal="center" vertical="center"/>
    </xf>
    <xf numFmtId="0" fontId="78" fillId="0" borderId="29" xfId="0" applyFont="1" applyFill="1" applyBorder="1" applyAlignment="1">
      <alignment horizontal="center" vertical="center"/>
    </xf>
    <xf numFmtId="0" fontId="78" fillId="0" borderId="0" xfId="0" applyFont="1" applyFill="1" applyBorder="1" applyAlignment="1">
      <alignment horizontal="center" vertical="center"/>
    </xf>
    <xf numFmtId="0" fontId="78" fillId="0" borderId="49" xfId="0" applyFont="1" applyFill="1" applyBorder="1" applyAlignment="1">
      <alignment horizontal="center"/>
    </xf>
    <xf numFmtId="0" fontId="78" fillId="0" borderId="83" xfId="0" applyFont="1" applyFill="1" applyBorder="1" applyAlignment="1">
      <alignment horizontal="center"/>
    </xf>
    <xf numFmtId="0" fontId="78" fillId="0" borderId="5" xfId="0" applyFont="1" applyFill="1" applyBorder="1" applyAlignment="1">
      <alignment horizontal="center"/>
    </xf>
    <xf numFmtId="0" fontId="78" fillId="0" borderId="25" xfId="0" applyFont="1" applyFill="1" applyBorder="1" applyAlignment="1">
      <alignment horizontal="center"/>
    </xf>
    <xf numFmtId="0" fontId="78" fillId="0" borderId="16" xfId="0" applyFont="1" applyFill="1" applyBorder="1" applyAlignment="1">
      <alignment horizontal="center"/>
    </xf>
    <xf numFmtId="0" fontId="78" fillId="0" borderId="0" xfId="0" applyFont="1" applyFill="1" applyBorder="1" applyAlignment="1">
      <alignment horizontal="center"/>
    </xf>
    <xf numFmtId="0" fontId="78" fillId="0" borderId="27" xfId="0" applyFont="1" applyFill="1" applyBorder="1" applyAlignment="1">
      <alignment horizontal="center"/>
    </xf>
    <xf numFmtId="0" fontId="78" fillId="0" borderId="12" xfId="0" applyFont="1" applyFill="1" applyBorder="1" applyAlignment="1">
      <alignment horizontal="center" vertical="center"/>
    </xf>
    <xf numFmtId="0" fontId="78" fillId="0" borderId="9" xfId="0" applyFont="1" applyFill="1" applyBorder="1" applyAlignment="1">
      <alignment horizontal="center" vertical="center"/>
    </xf>
    <xf numFmtId="0" fontId="78" fillId="0" borderId="22" xfId="0" applyFont="1" applyFill="1" applyBorder="1" applyAlignment="1">
      <alignment horizontal="center"/>
    </xf>
    <xf numFmtId="0" fontId="78" fillId="0" borderId="6" xfId="0" applyFont="1" applyFill="1" applyBorder="1" applyAlignment="1">
      <alignment horizontal="center"/>
    </xf>
    <xf numFmtId="0" fontId="78" fillId="0" borderId="32" xfId="0" applyFont="1" applyFill="1" applyBorder="1" applyAlignment="1">
      <alignment horizontal="center"/>
    </xf>
    <xf numFmtId="0" fontId="78" fillId="0" borderId="9" xfId="0" applyFont="1" applyFill="1" applyBorder="1" applyAlignment="1">
      <alignment horizontal="center"/>
    </xf>
    <xf numFmtId="0" fontId="20" fillId="9" borderId="39" xfId="0" applyFont="1" applyFill="1" applyBorder="1" applyAlignment="1">
      <alignment horizontal="center" vertical="center" wrapText="1"/>
    </xf>
    <xf numFmtId="0" fontId="34" fillId="0" borderId="0" xfId="0" applyNumberFormat="1" applyFont="1" applyFill="1" applyBorder="1" applyAlignment="1">
      <alignment vertical="center"/>
    </xf>
    <xf numFmtId="0" fontId="47" fillId="2" borderId="0" xfId="0" applyFont="1" applyFill="1" applyBorder="1" applyAlignment="1">
      <alignment horizontal="center" vertical="center"/>
    </xf>
    <xf numFmtId="0" fontId="21" fillId="0" borderId="0" xfId="0" applyFont="1" applyBorder="1" applyAlignment="1">
      <alignment horizontal="center" vertical="center"/>
    </xf>
    <xf numFmtId="0" fontId="17" fillId="2" borderId="0" xfId="0" applyFont="1" applyFill="1" applyBorder="1" applyAlignment="1">
      <alignment horizontal="left" vertical="center"/>
    </xf>
    <xf numFmtId="0" fontId="15" fillId="0" borderId="0" xfId="0" applyFont="1" applyBorder="1" applyAlignment="1">
      <alignment horizontal="center" vertical="center" wrapText="1"/>
    </xf>
    <xf numFmtId="0" fontId="17" fillId="2" borderId="0" xfId="0" applyFont="1" applyFill="1" applyBorder="1" applyAlignment="1">
      <alignment horizontal="left" vertical="center" wrapText="1"/>
    </xf>
    <xf numFmtId="0" fontId="44" fillId="0" borderId="0" xfId="0" applyFont="1" applyBorder="1" applyAlignment="1">
      <alignment horizontal="center" vertical="center" wrapText="1"/>
    </xf>
    <xf numFmtId="170" fontId="83" fillId="6" borderId="0" xfId="0" applyNumberFormat="1" applyFont="1" applyFill="1" applyAlignment="1">
      <alignment horizontal="left"/>
    </xf>
    <xf numFmtId="0" fontId="78" fillId="0" borderId="88" xfId="0" applyFont="1" applyFill="1" applyBorder="1" applyAlignment="1">
      <alignment horizontal="center" vertical="center"/>
    </xf>
    <xf numFmtId="0" fontId="78" fillId="0" borderId="76" xfId="0" applyFont="1" applyFill="1" applyBorder="1" applyAlignment="1">
      <alignment horizontal="center" vertical="center"/>
    </xf>
    <xf numFmtId="0" fontId="78" fillId="0" borderId="77" xfId="0" applyFont="1" applyFill="1" applyBorder="1" applyAlignment="1">
      <alignment horizontal="center" vertical="center"/>
    </xf>
    <xf numFmtId="0" fontId="78" fillId="0" borderId="78" xfId="0" applyFont="1" applyFill="1" applyBorder="1" applyAlignment="1">
      <alignment horizontal="center" vertical="center"/>
    </xf>
    <xf numFmtId="0" fontId="78" fillId="0" borderId="88" xfId="0" applyFont="1" applyFill="1" applyBorder="1" applyAlignment="1">
      <alignment horizontal="center"/>
    </xf>
    <xf numFmtId="0" fontId="78" fillId="0" borderId="76" xfId="0" applyFont="1" applyFill="1" applyBorder="1" applyAlignment="1">
      <alignment horizontal="center"/>
    </xf>
    <xf numFmtId="0" fontId="78" fillId="0" borderId="77" xfId="0" applyFont="1" applyFill="1" applyBorder="1" applyAlignment="1">
      <alignment horizontal="center"/>
    </xf>
    <xf numFmtId="169" fontId="44" fillId="0" borderId="3" xfId="3" applyNumberFormat="1" applyFont="1" applyBorder="1" applyAlignment="1">
      <alignment horizontal="center" vertical="center"/>
    </xf>
    <xf numFmtId="169" fontId="60" fillId="0" borderId="3" xfId="3" applyNumberFormat="1" applyFont="1" applyBorder="1" applyAlignment="1">
      <alignment horizontal="center" vertical="center"/>
    </xf>
    <xf numFmtId="0" fontId="20" fillId="0" borderId="36" xfId="0" applyFont="1" applyBorder="1" applyAlignment="1">
      <alignment vertical="center"/>
    </xf>
    <xf numFmtId="0" fontId="53" fillId="0" borderId="0" xfId="0" applyFont="1" applyFill="1" applyBorder="1" applyAlignment="1">
      <alignment vertical="center"/>
    </xf>
    <xf numFmtId="169" fontId="17" fillId="0" borderId="0" xfId="3" applyNumberFormat="1" applyFont="1" applyFill="1" applyBorder="1" applyAlignment="1">
      <alignment horizontal="center" vertical="center"/>
    </xf>
    <xf numFmtId="0" fontId="78" fillId="0" borderId="86" xfId="0" applyFont="1" applyFill="1" applyBorder="1" applyAlignment="1">
      <alignment horizontal="center" vertical="center"/>
    </xf>
    <xf numFmtId="169" fontId="55" fillId="0" borderId="0" xfId="3" applyNumberFormat="1" applyFont="1" applyFill="1" applyBorder="1" applyAlignment="1">
      <alignment horizontal="center" vertical="center" wrapText="1"/>
    </xf>
    <xf numFmtId="0" fontId="43" fillId="0" borderId="0" xfId="0" applyFont="1" applyFill="1" applyBorder="1" applyAlignment="1">
      <alignment vertical="center" wrapText="1"/>
    </xf>
    <xf numFmtId="0" fontId="53" fillId="11" borderId="39" xfId="0" applyFont="1" applyFill="1" applyBorder="1" applyAlignment="1">
      <alignment vertical="center"/>
    </xf>
    <xf numFmtId="0" fontId="66" fillId="11" borderId="39" xfId="0" applyFont="1" applyFill="1" applyBorder="1" applyAlignment="1">
      <alignment vertical="center"/>
    </xf>
    <xf numFmtId="0" fontId="15" fillId="11" borderId="39" xfId="0" applyFont="1" applyFill="1" applyBorder="1" applyAlignment="1">
      <alignment vertical="center"/>
    </xf>
    <xf numFmtId="0" fontId="61" fillId="0" borderId="0" xfId="0" applyFont="1"/>
    <xf numFmtId="168" fontId="57" fillId="0" borderId="61" xfId="0" applyNumberFormat="1" applyFont="1" applyBorder="1" applyAlignment="1">
      <alignment vertical="center"/>
    </xf>
    <xf numFmtId="168" fontId="57" fillId="0" borderId="62" xfId="0" applyNumberFormat="1" applyFont="1" applyBorder="1" applyAlignment="1">
      <alignment vertical="center"/>
    </xf>
    <xf numFmtId="0" fontId="25" fillId="0" borderId="14" xfId="0" applyFont="1" applyBorder="1" applyAlignment="1">
      <alignment horizontal="center" vertical="center"/>
    </xf>
    <xf numFmtId="0" fontId="25" fillId="0" borderId="2" xfId="0" applyFont="1" applyBorder="1" applyAlignment="1">
      <alignment horizontal="center" vertical="center"/>
    </xf>
    <xf numFmtId="0" fontId="60" fillId="0" borderId="2" xfId="0" applyFont="1" applyBorder="1" applyAlignment="1">
      <alignment horizontal="center" vertical="center"/>
    </xf>
    <xf numFmtId="0" fontId="65" fillId="0" borderId="31" xfId="0" applyFont="1" applyBorder="1" applyAlignment="1">
      <alignment vertical="center"/>
    </xf>
    <xf numFmtId="14" fontId="0" fillId="0" borderId="53" xfId="0" applyNumberFormat="1" applyBorder="1"/>
    <xf numFmtId="0" fontId="0" fillId="0" borderId="63" xfId="0" applyBorder="1" applyAlignment="1">
      <alignment horizontal="center" vertical="center"/>
    </xf>
    <xf numFmtId="172" fontId="60" fillId="0" borderId="39" xfId="3" applyNumberFormat="1" applyFont="1" applyBorder="1" applyAlignment="1">
      <alignment horizontal="center" vertical="center"/>
    </xf>
    <xf numFmtId="172" fontId="57" fillId="0" borderId="39" xfId="3" applyNumberFormat="1" applyFont="1" applyBorder="1" applyAlignment="1">
      <alignment horizontal="center" vertical="center"/>
    </xf>
    <xf numFmtId="169" fontId="90" fillId="0" borderId="0" xfId="3" applyNumberFormat="1" applyFont="1" applyFill="1" applyBorder="1" applyAlignment="1">
      <alignment horizontal="center" vertical="center"/>
    </xf>
    <xf numFmtId="0" fontId="50" fillId="0" borderId="0" xfId="0" applyFont="1" applyFill="1" applyBorder="1" applyAlignment="1">
      <alignment horizontal="center" vertical="center"/>
    </xf>
    <xf numFmtId="171" fontId="17" fillId="0" borderId="63" xfId="0" applyNumberFormat="1" applyFont="1" applyBorder="1" applyAlignment="1">
      <alignment horizontal="center" vertical="center"/>
    </xf>
    <xf numFmtId="171" fontId="17" fillId="0" borderId="53" xfId="0" applyNumberFormat="1" applyFont="1" applyBorder="1" applyAlignment="1">
      <alignment horizontal="center" vertical="center"/>
    </xf>
    <xf numFmtId="171" fontId="17" fillId="0" borderId="56" xfId="0" applyNumberFormat="1" applyFont="1" applyBorder="1" applyAlignment="1">
      <alignment horizontal="center" vertical="center"/>
    </xf>
    <xf numFmtId="0" fontId="6" fillId="7" borderId="40" xfId="0" applyFont="1" applyFill="1" applyBorder="1" applyAlignment="1">
      <alignment horizontal="center" vertical="center" wrapText="1"/>
    </xf>
    <xf numFmtId="0" fontId="6" fillId="7" borderId="54" xfId="0" applyFont="1" applyFill="1" applyBorder="1" applyAlignment="1">
      <alignment horizontal="center" vertical="center" wrapText="1"/>
    </xf>
    <xf numFmtId="0" fontId="33" fillId="9" borderId="20" xfId="0" applyFont="1" applyFill="1" applyBorder="1" applyAlignment="1">
      <alignment horizontal="left" vertical="center"/>
    </xf>
    <xf numFmtId="169" fontId="94" fillId="0" borderId="39" xfId="3" applyNumberFormat="1" applyFont="1" applyFill="1" applyBorder="1" applyAlignment="1">
      <alignment horizontal="center" vertical="center" wrapText="1"/>
    </xf>
    <xf numFmtId="0" fontId="69" fillId="0" borderId="39" xfId="0" applyFont="1" applyFill="1" applyBorder="1" applyAlignment="1">
      <alignment horizontal="center" vertical="center"/>
    </xf>
    <xf numFmtId="0" fontId="40" fillId="0" borderId="39" xfId="0" applyFont="1" applyFill="1" applyBorder="1" applyAlignment="1">
      <alignment vertical="center"/>
    </xf>
    <xf numFmtId="0" fontId="40" fillId="2" borderId="39" xfId="0" applyFont="1" applyFill="1" applyBorder="1" applyAlignment="1">
      <alignment vertical="center"/>
    </xf>
    <xf numFmtId="169" fontId="95" fillId="0" borderId="39" xfId="3" applyNumberFormat="1" applyFont="1" applyFill="1" applyBorder="1" applyAlignment="1">
      <alignment vertical="center"/>
    </xf>
    <xf numFmtId="169" fontId="37" fillId="0" borderId="39" xfId="3" applyNumberFormat="1" applyFont="1" applyFill="1" applyBorder="1" applyAlignment="1">
      <alignment vertical="center"/>
    </xf>
    <xf numFmtId="169" fontId="95" fillId="0" borderId="40" xfId="3" applyNumberFormat="1" applyFont="1" applyFill="1" applyBorder="1" applyAlignment="1">
      <alignment vertical="center"/>
    </xf>
    <xf numFmtId="169" fontId="37" fillId="0" borderId="40" xfId="3" applyNumberFormat="1" applyFont="1" applyFill="1" applyBorder="1" applyAlignment="1">
      <alignment vertical="center"/>
    </xf>
    <xf numFmtId="0" fontId="54" fillId="11" borderId="39" xfId="0" applyFont="1" applyFill="1" applyBorder="1" applyAlignment="1">
      <alignment vertical="center"/>
    </xf>
    <xf numFmtId="0" fontId="96" fillId="11" borderId="39" xfId="0" applyFont="1" applyFill="1" applyBorder="1" applyAlignment="1">
      <alignment vertical="center"/>
    </xf>
    <xf numFmtId="0" fontId="17" fillId="10" borderId="53" xfId="0" applyFont="1" applyFill="1" applyBorder="1" applyAlignment="1">
      <alignment vertical="center"/>
    </xf>
    <xf numFmtId="169" fontId="39" fillId="11" borderId="39" xfId="3" applyNumberFormat="1" applyFont="1" applyFill="1" applyBorder="1" applyAlignment="1">
      <alignment horizontal="center" vertical="center"/>
    </xf>
    <xf numFmtId="0" fontId="6" fillId="7" borderId="39" xfId="0" applyFont="1" applyFill="1" applyBorder="1" applyAlignment="1">
      <alignment horizontal="center" vertical="center" wrapText="1"/>
    </xf>
    <xf numFmtId="172" fontId="93" fillId="0" borderId="39" xfId="3" applyNumberFormat="1" applyFont="1" applyBorder="1" applyAlignment="1">
      <alignment horizontal="center" vertical="center"/>
    </xf>
    <xf numFmtId="0" fontId="19" fillId="8" borderId="40" xfId="0" applyFont="1" applyFill="1" applyBorder="1" applyAlignment="1">
      <alignment horizontal="center" vertical="center"/>
    </xf>
    <xf numFmtId="0" fontId="26" fillId="0" borderId="39" xfId="0" applyFont="1" applyBorder="1" applyAlignment="1">
      <alignment horizontal="center" vertical="center" wrapText="1"/>
    </xf>
    <xf numFmtId="0" fontId="17" fillId="9" borderId="39" xfId="0" applyFont="1" applyFill="1" applyBorder="1" applyAlignment="1">
      <alignment horizontal="center" vertical="center" wrapText="1"/>
    </xf>
    <xf numFmtId="0" fontId="60" fillId="0" borderId="57" xfId="0" applyFont="1" applyBorder="1" applyAlignment="1">
      <alignment horizontal="center" vertical="center"/>
    </xf>
    <xf numFmtId="0" fontId="59" fillId="0" borderId="57" xfId="0" applyFont="1" applyBorder="1"/>
    <xf numFmtId="14" fontId="91" fillId="0" borderId="39" xfId="0" applyNumberFormat="1" applyFont="1" applyBorder="1" applyAlignment="1">
      <alignment horizontal="center" vertical="center"/>
    </xf>
    <xf numFmtId="14" fontId="58" fillId="0" borderId="57" xfId="0" applyNumberFormat="1" applyFont="1" applyBorder="1" applyAlignment="1">
      <alignment horizontal="center" vertical="center"/>
    </xf>
    <xf numFmtId="172" fontId="49" fillId="0" borderId="63" xfId="3" applyNumberFormat="1" applyFont="1" applyBorder="1" applyAlignment="1">
      <alignment horizontal="center" vertical="center"/>
    </xf>
    <xf numFmtId="172" fontId="49" fillId="0" borderId="53" xfId="3" applyNumberFormat="1" applyFont="1" applyBorder="1" applyAlignment="1">
      <alignment horizontal="center" vertical="center"/>
    </xf>
    <xf numFmtId="172" fontId="102" fillId="0" borderId="39" xfId="3" applyNumberFormat="1" applyFont="1" applyBorder="1" applyAlignment="1">
      <alignment horizontal="center" vertical="center"/>
    </xf>
    <xf numFmtId="172" fontId="102" fillId="0" borderId="41" xfId="3" applyNumberFormat="1" applyFont="1" applyBorder="1" applyAlignment="1">
      <alignment horizontal="center" vertical="center"/>
    </xf>
    <xf numFmtId="172" fontId="103" fillId="0" borderId="39" xfId="3" applyNumberFormat="1" applyFont="1" applyBorder="1" applyAlignment="1">
      <alignment horizontal="center" vertical="center"/>
    </xf>
    <xf numFmtId="172" fontId="104" fillId="0" borderId="39" xfId="3" applyNumberFormat="1" applyFont="1" applyBorder="1" applyAlignment="1">
      <alignment horizontal="center" vertical="center"/>
    </xf>
    <xf numFmtId="172" fontId="102" fillId="0" borderId="63" xfId="3" applyNumberFormat="1" applyFont="1" applyBorder="1" applyAlignment="1">
      <alignment horizontal="center" vertical="center"/>
    </xf>
    <xf numFmtId="172" fontId="105" fillId="0" borderId="63" xfId="3" applyNumberFormat="1" applyFont="1" applyBorder="1" applyAlignment="1">
      <alignment horizontal="center" vertical="center"/>
    </xf>
    <xf numFmtId="172" fontId="102" fillId="0" borderId="53" xfId="3" applyNumberFormat="1" applyFont="1" applyBorder="1" applyAlignment="1">
      <alignment horizontal="center" vertical="center"/>
    </xf>
    <xf numFmtId="172" fontId="105" fillId="0" borderId="55" xfId="3" applyNumberFormat="1" applyFont="1" applyBorder="1" applyAlignment="1">
      <alignment horizontal="center" vertical="center"/>
    </xf>
    <xf numFmtId="172" fontId="0" fillId="0" borderId="39" xfId="0" applyNumberFormat="1" applyBorder="1"/>
    <xf numFmtId="0" fontId="106" fillId="0" borderId="57" xfId="0" applyFont="1" applyBorder="1" applyAlignment="1">
      <alignment horizontal="center" vertical="center"/>
    </xf>
    <xf numFmtId="169" fontId="106" fillId="0" borderId="57" xfId="3" applyNumberFormat="1" applyFont="1" applyBorder="1" applyAlignment="1">
      <alignment horizontal="center" vertical="center"/>
    </xf>
    <xf numFmtId="169" fontId="106" fillId="0" borderId="39" xfId="0" applyNumberFormat="1" applyFont="1" applyBorder="1" applyAlignment="1">
      <alignment horizontal="center" vertical="center"/>
    </xf>
    <xf numFmtId="172" fontId="106" fillId="0" borderId="39" xfId="3" applyNumberFormat="1" applyFont="1" applyBorder="1" applyAlignment="1">
      <alignment horizontal="center" vertical="center"/>
    </xf>
    <xf numFmtId="172" fontId="107" fillId="0" borderId="39" xfId="3" applyNumberFormat="1" applyFont="1" applyBorder="1" applyAlignment="1">
      <alignment horizontal="center" vertical="center"/>
    </xf>
    <xf numFmtId="169" fontId="107" fillId="0" borderId="39" xfId="0" applyNumberFormat="1" applyFont="1" applyBorder="1" applyAlignment="1">
      <alignment horizontal="center" vertical="center"/>
    </xf>
    <xf numFmtId="0" fontId="91" fillId="0" borderId="39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0" fontId="96" fillId="11" borderId="55" xfId="0" applyFont="1" applyFill="1" applyBorder="1" applyAlignment="1">
      <alignment vertical="center"/>
    </xf>
    <xf numFmtId="0" fontId="20" fillId="0" borderId="43" xfId="0" applyFont="1" applyBorder="1" applyAlignment="1">
      <alignment horizontal="center" vertical="center"/>
    </xf>
    <xf numFmtId="172" fontId="0" fillId="0" borderId="53" xfId="3" applyNumberFormat="1" applyFont="1" applyBorder="1"/>
    <xf numFmtId="172" fontId="79" fillId="0" borderId="52" xfId="3" applyNumberFormat="1" applyFont="1" applyFill="1" applyBorder="1" applyAlignment="1">
      <alignment horizontal="center" vertical="center"/>
    </xf>
    <xf numFmtId="172" fontId="79" fillId="0" borderId="53" xfId="3" applyNumberFormat="1" applyFont="1" applyFill="1" applyBorder="1" applyAlignment="1">
      <alignment horizontal="center" vertical="center"/>
    </xf>
    <xf numFmtId="172" fontId="79" fillId="0" borderId="57" xfId="3" applyNumberFormat="1" applyFont="1" applyFill="1" applyBorder="1" applyAlignment="1">
      <alignment horizontal="center" vertical="center"/>
    </xf>
    <xf numFmtId="172" fontId="43" fillId="0" borderId="59" xfId="3" applyNumberFormat="1" applyFont="1" applyFill="1" applyBorder="1" applyAlignment="1">
      <alignment horizontal="center" vertical="center"/>
    </xf>
    <xf numFmtId="172" fontId="43" fillId="0" borderId="56" xfId="3" applyNumberFormat="1" applyFont="1" applyFill="1" applyBorder="1" applyAlignment="1">
      <alignment horizontal="center" vertical="center"/>
    </xf>
    <xf numFmtId="172" fontId="25" fillId="0" borderId="56" xfId="3" applyNumberFormat="1" applyFont="1" applyBorder="1" applyAlignment="1">
      <alignment vertical="center"/>
    </xf>
    <xf numFmtId="172" fontId="20" fillId="0" borderId="39" xfId="3" applyNumberFormat="1" applyFont="1" applyBorder="1" applyAlignment="1">
      <alignment horizontal="center" vertical="center"/>
    </xf>
    <xf numFmtId="172" fontId="43" fillId="8" borderId="39" xfId="3" applyNumberFormat="1" applyFont="1" applyFill="1" applyBorder="1" applyAlignment="1">
      <alignment horizontal="center" vertical="center"/>
    </xf>
    <xf numFmtId="172" fontId="79" fillId="0" borderId="55" xfId="3" applyNumberFormat="1" applyFont="1" applyFill="1" applyBorder="1" applyAlignment="1">
      <alignment horizontal="center" vertical="center"/>
    </xf>
    <xf numFmtId="172" fontId="43" fillId="0" borderId="44" xfId="3" applyNumberFormat="1" applyFont="1" applyFill="1" applyBorder="1" applyAlignment="1">
      <alignment horizontal="center" vertical="center"/>
    </xf>
    <xf numFmtId="172" fontId="43" fillId="0" borderId="41" xfId="3" applyNumberFormat="1" applyFont="1" applyFill="1" applyBorder="1" applyAlignment="1">
      <alignment horizontal="center" vertical="center"/>
    </xf>
    <xf numFmtId="172" fontId="25" fillId="0" borderId="41" xfId="3" applyNumberFormat="1" applyFont="1" applyBorder="1" applyAlignment="1">
      <alignment vertical="center"/>
    </xf>
    <xf numFmtId="172" fontId="19" fillId="0" borderId="41" xfId="3" applyNumberFormat="1" applyFont="1" applyFill="1" applyBorder="1" applyAlignment="1">
      <alignment horizontal="center" vertical="center"/>
    </xf>
    <xf numFmtId="172" fontId="5" fillId="0" borderId="0" xfId="3" applyNumberFormat="1" applyFont="1" applyFill="1" applyBorder="1" applyAlignment="1">
      <alignment horizontal="center"/>
    </xf>
    <xf numFmtId="172" fontId="0" fillId="0" borderId="0" xfId="3" applyNumberFormat="1" applyFont="1" applyBorder="1"/>
    <xf numFmtId="172" fontId="0" fillId="0" borderId="0" xfId="3" applyNumberFormat="1" applyFont="1"/>
    <xf numFmtId="172" fontId="19" fillId="8" borderId="39" xfId="3" applyNumberFormat="1" applyFont="1" applyFill="1" applyBorder="1" applyAlignment="1">
      <alignment horizontal="center" vertical="center"/>
    </xf>
    <xf numFmtId="172" fontId="3" fillId="0" borderId="0" xfId="3" applyNumberFormat="1" applyFont="1" applyFill="1" applyBorder="1" applyAlignment="1">
      <alignment horizontal="center"/>
    </xf>
    <xf numFmtId="172" fontId="30" fillId="0" borderId="39" xfId="3" applyNumberFormat="1" applyFont="1" applyFill="1" applyBorder="1" applyAlignment="1">
      <alignment horizontal="center"/>
    </xf>
    <xf numFmtId="172" fontId="19" fillId="0" borderId="39" xfId="3" applyNumberFormat="1" applyFont="1" applyFill="1" applyBorder="1" applyAlignment="1">
      <alignment horizontal="center" vertical="center"/>
    </xf>
    <xf numFmtId="172" fontId="3" fillId="2" borderId="0" xfId="3" applyNumberFormat="1" applyFont="1" applyFill="1" applyBorder="1" applyAlignment="1">
      <alignment horizontal="center"/>
    </xf>
    <xf numFmtId="172" fontId="29" fillId="8" borderId="39" xfId="3" applyNumberFormat="1" applyFont="1" applyFill="1" applyBorder="1" applyAlignment="1">
      <alignment horizontal="center" vertical="center"/>
    </xf>
    <xf numFmtId="172" fontId="13" fillId="0" borderId="0" xfId="3" applyNumberFormat="1" applyFont="1" applyFill="1" applyBorder="1"/>
    <xf numFmtId="172" fontId="3" fillId="0" borderId="0" xfId="3" applyNumberFormat="1" applyFont="1" applyFill="1" applyBorder="1"/>
    <xf numFmtId="172" fontId="18" fillId="8" borderId="39" xfId="3" applyNumberFormat="1" applyFont="1" applyFill="1" applyBorder="1" applyAlignment="1">
      <alignment horizontal="center" vertical="center"/>
    </xf>
    <xf numFmtId="172" fontId="16" fillId="0" borderId="39" xfId="3" applyNumberFormat="1" applyFont="1" applyFill="1" applyBorder="1" applyAlignment="1">
      <alignment horizontal="center"/>
    </xf>
    <xf numFmtId="172" fontId="80" fillId="8" borderId="39" xfId="3" applyNumberFormat="1" applyFont="1" applyFill="1" applyBorder="1" applyAlignment="1">
      <alignment horizontal="center" vertical="center"/>
    </xf>
    <xf numFmtId="172" fontId="3" fillId="8" borderId="39" xfId="3" applyNumberFormat="1" applyFont="1" applyFill="1" applyBorder="1" applyAlignment="1">
      <alignment horizontal="center"/>
    </xf>
    <xf numFmtId="172" fontId="43" fillId="0" borderId="39" xfId="3" applyNumberFormat="1" applyFont="1" applyFill="1" applyBorder="1" applyAlignment="1">
      <alignment horizontal="center" vertical="center"/>
    </xf>
    <xf numFmtId="172" fontId="3" fillId="0" borderId="39" xfId="3" applyNumberFormat="1" applyFont="1" applyFill="1" applyBorder="1" applyAlignment="1">
      <alignment horizontal="center"/>
    </xf>
    <xf numFmtId="172" fontId="7" fillId="8" borderId="41" xfId="3" applyNumberFormat="1" applyFont="1" applyFill="1" applyBorder="1" applyAlignment="1">
      <alignment horizontal="center" vertical="center"/>
    </xf>
    <xf numFmtId="172" fontId="7" fillId="8" borderId="39" xfId="3" applyNumberFormat="1" applyFont="1" applyFill="1" applyBorder="1" applyAlignment="1">
      <alignment horizontal="center" vertical="center"/>
    </xf>
    <xf numFmtId="172" fontId="3" fillId="0" borderId="0" xfId="3" applyNumberFormat="1" applyFont="1" applyFill="1" applyBorder="1" applyAlignment="1"/>
    <xf numFmtId="172" fontId="5" fillId="0" borderId="0" xfId="3" applyNumberFormat="1" applyFont="1" applyFill="1" applyBorder="1"/>
    <xf numFmtId="172" fontId="32" fillId="8" borderId="39" xfId="3" applyNumberFormat="1" applyFont="1" applyFill="1" applyBorder="1" applyAlignment="1">
      <alignment horizontal="center" vertical="center"/>
    </xf>
    <xf numFmtId="172" fontId="5" fillId="0" borderId="0" xfId="3" applyNumberFormat="1" applyFont="1" applyFill="1"/>
    <xf numFmtId="172" fontId="25" fillId="0" borderId="59" xfId="3" applyNumberFormat="1" applyFont="1" applyBorder="1" applyAlignment="1">
      <alignment vertical="center"/>
    </xf>
    <xf numFmtId="172" fontId="19" fillId="8" borderId="39" xfId="3" applyNumberFormat="1" applyFont="1" applyFill="1" applyBorder="1" applyAlignment="1">
      <alignment horizontal="center"/>
    </xf>
    <xf numFmtId="172" fontId="43" fillId="0" borderId="2" xfId="3" applyNumberFormat="1" applyFont="1" applyFill="1" applyBorder="1" applyAlignment="1">
      <alignment horizontal="center" vertical="center"/>
    </xf>
    <xf numFmtId="172" fontId="43" fillId="0" borderId="3" xfId="3" applyNumberFormat="1" applyFont="1" applyFill="1" applyBorder="1" applyAlignment="1">
      <alignment horizontal="center" vertical="center"/>
    </xf>
    <xf numFmtId="172" fontId="25" fillId="0" borderId="3" xfId="3" applyNumberFormat="1" applyFont="1" applyBorder="1" applyAlignment="1">
      <alignment vertical="center"/>
    </xf>
    <xf numFmtId="172" fontId="19" fillId="8" borderId="40" xfId="3" applyNumberFormat="1" applyFont="1" applyFill="1" applyBorder="1" applyAlignment="1">
      <alignment horizontal="center"/>
    </xf>
    <xf numFmtId="172" fontId="19" fillId="0" borderId="40" xfId="3" applyNumberFormat="1" applyFont="1" applyFill="1" applyBorder="1" applyAlignment="1">
      <alignment horizontal="center" vertical="center"/>
    </xf>
    <xf numFmtId="172" fontId="5" fillId="0" borderId="39" xfId="3" applyNumberFormat="1" applyFont="1" applyFill="1" applyBorder="1"/>
    <xf numFmtId="172" fontId="18" fillId="0" borderId="39" xfId="3" applyNumberFormat="1" applyFont="1" applyFill="1" applyBorder="1" applyAlignment="1">
      <alignment horizontal="center" vertical="center"/>
    </xf>
    <xf numFmtId="172" fontId="5" fillId="0" borderId="39" xfId="3" applyNumberFormat="1" applyFont="1" applyFill="1" applyBorder="1" applyAlignment="1">
      <alignment horizontal="center"/>
    </xf>
    <xf numFmtId="172" fontId="19" fillId="0" borderId="39" xfId="3" applyNumberFormat="1" applyFont="1" applyFill="1" applyBorder="1" applyAlignment="1">
      <alignment horizontal="center"/>
    </xf>
    <xf numFmtId="172" fontId="19" fillId="0" borderId="0" xfId="3" applyNumberFormat="1" applyFont="1" applyFill="1" applyBorder="1" applyAlignment="1">
      <alignment horizontal="center"/>
    </xf>
    <xf numFmtId="0" fontId="20" fillId="0" borderId="11" xfId="0" applyFont="1" applyBorder="1" applyAlignment="1">
      <alignment horizontal="center" vertical="center"/>
    </xf>
    <xf numFmtId="172" fontId="25" fillId="0" borderId="39" xfId="3" applyNumberFormat="1" applyFont="1" applyBorder="1" applyAlignment="1">
      <alignment vertical="center"/>
    </xf>
    <xf numFmtId="172" fontId="20" fillId="0" borderId="42" xfId="3" applyNumberFormat="1" applyFont="1" applyBorder="1" applyAlignment="1">
      <alignment horizontal="center" vertical="center"/>
    </xf>
    <xf numFmtId="172" fontId="20" fillId="0" borderId="53" xfId="3" applyNumberFormat="1" applyFont="1" applyBorder="1" applyAlignment="1">
      <alignment horizontal="center" vertical="center"/>
    </xf>
    <xf numFmtId="172" fontId="20" fillId="0" borderId="56" xfId="3" applyNumberFormat="1" applyFont="1" applyBorder="1" applyAlignment="1">
      <alignment horizontal="center" vertical="center"/>
    </xf>
    <xf numFmtId="172" fontId="98" fillId="0" borderId="55" xfId="3" applyNumberFormat="1" applyFont="1" applyFill="1" applyBorder="1" applyAlignment="1">
      <alignment horizontal="center" vertical="center"/>
    </xf>
    <xf numFmtId="172" fontId="98" fillId="0" borderId="53" xfId="3" applyNumberFormat="1" applyFont="1" applyFill="1" applyBorder="1" applyAlignment="1">
      <alignment horizontal="center" vertical="center"/>
    </xf>
    <xf numFmtId="172" fontId="98" fillId="0" borderId="57" xfId="3" applyNumberFormat="1" applyFont="1" applyFill="1" applyBorder="1" applyAlignment="1">
      <alignment horizontal="center" vertical="center"/>
    </xf>
    <xf numFmtId="172" fontId="108" fillId="0" borderId="57" xfId="3" applyNumberFormat="1" applyFont="1" applyFill="1" applyBorder="1" applyAlignment="1">
      <alignment horizontal="center" vertical="center"/>
    </xf>
    <xf numFmtId="172" fontId="108" fillId="0" borderId="39" xfId="3" applyNumberFormat="1" applyFont="1" applyFill="1" applyBorder="1" applyAlignment="1">
      <alignment horizontal="center" vertical="center"/>
    </xf>
    <xf numFmtId="172" fontId="98" fillId="0" borderId="40" xfId="3" applyNumberFormat="1" applyFont="1" applyFill="1" applyBorder="1" applyAlignment="1">
      <alignment horizontal="center" vertical="center"/>
    </xf>
    <xf numFmtId="172" fontId="98" fillId="0" borderId="42" xfId="3" applyNumberFormat="1" applyFont="1" applyFill="1" applyBorder="1" applyAlignment="1">
      <alignment horizontal="center" vertical="center"/>
    </xf>
    <xf numFmtId="172" fontId="98" fillId="0" borderId="41" xfId="3" applyNumberFormat="1" applyFont="1" applyFill="1" applyBorder="1" applyAlignment="1">
      <alignment horizontal="center" vertical="center"/>
    </xf>
    <xf numFmtId="172" fontId="98" fillId="0" borderId="56" xfId="3" applyNumberFormat="1" applyFont="1" applyFill="1" applyBorder="1" applyAlignment="1">
      <alignment horizontal="center" vertical="center"/>
    </xf>
    <xf numFmtId="172" fontId="98" fillId="0" borderId="15" xfId="3" applyNumberFormat="1" applyFont="1" applyFill="1" applyBorder="1" applyAlignment="1">
      <alignment horizontal="center" vertical="center"/>
    </xf>
    <xf numFmtId="172" fontId="98" fillId="0" borderId="3" xfId="3" applyNumberFormat="1" applyFont="1" applyFill="1" applyBorder="1" applyAlignment="1">
      <alignment horizontal="center" vertical="center"/>
    </xf>
    <xf numFmtId="172" fontId="102" fillId="0" borderId="55" xfId="3" applyNumberFormat="1" applyFont="1" applyBorder="1" applyAlignment="1">
      <alignment vertical="center"/>
    </xf>
    <xf numFmtId="172" fontId="102" fillId="0" borderId="53" xfId="3" applyNumberFormat="1" applyFont="1" applyBorder="1" applyAlignment="1">
      <alignment vertical="center"/>
    </xf>
    <xf numFmtId="172" fontId="102" fillId="0" borderId="57" xfId="3" applyNumberFormat="1" applyFont="1" applyBorder="1" applyAlignment="1">
      <alignment vertical="center"/>
    </xf>
    <xf numFmtId="172" fontId="79" fillId="0" borderId="40" xfId="3" applyNumberFormat="1" applyFont="1" applyFill="1" applyBorder="1" applyAlignment="1">
      <alignment horizontal="center" vertical="center"/>
    </xf>
    <xf numFmtId="172" fontId="79" fillId="0" borderId="42" xfId="3" applyNumberFormat="1" applyFont="1" applyFill="1" applyBorder="1" applyAlignment="1">
      <alignment horizontal="center" vertical="center"/>
    </xf>
    <xf numFmtId="172" fontId="79" fillId="0" borderId="41" xfId="3" applyNumberFormat="1" applyFont="1" applyFill="1" applyBorder="1" applyAlignment="1">
      <alignment horizontal="center" vertical="center"/>
    </xf>
    <xf numFmtId="172" fontId="102" fillId="0" borderId="40" xfId="3" applyNumberFormat="1" applyFont="1" applyBorder="1" applyAlignment="1">
      <alignment vertical="center"/>
    </xf>
    <xf numFmtId="172" fontId="102" fillId="0" borderId="42" xfId="3" applyNumberFormat="1" applyFont="1" applyBorder="1" applyAlignment="1">
      <alignment vertical="center"/>
    </xf>
    <xf numFmtId="172" fontId="102" fillId="0" borderId="41" xfId="3" applyNumberFormat="1" applyFont="1" applyBorder="1" applyAlignment="1">
      <alignment vertical="center"/>
    </xf>
    <xf numFmtId="172" fontId="102" fillId="0" borderId="58" xfId="3" applyNumberFormat="1" applyFont="1" applyBorder="1" applyAlignment="1">
      <alignment vertical="center"/>
    </xf>
    <xf numFmtId="172" fontId="102" fillId="0" borderId="45" xfId="3" applyNumberFormat="1" applyFont="1" applyBorder="1" applyAlignment="1">
      <alignment vertical="center"/>
    </xf>
    <xf numFmtId="172" fontId="102" fillId="0" borderId="15" xfId="3" applyNumberFormat="1" applyFont="1" applyBorder="1" applyAlignment="1">
      <alignment vertical="center"/>
    </xf>
    <xf numFmtId="172" fontId="102" fillId="0" borderId="3" xfId="3" applyNumberFormat="1" applyFont="1" applyBorder="1" applyAlignment="1">
      <alignment vertical="center"/>
    </xf>
    <xf numFmtId="172" fontId="79" fillId="0" borderId="15" xfId="3" applyNumberFormat="1" applyFont="1" applyFill="1" applyBorder="1" applyAlignment="1">
      <alignment horizontal="center" vertical="center"/>
    </xf>
    <xf numFmtId="172" fontId="79" fillId="0" borderId="3" xfId="3" applyNumberFormat="1" applyFont="1" applyFill="1" applyBorder="1" applyAlignment="1">
      <alignment horizontal="center" vertical="center"/>
    </xf>
    <xf numFmtId="172" fontId="98" fillId="0" borderId="98" xfId="3" applyNumberFormat="1" applyFont="1" applyFill="1" applyBorder="1" applyAlignment="1">
      <alignment horizontal="center" vertical="center"/>
    </xf>
    <xf numFmtId="172" fontId="98" fillId="0" borderId="74" xfId="3" applyNumberFormat="1" applyFont="1" applyFill="1" applyBorder="1" applyAlignment="1">
      <alignment horizontal="center" vertical="center"/>
    </xf>
    <xf numFmtId="172" fontId="98" fillId="0" borderId="44" xfId="3" applyNumberFormat="1" applyFont="1" applyFill="1" applyBorder="1" applyAlignment="1">
      <alignment horizontal="center" vertical="center"/>
    </xf>
    <xf numFmtId="172" fontId="98" fillId="0" borderId="14" xfId="3" applyNumberFormat="1" applyFont="1" applyFill="1" applyBorder="1" applyAlignment="1">
      <alignment horizontal="center" vertical="center"/>
    </xf>
    <xf numFmtId="172" fontId="98" fillId="0" borderId="2" xfId="3" applyNumberFormat="1" applyFont="1" applyFill="1" applyBorder="1" applyAlignment="1">
      <alignment horizontal="center" vertical="center"/>
    </xf>
    <xf numFmtId="172" fontId="20" fillId="0" borderId="66" xfId="3" applyNumberFormat="1" applyFont="1" applyFill="1" applyBorder="1" applyAlignment="1">
      <alignment horizontal="center" vertical="center"/>
    </xf>
    <xf numFmtId="172" fontId="15" fillId="0" borderId="53" xfId="3" applyNumberFormat="1" applyFont="1" applyFill="1" applyBorder="1" applyAlignment="1">
      <alignment horizontal="center" vertical="center"/>
    </xf>
    <xf numFmtId="172" fontId="15" fillId="0" borderId="53" xfId="3" applyNumberFormat="1" applyFont="1" applyBorder="1" applyAlignment="1">
      <alignment horizontal="center" vertical="center"/>
    </xf>
    <xf numFmtId="0" fontId="11" fillId="0" borderId="43" xfId="0" applyFont="1" applyBorder="1" applyAlignment="1">
      <alignment horizontal="center" vertical="center"/>
    </xf>
    <xf numFmtId="1" fontId="24" fillId="0" borderId="3" xfId="0" applyNumberFormat="1" applyFont="1" applyFill="1" applyBorder="1" applyAlignment="1">
      <alignment horizontal="center" vertical="center"/>
    </xf>
    <xf numFmtId="0" fontId="28" fillId="0" borderId="3" xfId="0" applyFont="1" applyFill="1" applyBorder="1" applyAlignment="1">
      <alignment horizontal="center" vertical="center"/>
    </xf>
    <xf numFmtId="0" fontId="28" fillId="0" borderId="46" xfId="0" applyFont="1" applyFill="1" applyBorder="1" applyAlignment="1">
      <alignment horizontal="center" vertical="center"/>
    </xf>
    <xf numFmtId="1" fontId="24" fillId="0" borderId="36" xfId="0" applyNumberFormat="1" applyFont="1" applyFill="1" applyBorder="1" applyAlignment="1">
      <alignment horizontal="center" vertical="center"/>
    </xf>
    <xf numFmtId="1" fontId="28" fillId="0" borderId="36" xfId="0" applyNumberFormat="1" applyFont="1" applyFill="1" applyBorder="1" applyAlignment="1">
      <alignment horizontal="center" vertical="center"/>
    </xf>
    <xf numFmtId="172" fontId="39" fillId="0" borderId="53" xfId="3" applyNumberFormat="1" applyFont="1" applyBorder="1" applyAlignment="1">
      <alignment horizontal="center" vertical="center"/>
    </xf>
    <xf numFmtId="172" fontId="32" fillId="0" borderId="53" xfId="3" applyNumberFormat="1" applyFont="1" applyBorder="1" applyAlignment="1">
      <alignment horizontal="center" vertical="center"/>
    </xf>
    <xf numFmtId="172" fontId="39" fillId="0" borderId="53" xfId="3" applyNumberFormat="1" applyFont="1" applyFill="1" applyBorder="1" applyAlignment="1">
      <alignment horizontal="center" vertical="center"/>
    </xf>
    <xf numFmtId="172" fontId="32" fillId="0" borderId="53" xfId="3" applyNumberFormat="1" applyFont="1" applyFill="1" applyBorder="1" applyAlignment="1">
      <alignment horizontal="center" vertical="center"/>
    </xf>
    <xf numFmtId="172" fontId="39" fillId="0" borderId="56" xfId="3" applyNumberFormat="1" applyFont="1" applyBorder="1" applyAlignment="1">
      <alignment horizontal="center" vertical="center"/>
    </xf>
    <xf numFmtId="172" fontId="32" fillId="0" borderId="56" xfId="3" applyNumberFormat="1" applyFont="1" applyBorder="1" applyAlignment="1">
      <alignment horizontal="center" vertical="center"/>
    </xf>
    <xf numFmtId="172" fontId="20" fillId="0" borderId="56" xfId="3" applyNumberFormat="1" applyFont="1" applyFill="1" applyBorder="1" applyAlignment="1">
      <alignment horizontal="center" vertical="center"/>
    </xf>
    <xf numFmtId="172" fontId="39" fillId="0" borderId="56" xfId="3" applyNumberFormat="1" applyFont="1" applyFill="1" applyBorder="1" applyAlignment="1">
      <alignment horizontal="center" vertical="center"/>
    </xf>
    <xf numFmtId="172" fontId="20" fillId="0" borderId="101" xfId="3" applyNumberFormat="1" applyFont="1" applyFill="1" applyBorder="1" applyAlignment="1">
      <alignment horizontal="center" vertical="center"/>
    </xf>
    <xf numFmtId="172" fontId="15" fillId="0" borderId="100" xfId="3" applyNumberFormat="1" applyFont="1" applyFill="1" applyBorder="1" applyAlignment="1">
      <alignment horizontal="center" vertical="center"/>
    </xf>
    <xf numFmtId="172" fontId="20" fillId="0" borderId="100" xfId="3" applyNumberFormat="1" applyFont="1" applyBorder="1" applyAlignment="1">
      <alignment horizontal="center" vertical="center"/>
    </xf>
    <xf numFmtId="172" fontId="20" fillId="0" borderId="103" xfId="3" applyNumberFormat="1" applyFont="1" applyFill="1" applyBorder="1" applyAlignment="1">
      <alignment horizontal="center" vertical="center"/>
    </xf>
    <xf numFmtId="172" fontId="15" fillId="0" borderId="99" xfId="3" applyNumberFormat="1" applyFont="1" applyFill="1" applyBorder="1" applyAlignment="1">
      <alignment horizontal="center" vertical="center"/>
    </xf>
    <xf numFmtId="172" fontId="15" fillId="0" borderId="99" xfId="3" applyNumberFormat="1" applyFont="1" applyBorder="1" applyAlignment="1">
      <alignment horizontal="center" vertical="center"/>
    </xf>
    <xf numFmtId="172" fontId="45" fillId="0" borderId="57" xfId="3" applyNumberFormat="1" applyFont="1" applyFill="1" applyBorder="1" applyAlignment="1">
      <alignment horizontal="center"/>
    </xf>
    <xf numFmtId="0" fontId="64" fillId="13" borderId="39" xfId="0" applyFont="1" applyFill="1" applyBorder="1" applyAlignment="1">
      <alignment horizontal="center" vertical="center"/>
    </xf>
    <xf numFmtId="0" fontId="6" fillId="13" borderId="44" xfId="0" applyFont="1" applyFill="1" applyBorder="1" applyAlignment="1">
      <alignment horizontal="center" vertical="center" wrapText="1"/>
    </xf>
    <xf numFmtId="0" fontId="6" fillId="13" borderId="41" xfId="0" applyFont="1" applyFill="1" applyBorder="1" applyAlignment="1">
      <alignment horizontal="center" vertical="center" wrapText="1"/>
    </xf>
    <xf numFmtId="0" fontId="6" fillId="13" borderId="41" xfId="0" applyFont="1" applyFill="1" applyBorder="1" applyAlignment="1">
      <alignment horizontal="center" vertical="center"/>
    </xf>
    <xf numFmtId="0" fontId="17" fillId="13" borderId="41" xfId="0" applyFont="1" applyFill="1" applyBorder="1" applyAlignment="1">
      <alignment horizontal="center" vertical="center" wrapText="1"/>
    </xf>
    <xf numFmtId="0" fontId="20" fillId="13" borderId="41" xfId="0" applyFont="1" applyFill="1" applyBorder="1" applyAlignment="1">
      <alignment horizontal="center" vertical="center"/>
    </xf>
    <xf numFmtId="0" fontId="0" fillId="13" borderId="105" xfId="0" applyFill="1" applyBorder="1"/>
    <xf numFmtId="0" fontId="0" fillId="13" borderId="76" xfId="0" applyFill="1" applyBorder="1"/>
    <xf numFmtId="0" fontId="0" fillId="13" borderId="77" xfId="0" applyFill="1" applyBorder="1"/>
    <xf numFmtId="0" fontId="97" fillId="13" borderId="55" xfId="0" applyFont="1" applyFill="1" applyBorder="1" applyAlignment="1">
      <alignment vertical="center"/>
    </xf>
    <xf numFmtId="0" fontId="97" fillId="13" borderId="53" xfId="0" applyFont="1" applyFill="1" applyBorder="1" applyAlignment="1">
      <alignment vertical="center"/>
    </xf>
    <xf numFmtId="0" fontId="97" fillId="13" borderId="57" xfId="0" applyFont="1" applyFill="1" applyBorder="1" applyAlignment="1">
      <alignment vertical="center"/>
    </xf>
    <xf numFmtId="0" fontId="17" fillId="13" borderId="53" xfId="0" applyFont="1" applyFill="1" applyBorder="1" applyAlignment="1">
      <alignment vertical="center"/>
    </xf>
    <xf numFmtId="0" fontId="17" fillId="13" borderId="39" xfId="0" applyFont="1" applyFill="1" applyBorder="1" applyAlignment="1">
      <alignment vertical="center"/>
    </xf>
    <xf numFmtId="169" fontId="20" fillId="0" borderId="55" xfId="3" applyNumberFormat="1" applyFont="1" applyFill="1" applyBorder="1" applyAlignment="1">
      <alignment horizontal="center" vertical="center"/>
    </xf>
    <xf numFmtId="169" fontId="20" fillId="0" borderId="53" xfId="3" applyNumberFormat="1" applyFont="1" applyFill="1" applyBorder="1" applyAlignment="1">
      <alignment horizontal="center" vertical="center"/>
    </xf>
    <xf numFmtId="169" fontId="39" fillId="0" borderId="39" xfId="3" applyNumberFormat="1" applyFont="1" applyFill="1" applyBorder="1" applyAlignment="1">
      <alignment horizontal="center" vertical="center"/>
    </xf>
    <xf numFmtId="0" fontId="15" fillId="13" borderId="41" xfId="0" applyFont="1" applyFill="1" applyBorder="1" applyAlignment="1">
      <alignment horizontal="center" vertical="center"/>
    </xf>
    <xf numFmtId="0" fontId="17" fillId="13" borderId="42" xfId="0" applyFont="1" applyFill="1" applyBorder="1" applyAlignment="1">
      <alignment horizontal="center" vertical="center" wrapText="1"/>
    </xf>
    <xf numFmtId="0" fontId="17" fillId="13" borderId="55" xfId="0" applyFont="1" applyFill="1" applyBorder="1" applyAlignment="1">
      <alignment vertical="center"/>
    </xf>
    <xf numFmtId="0" fontId="17" fillId="13" borderId="100" xfId="0" applyFont="1" applyFill="1" applyBorder="1" applyAlignment="1">
      <alignment vertical="center"/>
    </xf>
    <xf numFmtId="0" fontId="17" fillId="13" borderId="99" xfId="0" applyFont="1" applyFill="1" applyBorder="1" applyAlignment="1">
      <alignment vertical="center"/>
    </xf>
    <xf numFmtId="172" fontId="15" fillId="13" borderId="101" xfId="3" applyNumberFormat="1" applyFont="1" applyFill="1" applyBorder="1" applyAlignment="1">
      <alignment horizontal="center" vertical="center"/>
    </xf>
    <xf numFmtId="172" fontId="15" fillId="13" borderId="66" xfId="3" applyNumberFormat="1" applyFont="1" applyFill="1" applyBorder="1" applyAlignment="1">
      <alignment horizontal="center" vertical="center"/>
    </xf>
    <xf numFmtId="172" fontId="15" fillId="13" borderId="102" xfId="3" applyNumberFormat="1" applyFont="1" applyFill="1" applyBorder="1" applyAlignment="1">
      <alignment horizontal="center" vertical="center"/>
    </xf>
    <xf numFmtId="172" fontId="15" fillId="13" borderId="31" xfId="3" applyNumberFormat="1" applyFont="1" applyFill="1" applyBorder="1" applyAlignment="1">
      <alignment horizontal="center" vertical="center"/>
    </xf>
    <xf numFmtId="172" fontId="15" fillId="13" borderId="104" xfId="3" applyNumberFormat="1" applyFont="1" applyFill="1" applyBorder="1" applyAlignment="1">
      <alignment horizontal="center" vertical="center"/>
    </xf>
    <xf numFmtId="172" fontId="15" fillId="13" borderId="103" xfId="3" applyNumberFormat="1" applyFont="1" applyFill="1" applyBorder="1" applyAlignment="1">
      <alignment horizontal="center" vertical="center"/>
    </xf>
    <xf numFmtId="0" fontId="62" fillId="13" borderId="63" xfId="0" applyFont="1" applyFill="1" applyBorder="1" applyAlignment="1">
      <alignment horizontal="left" vertical="center" wrapText="1"/>
    </xf>
    <xf numFmtId="169" fontId="72" fillId="13" borderId="63" xfId="3" applyNumberFormat="1" applyFont="1" applyFill="1" applyBorder="1"/>
    <xf numFmtId="0" fontId="73" fillId="13" borderId="53" xfId="0" applyFont="1" applyFill="1" applyBorder="1" applyAlignment="1">
      <alignment horizontal="left" vertical="center"/>
    </xf>
    <xf numFmtId="169" fontId="74" fillId="13" borderId="53" xfId="3" applyNumberFormat="1" applyFont="1" applyFill="1" applyBorder="1"/>
    <xf numFmtId="0" fontId="62" fillId="13" borderId="56" xfId="0" applyFont="1" applyFill="1" applyBorder="1" applyAlignment="1">
      <alignment horizontal="left" vertical="center"/>
    </xf>
    <xf numFmtId="169" fontId="72" fillId="13" borderId="56" xfId="3" applyNumberFormat="1" applyFont="1" applyFill="1" applyBorder="1"/>
    <xf numFmtId="0" fontId="73" fillId="13" borderId="39" xfId="0" applyFont="1" applyFill="1" applyBorder="1" applyAlignment="1">
      <alignment vertical="center"/>
    </xf>
    <xf numFmtId="169" fontId="74" fillId="13" borderId="39" xfId="0" applyNumberFormat="1" applyFont="1" applyFill="1" applyBorder="1" applyAlignment="1">
      <alignment horizontal="center" vertical="center"/>
    </xf>
    <xf numFmtId="0" fontId="76" fillId="13" borderId="55" xfId="0" applyFont="1" applyFill="1" applyBorder="1" applyAlignment="1">
      <alignment vertical="center"/>
    </xf>
    <xf numFmtId="0" fontId="76" fillId="13" borderId="53" xfId="0" applyFont="1" applyFill="1" applyBorder="1" applyAlignment="1">
      <alignment vertical="center"/>
    </xf>
    <xf numFmtId="0" fontId="76" fillId="13" borderId="56" xfId="0" applyFont="1" applyFill="1" applyBorder="1" applyAlignment="1">
      <alignment vertical="center"/>
    </xf>
    <xf numFmtId="0" fontId="76" fillId="13" borderId="100" xfId="0" applyFont="1" applyFill="1" applyBorder="1" applyAlignment="1">
      <alignment vertical="center"/>
    </xf>
    <xf numFmtId="172" fontId="20" fillId="0" borderId="100" xfId="3" applyNumberFormat="1" applyFont="1" applyFill="1" applyBorder="1" applyAlignment="1">
      <alignment horizontal="center" vertical="center"/>
    </xf>
    <xf numFmtId="0" fontId="7" fillId="9" borderId="39" xfId="0" applyFont="1" applyFill="1" applyBorder="1" applyAlignment="1">
      <alignment horizontal="center" vertical="center" wrapText="1"/>
    </xf>
    <xf numFmtId="172" fontId="113" fillId="13" borderId="81" xfId="3" applyNumberFormat="1" applyFont="1" applyFill="1" applyBorder="1" applyAlignment="1">
      <alignment horizontal="center" vertical="center"/>
    </xf>
    <xf numFmtId="172" fontId="113" fillId="13" borderId="45" xfId="3" applyNumberFormat="1" applyFont="1" applyFill="1" applyBorder="1" applyAlignment="1">
      <alignment horizontal="center" vertical="center"/>
    </xf>
    <xf numFmtId="172" fontId="113" fillId="13" borderId="110" xfId="3" applyNumberFormat="1" applyFont="1" applyFill="1" applyBorder="1" applyAlignment="1">
      <alignment horizontal="center" vertical="center"/>
    </xf>
    <xf numFmtId="172" fontId="113" fillId="13" borderId="58" xfId="3" applyNumberFormat="1" applyFont="1" applyFill="1" applyBorder="1" applyAlignment="1">
      <alignment horizontal="center" vertical="center"/>
    </xf>
    <xf numFmtId="172" fontId="113" fillId="13" borderId="45" xfId="3" applyNumberFormat="1" applyFont="1" applyFill="1" applyBorder="1" applyAlignment="1">
      <alignment horizontal="center"/>
    </xf>
    <xf numFmtId="172" fontId="113" fillId="13" borderId="57" xfId="3" applyNumberFormat="1" applyFont="1" applyFill="1" applyBorder="1" applyAlignment="1">
      <alignment horizontal="center"/>
    </xf>
    <xf numFmtId="172" fontId="113" fillId="13" borderId="63" xfId="3" applyNumberFormat="1" applyFont="1" applyFill="1" applyBorder="1" applyAlignment="1">
      <alignment horizontal="center" vertical="center"/>
    </xf>
    <xf numFmtId="172" fontId="113" fillId="13" borderId="55" xfId="3" applyNumberFormat="1" applyFont="1" applyFill="1" applyBorder="1" applyAlignment="1">
      <alignment horizontal="center" vertical="center"/>
    </xf>
    <xf numFmtId="172" fontId="113" fillId="0" borderId="63" xfId="3" applyNumberFormat="1" applyFont="1" applyBorder="1" applyAlignment="1">
      <alignment horizontal="center" vertical="center"/>
    </xf>
    <xf numFmtId="172" fontId="113" fillId="0" borderId="55" xfId="3" applyNumberFormat="1" applyFont="1" applyBorder="1" applyAlignment="1">
      <alignment horizontal="center" vertical="center"/>
    </xf>
    <xf numFmtId="0" fontId="17" fillId="13" borderId="75" xfId="0" applyFont="1" applyFill="1" applyBorder="1" applyAlignment="1">
      <alignment horizontal="center" vertical="center" wrapText="1"/>
    </xf>
    <xf numFmtId="0" fontId="17" fillId="13" borderId="33" xfId="0" applyFont="1" applyFill="1" applyBorder="1" applyAlignment="1">
      <alignment horizontal="center" vertical="center" wrapText="1"/>
    </xf>
    <xf numFmtId="172" fontId="73" fillId="0" borderId="0" xfId="3" applyNumberFormat="1" applyFont="1"/>
    <xf numFmtId="172" fontId="73" fillId="0" borderId="0" xfId="3" applyNumberFormat="1" applyFont="1" applyFill="1" applyBorder="1"/>
    <xf numFmtId="172" fontId="114" fillId="0" borderId="0" xfId="3" applyNumberFormat="1" applyFont="1"/>
    <xf numFmtId="172" fontId="115" fillId="0" borderId="0" xfId="3" applyNumberFormat="1" applyFont="1"/>
    <xf numFmtId="172" fontId="23" fillId="11" borderId="108" xfId="0" applyNumberFormat="1" applyFont="1" applyFill="1" applyBorder="1" applyAlignment="1">
      <alignment horizontal="center" vertical="center"/>
    </xf>
    <xf numFmtId="172" fontId="23" fillId="11" borderId="36" xfId="0" applyNumberFormat="1" applyFont="1" applyFill="1" applyBorder="1" applyAlignment="1">
      <alignment horizontal="center" vertical="center"/>
    </xf>
    <xf numFmtId="172" fontId="23" fillId="11" borderId="3" xfId="3" applyNumberFormat="1" applyFont="1" applyFill="1" applyBorder="1" applyAlignment="1">
      <alignment horizontal="center" vertical="center"/>
    </xf>
    <xf numFmtId="172" fontId="6" fillId="11" borderId="106" xfId="3" applyNumberFormat="1" applyFont="1" applyFill="1" applyBorder="1" applyAlignment="1">
      <alignment horizontal="center" vertical="center"/>
    </xf>
    <xf numFmtId="172" fontId="23" fillId="11" borderId="2" xfId="3" applyNumberFormat="1" applyFont="1" applyFill="1" applyBorder="1" applyAlignment="1">
      <alignment horizontal="center" vertical="center"/>
    </xf>
    <xf numFmtId="172" fontId="23" fillId="11" borderId="51" xfId="3" applyNumberFormat="1" applyFont="1" applyFill="1" applyBorder="1" applyAlignment="1">
      <alignment horizontal="center" vertical="center"/>
    </xf>
    <xf numFmtId="172" fontId="23" fillId="11" borderId="108" xfId="3" applyNumberFormat="1" applyFont="1" applyFill="1" applyBorder="1" applyAlignment="1">
      <alignment horizontal="center" vertical="center"/>
    </xf>
    <xf numFmtId="172" fontId="23" fillId="11" borderId="36" xfId="3" applyNumberFormat="1" applyFont="1" applyFill="1" applyBorder="1" applyAlignment="1">
      <alignment horizontal="center" vertical="center"/>
    </xf>
    <xf numFmtId="172" fontId="28" fillId="11" borderId="108" xfId="3" applyNumberFormat="1" applyFont="1" applyFill="1" applyBorder="1" applyAlignment="1">
      <alignment horizontal="center" vertical="center"/>
    </xf>
    <xf numFmtId="172" fontId="28" fillId="11" borderId="109" xfId="3" applyNumberFormat="1" applyFont="1" applyFill="1" applyBorder="1" applyAlignment="1">
      <alignment horizontal="center" vertical="center"/>
    </xf>
    <xf numFmtId="172" fontId="24" fillId="11" borderId="108" xfId="3" applyNumberFormat="1" applyFont="1" applyFill="1" applyBorder="1" applyAlignment="1">
      <alignment horizontal="center" vertical="center"/>
    </xf>
    <xf numFmtId="0" fontId="116" fillId="13" borderId="63" xfId="0" applyFont="1" applyFill="1" applyBorder="1" applyAlignment="1">
      <alignment vertical="center"/>
    </xf>
    <xf numFmtId="0" fontId="116" fillId="13" borderId="53" xfId="0" applyFont="1" applyFill="1" applyBorder="1" applyAlignment="1">
      <alignment vertical="center"/>
    </xf>
    <xf numFmtId="0" fontId="116" fillId="13" borderId="55" xfId="0" applyFont="1" applyFill="1" applyBorder="1" applyAlignment="1">
      <alignment vertical="center"/>
    </xf>
    <xf numFmtId="172" fontId="117" fillId="0" borderId="53" xfId="3" applyNumberFormat="1" applyFont="1" applyFill="1" applyBorder="1" applyAlignment="1">
      <alignment horizontal="center" vertical="center"/>
    </xf>
    <xf numFmtId="172" fontId="117" fillId="0" borderId="63" xfId="3" applyNumberFormat="1" applyFont="1" applyBorder="1" applyAlignment="1">
      <alignment horizontal="center" vertical="center"/>
    </xf>
    <xf numFmtId="172" fontId="117" fillId="0" borderId="53" xfId="3" applyNumberFormat="1" applyFont="1" applyBorder="1" applyAlignment="1">
      <alignment horizontal="center" vertical="center"/>
    </xf>
    <xf numFmtId="172" fontId="117" fillId="0" borderId="53" xfId="3" applyNumberFormat="1" applyFont="1" applyFill="1" applyBorder="1" applyAlignment="1">
      <alignment vertical="center"/>
    </xf>
    <xf numFmtId="169" fontId="39" fillId="11" borderId="40" xfId="3" applyNumberFormat="1" applyFont="1" applyFill="1" applyBorder="1" applyAlignment="1">
      <alignment horizontal="center" vertical="center"/>
    </xf>
    <xf numFmtId="172" fontId="117" fillId="0" borderId="55" xfId="3" applyNumberFormat="1" applyFont="1" applyFill="1" applyBorder="1" applyAlignment="1">
      <alignment horizontal="center" vertical="center"/>
    </xf>
    <xf numFmtId="172" fontId="117" fillId="0" borderId="58" xfId="3" applyNumberFormat="1" applyFont="1" applyFill="1" applyBorder="1" applyAlignment="1">
      <alignment horizontal="center" vertical="center"/>
    </xf>
    <xf numFmtId="172" fontId="117" fillId="0" borderId="45" xfId="3" applyNumberFormat="1" applyFont="1" applyFill="1" applyBorder="1" applyAlignment="1">
      <alignment vertical="center"/>
    </xf>
    <xf numFmtId="169" fontId="39" fillId="11" borderId="63" xfId="3" applyNumberFormat="1" applyFont="1" applyFill="1" applyBorder="1" applyAlignment="1">
      <alignment horizontal="center" vertical="center"/>
    </xf>
    <xf numFmtId="169" fontId="32" fillId="0" borderId="55" xfId="3" applyNumberFormat="1" applyFont="1" applyFill="1" applyBorder="1" applyAlignment="1">
      <alignment horizontal="center" vertical="center"/>
    </xf>
    <xf numFmtId="169" fontId="32" fillId="0" borderId="53" xfId="3" applyNumberFormat="1" applyFont="1" applyFill="1" applyBorder="1" applyAlignment="1">
      <alignment horizontal="center" vertical="center"/>
    </xf>
    <xf numFmtId="172" fontId="93" fillId="0" borderId="55" xfId="3" applyNumberFormat="1" applyFont="1" applyBorder="1" applyAlignment="1">
      <alignment horizontal="center" vertical="center"/>
    </xf>
    <xf numFmtId="172" fontId="93" fillId="0" borderId="53" xfId="3" applyNumberFormat="1" applyFont="1" applyBorder="1" applyAlignment="1">
      <alignment horizontal="center" vertical="center"/>
    </xf>
    <xf numFmtId="172" fontId="93" fillId="0" borderId="53" xfId="3" applyNumberFormat="1" applyFont="1" applyFill="1" applyBorder="1" applyAlignment="1">
      <alignment horizontal="center" vertical="center"/>
    </xf>
    <xf numFmtId="172" fontId="93" fillId="0" borderId="57" xfId="3" applyNumberFormat="1" applyFont="1" applyFill="1" applyBorder="1" applyAlignment="1">
      <alignment horizontal="center" vertical="center"/>
    </xf>
    <xf numFmtId="172" fontId="103" fillId="0" borderId="55" xfId="3" applyNumberFormat="1" applyFont="1" applyBorder="1" applyAlignment="1">
      <alignment horizontal="center" vertical="center"/>
    </xf>
    <xf numFmtId="172" fontId="103" fillId="0" borderId="53" xfId="3" applyNumberFormat="1" applyFont="1" applyBorder="1" applyAlignment="1">
      <alignment horizontal="center" vertical="center"/>
    </xf>
    <xf numFmtId="172" fontId="103" fillId="0" borderId="53" xfId="3" applyNumberFormat="1" applyFont="1" applyFill="1" applyBorder="1" applyAlignment="1">
      <alignment horizontal="center" vertical="center"/>
    </xf>
    <xf numFmtId="172" fontId="103" fillId="0" borderId="57" xfId="3" applyNumberFormat="1" applyFont="1" applyBorder="1" applyAlignment="1">
      <alignment horizontal="center" vertical="center"/>
    </xf>
    <xf numFmtId="172" fontId="103" fillId="0" borderId="57" xfId="3" applyNumberFormat="1" applyFont="1" applyFill="1" applyBorder="1" applyAlignment="1">
      <alignment horizontal="center" vertical="center"/>
    </xf>
    <xf numFmtId="172" fontId="118" fillId="0" borderId="55" xfId="3" applyNumberFormat="1" applyFont="1" applyBorder="1" applyAlignment="1">
      <alignment horizontal="center" vertical="center"/>
    </xf>
    <xf numFmtId="172" fontId="118" fillId="0" borderId="53" xfId="3" applyNumberFormat="1" applyFont="1" applyBorder="1" applyAlignment="1">
      <alignment horizontal="center" vertical="center"/>
    </xf>
    <xf numFmtId="172" fontId="118" fillId="0" borderId="53" xfId="3" applyNumberFormat="1" applyFont="1" applyFill="1" applyBorder="1" applyAlignment="1">
      <alignment horizontal="center" vertical="center"/>
    </xf>
    <xf numFmtId="172" fontId="118" fillId="0" borderId="57" xfId="3" applyNumberFormat="1" applyFont="1" applyBorder="1" applyAlignment="1">
      <alignment horizontal="center" vertical="center"/>
    </xf>
    <xf numFmtId="172" fontId="119" fillId="13" borderId="67" xfId="3" applyNumberFormat="1" applyFont="1" applyFill="1" applyBorder="1" applyAlignment="1">
      <alignment horizontal="center" vertical="center"/>
    </xf>
    <xf numFmtId="172" fontId="119" fillId="13" borderId="66" xfId="3" applyNumberFormat="1" applyFont="1" applyFill="1" applyBorder="1" applyAlignment="1">
      <alignment horizontal="center" vertical="center"/>
    </xf>
    <xf numFmtId="172" fontId="119" fillId="13" borderId="68" xfId="3" applyNumberFormat="1" applyFont="1" applyFill="1" applyBorder="1" applyAlignment="1">
      <alignment horizontal="center" vertical="center"/>
    </xf>
    <xf numFmtId="172" fontId="49" fillId="0" borderId="55" xfId="3" applyNumberFormat="1" applyFont="1" applyBorder="1" applyAlignment="1">
      <alignment horizontal="center" vertical="center"/>
    </xf>
    <xf numFmtId="172" fontId="39" fillId="0" borderId="63" xfId="3" applyNumberFormat="1" applyFont="1" applyBorder="1" applyAlignment="1">
      <alignment horizontal="center" vertical="center"/>
    </xf>
    <xf numFmtId="172" fontId="39" fillId="0" borderId="67" xfId="3" applyNumberFormat="1" applyFont="1" applyBorder="1" applyAlignment="1">
      <alignment horizontal="center" vertical="center"/>
    </xf>
    <xf numFmtId="172" fontId="39" fillId="0" borderId="66" xfId="3" applyNumberFormat="1" applyFont="1" applyBorder="1" applyAlignment="1">
      <alignment horizontal="center" vertical="center"/>
    </xf>
    <xf numFmtId="172" fontId="39" fillId="0" borderId="66" xfId="3" applyNumberFormat="1" applyFont="1" applyFill="1" applyBorder="1" applyAlignment="1">
      <alignment horizontal="center" vertical="center"/>
    </xf>
    <xf numFmtId="172" fontId="39" fillId="0" borderId="68" xfId="3" applyNumberFormat="1" applyFont="1" applyFill="1" applyBorder="1" applyAlignment="1">
      <alignment horizontal="center" vertical="center"/>
    </xf>
    <xf numFmtId="172" fontId="49" fillId="13" borderId="73" xfId="3" applyNumberFormat="1" applyFont="1" applyFill="1" applyBorder="1" applyAlignment="1">
      <alignment horizontal="center" vertical="center"/>
    </xf>
    <xf numFmtId="172" fontId="49" fillId="13" borderId="31" xfId="3" applyNumberFormat="1" applyFont="1" applyFill="1" applyBorder="1" applyAlignment="1">
      <alignment horizontal="center" vertical="center"/>
    </xf>
    <xf numFmtId="172" fontId="49" fillId="13" borderId="86" xfId="3" applyNumberFormat="1" applyFont="1" applyFill="1" applyBorder="1" applyAlignment="1">
      <alignment horizontal="center" vertical="center"/>
    </xf>
    <xf numFmtId="0" fontId="57" fillId="0" borderId="39" xfId="0" applyFont="1" applyBorder="1" applyAlignment="1">
      <alignment horizontal="center" vertical="center"/>
    </xf>
    <xf numFmtId="0" fontId="57" fillId="0" borderId="43" xfId="0" applyFont="1" applyBorder="1" applyAlignment="1">
      <alignment horizontal="center" vertical="center"/>
    </xf>
    <xf numFmtId="0" fontId="120" fillId="0" borderId="39" xfId="0" applyFont="1" applyFill="1" applyBorder="1" applyAlignment="1">
      <alignment horizontal="center" vertical="center"/>
    </xf>
    <xf numFmtId="0" fontId="120" fillId="0" borderId="41" xfId="0" applyFont="1" applyFill="1" applyBorder="1" applyAlignment="1">
      <alignment horizontal="center" vertical="center"/>
    </xf>
    <xf numFmtId="172" fontId="25" fillId="0" borderId="56" xfId="3" applyNumberFormat="1" applyFont="1" applyBorder="1" applyAlignment="1">
      <alignment horizontal="center" vertical="center"/>
    </xf>
    <xf numFmtId="0" fontId="4" fillId="8" borderId="39" xfId="0" applyFont="1" applyFill="1" applyBorder="1" applyAlignment="1">
      <alignment horizontal="center" vertical="center"/>
    </xf>
    <xf numFmtId="0" fontId="120" fillId="0" borderId="39" xfId="0" applyFont="1" applyFill="1" applyBorder="1" applyAlignment="1">
      <alignment horizontal="center"/>
    </xf>
    <xf numFmtId="0" fontId="121" fillId="13" borderId="55" xfId="0" applyFont="1" applyFill="1" applyBorder="1" applyAlignment="1">
      <alignment horizontal="left" vertical="center"/>
    </xf>
    <xf numFmtId="0" fontId="121" fillId="13" borderId="53" xfId="0" applyFont="1" applyFill="1" applyBorder="1" applyAlignment="1">
      <alignment horizontal="left" vertical="center"/>
    </xf>
    <xf numFmtId="0" fontId="121" fillId="13" borderId="53" xfId="0" applyFont="1" applyFill="1" applyBorder="1" applyAlignment="1">
      <alignment vertical="center"/>
    </xf>
    <xf numFmtId="0" fontId="98" fillId="0" borderId="39" xfId="0" applyFont="1" applyFill="1" applyBorder="1" applyAlignment="1">
      <alignment horizontal="center" vertical="center" wrapText="1"/>
    </xf>
    <xf numFmtId="0" fontId="7" fillId="7" borderId="89" xfId="0" applyFont="1" applyFill="1" applyBorder="1" applyAlignment="1">
      <alignment horizontal="center" vertical="center" wrapText="1"/>
    </xf>
    <xf numFmtId="0" fontId="7" fillId="7" borderId="90" xfId="0" applyFont="1" applyFill="1" applyBorder="1" applyAlignment="1">
      <alignment horizontal="center" vertical="center" wrapText="1"/>
    </xf>
    <xf numFmtId="0" fontId="7" fillId="7" borderId="91" xfId="0" applyFont="1" applyFill="1" applyBorder="1" applyAlignment="1">
      <alignment horizontal="center" vertical="center" wrapText="1"/>
    </xf>
    <xf numFmtId="0" fontId="121" fillId="13" borderId="27" xfId="0" applyFont="1" applyFill="1" applyBorder="1" applyAlignment="1">
      <alignment vertical="center"/>
    </xf>
    <xf numFmtId="0" fontId="15" fillId="11" borderId="111" xfId="0" applyFont="1" applyFill="1" applyBorder="1" applyAlignment="1">
      <alignment vertical="center"/>
    </xf>
    <xf numFmtId="167" fontId="36" fillId="13" borderId="40" xfId="0" applyNumberFormat="1" applyFont="1" applyFill="1" applyBorder="1" applyAlignment="1">
      <alignment horizontal="center" vertical="center"/>
    </xf>
    <xf numFmtId="167" fontId="124" fillId="13" borderId="39" xfId="0" applyNumberFormat="1" applyFont="1" applyFill="1" applyBorder="1" applyAlignment="1">
      <alignment vertical="center"/>
    </xf>
    <xf numFmtId="0" fontId="124" fillId="13" borderId="39" xfId="0" applyFont="1" applyFill="1" applyBorder="1" applyAlignment="1">
      <alignment vertical="center"/>
    </xf>
    <xf numFmtId="167" fontId="124" fillId="13" borderId="40" xfId="0" applyNumberFormat="1" applyFont="1" applyFill="1" applyBorder="1" applyAlignment="1">
      <alignment vertical="center"/>
    </xf>
    <xf numFmtId="0" fontId="69" fillId="0" borderId="62" xfId="0" applyFont="1" applyFill="1" applyBorder="1" applyAlignment="1">
      <alignment horizontal="center" vertical="center"/>
    </xf>
    <xf numFmtId="169" fontId="69" fillId="0" borderId="39" xfId="3" applyNumberFormat="1" applyFont="1" applyFill="1" applyBorder="1" applyAlignment="1">
      <alignment vertical="center"/>
    </xf>
    <xf numFmtId="173" fontId="69" fillId="0" borderId="39" xfId="3" applyNumberFormat="1" applyFont="1" applyFill="1" applyBorder="1" applyAlignment="1">
      <alignment vertical="center"/>
    </xf>
    <xf numFmtId="169" fontId="69" fillId="0" borderId="40" xfId="3" applyNumberFormat="1" applyFont="1" applyFill="1" applyBorder="1" applyAlignment="1">
      <alignment vertical="center"/>
    </xf>
    <xf numFmtId="0" fontId="125" fillId="12" borderId="95" xfId="0" applyFont="1" applyFill="1" applyBorder="1" applyAlignment="1">
      <alignment horizontal="center" vertical="center" wrapText="1"/>
    </xf>
    <xf numFmtId="0" fontId="125" fillId="12" borderId="96" xfId="0" applyFont="1" applyFill="1" applyBorder="1" applyAlignment="1">
      <alignment horizontal="center" vertical="center" wrapText="1"/>
    </xf>
    <xf numFmtId="172" fontId="113" fillId="0" borderId="81" xfId="3" applyNumberFormat="1" applyFont="1" applyFill="1" applyBorder="1" applyAlignment="1">
      <alignment horizontal="center" vertical="center"/>
    </xf>
    <xf numFmtId="172" fontId="113" fillId="0" borderId="45" xfId="3" applyNumberFormat="1" applyFont="1" applyFill="1" applyBorder="1" applyAlignment="1">
      <alignment horizontal="center" vertical="center"/>
    </xf>
    <xf numFmtId="172" fontId="113" fillId="0" borderId="110" xfId="3" applyNumberFormat="1" applyFont="1" applyFill="1" applyBorder="1" applyAlignment="1">
      <alignment horizontal="center" vertical="center"/>
    </xf>
    <xf numFmtId="172" fontId="113" fillId="0" borderId="58" xfId="3" applyNumberFormat="1" applyFont="1" applyFill="1" applyBorder="1" applyAlignment="1">
      <alignment horizontal="center" vertical="center"/>
    </xf>
    <xf numFmtId="172" fontId="113" fillId="0" borderId="45" xfId="3" applyNumberFormat="1" applyFont="1" applyFill="1" applyBorder="1" applyAlignment="1">
      <alignment horizontal="center"/>
    </xf>
    <xf numFmtId="172" fontId="113" fillId="0" borderId="57" xfId="3" applyNumberFormat="1" applyFont="1" applyFill="1" applyBorder="1" applyAlignment="1">
      <alignment horizontal="center"/>
    </xf>
    <xf numFmtId="172" fontId="45" fillId="0" borderId="81" xfId="3" applyNumberFormat="1" applyFont="1" applyFill="1" applyBorder="1" applyAlignment="1">
      <alignment horizontal="center" vertical="center"/>
    </xf>
    <xf numFmtId="172" fontId="45" fillId="0" borderId="45" xfId="3" applyNumberFormat="1" applyFont="1" applyFill="1" applyBorder="1" applyAlignment="1">
      <alignment horizontal="center" vertical="center"/>
    </xf>
    <xf numFmtId="172" fontId="45" fillId="0" borderId="110" xfId="3" applyNumberFormat="1" applyFont="1" applyFill="1" applyBorder="1" applyAlignment="1">
      <alignment horizontal="center" vertical="center"/>
    </xf>
    <xf numFmtId="172" fontId="45" fillId="0" borderId="58" xfId="3" applyNumberFormat="1" applyFont="1" applyFill="1" applyBorder="1" applyAlignment="1">
      <alignment horizontal="center" vertical="center"/>
    </xf>
    <xf numFmtId="172" fontId="45" fillId="0" borderId="45" xfId="3" applyNumberFormat="1" applyFont="1" applyFill="1" applyBorder="1" applyAlignment="1">
      <alignment horizontal="center"/>
    </xf>
    <xf numFmtId="172" fontId="45" fillId="13" borderId="81" xfId="3" applyNumberFormat="1" applyFont="1" applyFill="1" applyBorder="1" applyAlignment="1">
      <alignment horizontal="center" vertical="center"/>
    </xf>
    <xf numFmtId="172" fontId="45" fillId="13" borderId="45" xfId="3" applyNumberFormat="1" applyFont="1" applyFill="1" applyBorder="1" applyAlignment="1">
      <alignment horizontal="center" vertical="center"/>
    </xf>
    <xf numFmtId="172" fontId="45" fillId="13" borderId="110" xfId="3" applyNumberFormat="1" applyFont="1" applyFill="1" applyBorder="1" applyAlignment="1">
      <alignment horizontal="center" vertical="center"/>
    </xf>
    <xf numFmtId="172" fontId="45" fillId="13" borderId="58" xfId="3" applyNumberFormat="1" applyFont="1" applyFill="1" applyBorder="1" applyAlignment="1">
      <alignment horizontal="center" vertical="center"/>
    </xf>
    <xf numFmtId="172" fontId="45" fillId="13" borderId="45" xfId="3" applyNumberFormat="1" applyFont="1" applyFill="1" applyBorder="1" applyAlignment="1">
      <alignment horizontal="center"/>
    </xf>
    <xf numFmtId="172" fontId="45" fillId="13" borderId="57" xfId="3" applyNumberFormat="1" applyFont="1" applyFill="1" applyBorder="1" applyAlignment="1">
      <alignment horizontal="center"/>
    </xf>
    <xf numFmtId="0" fontId="20" fillId="9" borderId="39" xfId="0" applyFont="1" applyFill="1" applyBorder="1" applyAlignment="1">
      <alignment horizontal="center" vertical="center"/>
    </xf>
    <xf numFmtId="0" fontId="0" fillId="0" borderId="31" xfId="0" applyBorder="1"/>
    <xf numFmtId="0" fontId="20" fillId="0" borderId="53" xfId="0" applyFont="1" applyBorder="1" applyAlignment="1">
      <alignment vertical="center"/>
    </xf>
    <xf numFmtId="0" fontId="127" fillId="0" borderId="53" xfId="0" applyFont="1" applyBorder="1" applyAlignment="1">
      <alignment vertical="center"/>
    </xf>
    <xf numFmtId="0" fontId="20" fillId="0" borderId="57" xfId="0" applyFont="1" applyBorder="1" applyAlignment="1">
      <alignment vertical="center"/>
    </xf>
    <xf numFmtId="0" fontId="128" fillId="0" borderId="57" xfId="0" applyFont="1" applyBorder="1" applyAlignment="1">
      <alignment vertical="center"/>
    </xf>
    <xf numFmtId="0" fontId="0" fillId="0" borderId="86" xfId="0" applyBorder="1"/>
    <xf numFmtId="0" fontId="0" fillId="0" borderId="0" xfId="0" applyBorder="1" applyAlignment="1">
      <alignment vertical="center"/>
    </xf>
    <xf numFmtId="169" fontId="0" fillId="0" borderId="0" xfId="3" applyNumberFormat="1" applyFont="1" applyBorder="1" applyAlignment="1">
      <alignment vertical="center"/>
    </xf>
    <xf numFmtId="0" fontId="17" fillId="0" borderId="0" xfId="0" applyFont="1" applyBorder="1" applyAlignment="1">
      <alignment vertical="center"/>
    </xf>
    <xf numFmtId="0" fontId="99" fillId="0" borderId="47" xfId="0" applyFont="1" applyFill="1" applyBorder="1" applyAlignment="1">
      <alignment horizontal="center" vertical="center"/>
    </xf>
    <xf numFmtId="172" fontId="20" fillId="0" borderId="63" xfId="3" applyNumberFormat="1" applyFont="1" applyBorder="1" applyAlignment="1">
      <alignment horizontal="center" vertical="center"/>
    </xf>
    <xf numFmtId="172" fontId="49" fillId="0" borderId="31" xfId="3" applyNumberFormat="1" applyFont="1" applyBorder="1" applyAlignment="1">
      <alignment horizontal="center" vertical="center"/>
    </xf>
    <xf numFmtId="172" fontId="20" fillId="0" borderId="45" xfId="3" applyNumberFormat="1" applyFont="1" applyBorder="1" applyAlignment="1">
      <alignment horizontal="center" vertical="center"/>
    </xf>
    <xf numFmtId="172" fontId="49" fillId="0" borderId="31" xfId="3" applyNumberFormat="1" applyFont="1" applyFill="1" applyBorder="1" applyAlignment="1">
      <alignment horizontal="center" vertical="center"/>
    </xf>
    <xf numFmtId="172" fontId="49" fillId="0" borderId="53" xfId="3" applyNumberFormat="1" applyFont="1" applyFill="1" applyBorder="1" applyAlignment="1">
      <alignment horizontal="center" vertical="center"/>
    </xf>
    <xf numFmtId="172" fontId="49" fillId="0" borderId="57" xfId="3" applyNumberFormat="1" applyFont="1" applyFill="1" applyBorder="1" applyAlignment="1">
      <alignment horizontal="center" vertical="center"/>
    </xf>
    <xf numFmtId="172" fontId="39" fillId="0" borderId="57" xfId="3" applyNumberFormat="1" applyFont="1" applyFill="1" applyBorder="1" applyAlignment="1">
      <alignment horizontal="center" vertical="center"/>
    </xf>
    <xf numFmtId="172" fontId="20" fillId="0" borderId="110" xfId="3" applyNumberFormat="1" applyFont="1" applyBorder="1" applyAlignment="1">
      <alignment horizontal="center" vertical="center"/>
    </xf>
    <xf numFmtId="172" fontId="49" fillId="0" borderId="111" xfId="3" applyNumberFormat="1" applyFont="1" applyFill="1" applyBorder="1" applyAlignment="1">
      <alignment horizontal="center" vertical="center"/>
    </xf>
    <xf numFmtId="172" fontId="39" fillId="0" borderId="111" xfId="3" applyNumberFormat="1" applyFont="1" applyFill="1" applyBorder="1" applyAlignment="1">
      <alignment horizontal="center" vertical="center"/>
    </xf>
    <xf numFmtId="172" fontId="49" fillId="0" borderId="112" xfId="3" applyNumberFormat="1" applyFont="1" applyBorder="1" applyAlignment="1">
      <alignment horizontal="center" vertical="center"/>
    </xf>
    <xf numFmtId="172" fontId="39" fillId="0" borderId="55" xfId="3" applyNumberFormat="1" applyFont="1" applyBorder="1" applyAlignment="1">
      <alignment horizontal="center" vertical="center"/>
    </xf>
    <xf numFmtId="172" fontId="49" fillId="0" borderId="58" xfId="3" applyNumberFormat="1" applyFont="1" applyBorder="1" applyAlignment="1">
      <alignment horizontal="center" vertical="center"/>
    </xf>
    <xf numFmtId="172" fontId="49" fillId="0" borderId="53" xfId="3" applyNumberFormat="1" applyFont="1" applyBorder="1"/>
    <xf numFmtId="172" fontId="49" fillId="0" borderId="53" xfId="3" applyNumberFormat="1" applyFont="1" applyFill="1" applyBorder="1" applyAlignment="1">
      <alignment vertical="center"/>
    </xf>
    <xf numFmtId="172" fontId="49" fillId="0" borderId="57" xfId="3" applyNumberFormat="1" applyFont="1" applyBorder="1"/>
    <xf numFmtId="172" fontId="39" fillId="0" borderId="57" xfId="3" applyNumberFormat="1" applyFont="1" applyBorder="1" applyAlignment="1">
      <alignment horizontal="center" vertical="center"/>
    </xf>
    <xf numFmtId="172" fontId="49" fillId="0" borderId="57" xfId="3" applyNumberFormat="1" applyFont="1" applyBorder="1" applyAlignment="1">
      <alignment horizontal="center" vertical="center"/>
    </xf>
    <xf numFmtId="172" fontId="39" fillId="11" borderId="39" xfId="3" applyNumberFormat="1" applyFont="1" applyFill="1" applyBorder="1" applyAlignment="1">
      <alignment horizontal="center" vertical="center"/>
    </xf>
    <xf numFmtId="172" fontId="49" fillId="11" borderId="39" xfId="3" applyNumberFormat="1" applyFont="1" applyFill="1" applyBorder="1" applyAlignment="1">
      <alignment horizontal="center" vertical="center"/>
    </xf>
    <xf numFmtId="172" fontId="20" fillId="0" borderId="31" xfId="3" applyNumberFormat="1" applyFont="1" applyFill="1" applyBorder="1" applyAlignment="1">
      <alignment horizontal="center" vertical="center"/>
    </xf>
    <xf numFmtId="172" fontId="20" fillId="0" borderId="53" xfId="3" applyNumberFormat="1" applyFont="1" applyFill="1" applyBorder="1" applyAlignment="1">
      <alignment horizontal="center" vertical="center"/>
    </xf>
    <xf numFmtId="172" fontId="20" fillId="0" borderId="57" xfId="3" applyNumberFormat="1" applyFont="1" applyFill="1" applyBorder="1" applyAlignment="1">
      <alignment horizontal="center" vertical="center"/>
    </xf>
    <xf numFmtId="172" fontId="39" fillId="0" borderId="45" xfId="3" applyNumberFormat="1" applyFont="1" applyBorder="1" applyAlignment="1">
      <alignment horizontal="center" vertical="center"/>
    </xf>
    <xf numFmtId="172" fontId="39" fillId="0" borderId="31" xfId="3" applyNumberFormat="1" applyFont="1" applyBorder="1" applyAlignment="1">
      <alignment horizontal="center" vertical="center"/>
    </xf>
    <xf numFmtId="172" fontId="49" fillId="0" borderId="45" xfId="3" applyNumberFormat="1" applyFont="1" applyBorder="1" applyAlignment="1">
      <alignment horizontal="center" vertical="center"/>
    </xf>
    <xf numFmtId="172" fontId="49" fillId="0" borderId="45" xfId="3" applyNumberFormat="1" applyFont="1" applyBorder="1"/>
    <xf numFmtId="172" fontId="39" fillId="0" borderId="34" xfId="3" applyNumberFormat="1" applyFont="1" applyBorder="1" applyAlignment="1">
      <alignment horizontal="center" vertical="center"/>
    </xf>
    <xf numFmtId="172" fontId="49" fillId="0" borderId="110" xfId="3" applyNumberFormat="1" applyFont="1" applyBorder="1" applyAlignment="1">
      <alignment horizontal="center" vertical="center"/>
    </xf>
    <xf numFmtId="169" fontId="76" fillId="0" borderId="53" xfId="3" applyNumberFormat="1" applyFont="1" applyBorder="1" applyAlignment="1">
      <alignment vertical="center"/>
    </xf>
    <xf numFmtId="169" fontId="76" fillId="0" borderId="57" xfId="3" applyNumberFormat="1" applyFont="1" applyBorder="1" applyAlignment="1">
      <alignment vertical="center"/>
    </xf>
    <xf numFmtId="172" fontId="39" fillId="0" borderId="72" xfId="3" applyNumberFormat="1" applyFont="1" applyBorder="1" applyAlignment="1">
      <alignment horizontal="center" vertical="center"/>
    </xf>
    <xf numFmtId="172" fontId="20" fillId="0" borderId="101" xfId="3" applyNumberFormat="1" applyFont="1" applyBorder="1" applyAlignment="1">
      <alignment horizontal="center" vertical="center"/>
    </xf>
    <xf numFmtId="172" fontId="15" fillId="0" borderId="66" xfId="3" applyNumberFormat="1" applyFont="1" applyBorder="1" applyAlignment="1">
      <alignment horizontal="center" vertical="center"/>
    </xf>
    <xf numFmtId="172" fontId="15" fillId="0" borderId="103" xfId="3" applyNumberFormat="1" applyFont="1" applyBorder="1" applyAlignment="1">
      <alignment horizontal="center" vertical="center"/>
    </xf>
    <xf numFmtId="0" fontId="17" fillId="13" borderId="39" xfId="0" applyFont="1" applyFill="1" applyBorder="1" applyAlignment="1">
      <alignment horizontal="center" vertical="center" wrapText="1"/>
    </xf>
    <xf numFmtId="0" fontId="0" fillId="13" borderId="53" xfId="0" applyFill="1" applyBorder="1"/>
    <xf numFmtId="0" fontId="0" fillId="13" borderId="99" xfId="0" applyFill="1" applyBorder="1"/>
    <xf numFmtId="172" fontId="119" fillId="13" borderId="55" xfId="3" applyNumberFormat="1" applyFont="1" applyFill="1" applyBorder="1" applyAlignment="1">
      <alignment horizontal="center" vertical="center"/>
    </xf>
    <xf numFmtId="172" fontId="119" fillId="13" borderId="42" xfId="3" applyNumberFormat="1" applyFont="1" applyFill="1" applyBorder="1" applyAlignment="1">
      <alignment horizontal="center" vertical="center"/>
    </xf>
    <xf numFmtId="172" fontId="20" fillId="13" borderId="100" xfId="0" applyNumberFormat="1" applyFont="1" applyFill="1" applyBorder="1" applyAlignment="1">
      <alignment horizontal="center" vertical="center"/>
    </xf>
    <xf numFmtId="172" fontId="119" fillId="13" borderId="103" xfId="3" applyNumberFormat="1" applyFont="1" applyFill="1" applyBorder="1" applyAlignment="1">
      <alignment horizontal="center" vertical="center"/>
    </xf>
    <xf numFmtId="172" fontId="20" fillId="13" borderId="67" xfId="0" applyNumberFormat="1" applyFont="1" applyFill="1" applyBorder="1" applyAlignment="1">
      <alignment horizontal="center" vertical="center"/>
    </xf>
    <xf numFmtId="0" fontId="0" fillId="13" borderId="66" xfId="0" applyFill="1" applyBorder="1"/>
    <xf numFmtId="0" fontId="0" fillId="13" borderId="103" xfId="0" applyFill="1" applyBorder="1"/>
    <xf numFmtId="0" fontId="17" fillId="13" borderId="40" xfId="0" applyFont="1" applyFill="1" applyBorder="1" applyAlignment="1">
      <alignment horizontal="center" vertical="center" wrapText="1"/>
    </xf>
    <xf numFmtId="172" fontId="20" fillId="0" borderId="55" xfId="3" applyNumberFormat="1" applyFont="1" applyBorder="1" applyAlignment="1">
      <alignment horizontal="center" vertical="center"/>
    </xf>
    <xf numFmtId="172" fontId="49" fillId="0" borderId="99" xfId="3" applyNumberFormat="1" applyFont="1" applyBorder="1" applyAlignment="1">
      <alignment horizontal="center" vertical="center"/>
    </xf>
    <xf numFmtId="0" fontId="0" fillId="0" borderId="99" xfId="0" applyBorder="1"/>
    <xf numFmtId="172" fontId="68" fillId="8" borderId="39" xfId="3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 vertical="center"/>
    </xf>
    <xf numFmtId="0" fontId="76" fillId="0" borderId="1" xfId="0" applyFont="1" applyBorder="1" applyAlignment="1">
      <alignment horizontal="center" vertical="center"/>
    </xf>
    <xf numFmtId="0" fontId="76" fillId="0" borderId="2" xfId="0" applyFont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left"/>
    </xf>
    <xf numFmtId="0" fontId="33" fillId="9" borderId="29" xfId="0" applyFont="1" applyFill="1" applyBorder="1" applyAlignment="1">
      <alignment horizontal="left" vertical="center"/>
    </xf>
    <xf numFmtId="0" fontId="133" fillId="0" borderId="53" xfId="0" applyFont="1" applyBorder="1" applyAlignment="1">
      <alignment vertical="center"/>
    </xf>
    <xf numFmtId="169" fontId="134" fillId="0" borderId="53" xfId="3" applyNumberFormat="1" applyFont="1" applyBorder="1" applyAlignment="1">
      <alignment vertical="center"/>
    </xf>
    <xf numFmtId="0" fontId="39" fillId="0" borderId="55" xfId="0" applyFont="1" applyBorder="1" applyAlignment="1">
      <alignment vertical="center"/>
    </xf>
    <xf numFmtId="169" fontId="41" fillId="0" borderId="55" xfId="3" applyNumberFormat="1" applyFont="1" applyBorder="1" applyAlignment="1">
      <alignment vertical="center"/>
    </xf>
    <xf numFmtId="0" fontId="133" fillId="0" borderId="39" xfId="0" applyFont="1" applyBorder="1" applyAlignment="1">
      <alignment vertical="center"/>
    </xf>
    <xf numFmtId="169" fontId="135" fillId="0" borderId="39" xfId="3" applyNumberFormat="1" applyFont="1" applyBorder="1" applyAlignment="1">
      <alignment vertical="center"/>
    </xf>
    <xf numFmtId="0" fontId="39" fillId="0" borderId="63" xfId="0" applyFont="1" applyFill="1" applyBorder="1" applyAlignment="1">
      <alignment vertical="center"/>
    </xf>
    <xf numFmtId="169" fontId="41" fillId="0" borderId="63" xfId="3" applyNumberFormat="1" applyFont="1" applyFill="1" applyBorder="1" applyAlignment="1">
      <alignment vertical="center"/>
    </xf>
    <xf numFmtId="169" fontId="131" fillId="9" borderId="53" xfId="3" applyNumberFormat="1" applyFont="1" applyFill="1" applyBorder="1" applyAlignment="1">
      <alignment vertical="center"/>
    </xf>
    <xf numFmtId="0" fontId="136" fillId="9" borderId="39" xfId="0" applyFont="1" applyFill="1" applyBorder="1" applyAlignment="1">
      <alignment horizontal="center" vertical="center"/>
    </xf>
    <xf numFmtId="169" fontId="137" fillId="9" borderId="39" xfId="3" applyNumberFormat="1" applyFont="1" applyFill="1" applyBorder="1" applyAlignment="1">
      <alignment vertical="center"/>
    </xf>
    <xf numFmtId="169" fontId="134" fillId="0" borderId="39" xfId="0" applyNumberFormat="1" applyFont="1" applyBorder="1" applyAlignment="1">
      <alignment vertical="center"/>
    </xf>
    <xf numFmtId="0" fontId="49" fillId="9" borderId="53" xfId="0" applyFont="1" applyFill="1" applyBorder="1" applyAlignment="1">
      <alignment vertical="center"/>
    </xf>
    <xf numFmtId="169" fontId="131" fillId="9" borderId="63" xfId="3" applyNumberFormat="1" applyFont="1" applyFill="1" applyBorder="1" applyAlignment="1">
      <alignment vertical="center"/>
    </xf>
    <xf numFmtId="0" fontId="49" fillId="9" borderId="63" xfId="0" applyFont="1" applyFill="1" applyBorder="1" applyAlignment="1">
      <alignment vertical="center"/>
    </xf>
    <xf numFmtId="14" fontId="138" fillId="0" borderId="57" xfId="0" applyNumberFormat="1" applyFont="1" applyBorder="1" applyAlignment="1">
      <alignment horizontal="center" vertical="center"/>
    </xf>
    <xf numFmtId="169" fontId="106" fillId="0" borderId="57" xfId="0" applyNumberFormat="1" applyFont="1" applyBorder="1" applyAlignment="1">
      <alignment horizontal="center" vertical="center"/>
    </xf>
    <xf numFmtId="0" fontId="139" fillId="0" borderId="39" xfId="0" applyFont="1" applyBorder="1" applyAlignment="1">
      <alignment horizontal="center" vertical="center" wrapText="1"/>
    </xf>
    <xf numFmtId="0" fontId="138" fillId="0" borderId="39" xfId="0" applyFont="1" applyBorder="1" applyAlignment="1">
      <alignment horizontal="center" vertical="center"/>
    </xf>
    <xf numFmtId="0" fontId="140" fillId="0" borderId="39" xfId="0" applyFont="1" applyBorder="1" applyAlignment="1">
      <alignment horizontal="center" vertical="center"/>
    </xf>
    <xf numFmtId="172" fontId="141" fillId="0" borderId="39" xfId="3" applyNumberFormat="1" applyFont="1" applyBorder="1" applyAlignment="1">
      <alignment horizontal="center" vertical="center"/>
    </xf>
    <xf numFmtId="169" fontId="141" fillId="0" borderId="39" xfId="0" applyNumberFormat="1" applyFont="1" applyBorder="1" applyAlignment="1">
      <alignment horizontal="center" vertical="center"/>
    </xf>
    <xf numFmtId="0" fontId="142" fillId="0" borderId="53" xfId="0" applyFont="1" applyBorder="1" applyAlignment="1">
      <alignment horizontal="center" vertical="center"/>
    </xf>
    <xf numFmtId="169" fontId="142" fillId="0" borderId="53" xfId="3" applyNumberFormat="1" applyFont="1" applyBorder="1" applyAlignment="1">
      <alignment horizontal="center" vertical="center"/>
    </xf>
    <xf numFmtId="0" fontId="143" fillId="0" borderId="53" xfId="0" applyFont="1" applyBorder="1"/>
    <xf numFmtId="0" fontId="102" fillId="0" borderId="63" xfId="0" applyFont="1" applyBorder="1" applyAlignment="1">
      <alignment horizontal="center" vertical="center"/>
    </xf>
    <xf numFmtId="0" fontId="102" fillId="0" borderId="53" xfId="0" applyFont="1" applyBorder="1" applyAlignment="1">
      <alignment horizontal="center" vertical="center"/>
    </xf>
    <xf numFmtId="14" fontId="145" fillId="0" borderId="63" xfId="0" applyNumberFormat="1" applyFont="1" applyBorder="1" applyAlignment="1">
      <alignment horizontal="center" vertical="center"/>
    </xf>
    <xf numFmtId="14" fontId="145" fillId="0" borderId="53" xfId="0" applyNumberFormat="1" applyFont="1" applyBorder="1" applyAlignment="1">
      <alignment horizontal="center" vertical="center"/>
    </xf>
    <xf numFmtId="0" fontId="146" fillId="0" borderId="39" xfId="0" applyFont="1" applyBorder="1" applyAlignment="1">
      <alignment horizontal="center" vertical="center"/>
    </xf>
    <xf numFmtId="14" fontId="138" fillId="0" borderId="39" xfId="0" applyNumberFormat="1" applyFont="1" applyBorder="1" applyAlignment="1">
      <alignment horizontal="center" vertical="center"/>
    </xf>
    <xf numFmtId="0" fontId="138" fillId="0" borderId="39" xfId="0" applyFont="1" applyBorder="1" applyAlignment="1">
      <alignment horizontal="center" vertical="center" wrapText="1"/>
    </xf>
    <xf numFmtId="0" fontId="147" fillId="0" borderId="94" xfId="0" applyFont="1" applyFill="1" applyBorder="1" applyAlignment="1">
      <alignment horizontal="center" vertical="center"/>
    </xf>
    <xf numFmtId="0" fontId="99" fillId="0" borderId="48" xfId="0" applyFont="1" applyFill="1" applyBorder="1" applyAlignment="1">
      <alignment horizontal="center" vertical="center"/>
    </xf>
    <xf numFmtId="172" fontId="0" fillId="0" borderId="0" xfId="0" applyNumberFormat="1"/>
    <xf numFmtId="0" fontId="74" fillId="0" borderId="63" xfId="0" applyFont="1" applyBorder="1" applyAlignment="1">
      <alignment vertical="center"/>
    </xf>
    <xf numFmtId="172" fontId="74" fillId="0" borderId="63" xfId="0" applyNumberFormat="1" applyFont="1" applyBorder="1" applyAlignment="1">
      <alignment vertical="center"/>
    </xf>
    <xf numFmtId="0" fontId="72" fillId="0" borderId="56" xfId="0" applyFont="1" applyBorder="1" applyAlignment="1">
      <alignment vertical="center"/>
    </xf>
    <xf numFmtId="172" fontId="72" fillId="0" borderId="56" xfId="0" applyNumberFormat="1" applyFont="1" applyBorder="1" applyAlignment="1">
      <alignment vertical="center"/>
    </xf>
    <xf numFmtId="172" fontId="150" fillId="0" borderId="65" xfId="3" applyNumberFormat="1" applyFont="1" applyFill="1" applyBorder="1" applyAlignment="1">
      <alignment horizontal="center" vertical="center"/>
    </xf>
    <xf numFmtId="1" fontId="151" fillId="0" borderId="65" xfId="0" applyNumberFormat="1" applyFont="1" applyFill="1" applyBorder="1" applyAlignment="1">
      <alignment horizontal="center" vertical="center"/>
    </xf>
    <xf numFmtId="1" fontId="152" fillId="0" borderId="65" xfId="0" applyNumberFormat="1" applyFont="1" applyFill="1" applyBorder="1" applyAlignment="1">
      <alignment horizontal="center" vertical="center"/>
    </xf>
    <xf numFmtId="0" fontId="51" fillId="0" borderId="0" xfId="0" applyNumberFormat="1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0" fillId="2" borderId="40" xfId="0" applyFont="1" applyFill="1" applyBorder="1" applyAlignment="1">
      <alignment vertical="center"/>
    </xf>
    <xf numFmtId="0" fontId="156" fillId="14" borderId="63" xfId="0" applyFont="1" applyFill="1" applyBorder="1" applyAlignment="1">
      <alignment horizontal="center" vertical="center"/>
    </xf>
    <xf numFmtId="0" fontId="157" fillId="0" borderId="72" xfId="0" applyFont="1" applyBorder="1" applyAlignment="1">
      <alignment horizontal="center" vertical="center"/>
    </xf>
    <xf numFmtId="0" fontId="157" fillId="0" borderId="66" xfId="0" applyFont="1" applyBorder="1" applyAlignment="1">
      <alignment horizontal="center" vertical="center"/>
    </xf>
    <xf numFmtId="0" fontId="156" fillId="14" borderId="53" xfId="0" applyFont="1" applyFill="1" applyBorder="1" applyAlignment="1">
      <alignment horizontal="center" vertical="center"/>
    </xf>
    <xf numFmtId="0" fontId="156" fillId="14" borderId="57" xfId="0" applyFont="1" applyFill="1" applyBorder="1" applyAlignment="1">
      <alignment horizontal="center" vertical="center"/>
    </xf>
    <xf numFmtId="0" fontId="157" fillId="0" borderId="68" xfId="0" applyFont="1" applyBorder="1" applyAlignment="1">
      <alignment horizontal="center" vertical="center"/>
    </xf>
    <xf numFmtId="172" fontId="158" fillId="0" borderId="55" xfId="3" applyNumberFormat="1" applyFont="1" applyFill="1" applyBorder="1" applyAlignment="1">
      <alignment horizontal="center" vertical="center"/>
    </xf>
    <xf numFmtId="172" fontId="158" fillId="0" borderId="53" xfId="3" applyNumberFormat="1" applyFont="1" applyFill="1" applyBorder="1" applyAlignment="1">
      <alignment horizontal="center" vertical="center"/>
    </xf>
    <xf numFmtId="0" fontId="159" fillId="0" borderId="63" xfId="0" applyFont="1" applyBorder="1" applyAlignment="1">
      <alignment horizontal="center" vertical="center"/>
    </xf>
    <xf numFmtId="169" fontId="157" fillId="0" borderId="63" xfId="3" applyNumberFormat="1" applyFont="1" applyBorder="1" applyAlignment="1">
      <alignment horizontal="center" vertical="center"/>
    </xf>
    <xf numFmtId="0" fontId="157" fillId="0" borderId="94" xfId="0" applyFont="1" applyBorder="1" applyAlignment="1">
      <alignment horizontal="center" vertical="center"/>
    </xf>
    <xf numFmtId="0" fontId="157" fillId="0" borderId="47" xfId="0" applyFont="1" applyBorder="1" applyAlignment="1">
      <alignment horizontal="center" vertical="center"/>
    </xf>
    <xf numFmtId="0" fontId="166" fillId="2" borderId="94" xfId="0" applyFont="1" applyFill="1" applyBorder="1" applyAlignment="1">
      <alignment horizontal="center" vertical="center"/>
    </xf>
    <xf numFmtId="0" fontId="166" fillId="2" borderId="47" xfId="0" applyFont="1" applyFill="1" applyBorder="1" applyAlignment="1">
      <alignment horizontal="center" vertical="center"/>
    </xf>
    <xf numFmtId="0" fontId="166" fillId="2" borderId="87" xfId="0" applyFont="1" applyFill="1" applyBorder="1" applyAlignment="1">
      <alignment horizontal="center" vertical="center"/>
    </xf>
    <xf numFmtId="0" fontId="166" fillId="0" borderId="39" xfId="0" applyFont="1" applyBorder="1" applyAlignment="1">
      <alignment horizontal="center" vertical="center"/>
    </xf>
    <xf numFmtId="0" fontId="157" fillId="2" borderId="94" xfId="0" applyFont="1" applyFill="1" applyBorder="1" applyAlignment="1">
      <alignment horizontal="center" vertical="center"/>
    </xf>
    <xf numFmtId="0" fontId="157" fillId="2" borderId="47" xfId="0" applyFont="1" applyFill="1" applyBorder="1" applyAlignment="1">
      <alignment horizontal="center" vertical="center"/>
    </xf>
    <xf numFmtId="0" fontId="157" fillId="2" borderId="48" xfId="0" applyFont="1" applyFill="1" applyBorder="1" applyAlignment="1">
      <alignment horizontal="center" vertical="center"/>
    </xf>
    <xf numFmtId="0" fontId="157" fillId="0" borderId="48" xfId="0" applyFont="1" applyBorder="1" applyAlignment="1">
      <alignment horizontal="center" vertical="center"/>
    </xf>
    <xf numFmtId="0" fontId="157" fillId="0" borderId="53" xfId="0" applyFont="1" applyBorder="1" applyAlignment="1">
      <alignment horizontal="center" vertical="center"/>
    </xf>
    <xf numFmtId="0" fontId="157" fillId="0" borderId="57" xfId="0" applyFont="1" applyBorder="1" applyAlignment="1">
      <alignment horizontal="center" vertical="center"/>
    </xf>
    <xf numFmtId="0" fontId="169" fillId="0" borderId="57" xfId="0" applyFont="1" applyBorder="1" applyAlignment="1">
      <alignment horizontal="center" vertical="center"/>
    </xf>
    <xf numFmtId="0" fontId="169" fillId="0" borderId="53" xfId="0" applyFont="1" applyBorder="1" applyAlignment="1">
      <alignment horizontal="center" vertical="center"/>
    </xf>
    <xf numFmtId="0" fontId="160" fillId="14" borderId="63" xfId="0" applyFont="1" applyFill="1" applyBorder="1" applyAlignment="1">
      <alignment horizontal="center" vertical="center"/>
    </xf>
    <xf numFmtId="0" fontId="160" fillId="14" borderId="53" xfId="0" applyFont="1" applyFill="1" applyBorder="1" applyAlignment="1">
      <alignment horizontal="center" vertical="center"/>
    </xf>
    <xf numFmtId="0" fontId="160" fillId="14" borderId="42" xfId="0" applyFont="1" applyFill="1" applyBorder="1" applyAlignment="1">
      <alignment horizontal="center" vertical="center"/>
    </xf>
    <xf numFmtId="0" fontId="160" fillId="14" borderId="57" xfId="0" applyFont="1" applyFill="1" applyBorder="1" applyAlignment="1">
      <alignment horizontal="center" vertical="center"/>
    </xf>
    <xf numFmtId="0" fontId="177" fillId="14" borderId="72" xfId="0" applyFont="1" applyFill="1" applyBorder="1" applyAlignment="1">
      <alignment vertical="center"/>
    </xf>
    <xf numFmtId="0" fontId="168" fillId="14" borderId="57" xfId="0" applyFont="1" applyFill="1" applyBorder="1"/>
    <xf numFmtId="0" fontId="168" fillId="14" borderId="53" xfId="0" applyFont="1" applyFill="1" applyBorder="1"/>
    <xf numFmtId="172" fontId="157" fillId="14" borderId="52" xfId="3" applyNumberFormat="1" applyFont="1" applyFill="1" applyBorder="1" applyAlignment="1">
      <alignment horizontal="center" vertical="center"/>
    </xf>
    <xf numFmtId="172" fontId="157" fillId="14" borderId="53" xfId="3" applyNumberFormat="1" applyFont="1" applyFill="1" applyBorder="1" applyAlignment="1">
      <alignment horizontal="center" vertical="center"/>
    </xf>
    <xf numFmtId="172" fontId="157" fillId="14" borderId="53" xfId="3" applyNumberFormat="1" applyFont="1" applyFill="1" applyBorder="1"/>
    <xf numFmtId="172" fontId="157" fillId="14" borderId="57" xfId="3" applyNumberFormat="1" applyFont="1" applyFill="1" applyBorder="1"/>
    <xf numFmtId="172" fontId="157" fillId="14" borderId="68" xfId="3" applyNumberFormat="1" applyFont="1" applyFill="1" applyBorder="1"/>
    <xf numFmtId="172" fontId="157" fillId="14" borderId="66" xfId="3" applyNumberFormat="1" applyFont="1" applyFill="1" applyBorder="1"/>
    <xf numFmtId="0" fontId="177" fillId="14" borderId="55" xfId="0" applyFont="1" applyFill="1" applyBorder="1" applyAlignment="1">
      <alignment vertical="center"/>
    </xf>
    <xf numFmtId="0" fontId="177" fillId="14" borderId="53" xfId="0" applyFont="1" applyFill="1" applyBorder="1" applyAlignment="1">
      <alignment vertical="center"/>
    </xf>
    <xf numFmtId="0" fontId="180" fillId="14" borderId="63" xfId="0" applyFont="1" applyFill="1" applyBorder="1" applyAlignment="1">
      <alignment horizontal="center" vertical="center"/>
    </xf>
    <xf numFmtId="0" fontId="180" fillId="14" borderId="53" xfId="0" applyFont="1" applyFill="1" applyBorder="1" applyAlignment="1">
      <alignment horizontal="center" vertical="center"/>
    </xf>
    <xf numFmtId="0" fontId="180" fillId="14" borderId="57" xfId="0" applyFont="1" applyFill="1" applyBorder="1" applyAlignment="1">
      <alignment horizontal="center" vertical="center"/>
    </xf>
    <xf numFmtId="0" fontId="156" fillId="10" borderId="53" xfId="0" applyFont="1" applyFill="1" applyBorder="1" applyAlignment="1">
      <alignment horizontal="center" vertical="center"/>
    </xf>
    <xf numFmtId="0" fontId="156" fillId="10" borderId="57" xfId="0" applyFont="1" applyFill="1" applyBorder="1" applyAlignment="1">
      <alignment horizontal="center" vertical="center"/>
    </xf>
    <xf numFmtId="0" fontId="153" fillId="7" borderId="39" xfId="0" applyFont="1" applyFill="1" applyBorder="1" applyAlignment="1">
      <alignment horizontal="center" vertical="center"/>
    </xf>
    <xf numFmtId="0" fontId="178" fillId="7" borderId="39" xfId="0" applyFont="1" applyFill="1" applyBorder="1" applyAlignment="1">
      <alignment horizontal="center" vertical="center"/>
    </xf>
    <xf numFmtId="0" fontId="178" fillId="7" borderId="43" xfId="0" applyFont="1" applyFill="1" applyBorder="1" applyAlignment="1">
      <alignment horizontal="center" vertical="center"/>
    </xf>
    <xf numFmtId="0" fontId="153" fillId="7" borderId="43" xfId="0" applyFont="1" applyFill="1" applyBorder="1" applyAlignment="1">
      <alignment horizontal="center" vertical="center" wrapText="1"/>
    </xf>
    <xf numFmtId="0" fontId="162" fillId="7" borderId="43" xfId="0" applyFont="1" applyFill="1" applyBorder="1" applyAlignment="1">
      <alignment horizontal="center" vertical="center"/>
    </xf>
    <xf numFmtId="0" fontId="162" fillId="7" borderId="39" xfId="0" applyFont="1" applyFill="1" applyBorder="1" applyAlignment="1">
      <alignment horizontal="center" vertical="center"/>
    </xf>
    <xf numFmtId="172" fontId="163" fillId="7" borderId="39" xfId="3" applyNumberFormat="1" applyFont="1" applyFill="1" applyBorder="1" applyAlignment="1">
      <alignment horizontal="center" vertical="center"/>
    </xf>
    <xf numFmtId="169" fontId="165" fillId="7" borderId="39" xfId="3" applyNumberFormat="1" applyFont="1" applyFill="1" applyBorder="1" applyAlignment="1">
      <alignment horizontal="center" vertical="center"/>
    </xf>
    <xf numFmtId="0" fontId="156" fillId="14" borderId="55" xfId="0" applyFont="1" applyFill="1" applyBorder="1" applyAlignment="1">
      <alignment horizontal="center" vertical="center" wrapText="1"/>
    </xf>
    <xf numFmtId="0" fontId="39" fillId="0" borderId="39" xfId="0" applyFont="1" applyBorder="1" applyAlignment="1">
      <alignment horizontal="center" vertical="center"/>
    </xf>
    <xf numFmtId="0" fontId="185" fillId="9" borderId="118" xfId="0" applyFont="1" applyFill="1" applyBorder="1" applyAlignment="1">
      <alignment horizontal="center" vertical="center"/>
    </xf>
    <xf numFmtId="0" fontId="186" fillId="9" borderId="119" xfId="0" applyFont="1" applyFill="1" applyBorder="1" applyAlignment="1">
      <alignment horizontal="center" vertical="center"/>
    </xf>
    <xf numFmtId="0" fontId="187" fillId="9" borderId="119" xfId="0" applyFont="1" applyFill="1" applyBorder="1" applyAlignment="1">
      <alignment horizontal="center" vertical="center" wrapText="1"/>
    </xf>
    <xf numFmtId="169" fontId="94" fillId="0" borderId="0" xfId="3" applyNumberFormat="1" applyFont="1" applyFill="1" applyBorder="1" applyAlignment="1">
      <alignment horizontal="center" vertical="center" wrapText="1"/>
    </xf>
    <xf numFmtId="0" fontId="98" fillId="0" borderId="0" xfId="0" applyFont="1" applyFill="1" applyBorder="1" applyAlignment="1">
      <alignment horizontal="center" vertical="center" wrapText="1"/>
    </xf>
    <xf numFmtId="172" fontId="188" fillId="0" borderId="39" xfId="0" applyNumberFormat="1" applyFont="1" applyBorder="1" applyAlignment="1">
      <alignment horizontal="center" vertical="center"/>
    </xf>
    <xf numFmtId="172" fontId="41" fillId="0" borderId="39" xfId="3" applyNumberFormat="1" applyFont="1" applyBorder="1" applyAlignment="1">
      <alignment horizontal="center" vertical="center"/>
    </xf>
    <xf numFmtId="0" fontId="7" fillId="7" borderId="126" xfId="0" applyFont="1" applyFill="1" applyBorder="1" applyAlignment="1">
      <alignment horizontal="center" vertical="center" wrapText="1"/>
    </xf>
    <xf numFmtId="0" fontId="99" fillId="0" borderId="87" xfId="0" applyFont="1" applyFill="1" applyBorder="1" applyAlignment="1">
      <alignment horizontal="center" vertical="center"/>
    </xf>
    <xf numFmtId="0" fontId="22" fillId="9" borderId="62" xfId="0" applyFont="1" applyFill="1" applyBorder="1" applyAlignment="1">
      <alignment horizontal="center" vertical="center"/>
    </xf>
    <xf numFmtId="172" fontId="189" fillId="0" borderId="31" xfId="3" applyNumberFormat="1" applyFont="1" applyFill="1" applyBorder="1" applyAlignment="1">
      <alignment horizontal="center" vertical="center"/>
    </xf>
    <xf numFmtId="172" fontId="189" fillId="0" borderId="53" xfId="3" applyNumberFormat="1" applyFont="1" applyFill="1" applyBorder="1" applyAlignment="1">
      <alignment horizontal="center" vertical="center"/>
    </xf>
    <xf numFmtId="172" fontId="189" fillId="0" borderId="57" xfId="3" applyNumberFormat="1" applyFont="1" applyFill="1" applyBorder="1" applyAlignment="1">
      <alignment horizontal="center" vertical="center"/>
    </xf>
    <xf numFmtId="0" fontId="190" fillId="0" borderId="82" xfId="0" applyFont="1" applyFill="1" applyBorder="1" applyAlignment="1">
      <alignment horizontal="center" vertical="center"/>
    </xf>
    <xf numFmtId="0" fontId="190" fillId="0" borderId="49" xfId="0" applyFont="1" applyFill="1" applyBorder="1" applyAlignment="1">
      <alignment horizontal="center" vertical="center"/>
    </xf>
    <xf numFmtId="0" fontId="190" fillId="0" borderId="83" xfId="0" applyFont="1" applyFill="1" applyBorder="1" applyAlignment="1">
      <alignment horizontal="center" vertical="center"/>
    </xf>
    <xf numFmtId="0" fontId="190" fillId="0" borderId="88" xfId="0" applyFont="1" applyFill="1" applyBorder="1" applyAlignment="1">
      <alignment horizontal="center" vertical="center"/>
    </xf>
    <xf numFmtId="0" fontId="190" fillId="0" borderId="26" xfId="0" applyFont="1" applyFill="1" applyBorder="1" applyAlignment="1">
      <alignment horizontal="center" vertical="center"/>
    </xf>
    <xf numFmtId="0" fontId="190" fillId="0" borderId="5" xfId="0" applyFont="1" applyFill="1" applyBorder="1" applyAlignment="1">
      <alignment horizontal="center" vertical="center"/>
    </xf>
    <xf numFmtId="0" fontId="190" fillId="0" borderId="25" xfId="0" applyFont="1" applyFill="1" applyBorder="1" applyAlignment="1">
      <alignment horizontal="center" vertical="center"/>
    </xf>
    <xf numFmtId="0" fontId="190" fillId="0" borderId="76" xfId="0" applyFont="1" applyFill="1" applyBorder="1" applyAlignment="1">
      <alignment horizontal="center" vertical="center"/>
    </xf>
    <xf numFmtId="0" fontId="190" fillId="0" borderId="28" xfId="0" applyFont="1" applyFill="1" applyBorder="1" applyAlignment="1">
      <alignment horizontal="center" vertical="center"/>
    </xf>
    <xf numFmtId="0" fontId="190" fillId="0" borderId="22" xfId="0" applyFont="1" applyFill="1" applyBorder="1" applyAlignment="1">
      <alignment horizontal="center" vertical="center"/>
    </xf>
    <xf numFmtId="0" fontId="190" fillId="0" borderId="32" xfId="0" applyFont="1" applyFill="1" applyBorder="1" applyAlignment="1">
      <alignment horizontal="center" vertical="center"/>
    </xf>
    <xf numFmtId="0" fontId="190" fillId="0" borderId="77" xfId="0" applyFont="1" applyFill="1" applyBorder="1" applyAlignment="1">
      <alignment horizontal="center" vertical="center"/>
    </xf>
    <xf numFmtId="0" fontId="191" fillId="8" borderId="39" xfId="0" applyFont="1" applyFill="1" applyBorder="1" applyAlignment="1">
      <alignment vertical="center"/>
    </xf>
    <xf numFmtId="0" fontId="81" fillId="8" borderId="39" xfId="0" applyFont="1" applyFill="1" applyBorder="1" applyAlignment="1">
      <alignment horizontal="center" vertical="center"/>
    </xf>
    <xf numFmtId="0" fontId="191" fillId="0" borderId="0" xfId="0" applyFont="1" applyFill="1" applyBorder="1" applyAlignment="1">
      <alignment vertical="center"/>
    </xf>
    <xf numFmtId="172" fontId="43" fillId="0" borderId="0" xfId="3" applyNumberFormat="1" applyFont="1" applyFill="1" applyBorder="1" applyAlignment="1">
      <alignment horizontal="center" vertical="center"/>
    </xf>
    <xf numFmtId="172" fontId="98" fillId="0" borderId="0" xfId="3" applyNumberFormat="1" applyFont="1" applyFill="1" applyBorder="1" applyAlignment="1">
      <alignment horizontal="center" vertical="center"/>
    </xf>
    <xf numFmtId="172" fontId="25" fillId="0" borderId="0" xfId="3" applyNumberFormat="1" applyFont="1" applyBorder="1" applyAlignment="1">
      <alignment vertical="center"/>
    </xf>
    <xf numFmtId="0" fontId="19" fillId="0" borderId="0" xfId="0" applyFont="1" applyFill="1" applyBorder="1" applyAlignment="1">
      <alignment horizontal="center"/>
    </xf>
    <xf numFmtId="0" fontId="19" fillId="0" borderId="0" xfId="0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192" fillId="13" borderId="55" xfId="0" applyFont="1" applyFill="1" applyBorder="1" applyAlignment="1">
      <alignment vertical="center"/>
    </xf>
    <xf numFmtId="0" fontId="192" fillId="13" borderId="53" xfId="0" applyFont="1" applyFill="1" applyBorder="1" applyAlignment="1">
      <alignment vertical="center"/>
    </xf>
    <xf numFmtId="0" fontId="193" fillId="11" borderId="63" xfId="0" applyFont="1" applyFill="1" applyBorder="1" applyAlignment="1"/>
    <xf numFmtId="0" fontId="193" fillId="11" borderId="53" xfId="0" applyFont="1" applyFill="1" applyBorder="1" applyAlignment="1"/>
    <xf numFmtId="0" fontId="193" fillId="11" borderId="53" xfId="0" applyFont="1" applyFill="1" applyBorder="1"/>
    <xf numFmtId="0" fontId="193" fillId="11" borderId="57" xfId="0" applyFont="1" applyFill="1" applyBorder="1" applyAlignment="1">
      <alignment vertical="center"/>
    </xf>
    <xf numFmtId="0" fontId="193" fillId="13" borderId="53" xfId="0" applyFont="1" applyFill="1" applyBorder="1" applyAlignment="1">
      <alignment vertical="center"/>
    </xf>
    <xf numFmtId="0" fontId="193" fillId="13" borderId="57" xfId="0" applyFont="1" applyFill="1" applyBorder="1" applyAlignment="1">
      <alignment vertical="center"/>
    </xf>
    <xf numFmtId="0" fontId="193" fillId="13" borderId="53" xfId="0" applyFont="1" applyFill="1" applyBorder="1"/>
    <xf numFmtId="0" fontId="193" fillId="13" borderId="55" xfId="0" applyFont="1" applyFill="1" applyBorder="1" applyAlignment="1">
      <alignment vertical="center"/>
    </xf>
    <xf numFmtId="0" fontId="192" fillId="13" borderId="67" xfId="0" applyFont="1" applyFill="1" applyBorder="1" applyAlignment="1">
      <alignment vertical="center"/>
    </xf>
    <xf numFmtId="0" fontId="192" fillId="13" borderId="1" xfId="0" applyFont="1" applyFill="1" applyBorder="1" applyAlignment="1">
      <alignment vertical="center"/>
    </xf>
    <xf numFmtId="0" fontId="196" fillId="0" borderId="39" xfId="0" applyFont="1" applyBorder="1" applyAlignment="1">
      <alignment horizontal="center" vertical="center"/>
    </xf>
    <xf numFmtId="172" fontId="198" fillId="0" borderId="39" xfId="3" applyNumberFormat="1" applyFont="1" applyBorder="1" applyAlignment="1">
      <alignment horizontal="center" vertical="center"/>
    </xf>
    <xf numFmtId="0" fontId="199" fillId="0" borderId="60" xfId="0" applyFont="1" applyBorder="1" applyAlignment="1">
      <alignment horizontal="center" vertical="center"/>
    </xf>
    <xf numFmtId="43" fontId="41" fillId="0" borderId="39" xfId="3" applyNumberFormat="1" applyFont="1" applyBorder="1" applyAlignment="1">
      <alignment horizontal="center" vertical="center"/>
    </xf>
    <xf numFmtId="0" fontId="201" fillId="0" borderId="11" xfId="0" applyFont="1" applyFill="1" applyBorder="1" applyAlignment="1">
      <alignment vertical="center"/>
    </xf>
    <xf numFmtId="172" fontId="203" fillId="0" borderId="31" xfId="3" applyNumberFormat="1" applyFont="1" applyBorder="1" applyAlignment="1">
      <alignment horizontal="center" vertical="center"/>
    </xf>
    <xf numFmtId="174" fontId="93" fillId="0" borderId="53" xfId="3" applyNumberFormat="1" applyFont="1" applyBorder="1" applyAlignment="1">
      <alignment horizontal="center" vertical="center"/>
    </xf>
    <xf numFmtId="43" fontId="119" fillId="13" borderId="66" xfId="3" applyNumberFormat="1" applyFont="1" applyFill="1" applyBorder="1" applyAlignment="1">
      <alignment horizontal="center" vertical="center"/>
    </xf>
    <xf numFmtId="0" fontId="119" fillId="13" borderId="66" xfId="3" applyNumberFormat="1" applyFont="1" applyFill="1" applyBorder="1" applyAlignment="1">
      <alignment horizontal="center" vertical="center"/>
    </xf>
    <xf numFmtId="1" fontId="20" fillId="0" borderId="0" xfId="0" applyNumberFormat="1" applyFont="1" applyFill="1" applyBorder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167" fontId="124" fillId="0" borderId="39" xfId="0" applyNumberFormat="1" applyFont="1" applyFill="1" applyBorder="1" applyAlignment="1">
      <alignment vertical="center"/>
    </xf>
    <xf numFmtId="0" fontId="0" fillId="0" borderId="0" xfId="0" applyFill="1"/>
    <xf numFmtId="0" fontId="3" fillId="0" borderId="0" xfId="0" applyNumberFormat="1" applyFont="1" applyFill="1" applyBorder="1"/>
    <xf numFmtId="172" fontId="93" fillId="0" borderId="100" xfId="3" applyNumberFormat="1" applyFont="1" applyBorder="1" applyAlignment="1">
      <alignment horizontal="center" vertical="center"/>
    </xf>
    <xf numFmtId="172" fontId="21" fillId="0" borderId="100" xfId="3" applyNumberFormat="1" applyFont="1" applyBorder="1" applyAlignment="1">
      <alignment horizontal="center" vertical="center"/>
    </xf>
    <xf numFmtId="172" fontId="21" fillId="0" borderId="100" xfId="3" applyNumberFormat="1" applyFont="1" applyFill="1" applyBorder="1" applyAlignment="1">
      <alignment horizontal="center" vertical="center"/>
    </xf>
    <xf numFmtId="172" fontId="93" fillId="0" borderId="100" xfId="3" applyNumberFormat="1" applyFont="1" applyFill="1" applyBorder="1" applyAlignment="1">
      <alignment horizontal="center" vertical="center"/>
    </xf>
    <xf numFmtId="169" fontId="119" fillId="13" borderId="66" xfId="3" applyNumberFormat="1" applyFont="1" applyFill="1" applyBorder="1" applyAlignment="1">
      <alignment horizontal="center" vertical="center"/>
    </xf>
    <xf numFmtId="174" fontId="118" fillId="0" borderId="53" xfId="3" applyNumberFormat="1" applyFont="1" applyBorder="1" applyAlignment="1">
      <alignment horizontal="center" vertical="center"/>
    </xf>
    <xf numFmtId="0" fontId="204" fillId="2" borderId="0" xfId="0" applyFont="1" applyFill="1" applyBorder="1" applyAlignment="1">
      <alignment vertical="center"/>
    </xf>
    <xf numFmtId="175" fontId="0" fillId="0" borderId="0" xfId="0" applyNumberFormat="1"/>
    <xf numFmtId="1" fontId="0" fillId="0" borderId="0" xfId="0" applyNumberFormat="1"/>
    <xf numFmtId="0" fontId="204" fillId="2" borderId="3" xfId="0" applyFont="1" applyFill="1" applyBorder="1" applyAlignment="1">
      <alignment vertical="center"/>
    </xf>
    <xf numFmtId="175" fontId="0" fillId="0" borderId="3" xfId="0" applyNumberFormat="1" applyBorder="1"/>
    <xf numFmtId="0" fontId="205" fillId="0" borderId="3" xfId="0" applyFont="1" applyBorder="1" applyAlignment="1">
      <alignment horizontal="center" vertical="center"/>
    </xf>
    <xf numFmtId="1" fontId="8" fillId="0" borderId="3" xfId="0" applyNumberFormat="1" applyFont="1" applyBorder="1"/>
    <xf numFmtId="0" fontId="8" fillId="0" borderId="0" xfId="0" applyFont="1"/>
    <xf numFmtId="172" fontId="8" fillId="0" borderId="0" xfId="0" applyNumberFormat="1" applyFont="1"/>
    <xf numFmtId="172" fontId="0" fillId="0" borderId="53" xfId="0" applyNumberFormat="1" applyBorder="1"/>
    <xf numFmtId="0" fontId="140" fillId="0" borderId="0" xfId="0" applyFont="1" applyBorder="1" applyAlignment="1">
      <alignment horizontal="center" vertical="center"/>
    </xf>
    <xf numFmtId="172" fontId="60" fillId="0" borderId="0" xfId="3" applyNumberFormat="1" applyFont="1" applyBorder="1" applyAlignment="1">
      <alignment horizontal="center" vertical="center"/>
    </xf>
    <xf numFmtId="0" fontId="139" fillId="0" borderId="0" xfId="0" applyFont="1" applyBorder="1" applyAlignment="1">
      <alignment horizontal="center" vertical="center" wrapText="1"/>
    </xf>
    <xf numFmtId="172" fontId="141" fillId="0" borderId="0" xfId="3" applyNumberFormat="1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 wrapText="1"/>
    </xf>
    <xf numFmtId="0" fontId="138" fillId="0" borderId="0" xfId="0" applyFont="1" applyBorder="1" applyAlignment="1">
      <alignment horizontal="center" vertical="center"/>
    </xf>
    <xf numFmtId="169" fontId="141" fillId="0" borderId="0" xfId="0" applyNumberFormat="1" applyFont="1" applyBorder="1" applyAlignment="1">
      <alignment horizontal="center" vertical="center"/>
    </xf>
    <xf numFmtId="0" fontId="20" fillId="17" borderId="39" xfId="0" applyFont="1" applyFill="1" applyBorder="1" applyAlignment="1">
      <alignment horizontal="center" vertical="center" wrapText="1"/>
    </xf>
    <xf numFmtId="0" fontId="20" fillId="18" borderId="39" xfId="0" applyFont="1" applyFill="1" applyBorder="1" applyAlignment="1">
      <alignment horizontal="center" vertical="center"/>
    </xf>
    <xf numFmtId="0" fontId="20" fillId="18" borderId="39" xfId="0" applyFont="1" applyFill="1" applyBorder="1" applyAlignment="1">
      <alignment horizontal="center" vertical="center" wrapText="1"/>
    </xf>
    <xf numFmtId="0" fontId="20" fillId="19" borderId="39" xfId="0" applyFont="1" applyFill="1" applyBorder="1" applyAlignment="1">
      <alignment horizontal="center" vertical="center"/>
    </xf>
    <xf numFmtId="0" fontId="20" fillId="19" borderId="39" xfId="0" applyFont="1" applyFill="1" applyBorder="1" applyAlignment="1">
      <alignment horizontal="center" vertical="center" wrapText="1"/>
    </xf>
    <xf numFmtId="0" fontId="20" fillId="20" borderId="39" xfId="0" applyFont="1" applyFill="1" applyBorder="1" applyAlignment="1">
      <alignment horizontal="center" vertical="center"/>
    </xf>
    <xf numFmtId="0" fontId="20" fillId="20" borderId="39" xfId="0" applyFont="1" applyFill="1" applyBorder="1" applyAlignment="1">
      <alignment horizontal="center" vertical="center" wrapText="1"/>
    </xf>
    <xf numFmtId="14" fontId="144" fillId="0" borderId="72" xfId="0" applyNumberFormat="1" applyFont="1" applyBorder="1" applyAlignment="1">
      <alignment horizontal="center" vertical="center"/>
    </xf>
    <xf numFmtId="14" fontId="144" fillId="0" borderId="66" xfId="0" applyNumberFormat="1" applyFont="1" applyBorder="1" applyAlignment="1">
      <alignment horizontal="center" vertical="center"/>
    </xf>
    <xf numFmtId="14" fontId="145" fillId="0" borderId="66" xfId="0" applyNumberFormat="1" applyFont="1" applyBorder="1" applyAlignment="1">
      <alignment horizontal="center" vertical="center"/>
    </xf>
    <xf numFmtId="14" fontId="0" fillId="0" borderId="66" xfId="0" applyNumberFormat="1" applyBorder="1"/>
    <xf numFmtId="14" fontId="58" fillId="0" borderId="66" xfId="0" applyNumberFormat="1" applyFont="1" applyBorder="1" applyAlignment="1">
      <alignment horizontal="center" vertical="center"/>
    </xf>
    <xf numFmtId="0" fontId="0" fillId="0" borderId="115" xfId="0" applyBorder="1"/>
    <xf numFmtId="172" fontId="102" fillId="0" borderId="81" xfId="3" applyNumberFormat="1" applyFont="1" applyBorder="1" applyAlignment="1">
      <alignment horizontal="center" vertical="center"/>
    </xf>
    <xf numFmtId="172" fontId="102" fillId="0" borderId="45" xfId="3" applyNumberFormat="1" applyFont="1" applyBorder="1" applyAlignment="1">
      <alignment horizontal="center" vertical="center"/>
    </xf>
    <xf numFmtId="172" fontId="0" fillId="0" borderId="45" xfId="3" applyNumberFormat="1" applyFont="1" applyBorder="1"/>
    <xf numFmtId="169" fontId="142" fillId="0" borderId="45" xfId="3" applyNumberFormat="1" applyFont="1" applyBorder="1" applyAlignment="1">
      <alignment horizontal="center" vertical="center"/>
    </xf>
    <xf numFmtId="0" fontId="0" fillId="0" borderId="59" xfId="0" applyBorder="1"/>
    <xf numFmtId="0" fontId="39" fillId="15" borderId="40" xfId="0" applyFont="1" applyFill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/>
    </xf>
    <xf numFmtId="172" fontId="0" fillId="0" borderId="3" xfId="3" applyNumberFormat="1" applyFont="1" applyBorder="1"/>
    <xf numFmtId="0" fontId="142" fillId="0" borderId="3" xfId="0" applyFont="1" applyBorder="1" applyAlignment="1">
      <alignment horizontal="center" vertical="center"/>
    </xf>
    <xf numFmtId="169" fontId="142" fillId="0" borderId="3" xfId="3" applyNumberFormat="1" applyFont="1" applyBorder="1" applyAlignment="1">
      <alignment horizontal="center" vertical="center"/>
    </xf>
    <xf numFmtId="0" fontId="102" fillId="0" borderId="128" xfId="0" applyFont="1" applyBorder="1" applyAlignment="1">
      <alignment horizontal="center" vertical="center"/>
    </xf>
    <xf numFmtId="0" fontId="0" fillId="0" borderId="129" xfId="0" applyFont="1" applyBorder="1" applyAlignment="1">
      <alignment horizontal="center" vertical="center"/>
    </xf>
    <xf numFmtId="172" fontId="102" fillId="0" borderId="130" xfId="3" applyNumberFormat="1" applyFont="1" applyBorder="1" applyAlignment="1">
      <alignment horizontal="center" vertical="center"/>
    </xf>
    <xf numFmtId="0" fontId="102" fillId="0" borderId="131" xfId="0" applyFont="1" applyBorder="1" applyAlignment="1">
      <alignment horizontal="center" vertical="center"/>
    </xf>
    <xf numFmtId="172" fontId="102" fillId="0" borderId="132" xfId="3" applyNumberFormat="1" applyFont="1" applyBorder="1" applyAlignment="1">
      <alignment horizontal="center" vertical="center"/>
    </xf>
    <xf numFmtId="0" fontId="0" fillId="0" borderId="131" xfId="0" applyBorder="1"/>
    <xf numFmtId="172" fontId="0" fillId="0" borderId="132" xfId="3" applyNumberFormat="1" applyFont="1" applyBorder="1"/>
    <xf numFmtId="0" fontId="142" fillId="0" borderId="131" xfId="0" applyFont="1" applyBorder="1" applyAlignment="1">
      <alignment horizontal="center" vertical="center"/>
    </xf>
    <xf numFmtId="169" fontId="142" fillId="0" borderId="132" xfId="3" applyNumberFormat="1" applyFont="1" applyBorder="1" applyAlignment="1">
      <alignment horizontal="center" vertical="center"/>
    </xf>
    <xf numFmtId="0" fontId="0" fillId="0" borderId="133" xfId="0" applyBorder="1"/>
    <xf numFmtId="0" fontId="0" fillId="0" borderId="134" xfId="0" applyBorder="1"/>
    <xf numFmtId="0" fontId="0" fillId="0" borderId="135" xfId="0" applyBorder="1"/>
    <xf numFmtId="172" fontId="102" fillId="0" borderId="136" xfId="3" applyNumberFormat="1" applyFont="1" applyBorder="1" applyAlignment="1">
      <alignment horizontal="center" vertical="center"/>
    </xf>
    <xf numFmtId="172" fontId="102" fillId="0" borderId="1" xfId="3" applyNumberFormat="1" applyFont="1" applyBorder="1" applyAlignment="1">
      <alignment horizontal="center" vertical="center"/>
    </xf>
    <xf numFmtId="172" fontId="0" fillId="0" borderId="1" xfId="3" applyNumberFormat="1" applyFont="1" applyBorder="1"/>
    <xf numFmtId="169" fontId="142" fillId="0" borderId="1" xfId="3" applyNumberFormat="1" applyFont="1" applyBorder="1" applyAlignment="1">
      <alignment horizontal="center" vertical="center"/>
    </xf>
    <xf numFmtId="0" fontId="0" fillId="0" borderId="137" xfId="0" applyBorder="1"/>
    <xf numFmtId="0" fontId="20" fillId="16" borderId="40" xfId="0" applyFont="1" applyFill="1" applyBorder="1" applyAlignment="1">
      <alignment horizontal="center" vertical="center" wrapText="1"/>
    </xf>
    <xf numFmtId="172" fontId="102" fillId="0" borderId="128" xfId="3" applyNumberFormat="1" applyFont="1" applyBorder="1" applyAlignment="1">
      <alignment horizontal="center" vertical="center"/>
    </xf>
    <xf numFmtId="0" fontId="0" fillId="0" borderId="129" xfId="0" applyBorder="1" applyAlignment="1">
      <alignment horizontal="center" vertical="center"/>
    </xf>
    <xf numFmtId="172" fontId="102" fillId="0" borderId="131" xfId="3" applyNumberFormat="1" applyFont="1" applyBorder="1" applyAlignment="1">
      <alignment horizontal="center" vertical="center"/>
    </xf>
    <xf numFmtId="172" fontId="0" fillId="0" borderId="131" xfId="3" applyNumberFormat="1" applyFont="1" applyBorder="1"/>
    <xf numFmtId="169" fontId="142" fillId="0" borderId="131" xfId="3" applyNumberFormat="1" applyFont="1" applyBorder="1" applyAlignment="1">
      <alignment horizontal="center" vertical="center"/>
    </xf>
    <xf numFmtId="0" fontId="78" fillId="0" borderId="138" xfId="0" applyFont="1" applyFill="1" applyBorder="1" applyAlignment="1">
      <alignment horizontal="center" vertical="center"/>
    </xf>
    <xf numFmtId="0" fontId="78" fillId="0" borderId="46" xfId="0" applyFont="1" applyFill="1" applyBorder="1" applyAlignment="1">
      <alignment horizontal="center" vertical="center"/>
    </xf>
    <xf numFmtId="0" fontId="78" fillId="0" borderId="113" xfId="0" applyFont="1" applyFill="1" applyBorder="1" applyAlignment="1">
      <alignment horizontal="center" vertical="center"/>
    </xf>
    <xf numFmtId="0" fontId="206" fillId="13" borderId="53" xfId="0" applyFont="1" applyFill="1" applyBorder="1" applyAlignment="1">
      <alignment vertical="center"/>
    </xf>
    <xf numFmtId="0" fontId="206" fillId="13" borderId="53" xfId="0" applyFont="1" applyFill="1" applyBorder="1" applyAlignment="1">
      <alignment horizontal="left" vertical="center"/>
    </xf>
    <xf numFmtId="164" fontId="103" fillId="0" borderId="53" xfId="3" applyNumberFormat="1" applyFont="1" applyBorder="1" applyAlignment="1">
      <alignment horizontal="center" vertical="center"/>
    </xf>
    <xf numFmtId="164" fontId="93" fillId="0" borderId="53" xfId="3" applyNumberFormat="1" applyFont="1" applyBorder="1" applyAlignment="1">
      <alignment horizontal="center" vertical="center"/>
    </xf>
    <xf numFmtId="0" fontId="160" fillId="14" borderId="74" xfId="0" applyFont="1" applyFill="1" applyBorder="1" applyAlignment="1">
      <alignment horizontal="center" vertical="center"/>
    </xf>
    <xf numFmtId="0" fontId="168" fillId="14" borderId="33" xfId="0" applyFont="1" applyFill="1" applyBorder="1"/>
    <xf numFmtId="0" fontId="180" fillId="14" borderId="74" xfId="0" applyFont="1" applyFill="1" applyBorder="1" applyAlignment="1">
      <alignment horizontal="center" vertical="center"/>
    </xf>
    <xf numFmtId="0" fontId="157" fillId="0" borderId="42" xfId="0" applyFont="1" applyBorder="1" applyAlignment="1">
      <alignment horizontal="center" vertical="center"/>
    </xf>
    <xf numFmtId="0" fontId="177" fillId="14" borderId="42" xfId="0" applyFont="1" applyFill="1" applyBorder="1" applyAlignment="1">
      <alignment vertical="center"/>
    </xf>
    <xf numFmtId="172" fontId="157" fillId="14" borderId="33" xfId="3" applyNumberFormat="1" applyFont="1" applyFill="1" applyBorder="1"/>
    <xf numFmtId="0" fontId="175" fillId="0" borderId="33" xfId="0" applyFont="1" applyBorder="1" applyAlignment="1">
      <alignment horizontal="center"/>
    </xf>
    <xf numFmtId="0" fontId="175" fillId="0" borderId="74" xfId="0" applyFont="1" applyBorder="1" applyAlignment="1">
      <alignment horizontal="center"/>
    </xf>
    <xf numFmtId="172" fontId="173" fillId="0" borderId="33" xfId="3" applyNumberFormat="1" applyFont="1" applyBorder="1" applyAlignment="1">
      <alignment horizontal="center"/>
    </xf>
    <xf numFmtId="172" fontId="173" fillId="0" borderId="74" xfId="3" applyNumberFormat="1" applyFont="1" applyBorder="1" applyAlignment="1">
      <alignment horizontal="center"/>
    </xf>
    <xf numFmtId="0" fontId="7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left"/>
    </xf>
    <xf numFmtId="0" fontId="78" fillId="0" borderId="58" xfId="0" applyFont="1" applyFill="1" applyBorder="1" applyAlignment="1">
      <alignment horizontal="center" vertical="center"/>
    </xf>
    <xf numFmtId="0" fontId="78" fillId="0" borderId="74" xfId="0" applyFont="1" applyFill="1" applyBorder="1" applyAlignment="1">
      <alignment horizontal="center" vertical="center"/>
    </xf>
    <xf numFmtId="0" fontId="15" fillId="0" borderId="139" xfId="0" applyFont="1" applyBorder="1" applyAlignment="1">
      <alignment vertical="center"/>
    </xf>
    <xf numFmtId="0" fontId="78" fillId="0" borderId="73" xfId="0" applyFont="1" applyFill="1" applyBorder="1" applyAlignment="1">
      <alignment horizontal="center"/>
    </xf>
    <xf numFmtId="0" fontId="78" fillId="0" borderId="31" xfId="0" applyFont="1" applyFill="1" applyBorder="1" applyAlignment="1">
      <alignment horizontal="center"/>
    </xf>
    <xf numFmtId="0" fontId="78" fillId="0" borderId="45" xfId="0" applyFont="1" applyFill="1" applyBorder="1" applyAlignment="1">
      <alignment horizontal="center" vertical="center"/>
    </xf>
    <xf numFmtId="0" fontId="78" fillId="0" borderId="110" xfId="0" applyFont="1" applyFill="1" applyBorder="1" applyAlignment="1">
      <alignment horizontal="center" vertical="center"/>
    </xf>
    <xf numFmtId="0" fontId="78" fillId="0" borderId="58" xfId="0" applyFont="1" applyFill="1" applyBorder="1" applyAlignment="1">
      <alignment horizontal="center"/>
    </xf>
    <xf numFmtId="0" fontId="78" fillId="0" borderId="45" xfId="0" applyFont="1" applyFill="1" applyBorder="1" applyAlignment="1">
      <alignment horizontal="center"/>
    </xf>
    <xf numFmtId="0" fontId="78" fillId="0" borderId="110" xfId="0" applyFont="1" applyFill="1" applyBorder="1" applyAlignment="1">
      <alignment horizontal="center"/>
    </xf>
    <xf numFmtId="0" fontId="6" fillId="7" borderId="41" xfId="0" applyFont="1" applyFill="1" applyBorder="1" applyAlignment="1">
      <alignment horizontal="center" vertical="center" wrapText="1"/>
    </xf>
    <xf numFmtId="0" fontId="33" fillId="9" borderId="8" xfId="0" applyFont="1" applyFill="1" applyBorder="1" applyAlignment="1">
      <alignment horizontal="left" vertical="center"/>
    </xf>
    <xf numFmtId="0" fontId="7" fillId="9" borderId="6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left"/>
    </xf>
    <xf numFmtId="0" fontId="7" fillId="7" borderId="64" xfId="0" applyFont="1" applyFill="1" applyBorder="1" applyAlignment="1">
      <alignment horizontal="center" vertical="center" wrapText="1"/>
    </xf>
    <xf numFmtId="0" fontId="6" fillId="7" borderId="42" xfId="0" applyFont="1" applyFill="1" applyBorder="1" applyAlignment="1">
      <alignment horizontal="center" vertical="center" wrapText="1"/>
    </xf>
    <xf numFmtId="0" fontId="98" fillId="0" borderId="141" xfId="0" applyFont="1" applyBorder="1" applyAlignment="1">
      <alignment horizontal="center" vertical="center"/>
    </xf>
    <xf numFmtId="0" fontId="0" fillId="0" borderId="141" xfId="0" applyBorder="1"/>
    <xf numFmtId="0" fontId="0" fillId="0" borderId="142" xfId="0" applyBorder="1"/>
    <xf numFmtId="0" fontId="61" fillId="0" borderId="141" xfId="0" applyFont="1" applyBorder="1"/>
    <xf numFmtId="0" fontId="98" fillId="2" borderId="141" xfId="0" applyFont="1" applyFill="1" applyBorder="1" applyAlignment="1">
      <alignment horizontal="center" vertical="center"/>
    </xf>
    <xf numFmtId="0" fontId="0" fillId="0" borderId="30" xfId="0" applyBorder="1"/>
    <xf numFmtId="0" fontId="110" fillId="2" borderId="140" xfId="0" applyFont="1" applyFill="1" applyBorder="1" applyAlignment="1">
      <alignment horizontal="left" vertical="center"/>
    </xf>
    <xf numFmtId="0" fontId="98" fillId="2" borderId="141" xfId="0" applyFont="1" applyFill="1" applyBorder="1" applyAlignment="1">
      <alignment horizontal="center"/>
    </xf>
    <xf numFmtId="0" fontId="111" fillId="2" borderId="140" xfId="0" applyFont="1" applyFill="1" applyBorder="1" applyAlignment="1">
      <alignment horizontal="left" vertical="center"/>
    </xf>
    <xf numFmtId="0" fontId="99" fillId="2" borderId="141" xfId="0" applyFont="1" applyFill="1" applyBorder="1" applyAlignment="1">
      <alignment horizontal="center" vertical="center"/>
    </xf>
    <xf numFmtId="0" fontId="99" fillId="4" borderId="141" xfId="0" applyFont="1" applyFill="1" applyBorder="1" applyAlignment="1">
      <alignment horizontal="center"/>
    </xf>
    <xf numFmtId="0" fontId="101" fillId="0" borderId="141" xfId="0" applyFont="1" applyFill="1" applyBorder="1" applyAlignment="1"/>
    <xf numFmtId="0" fontId="100" fillId="0" borderId="141" xfId="0" applyFont="1" applyFill="1" applyBorder="1" applyAlignment="1">
      <alignment horizontal="center" vertical="center"/>
    </xf>
    <xf numFmtId="0" fontId="7" fillId="7" borderId="140" xfId="0" applyFont="1" applyFill="1" applyBorder="1" applyAlignment="1">
      <alignment horizontal="center" vertical="center" wrapText="1"/>
    </xf>
    <xf numFmtId="0" fontId="7" fillId="7" borderId="141" xfId="0" applyFont="1" applyFill="1" applyBorder="1" applyAlignment="1">
      <alignment horizontal="center" vertical="center" wrapText="1"/>
    </xf>
    <xf numFmtId="0" fontId="7" fillId="7" borderId="141" xfId="0" applyFont="1" applyFill="1" applyBorder="1" applyAlignment="1">
      <alignment horizontal="center" wrapText="1"/>
    </xf>
    <xf numFmtId="0" fontId="7" fillId="7" borderId="142" xfId="0" applyFont="1" applyFill="1" applyBorder="1" applyAlignment="1">
      <alignment horizontal="center" vertical="center" wrapText="1"/>
    </xf>
    <xf numFmtId="0" fontId="109" fillId="13" borderId="140" xfId="0" applyFont="1" applyFill="1" applyBorder="1" applyAlignment="1">
      <alignment horizontal="left" vertical="center"/>
    </xf>
    <xf numFmtId="0" fontId="79" fillId="13" borderId="141" xfId="0" applyFont="1" applyFill="1" applyBorder="1" applyAlignment="1">
      <alignment horizontal="center" vertical="center"/>
    </xf>
    <xf numFmtId="0" fontId="111" fillId="13" borderId="140" xfId="0" applyFont="1" applyFill="1" applyBorder="1" applyAlignment="1">
      <alignment horizontal="left" vertical="center"/>
    </xf>
    <xf numFmtId="0" fontId="99" fillId="13" borderId="141" xfId="0" applyFont="1" applyFill="1" applyBorder="1" applyAlignment="1">
      <alignment horizontal="center" vertical="center"/>
    </xf>
    <xf numFmtId="0" fontId="99" fillId="13" borderId="141" xfId="0" applyFont="1" applyFill="1" applyBorder="1" applyAlignment="1">
      <alignment horizontal="center"/>
    </xf>
    <xf numFmtId="1" fontId="99" fillId="13" borderId="141" xfId="0" applyNumberFormat="1" applyFont="1" applyFill="1" applyBorder="1" applyAlignment="1">
      <alignment horizontal="center" vertical="center"/>
    </xf>
    <xf numFmtId="0" fontId="112" fillId="13" borderId="140" xfId="0" applyFont="1" applyFill="1" applyBorder="1" applyAlignment="1">
      <alignment horizontal="left" vertical="center"/>
    </xf>
    <xf numFmtId="0" fontId="79" fillId="13" borderId="142" xfId="0" applyFont="1" applyFill="1" applyBorder="1" applyAlignment="1">
      <alignment horizontal="center" vertical="center"/>
    </xf>
    <xf numFmtId="0" fontId="98" fillId="2" borderId="142" xfId="0" applyFont="1" applyFill="1" applyBorder="1" applyAlignment="1">
      <alignment horizontal="center" vertical="center"/>
    </xf>
    <xf numFmtId="0" fontId="110" fillId="2" borderId="143" xfId="0" applyFont="1" applyFill="1" applyBorder="1" applyAlignment="1">
      <alignment horizontal="left" vertical="center"/>
    </xf>
    <xf numFmtId="0" fontId="98" fillId="2" borderId="23" xfId="0" applyFont="1" applyFill="1" applyBorder="1" applyAlignment="1">
      <alignment horizontal="center" vertical="center"/>
    </xf>
    <xf numFmtId="0" fontId="98" fillId="2" borderId="23" xfId="0" applyNumberFormat="1" applyFont="1" applyFill="1" applyBorder="1" applyAlignment="1">
      <alignment horizontal="center" vertical="center"/>
    </xf>
    <xf numFmtId="0" fontId="98" fillId="0" borderId="23" xfId="0" applyFont="1" applyBorder="1" applyAlignment="1">
      <alignment horizontal="center" vertical="center"/>
    </xf>
    <xf numFmtId="0" fontId="129" fillId="0" borderId="144" xfId="0" applyFont="1" applyFill="1" applyBorder="1" applyAlignment="1">
      <alignment horizontal="center" vertical="center"/>
    </xf>
    <xf numFmtId="0" fontId="98" fillId="0" borderId="145" xfId="0" applyFont="1" applyFill="1" applyBorder="1" applyAlignment="1">
      <alignment horizontal="center" vertical="center"/>
    </xf>
    <xf numFmtId="0" fontId="0" fillId="0" borderId="145" xfId="0" applyBorder="1"/>
    <xf numFmtId="0" fontId="0" fillId="0" borderId="146" xfId="0" applyBorder="1"/>
    <xf numFmtId="0" fontId="122" fillId="11" borderId="140" xfId="0" applyFont="1" applyFill="1" applyBorder="1" applyAlignment="1">
      <alignment horizontal="left" vertical="center"/>
    </xf>
    <xf numFmtId="0" fontId="37" fillId="11" borderId="141" xfId="0" applyNumberFormat="1" applyFont="1" applyFill="1" applyBorder="1" applyAlignment="1">
      <alignment horizontal="center" vertical="center"/>
    </xf>
    <xf numFmtId="0" fontId="37" fillId="11" borderId="142" xfId="0" applyNumberFormat="1" applyFont="1" applyFill="1" applyBorder="1" applyAlignment="1">
      <alignment horizontal="center" vertical="center"/>
    </xf>
    <xf numFmtId="0" fontId="121" fillId="13" borderId="53" xfId="0" applyNumberFormat="1" applyFont="1" applyFill="1" applyBorder="1" applyAlignment="1">
      <alignment vertical="center"/>
    </xf>
    <xf numFmtId="0" fontId="75" fillId="0" borderId="23" xfId="0" applyFont="1" applyBorder="1" applyAlignment="1">
      <alignment horizontal="center" vertical="center"/>
    </xf>
    <xf numFmtId="0" fontId="75" fillId="0" borderId="141" xfId="0" applyFont="1" applyBorder="1" applyAlignment="1">
      <alignment horizontal="center" vertical="center"/>
    </xf>
    <xf numFmtId="164" fontId="118" fillId="0" borderId="53" xfId="3" applyNumberFormat="1" applyFont="1" applyBorder="1" applyAlignment="1">
      <alignment horizontal="center" vertical="center"/>
    </xf>
    <xf numFmtId="0" fontId="78" fillId="0" borderId="26" xfId="0" applyNumberFormat="1" applyFont="1" applyFill="1" applyBorder="1" applyAlignment="1">
      <alignment horizontal="center" vertical="center"/>
    </xf>
    <xf numFmtId="169" fontId="0" fillId="0" borderId="0" xfId="0" applyNumberFormat="1" applyBorder="1"/>
    <xf numFmtId="0" fontId="207" fillId="2" borderId="63" xfId="0" applyFont="1" applyFill="1" applyBorder="1" applyAlignment="1">
      <alignment horizontal="center" vertical="center"/>
    </xf>
    <xf numFmtId="0" fontId="207" fillId="2" borderId="53" xfId="0" applyFont="1" applyFill="1" applyBorder="1" applyAlignment="1">
      <alignment horizontal="center" vertical="center"/>
    </xf>
    <xf numFmtId="0" fontId="18" fillId="0" borderId="12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172" fontId="25" fillId="0" borderId="0" xfId="3" applyNumberFormat="1" applyFont="1" applyBorder="1" applyAlignment="1">
      <alignment horizontal="center" vertical="center"/>
    </xf>
    <xf numFmtId="0" fontId="191" fillId="8" borderId="0" xfId="0" applyFont="1" applyFill="1" applyBorder="1" applyAlignment="1">
      <alignment vertical="center"/>
    </xf>
    <xf numFmtId="0" fontId="81" fillId="8" borderId="0" xfId="0" applyFont="1" applyFill="1" applyBorder="1" applyAlignment="1">
      <alignment horizontal="center" vertical="center"/>
    </xf>
    <xf numFmtId="0" fontId="19" fillId="2" borderId="97" xfId="0" applyFont="1" applyFill="1" applyBorder="1" applyAlignment="1">
      <alignment horizontal="center" vertical="center"/>
    </xf>
    <xf numFmtId="172" fontId="19" fillId="2" borderId="98" xfId="3" applyNumberFormat="1" applyFont="1" applyFill="1" applyBorder="1" applyAlignment="1">
      <alignment horizontal="center" vertical="center"/>
    </xf>
    <xf numFmtId="0" fontId="20" fillId="21" borderId="39" xfId="0" applyFont="1" applyFill="1" applyBorder="1" applyAlignment="1">
      <alignment horizontal="center" vertical="center"/>
    </xf>
    <xf numFmtId="0" fontId="20" fillId="21" borderId="39" xfId="0" applyFont="1" applyFill="1" applyBorder="1" applyAlignment="1">
      <alignment horizontal="center" vertical="center" wrapText="1"/>
    </xf>
    <xf numFmtId="0" fontId="20" fillId="22" borderId="39" xfId="0" applyFont="1" applyFill="1" applyBorder="1" applyAlignment="1">
      <alignment horizontal="center" vertical="center"/>
    </xf>
    <xf numFmtId="0" fontId="20" fillId="22" borderId="39" xfId="0" applyFont="1" applyFill="1" applyBorder="1" applyAlignment="1">
      <alignment horizontal="center" vertical="center" wrapText="1"/>
    </xf>
    <xf numFmtId="0" fontId="20" fillId="2" borderId="39" xfId="0" applyFont="1" applyFill="1" applyBorder="1" applyAlignment="1">
      <alignment horizontal="center" vertical="center"/>
    </xf>
    <xf numFmtId="0" fontId="20" fillId="2" borderId="39" xfId="0" applyFont="1" applyFill="1" applyBorder="1" applyAlignment="1">
      <alignment horizontal="center" vertical="center" wrapText="1"/>
    </xf>
    <xf numFmtId="174" fontId="103" fillId="0" borderId="53" xfId="3" applyNumberFormat="1" applyFont="1" applyBorder="1" applyAlignment="1">
      <alignment horizontal="center" vertical="center"/>
    </xf>
    <xf numFmtId="176" fontId="103" fillId="0" borderId="53" xfId="3" applyNumberFormat="1" applyFont="1" applyBorder="1" applyAlignment="1">
      <alignment horizontal="center" vertical="center"/>
    </xf>
    <xf numFmtId="0" fontId="100" fillId="0" borderId="141" xfId="0" applyFont="1" applyBorder="1" applyAlignment="1">
      <alignment horizontal="center"/>
    </xf>
    <xf numFmtId="0" fontId="208" fillId="0" borderId="25" xfId="0" applyFont="1" applyFill="1" applyBorder="1" applyAlignment="1">
      <alignment horizontal="center"/>
    </xf>
    <xf numFmtId="1" fontId="8" fillId="0" borderId="3" xfId="0" applyNumberFormat="1" applyFont="1" applyBorder="1" applyAlignment="1">
      <alignment horizontal="center" vertical="center"/>
    </xf>
    <xf numFmtId="0" fontId="209" fillId="0" borderId="0" xfId="0" applyFont="1" applyFill="1" applyBorder="1" applyAlignment="1">
      <alignment vertical="center"/>
    </xf>
    <xf numFmtId="0" fontId="5" fillId="2" borderId="40" xfId="0" applyFont="1" applyFill="1" applyBorder="1" applyAlignment="1">
      <alignment horizontal="left" vertical="center"/>
    </xf>
    <xf numFmtId="0" fontId="18" fillId="2" borderId="40" xfId="0" applyFont="1" applyFill="1" applyBorder="1" applyAlignment="1">
      <alignment horizontal="left" vertical="center"/>
    </xf>
    <xf numFmtId="0" fontId="69" fillId="2" borderId="39" xfId="0" applyFont="1" applyFill="1" applyBorder="1" applyAlignment="1">
      <alignment horizontal="center" vertical="center"/>
    </xf>
    <xf numFmtId="0" fontId="40" fillId="2" borderId="39" xfId="0" applyFont="1" applyFill="1" applyBorder="1" applyAlignment="1">
      <alignment horizontal="left" vertical="center"/>
    </xf>
    <xf numFmtId="0" fontId="40" fillId="2" borderId="61" xfId="0" applyFont="1" applyFill="1" applyBorder="1" applyAlignment="1">
      <alignment horizontal="left" vertical="center"/>
    </xf>
    <xf numFmtId="0" fontId="40" fillId="2" borderId="97" xfId="0" applyFont="1" applyFill="1" applyBorder="1" applyAlignment="1">
      <alignment horizontal="left" vertical="center"/>
    </xf>
    <xf numFmtId="0" fontId="7" fillId="7" borderId="3" xfId="0" applyFont="1" applyFill="1" applyBorder="1" applyAlignment="1">
      <alignment horizontal="center" vertical="center" wrapText="1"/>
    </xf>
    <xf numFmtId="0" fontId="7" fillId="7" borderId="3" xfId="0" applyFont="1" applyFill="1" applyBorder="1" applyAlignment="1">
      <alignment horizontal="center" wrapText="1"/>
    </xf>
    <xf numFmtId="171" fontId="0" fillId="0" borderId="0" xfId="0" applyNumberFormat="1"/>
    <xf numFmtId="0" fontId="15" fillId="0" borderId="3" xfId="0" applyFont="1" applyBorder="1"/>
    <xf numFmtId="171" fontId="15" fillId="0" borderId="3" xfId="0" applyNumberFormat="1" applyFont="1" applyBorder="1"/>
    <xf numFmtId="0" fontId="15" fillId="0" borderId="0" xfId="0" applyFont="1" applyBorder="1"/>
    <xf numFmtId="0" fontId="15" fillId="0" borderId="3" xfId="0" applyNumberFormat="1" applyFont="1" applyBorder="1" applyAlignment="1">
      <alignment horizontal="center" vertical="center"/>
    </xf>
    <xf numFmtId="0" fontId="210" fillId="0" borderId="0" xfId="0" applyFont="1" applyBorder="1" applyAlignment="1">
      <alignment horizontal="center"/>
    </xf>
    <xf numFmtId="0" fontId="210" fillId="0" borderId="0" xfId="0" applyFont="1" applyAlignment="1">
      <alignment horizontal="center"/>
    </xf>
    <xf numFmtId="0" fontId="39" fillId="0" borderId="142" xfId="0" applyFont="1" applyBorder="1" applyAlignment="1">
      <alignment horizontal="center" vertical="center"/>
    </xf>
    <xf numFmtId="0" fontId="98" fillId="0" borderId="30" xfId="0" applyFont="1" applyBorder="1" applyAlignment="1">
      <alignment horizontal="center" vertical="center"/>
    </xf>
    <xf numFmtId="43" fontId="128" fillId="0" borderId="0" xfId="3" applyNumberFormat="1" applyFont="1" applyBorder="1"/>
    <xf numFmtId="0" fontId="98" fillId="0" borderId="142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157" fillId="9" borderId="94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18" fillId="0" borderId="12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wrapText="1"/>
    </xf>
    <xf numFmtId="0" fontId="0" fillId="0" borderId="41" xfId="0" applyBorder="1"/>
    <xf numFmtId="0" fontId="157" fillId="2" borderId="39" xfId="0" applyFont="1" applyFill="1" applyBorder="1" applyAlignment="1">
      <alignment horizontal="center" vertical="center"/>
    </xf>
    <xf numFmtId="0" fontId="49" fillId="0" borderId="39" xfId="0" applyFont="1" applyBorder="1"/>
    <xf numFmtId="0" fontId="17" fillId="0" borderId="39" xfId="0" applyFont="1" applyBorder="1"/>
    <xf numFmtId="0" fontId="211" fillId="0" borderId="0" xfId="0" applyFont="1" applyFill="1" applyBorder="1"/>
    <xf numFmtId="0" fontId="211" fillId="0" borderId="0" xfId="0" applyFont="1" applyFill="1"/>
    <xf numFmtId="0" fontId="212" fillId="0" borderId="0" xfId="0" applyFont="1" applyFill="1" applyBorder="1" applyAlignment="1">
      <alignment horizontal="center" vertical="center" wrapText="1"/>
    </xf>
    <xf numFmtId="0" fontId="212" fillId="0" borderId="27" xfId="0" applyFont="1" applyFill="1" applyBorder="1" applyAlignment="1">
      <alignment horizontal="center" vertical="center" wrapText="1"/>
    </xf>
    <xf numFmtId="0" fontId="212" fillId="0" borderId="33" xfId="0" applyFont="1" applyFill="1" applyBorder="1" applyAlignment="1">
      <alignment horizontal="center" vertical="center" wrapText="1"/>
    </xf>
    <xf numFmtId="0" fontId="211" fillId="0" borderId="27" xfId="0" applyFont="1" applyFill="1" applyBorder="1"/>
    <xf numFmtId="172" fontId="49" fillId="2" borderId="63" xfId="3" applyNumberFormat="1" applyFont="1" applyFill="1" applyBorder="1" applyAlignment="1">
      <alignment horizontal="center" vertical="center"/>
    </xf>
    <xf numFmtId="172" fontId="49" fillId="2" borderId="31" xfId="3" applyNumberFormat="1" applyFont="1" applyFill="1" applyBorder="1" applyAlignment="1">
      <alignment horizontal="center" vertical="center"/>
    </xf>
    <xf numFmtId="172" fontId="49" fillId="2" borderId="53" xfId="3" applyNumberFormat="1" applyFont="1" applyFill="1" applyBorder="1" applyAlignment="1">
      <alignment horizontal="center" vertical="center"/>
    </xf>
    <xf numFmtId="0" fontId="193" fillId="2" borderId="53" xfId="0" applyFont="1" applyFill="1" applyBorder="1"/>
    <xf numFmtId="0" fontId="193" fillId="2" borderId="57" xfId="0" applyFont="1" applyFill="1" applyBorder="1" applyAlignment="1">
      <alignment vertical="center"/>
    </xf>
    <xf numFmtId="172" fontId="49" fillId="2" borderId="57" xfId="3" applyNumberFormat="1" applyFont="1" applyFill="1" applyBorder="1" applyAlignment="1">
      <alignment horizontal="center" vertical="center"/>
    </xf>
    <xf numFmtId="0" fontId="193" fillId="2" borderId="40" xfId="0" applyFont="1" applyFill="1" applyBorder="1" applyAlignment="1"/>
    <xf numFmtId="0" fontId="193" fillId="2" borderId="55" xfId="0" applyFont="1" applyFill="1" applyBorder="1" applyAlignment="1"/>
    <xf numFmtId="0" fontId="193" fillId="2" borderId="53" xfId="0" applyFont="1" applyFill="1" applyBorder="1" applyAlignment="1"/>
    <xf numFmtId="0" fontId="7" fillId="7" borderId="126" xfId="0" applyFont="1" applyFill="1" applyBorder="1" applyAlignment="1">
      <alignment horizontal="center" wrapText="1"/>
    </xf>
    <xf numFmtId="14" fontId="0" fillId="0" borderId="0" xfId="0" applyNumberFormat="1"/>
    <xf numFmtId="0" fontId="98" fillId="2" borderId="147" xfId="0" applyFont="1" applyFill="1" applyBorder="1" applyAlignment="1">
      <alignment horizontal="center" vertical="center"/>
    </xf>
    <xf numFmtId="0" fontId="98" fillId="2" borderId="0" xfId="0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vertical="center" wrapText="1"/>
    </xf>
    <xf numFmtId="0" fontId="79" fillId="0" borderId="0" xfId="0" applyFont="1" applyFill="1" applyBorder="1" applyAlignment="1">
      <alignment horizontal="center" vertical="center"/>
    </xf>
    <xf numFmtId="0" fontId="98" fillId="0" borderId="0" xfId="0" applyFont="1" applyFill="1" applyBorder="1" applyAlignment="1">
      <alignment horizontal="center" vertical="center"/>
    </xf>
    <xf numFmtId="0" fontId="37" fillId="0" borderId="0" xfId="0" applyNumberFormat="1" applyFont="1" applyFill="1" applyBorder="1" applyAlignment="1">
      <alignment horizontal="center" vertical="center"/>
    </xf>
    <xf numFmtId="0" fontId="7" fillId="7" borderId="150" xfId="0" applyFont="1" applyFill="1" applyBorder="1" applyAlignment="1">
      <alignment horizontal="center" vertical="center" wrapText="1"/>
    </xf>
    <xf numFmtId="175" fontId="15" fillId="0" borderId="3" xfId="0" applyNumberFormat="1" applyFont="1" applyBorder="1"/>
    <xf numFmtId="169" fontId="213" fillId="0" borderId="0" xfId="0" applyNumberFormat="1" applyFont="1" applyAlignment="1">
      <alignment vertical="center"/>
    </xf>
    <xf numFmtId="169" fontId="39" fillId="0" borderId="39" xfId="3" applyNumberFormat="1" applyFont="1" applyFill="1" applyBorder="1" applyAlignment="1">
      <alignment vertical="center"/>
    </xf>
    <xf numFmtId="164" fontId="103" fillId="0" borderId="53" xfId="3" applyNumberFormat="1" applyFont="1" applyFill="1" applyBorder="1" applyAlignment="1">
      <alignment horizontal="center" vertical="center"/>
    </xf>
    <xf numFmtId="164" fontId="93" fillId="0" borderId="53" xfId="3" applyNumberFormat="1" applyFont="1" applyFill="1" applyBorder="1" applyAlignment="1">
      <alignment horizontal="center" vertical="center"/>
    </xf>
    <xf numFmtId="0" fontId="214" fillId="0" borderId="0" xfId="0" applyFont="1" applyFill="1" applyBorder="1" applyAlignment="1">
      <alignment horizontal="center" vertical="center" wrapText="1"/>
    </xf>
    <xf numFmtId="0" fontId="215" fillId="0" borderId="141" xfId="0" applyFont="1" applyBorder="1" applyAlignment="1">
      <alignment horizontal="center" vertical="center"/>
    </xf>
    <xf numFmtId="172" fontId="196" fillId="0" borderId="3" xfId="3" applyNumberFormat="1" applyFont="1" applyBorder="1" applyAlignment="1">
      <alignment horizontal="center" vertical="center"/>
    </xf>
    <xf numFmtId="0" fontId="42" fillId="0" borderId="3" xfId="0" applyFont="1" applyBorder="1" applyAlignment="1">
      <alignment horizontal="center" vertical="center"/>
    </xf>
    <xf numFmtId="0" fontId="0" fillId="0" borderId="130" xfId="0" applyBorder="1"/>
    <xf numFmtId="0" fontId="0" fillId="0" borderId="132" xfId="0" applyBorder="1"/>
    <xf numFmtId="172" fontId="197" fillId="0" borderId="134" xfId="0" applyNumberFormat="1" applyFont="1" applyBorder="1" applyAlignment="1">
      <alignment horizontal="center" vertical="center"/>
    </xf>
    <xf numFmtId="0" fontId="197" fillId="0" borderId="134" xfId="0" applyNumberFormat="1" applyFont="1" applyBorder="1" applyAlignment="1">
      <alignment horizontal="center" vertical="center"/>
    </xf>
    <xf numFmtId="0" fontId="7" fillId="9" borderId="3" xfId="0" applyFont="1" applyFill="1" applyBorder="1" applyAlignment="1">
      <alignment horizontal="center" vertical="center" wrapText="1"/>
    </xf>
    <xf numFmtId="0" fontId="42" fillId="0" borderId="128" xfId="0" applyNumberFormat="1" applyFont="1" applyBorder="1" applyAlignment="1">
      <alignment horizontal="center" vertical="center"/>
    </xf>
    <xf numFmtId="0" fontId="0" fillId="0" borderId="129" xfId="0" applyBorder="1"/>
    <xf numFmtId="0" fontId="195" fillId="0" borderId="131" xfId="0" applyFont="1" applyBorder="1" applyAlignment="1">
      <alignment horizontal="center" vertical="center"/>
    </xf>
    <xf numFmtId="0" fontId="123" fillId="0" borderId="131" xfId="0" applyFont="1" applyBorder="1" applyAlignment="1">
      <alignment horizontal="center" vertical="center"/>
    </xf>
    <xf numFmtId="0" fontId="195" fillId="0" borderId="133" xfId="0" applyFont="1" applyBorder="1" applyAlignment="1">
      <alignment horizontal="center" vertical="center"/>
    </xf>
    <xf numFmtId="0" fontId="196" fillId="0" borderId="43" xfId="0" applyFont="1" applyBorder="1" applyAlignment="1">
      <alignment horizontal="center" vertical="center"/>
    </xf>
    <xf numFmtId="0" fontId="0" fillId="0" borderId="6" xfId="0" applyBorder="1"/>
    <xf numFmtId="172" fontId="93" fillId="0" borderId="43" xfId="3" applyNumberFormat="1" applyFont="1" applyBorder="1" applyAlignment="1">
      <alignment horizontal="center" vertical="center"/>
    </xf>
    <xf numFmtId="0" fontId="216" fillId="0" borderId="6" xfId="0" applyFont="1" applyBorder="1" applyAlignment="1">
      <alignment horizontal="center" vertical="center"/>
    </xf>
    <xf numFmtId="172" fontId="197" fillId="0" borderId="134" xfId="0" applyNumberFormat="1" applyFont="1" applyBorder="1" applyAlignment="1">
      <alignment vertical="center"/>
    </xf>
    <xf numFmtId="172" fontId="93" fillId="0" borderId="0" xfId="3" applyNumberFormat="1" applyFont="1" applyBorder="1" applyAlignment="1">
      <alignment horizontal="center" vertical="center"/>
    </xf>
    <xf numFmtId="0" fontId="217" fillId="0" borderId="132" xfId="0" applyFont="1" applyBorder="1"/>
    <xf numFmtId="172" fontId="218" fillId="0" borderId="39" xfId="0" applyNumberFormat="1" applyFont="1" applyBorder="1" applyAlignment="1">
      <alignment horizontal="center" vertical="center"/>
    </xf>
    <xf numFmtId="172" fontId="93" fillId="0" borderId="39" xfId="0" applyNumberFormat="1" applyFont="1" applyBorder="1" applyAlignment="1">
      <alignment horizontal="center" vertical="center"/>
    </xf>
    <xf numFmtId="43" fontId="218" fillId="0" borderId="39" xfId="3" applyNumberFormat="1" applyFont="1" applyBorder="1" applyAlignment="1">
      <alignment horizontal="center" vertical="center"/>
    </xf>
    <xf numFmtId="172" fontId="218" fillId="0" borderId="39" xfId="3" applyNumberFormat="1" applyFont="1" applyBorder="1" applyAlignment="1">
      <alignment horizontal="center" vertical="center"/>
    </xf>
    <xf numFmtId="174" fontId="103" fillId="0" borderId="53" xfId="3" applyNumberFormat="1" applyFont="1" applyFill="1" applyBorder="1" applyAlignment="1">
      <alignment horizontal="center" vertical="center"/>
    </xf>
    <xf numFmtId="174" fontId="93" fillId="0" borderId="53" xfId="3" applyNumberFormat="1" applyFont="1" applyFill="1" applyBorder="1" applyAlignment="1">
      <alignment horizontal="center" vertical="center"/>
    </xf>
    <xf numFmtId="174" fontId="103" fillId="0" borderId="57" xfId="3" applyNumberFormat="1" applyFont="1" applyFill="1" applyBorder="1" applyAlignment="1">
      <alignment horizontal="center" vertical="center"/>
    </xf>
    <xf numFmtId="174" fontId="93" fillId="0" borderId="57" xfId="3" applyNumberFormat="1" applyFont="1" applyFill="1" applyBorder="1" applyAlignment="1">
      <alignment horizontal="center" vertical="center"/>
    </xf>
    <xf numFmtId="171" fontId="0" fillId="9" borderId="0" xfId="0" applyNumberFormat="1" applyFill="1"/>
    <xf numFmtId="0" fontId="0" fillId="9" borderId="3" xfId="0" applyFill="1" applyBorder="1"/>
    <xf numFmtId="0" fontId="0" fillId="2" borderId="3" xfId="0" applyFill="1" applyBorder="1"/>
    <xf numFmtId="0" fontId="0" fillId="0" borderId="0" xfId="0" applyNumberFormat="1"/>
    <xf numFmtId="0" fontId="219" fillId="0" borderId="0" xfId="0" applyFont="1" applyFill="1" applyBorder="1" applyAlignment="1">
      <alignment horizontal="center" vertical="center"/>
    </xf>
    <xf numFmtId="0" fontId="126" fillId="0" borderId="30" xfId="0" applyFont="1" applyBorder="1" applyAlignment="1">
      <alignment horizontal="center" vertical="center"/>
    </xf>
    <xf numFmtId="0" fontId="126" fillId="0" borderId="142" xfId="0" applyFont="1" applyBorder="1" applyAlignment="1">
      <alignment horizontal="center" vertical="center"/>
    </xf>
    <xf numFmtId="2" fontId="15" fillId="0" borderId="3" xfId="0" applyNumberFormat="1" applyFont="1" applyBorder="1"/>
    <xf numFmtId="2" fontId="0" fillId="0" borderId="0" xfId="0" applyNumberFormat="1"/>
    <xf numFmtId="0" fontId="21" fillId="13" borderId="100" xfId="0" applyFont="1" applyFill="1" applyBorder="1" applyAlignment="1">
      <alignment vertical="center"/>
    </xf>
    <xf numFmtId="0" fontId="126" fillId="0" borderId="141" xfId="0" applyFont="1" applyBorder="1" applyAlignment="1">
      <alignment horizontal="center" vertical="center"/>
    </xf>
    <xf numFmtId="0" fontId="126" fillId="0" borderId="23" xfId="0" applyFont="1" applyBorder="1" applyAlignment="1">
      <alignment horizontal="center" vertical="center"/>
    </xf>
    <xf numFmtId="0" fontId="70" fillId="23" borderId="41" xfId="0" applyFont="1" applyFill="1" applyBorder="1" applyAlignment="1">
      <alignment horizontal="center" vertical="center"/>
    </xf>
    <xf numFmtId="0" fontId="27" fillId="23" borderId="41" xfId="0" applyFont="1" applyFill="1" applyBorder="1" applyAlignment="1">
      <alignment horizontal="center"/>
    </xf>
    <xf numFmtId="0" fontId="38" fillId="23" borderId="41" xfId="0" applyFont="1" applyFill="1" applyBorder="1" applyAlignment="1">
      <alignment horizontal="center"/>
    </xf>
    <xf numFmtId="169" fontId="81" fillId="23" borderId="41" xfId="3" applyNumberFormat="1" applyFont="1" applyFill="1" applyBorder="1" applyAlignment="1">
      <alignment horizontal="center" vertical="center"/>
    </xf>
    <xf numFmtId="0" fontId="0" fillId="23" borderId="0" xfId="0" applyFill="1"/>
    <xf numFmtId="169" fontId="37" fillId="2" borderId="39" xfId="3" applyNumberFormat="1" applyFont="1" applyFill="1" applyBorder="1" applyAlignment="1">
      <alignment vertical="center"/>
    </xf>
    <xf numFmtId="169" fontId="37" fillId="2" borderId="40" xfId="3" applyNumberFormat="1" applyFont="1" applyFill="1" applyBorder="1" applyAlignment="1">
      <alignment vertical="center"/>
    </xf>
    <xf numFmtId="0" fontId="44" fillId="23" borderId="6" xfId="0" applyFont="1" applyFill="1" applyBorder="1" applyAlignment="1">
      <alignment horizontal="center" vertical="center"/>
    </xf>
    <xf numFmtId="0" fontId="211" fillId="2" borderId="0" xfId="0" applyFont="1" applyFill="1" applyBorder="1"/>
    <xf numFmtId="0" fontId="205" fillId="0" borderId="3" xfId="0" applyFont="1" applyBorder="1"/>
    <xf numFmtId="0" fontId="79" fillId="13" borderId="141" xfId="0" applyNumberFormat="1" applyFont="1" applyFill="1" applyBorder="1" applyAlignment="1">
      <alignment horizontal="center" vertical="center"/>
    </xf>
    <xf numFmtId="172" fontId="118" fillId="0" borderId="100" xfId="3" applyNumberFormat="1" applyFont="1" applyBorder="1" applyAlignment="1">
      <alignment horizontal="center" vertical="center"/>
    </xf>
    <xf numFmtId="172" fontId="103" fillId="0" borderId="100" xfId="3" applyNumberFormat="1" applyFont="1" applyBorder="1" applyAlignment="1">
      <alignment horizontal="center" vertical="center"/>
    </xf>
    <xf numFmtId="0" fontId="160" fillId="14" borderId="58" xfId="0" applyFont="1" applyFill="1" applyBorder="1" applyAlignment="1">
      <alignment horizontal="center" vertical="center"/>
    </xf>
    <xf numFmtId="0" fontId="169" fillId="0" borderId="33" xfId="0" applyFont="1" applyBorder="1" applyAlignment="1">
      <alignment horizontal="center" vertical="center"/>
    </xf>
    <xf numFmtId="0" fontId="180" fillId="14" borderId="42" xfId="0" applyFont="1" applyFill="1" applyBorder="1" applyAlignment="1">
      <alignment horizontal="center" vertical="center"/>
    </xf>
    <xf numFmtId="0" fontId="169" fillId="0" borderId="41" xfId="0" applyFont="1" applyBorder="1" applyAlignment="1">
      <alignment horizontal="center" vertical="center"/>
    </xf>
    <xf numFmtId="16" fontId="78" fillId="0" borderId="25" xfId="0" applyNumberFormat="1" applyFont="1" applyFill="1" applyBorder="1" applyAlignment="1">
      <alignment horizontal="center" vertical="center"/>
    </xf>
    <xf numFmtId="0" fontId="62" fillId="13" borderId="0" xfId="0" applyFont="1" applyFill="1" applyBorder="1" applyAlignment="1">
      <alignment horizontal="left" vertical="center"/>
    </xf>
    <xf numFmtId="169" fontId="72" fillId="13" borderId="0" xfId="3" applyNumberFormat="1" applyFont="1" applyFill="1" applyBorder="1"/>
    <xf numFmtId="172" fontId="117" fillId="0" borderId="55" xfId="3" applyNumberFormat="1" applyFont="1" applyBorder="1" applyAlignment="1">
      <alignment horizontal="center" vertical="center"/>
    </xf>
    <xf numFmtId="0" fontId="73" fillId="13" borderId="57" xfId="0" applyFont="1" applyFill="1" applyBorder="1" applyAlignment="1">
      <alignment horizontal="left" vertical="center"/>
    </xf>
    <xf numFmtId="169" fontId="74" fillId="13" borderId="57" xfId="3" applyNumberFormat="1" applyFont="1" applyFill="1" applyBorder="1"/>
    <xf numFmtId="0" fontId="44" fillId="13" borderId="55" xfId="0" applyFont="1" applyFill="1" applyBorder="1" applyAlignment="1">
      <alignment vertical="center"/>
    </xf>
    <xf numFmtId="0" fontId="44" fillId="13" borderId="53" xfId="0" applyFont="1" applyFill="1" applyBorder="1" applyAlignment="1">
      <alignment vertical="center"/>
    </xf>
    <xf numFmtId="0" fontId="44" fillId="13" borderId="100" xfId="0" applyFont="1" applyFill="1" applyBorder="1" applyAlignment="1">
      <alignment vertical="center"/>
    </xf>
    <xf numFmtId="0" fontId="44" fillId="13" borderId="56" xfId="0" applyFont="1" applyFill="1" applyBorder="1" applyAlignment="1">
      <alignment vertical="center"/>
    </xf>
    <xf numFmtId="172" fontId="113" fillId="24" borderId="45" xfId="3" applyNumberFormat="1" applyFont="1" applyFill="1" applyBorder="1" applyAlignment="1">
      <alignment horizontal="center" vertical="center"/>
    </xf>
    <xf numFmtId="172" fontId="113" fillId="24" borderId="110" xfId="3" applyNumberFormat="1" applyFont="1" applyFill="1" applyBorder="1" applyAlignment="1">
      <alignment horizontal="center" vertical="center"/>
    </xf>
    <xf numFmtId="172" fontId="113" fillId="24" borderId="58" xfId="3" applyNumberFormat="1" applyFont="1" applyFill="1" applyBorder="1" applyAlignment="1">
      <alignment horizontal="center" vertical="center"/>
    </xf>
    <xf numFmtId="172" fontId="113" fillId="24" borderId="45" xfId="3" applyNumberFormat="1" applyFont="1" applyFill="1" applyBorder="1" applyAlignment="1">
      <alignment horizontal="center"/>
    </xf>
    <xf numFmtId="172" fontId="113" fillId="24" borderId="57" xfId="3" applyNumberFormat="1" applyFont="1" applyFill="1" applyBorder="1" applyAlignment="1">
      <alignment horizontal="center"/>
    </xf>
    <xf numFmtId="172" fontId="45" fillId="24" borderId="45" xfId="3" applyNumberFormat="1" applyFont="1" applyFill="1" applyBorder="1" applyAlignment="1">
      <alignment horizontal="center" vertical="center"/>
    </xf>
    <xf numFmtId="172" fontId="45" fillId="24" borderId="110" xfId="3" applyNumberFormat="1" applyFont="1" applyFill="1" applyBorder="1" applyAlignment="1">
      <alignment horizontal="center" vertical="center"/>
    </xf>
    <xf numFmtId="172" fontId="45" fillId="24" borderId="58" xfId="3" applyNumberFormat="1" applyFont="1" applyFill="1" applyBorder="1" applyAlignment="1">
      <alignment horizontal="center" vertical="center"/>
    </xf>
    <xf numFmtId="172" fontId="45" fillId="24" borderId="45" xfId="3" applyNumberFormat="1" applyFont="1" applyFill="1" applyBorder="1" applyAlignment="1">
      <alignment horizontal="center"/>
    </xf>
    <xf numFmtId="172" fontId="45" fillId="24" borderId="57" xfId="3" applyNumberFormat="1" applyFont="1" applyFill="1" applyBorder="1" applyAlignment="1">
      <alignment horizontal="center"/>
    </xf>
    <xf numFmtId="2" fontId="15" fillId="0" borderId="0" xfId="0" applyNumberFormat="1" applyFont="1" applyBorder="1"/>
    <xf numFmtId="171" fontId="15" fillId="0" borderId="0" xfId="0" applyNumberFormat="1" applyFont="1" applyBorder="1"/>
    <xf numFmtId="0" fontId="15" fillId="0" borderId="0" xfId="0" applyFont="1" applyBorder="1" applyAlignment="1">
      <alignment horizontal="center" vertical="center"/>
    </xf>
    <xf numFmtId="0" fontId="15" fillId="0" borderId="0" xfId="0" applyNumberFormat="1" applyFont="1" applyBorder="1" applyAlignment="1">
      <alignment horizontal="center" vertical="center"/>
    </xf>
    <xf numFmtId="0" fontId="205" fillId="0" borderId="0" xfId="0" applyFont="1" applyBorder="1"/>
    <xf numFmtId="171" fontId="0" fillId="0" borderId="0" xfId="0" applyNumberFormat="1" applyBorder="1"/>
    <xf numFmtId="171" fontId="0" fillId="0" borderId="3" xfId="0" applyNumberFormat="1" applyBorder="1"/>
    <xf numFmtId="171" fontId="11" fillId="0" borderId="3" xfId="0" applyNumberFormat="1" applyFont="1" applyBorder="1"/>
    <xf numFmtId="0" fontId="11" fillId="0" borderId="3" xfId="0" applyFont="1" applyBorder="1" applyAlignment="1">
      <alignment horizontal="center" vertical="center"/>
    </xf>
    <xf numFmtId="14" fontId="11" fillId="0" borderId="3" xfId="0" applyNumberFormat="1" applyFont="1" applyBorder="1" applyAlignment="1">
      <alignment horizontal="center" vertical="center"/>
    </xf>
    <xf numFmtId="0" fontId="11" fillId="0" borderId="3" xfId="0" applyFont="1" applyBorder="1"/>
    <xf numFmtId="2" fontId="11" fillId="0" borderId="3" xfId="0" applyNumberFormat="1" applyFont="1" applyBorder="1"/>
    <xf numFmtId="0" fontId="169" fillId="0" borderId="114" xfId="0" applyFont="1" applyBorder="1" applyAlignment="1">
      <alignment horizontal="center" vertical="center"/>
    </xf>
    <xf numFmtId="0" fontId="40" fillId="0" borderId="61" xfId="0" applyFont="1" applyFill="1" applyBorder="1" applyAlignment="1">
      <alignment vertical="center"/>
    </xf>
    <xf numFmtId="0" fontId="40" fillId="0" borderId="62" xfId="0" applyFont="1" applyFill="1" applyBorder="1" applyAlignment="1">
      <alignment vertical="center"/>
    </xf>
    <xf numFmtId="0" fontId="40" fillId="0" borderId="97" xfId="0" applyFont="1" applyFill="1" applyBorder="1" applyAlignment="1">
      <alignment vertical="center"/>
    </xf>
    <xf numFmtId="0" fontId="40" fillId="0" borderId="98" xfId="0" applyFont="1" applyFill="1" applyBorder="1" applyAlignment="1">
      <alignment vertical="center"/>
    </xf>
    <xf numFmtId="0" fontId="204" fillId="2" borderId="3" xfId="0" applyFont="1" applyFill="1" applyBorder="1" applyAlignment="1">
      <alignment horizontal="center" vertical="center"/>
    </xf>
    <xf numFmtId="1" fontId="205" fillId="0" borderId="3" xfId="0" applyNumberFormat="1" applyFont="1" applyBorder="1" applyAlignment="1">
      <alignment horizontal="center" vertical="center"/>
    </xf>
    <xf numFmtId="0" fontId="204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40" xfId="0" applyBorder="1" applyAlignment="1">
      <alignment horizontal="center" vertical="center"/>
    </xf>
    <xf numFmtId="0" fontId="68" fillId="13" borderId="141" xfId="0" applyFont="1" applyFill="1" applyBorder="1" applyAlignment="1">
      <alignment horizontal="center" vertical="center"/>
    </xf>
    <xf numFmtId="0" fontId="18" fillId="2" borderId="141" xfId="0" applyFont="1" applyFill="1" applyBorder="1" applyAlignment="1">
      <alignment horizontal="center" vertical="center" wrapText="1"/>
    </xf>
    <xf numFmtId="0" fontId="204" fillId="2" borderId="15" xfId="0" applyFont="1" applyFill="1" applyBorder="1" applyAlignment="1">
      <alignment horizontal="center" vertical="center"/>
    </xf>
    <xf numFmtId="0" fontId="205" fillId="0" borderId="15" xfId="0" applyFont="1" applyBorder="1" applyAlignment="1">
      <alignment horizontal="center" vertical="center"/>
    </xf>
    <xf numFmtId="0" fontId="205" fillId="0" borderId="15" xfId="0" applyFont="1" applyBorder="1"/>
    <xf numFmtId="172" fontId="219" fillId="0" borderId="0" xfId="0" applyNumberFormat="1" applyFont="1" applyAlignment="1"/>
    <xf numFmtId="0" fontId="62" fillId="0" borderId="0" xfId="0" applyFont="1" applyFill="1" applyBorder="1" applyAlignment="1">
      <alignment horizontal="left" vertical="center"/>
    </xf>
    <xf numFmtId="169" fontId="72" fillId="0" borderId="0" xfId="3" applyNumberFormat="1" applyFont="1" applyFill="1" applyBorder="1"/>
    <xf numFmtId="174" fontId="0" fillId="0" borderId="0" xfId="0" applyNumberFormat="1"/>
    <xf numFmtId="0" fontId="7" fillId="9" borderId="12" xfId="0" applyFont="1" applyFill="1" applyBorder="1" applyAlignment="1">
      <alignment horizontal="center" vertical="center" wrapText="1"/>
    </xf>
    <xf numFmtId="0" fontId="33" fillId="9" borderId="21" xfId="0" applyFont="1" applyFill="1" applyBorder="1" applyAlignment="1">
      <alignment horizontal="left" vertical="center"/>
    </xf>
    <xf numFmtId="0" fontId="6" fillId="13" borderId="33" xfId="0" applyFont="1" applyFill="1" applyBorder="1" applyAlignment="1">
      <alignment horizontal="center" vertical="center" wrapText="1"/>
    </xf>
    <xf numFmtId="0" fontId="62" fillId="13" borderId="3" xfId="0" applyFont="1" applyFill="1" applyBorder="1" applyAlignment="1">
      <alignment horizontal="left" vertical="center" wrapText="1"/>
    </xf>
    <xf numFmtId="169" fontId="72" fillId="13" borderId="3" xfId="3" applyNumberFormat="1" applyFont="1" applyFill="1" applyBorder="1"/>
    <xf numFmtId="0" fontId="73" fillId="13" borderId="3" xfId="0" applyFont="1" applyFill="1" applyBorder="1" applyAlignment="1">
      <alignment horizontal="left" vertical="center"/>
    </xf>
    <xf numFmtId="0" fontId="62" fillId="13" borderId="3" xfId="0" applyFont="1" applyFill="1" applyBorder="1" applyAlignment="1">
      <alignment horizontal="left" vertical="center"/>
    </xf>
    <xf numFmtId="176" fontId="93" fillId="0" borderId="53" xfId="3" applyNumberFormat="1" applyFont="1" applyBorder="1" applyAlignment="1">
      <alignment horizontal="center" vertical="center"/>
    </xf>
    <xf numFmtId="176" fontId="93" fillId="0" borderId="53" xfId="3" applyNumberFormat="1" applyFont="1" applyFill="1" applyBorder="1" applyAlignment="1">
      <alignment horizontal="center" vertical="center"/>
    </xf>
    <xf numFmtId="0" fontId="11" fillId="13" borderId="53" xfId="0" applyFont="1" applyFill="1" applyBorder="1" applyAlignment="1">
      <alignment vertical="center"/>
    </xf>
    <xf numFmtId="171" fontId="15" fillId="0" borderId="3" xfId="0" applyNumberFormat="1" applyFont="1" applyBorder="1" applyAlignment="1">
      <alignment horizontal="center" vertical="center"/>
    </xf>
    <xf numFmtId="0" fontId="40" fillId="0" borderId="39" xfId="0" applyFont="1" applyFill="1" applyBorder="1" applyAlignment="1">
      <alignment horizontal="left" vertical="center"/>
    </xf>
    <xf numFmtId="0" fontId="40" fillId="0" borderId="61" xfId="0" applyFont="1" applyFill="1" applyBorder="1" applyAlignment="1">
      <alignment horizontal="left" vertical="center"/>
    </xf>
    <xf numFmtId="0" fontId="40" fillId="0" borderId="97" xfId="0" applyFont="1" applyFill="1" applyBorder="1" applyAlignment="1">
      <alignment horizontal="left" vertical="center"/>
    </xf>
    <xf numFmtId="0" fontId="69" fillId="9" borderId="39" xfId="0" applyFont="1" applyFill="1" applyBorder="1" applyAlignment="1">
      <alignment horizontal="center" vertical="center"/>
    </xf>
    <xf numFmtId="0" fontId="40" fillId="9" borderId="39" xfId="0" applyFont="1" applyFill="1" applyBorder="1" applyAlignment="1">
      <alignment vertical="center"/>
    </xf>
    <xf numFmtId="0" fontId="40" fillId="9" borderId="61" xfId="0" applyFont="1" applyFill="1" applyBorder="1" applyAlignment="1">
      <alignment vertical="center"/>
    </xf>
    <xf numFmtId="0" fontId="40" fillId="9" borderId="97" xfId="0" applyFont="1" applyFill="1" applyBorder="1" applyAlignment="1">
      <alignment vertical="center"/>
    </xf>
    <xf numFmtId="0" fontId="11" fillId="0" borderId="0" xfId="0" applyFont="1" applyBorder="1" applyAlignment="1">
      <alignment horizontal="center" vertical="center"/>
    </xf>
    <xf numFmtId="0" fontId="44" fillId="0" borderId="6" xfId="0" applyFont="1" applyBorder="1" applyAlignment="1">
      <alignment horizontal="center" vertical="center"/>
    </xf>
    <xf numFmtId="167" fontId="36" fillId="20" borderId="40" xfId="0" applyNumberFormat="1" applyFont="1" applyFill="1" applyBorder="1" applyAlignment="1">
      <alignment horizontal="center" vertical="center"/>
    </xf>
    <xf numFmtId="0" fontId="5" fillId="2" borderId="40" xfId="0" applyFont="1" applyFill="1" applyBorder="1" applyAlignment="1">
      <alignment vertical="center"/>
    </xf>
    <xf numFmtId="0" fontId="18" fillId="2" borderId="40" xfId="0" applyFont="1" applyFill="1" applyBorder="1" applyAlignment="1">
      <alignment vertical="center"/>
    </xf>
    <xf numFmtId="167" fontId="220" fillId="20" borderId="40" xfId="0" applyNumberFormat="1" applyFont="1" applyFill="1" applyBorder="1" applyAlignment="1">
      <alignment horizontal="center" vertical="center"/>
    </xf>
    <xf numFmtId="0" fontId="125" fillId="12" borderId="97" xfId="0" applyFont="1" applyFill="1" applyBorder="1" applyAlignment="1">
      <alignment horizontal="center" vertical="center" wrapText="1"/>
    </xf>
    <xf numFmtId="0" fontId="125" fillId="12" borderId="93" xfId="0" applyFont="1" applyFill="1" applyBorder="1" applyAlignment="1">
      <alignment horizontal="center" vertical="center" wrapText="1"/>
    </xf>
    <xf numFmtId="167" fontId="221" fillId="20" borderId="39" xfId="0" applyNumberFormat="1" applyFont="1" applyFill="1" applyBorder="1" applyAlignment="1">
      <alignment vertical="center"/>
    </xf>
    <xf numFmtId="0" fontId="70" fillId="26" borderId="41" xfId="0" applyFont="1" applyFill="1" applyBorder="1" applyAlignment="1">
      <alignment horizontal="center" vertical="center"/>
    </xf>
    <xf numFmtId="0" fontId="27" fillId="26" borderId="41" xfId="0" applyFont="1" applyFill="1" applyBorder="1" applyAlignment="1">
      <alignment horizontal="center"/>
    </xf>
    <xf numFmtId="0" fontId="38" fillId="26" borderId="41" xfId="0" applyFont="1" applyFill="1" applyBorder="1" applyAlignment="1">
      <alignment horizontal="center"/>
    </xf>
    <xf numFmtId="169" fontId="81" fillId="26" borderId="41" xfId="3" applyNumberFormat="1" applyFont="1" applyFill="1" applyBorder="1" applyAlignment="1">
      <alignment horizontal="center" vertical="center"/>
    </xf>
    <xf numFmtId="0" fontId="222" fillId="0" borderId="0" xfId="0" applyFont="1" applyAlignment="1">
      <alignment horizontal="center" vertical="center"/>
    </xf>
    <xf numFmtId="0" fontId="223" fillId="20" borderId="39" xfId="0" applyFont="1" applyFill="1" applyBorder="1" applyAlignment="1">
      <alignment vertical="center"/>
    </xf>
    <xf numFmtId="0" fontId="224" fillId="2" borderId="39" xfId="0" applyFont="1" applyFill="1" applyBorder="1" applyAlignment="1">
      <alignment horizontal="center" vertical="center"/>
    </xf>
    <xf numFmtId="0" fontId="223" fillId="2" borderId="39" xfId="0" applyFont="1" applyFill="1" applyBorder="1" applyAlignment="1">
      <alignment horizontal="right" vertical="center"/>
    </xf>
    <xf numFmtId="0" fontId="223" fillId="2" borderId="39" xfId="0" applyFont="1" applyFill="1" applyBorder="1" applyAlignment="1">
      <alignment vertical="center"/>
    </xf>
    <xf numFmtId="169" fontId="223" fillId="2" borderId="39" xfId="0" applyNumberFormat="1" applyFont="1" applyFill="1" applyBorder="1" applyAlignment="1">
      <alignment vertical="center"/>
    </xf>
    <xf numFmtId="0" fontId="224" fillId="0" borderId="62" xfId="0" applyFont="1" applyFill="1" applyBorder="1" applyAlignment="1">
      <alignment horizontal="center" vertical="center"/>
    </xf>
    <xf numFmtId="169" fontId="224" fillId="0" borderId="39" xfId="3" applyNumberFormat="1" applyFont="1" applyFill="1" applyBorder="1" applyAlignment="1">
      <alignment vertical="center"/>
    </xf>
    <xf numFmtId="173" fontId="224" fillId="0" borderId="39" xfId="3" applyNumberFormat="1" applyFont="1" applyFill="1" applyBorder="1" applyAlignment="1">
      <alignment vertical="center"/>
    </xf>
    <xf numFmtId="169" fontId="225" fillId="0" borderId="39" xfId="3" applyNumberFormat="1" applyFont="1" applyFill="1" applyBorder="1" applyAlignment="1">
      <alignment vertical="center"/>
    </xf>
    <xf numFmtId="169" fontId="226" fillId="9" borderId="39" xfId="3" applyNumberFormat="1" applyFont="1" applyFill="1" applyBorder="1" applyAlignment="1">
      <alignment vertical="center"/>
    </xf>
    <xf numFmtId="0" fontId="227" fillId="0" borderId="0" xfId="0" applyFont="1"/>
    <xf numFmtId="0" fontId="222" fillId="2" borderId="0" xfId="0" applyFont="1" applyFill="1" applyBorder="1" applyAlignment="1">
      <alignment horizontal="left" vertical="center" wrapText="1"/>
    </xf>
    <xf numFmtId="1" fontId="222" fillId="0" borderId="0" xfId="0" applyNumberFormat="1" applyFont="1" applyBorder="1" applyAlignment="1">
      <alignment horizontal="center" vertical="center" wrapText="1"/>
    </xf>
    <xf numFmtId="0" fontId="228" fillId="9" borderId="119" xfId="0" applyFont="1" applyFill="1" applyBorder="1" applyAlignment="1">
      <alignment horizontal="center" vertical="center" wrapText="1"/>
    </xf>
    <xf numFmtId="167" fontId="223" fillId="20" borderId="39" xfId="0" applyNumberFormat="1" applyFont="1" applyFill="1" applyBorder="1" applyAlignment="1">
      <alignment vertical="center"/>
    </xf>
    <xf numFmtId="0" fontId="222" fillId="2" borderId="0" xfId="0" applyFont="1" applyFill="1" applyBorder="1" applyAlignment="1">
      <alignment horizontal="left" vertical="center"/>
    </xf>
    <xf numFmtId="1" fontId="222" fillId="0" borderId="0" xfId="0" applyNumberFormat="1" applyFont="1" applyBorder="1" applyAlignment="1">
      <alignment horizontal="center" vertical="center"/>
    </xf>
    <xf numFmtId="0" fontId="223" fillId="2" borderId="61" xfId="0" applyFont="1" applyFill="1" applyBorder="1" applyAlignment="1">
      <alignment horizontal="right" vertical="center"/>
    </xf>
    <xf numFmtId="0" fontId="223" fillId="2" borderId="61" xfId="0" applyFont="1" applyFill="1" applyBorder="1" applyAlignment="1">
      <alignment vertical="center"/>
    </xf>
    <xf numFmtId="0" fontId="223" fillId="2" borderId="62" xfId="0" applyFont="1" applyFill="1" applyBorder="1" applyAlignment="1">
      <alignment vertical="center"/>
    </xf>
    <xf numFmtId="0" fontId="224" fillId="0" borderId="39" xfId="0" applyFont="1" applyFill="1" applyBorder="1" applyAlignment="1">
      <alignment horizontal="center" vertical="center"/>
    </xf>
    <xf numFmtId="167" fontId="223" fillId="20" borderId="40" xfId="0" applyNumberFormat="1" applyFont="1" applyFill="1" applyBorder="1" applyAlignment="1">
      <alignment vertical="center"/>
    </xf>
    <xf numFmtId="0" fontId="229" fillId="9" borderId="119" xfId="0" applyFont="1" applyFill="1" applyBorder="1" applyAlignment="1">
      <alignment horizontal="center" vertical="center" wrapText="1"/>
    </xf>
    <xf numFmtId="0" fontId="229" fillId="9" borderId="127" xfId="0" applyFont="1" applyFill="1" applyBorder="1" applyAlignment="1">
      <alignment horizontal="center" vertical="center" wrapText="1"/>
    </xf>
    <xf numFmtId="0" fontId="230" fillId="0" borderId="0" xfId="0" applyFont="1" applyBorder="1" applyAlignment="1">
      <alignment vertical="center" textRotation="58"/>
    </xf>
    <xf numFmtId="0" fontId="227" fillId="0" borderId="0" xfId="0" applyFont="1" applyBorder="1" applyAlignment="1"/>
    <xf numFmtId="0" fontId="231" fillId="9" borderId="121" xfId="0" applyFont="1" applyFill="1" applyBorder="1" applyAlignment="1">
      <alignment vertical="center"/>
    </xf>
    <xf numFmtId="0" fontId="223" fillId="2" borderId="43" xfId="0" applyFont="1" applyFill="1" applyBorder="1" applyAlignment="1">
      <alignment vertical="center"/>
    </xf>
    <xf numFmtId="0" fontId="231" fillId="9" borderId="123" xfId="0" applyFont="1" applyFill="1" applyBorder="1" applyAlignment="1">
      <alignment vertical="center"/>
    </xf>
    <xf numFmtId="0" fontId="231" fillId="9" borderId="125" xfId="0" applyFont="1" applyFill="1" applyBorder="1" applyAlignment="1">
      <alignment vertical="center"/>
    </xf>
    <xf numFmtId="167" fontId="225" fillId="20" borderId="39" xfId="0" applyNumberFormat="1" applyFont="1" applyFill="1" applyBorder="1" applyAlignment="1">
      <alignment horizontal="center" vertical="center"/>
    </xf>
    <xf numFmtId="0" fontId="227" fillId="0" borderId="0" xfId="0" applyFont="1" applyAlignment="1"/>
    <xf numFmtId="0" fontId="223" fillId="2" borderId="97" xfId="0" applyFont="1" applyFill="1" applyBorder="1" applyAlignment="1">
      <alignment horizontal="right" vertical="center"/>
    </xf>
    <xf numFmtId="0" fontId="223" fillId="2" borderId="97" xfId="0" applyFont="1" applyFill="1" applyBorder="1" applyAlignment="1">
      <alignment vertical="center"/>
    </xf>
    <xf numFmtId="0" fontId="223" fillId="2" borderId="98" xfId="0" applyFont="1" applyFill="1" applyBorder="1" applyAlignment="1">
      <alignment vertical="center"/>
    </xf>
    <xf numFmtId="0" fontId="224" fillId="0" borderId="40" xfId="0" applyFont="1" applyFill="1" applyBorder="1" applyAlignment="1">
      <alignment horizontal="center" vertical="center"/>
    </xf>
    <xf numFmtId="169" fontId="224" fillId="0" borderId="40" xfId="3" applyNumberFormat="1" applyFont="1" applyFill="1" applyBorder="1" applyAlignment="1">
      <alignment vertical="center"/>
    </xf>
    <xf numFmtId="169" fontId="225" fillId="0" borderId="40" xfId="3" applyNumberFormat="1" applyFont="1" applyFill="1" applyBorder="1" applyAlignment="1">
      <alignment vertical="center"/>
    </xf>
    <xf numFmtId="0" fontId="223" fillId="2" borderId="61" xfId="0" applyFont="1" applyFill="1" applyBorder="1" applyAlignment="1">
      <alignment horizontal="left" vertical="center"/>
    </xf>
    <xf numFmtId="0" fontId="232" fillId="2" borderId="39" xfId="0" applyFont="1" applyFill="1" applyBorder="1" applyAlignment="1">
      <alignment horizontal="center" vertical="center"/>
    </xf>
    <xf numFmtId="0" fontId="221" fillId="2" borderId="61" xfId="0" applyFont="1" applyFill="1" applyBorder="1" applyAlignment="1">
      <alignment horizontal="right" vertical="center"/>
    </xf>
    <xf numFmtId="0" fontId="221" fillId="2" borderId="61" xfId="0" applyFont="1" applyFill="1" applyBorder="1" applyAlignment="1">
      <alignment vertical="center"/>
    </xf>
    <xf numFmtId="0" fontId="221" fillId="2" borderId="62" xfId="0" applyFont="1" applyFill="1" applyBorder="1" applyAlignment="1">
      <alignment vertical="center"/>
    </xf>
    <xf numFmtId="169" fontId="221" fillId="2" borderId="39" xfId="0" applyNumberFormat="1" applyFont="1" applyFill="1" applyBorder="1" applyAlignment="1">
      <alignment vertical="center"/>
    </xf>
    <xf numFmtId="0" fontId="232" fillId="0" borderId="39" xfId="0" applyFont="1" applyFill="1" applyBorder="1" applyAlignment="1">
      <alignment horizontal="center" vertical="center"/>
    </xf>
    <xf numFmtId="169" fontId="232" fillId="0" borderId="39" xfId="3" applyNumberFormat="1" applyFont="1" applyFill="1" applyBorder="1" applyAlignment="1">
      <alignment vertical="center"/>
    </xf>
    <xf numFmtId="173" fontId="232" fillId="0" borderId="39" xfId="3" applyNumberFormat="1" applyFont="1" applyFill="1" applyBorder="1" applyAlignment="1">
      <alignment vertical="center"/>
    </xf>
    <xf numFmtId="169" fontId="24" fillId="0" borderId="39" xfId="3" applyNumberFormat="1" applyFont="1" applyFill="1" applyBorder="1" applyAlignment="1">
      <alignment vertical="center"/>
    </xf>
    <xf numFmtId="169" fontId="233" fillId="9" borderId="39" xfId="3" applyNumberFormat="1" applyFont="1" applyFill="1" applyBorder="1" applyAlignment="1">
      <alignment vertical="center"/>
    </xf>
    <xf numFmtId="0" fontId="205" fillId="0" borderId="0" xfId="0" applyFont="1"/>
    <xf numFmtId="0" fontId="11" fillId="2" borderId="0" xfId="0" applyFont="1" applyFill="1" applyBorder="1" applyAlignment="1">
      <alignment horizontal="left" vertical="center"/>
    </xf>
    <xf numFmtId="0" fontId="234" fillId="9" borderId="119" xfId="0" applyFont="1" applyFill="1" applyBorder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0" fontId="221" fillId="20" borderId="39" xfId="0" applyFont="1" applyFill="1" applyBorder="1" applyAlignment="1">
      <alignment vertical="center"/>
    </xf>
    <xf numFmtId="0" fontId="40" fillId="2" borderId="39" xfId="0" applyFont="1" applyFill="1" applyBorder="1" applyAlignment="1">
      <alignment horizontal="right" vertical="center"/>
    </xf>
    <xf numFmtId="169" fontId="40" fillId="2" borderId="39" xfId="0" applyNumberFormat="1" applyFont="1" applyFill="1" applyBorder="1" applyAlignment="1">
      <alignment vertical="center"/>
    </xf>
    <xf numFmtId="169" fontId="95" fillId="9" borderId="39" xfId="3" applyNumberFormat="1" applyFont="1" applyFill="1" applyBorder="1" applyAlignment="1">
      <alignment vertical="center"/>
    </xf>
    <xf numFmtId="169" fontId="235" fillId="0" borderId="0" xfId="0" applyNumberFormat="1" applyFont="1"/>
    <xf numFmtId="0" fontId="40" fillId="2" borderId="61" xfId="0" applyFont="1" applyFill="1" applyBorder="1" applyAlignment="1">
      <alignment horizontal="right" vertical="center"/>
    </xf>
    <xf numFmtId="0" fontId="40" fillId="2" borderId="61" xfId="0" applyFont="1" applyFill="1" applyBorder="1" applyAlignment="1">
      <alignment vertical="center"/>
    </xf>
    <xf numFmtId="0" fontId="40" fillId="2" borderId="62" xfId="0" applyFont="1" applyFill="1" applyBorder="1" applyAlignment="1">
      <alignment vertical="center"/>
    </xf>
    <xf numFmtId="167" fontId="221" fillId="20" borderId="40" xfId="0" applyNumberFormat="1" applyFont="1" applyFill="1" applyBorder="1" applyAlignment="1">
      <alignment vertical="center"/>
    </xf>
    <xf numFmtId="167" fontId="24" fillId="20" borderId="39" xfId="0" applyNumberFormat="1" applyFont="1" applyFill="1" applyBorder="1" applyAlignment="1">
      <alignment horizontal="center" vertical="center"/>
    </xf>
    <xf numFmtId="0" fontId="40" fillId="2" borderId="97" xfId="0" applyFont="1" applyFill="1" applyBorder="1" applyAlignment="1">
      <alignment horizontal="right" vertical="center"/>
    </xf>
    <xf numFmtId="0" fontId="69" fillId="0" borderId="40" xfId="0" applyFont="1" applyFill="1" applyBorder="1" applyAlignment="1">
      <alignment horizontal="center" vertical="center"/>
    </xf>
    <xf numFmtId="169" fontId="81" fillId="26" borderId="39" xfId="3" applyNumberFormat="1" applyFont="1" applyFill="1" applyBorder="1" applyAlignment="1">
      <alignment horizontal="center" vertical="center"/>
    </xf>
    <xf numFmtId="169" fontId="126" fillId="26" borderId="39" xfId="3" applyNumberFormat="1" applyFont="1" applyFill="1" applyBorder="1" applyAlignment="1">
      <alignment horizontal="center" vertical="center"/>
    </xf>
    <xf numFmtId="169" fontId="11" fillId="0" borderId="0" xfId="0" applyNumberFormat="1" applyFont="1"/>
    <xf numFmtId="0" fontId="236" fillId="0" borderId="0" xfId="0" applyFont="1"/>
    <xf numFmtId="0" fontId="237" fillId="0" borderId="0" xfId="0" applyFont="1"/>
    <xf numFmtId="177" fontId="0" fillId="0" borderId="0" xfId="0" applyNumberFormat="1"/>
    <xf numFmtId="177" fontId="238" fillId="0" borderId="0" xfId="0" applyNumberFormat="1" applyFont="1"/>
    <xf numFmtId="177" fontId="8" fillId="0" borderId="0" xfId="0" applyNumberFormat="1" applyFont="1"/>
    <xf numFmtId="167" fontId="221" fillId="20" borderId="41" xfId="0" applyNumberFormat="1" applyFont="1" applyFill="1" applyBorder="1" applyAlignment="1">
      <alignment vertical="center"/>
    </xf>
    <xf numFmtId="0" fontId="69" fillId="2" borderId="41" xfId="0" applyFont="1" applyFill="1" applyBorder="1" applyAlignment="1">
      <alignment horizontal="center" vertical="center"/>
    </xf>
    <xf numFmtId="0" fontId="40" fillId="2" borderId="114" xfId="0" applyFont="1" applyFill="1" applyBorder="1" applyAlignment="1">
      <alignment horizontal="left" vertical="center"/>
    </xf>
    <xf numFmtId="169" fontId="40" fillId="2" borderId="41" xfId="0" applyNumberFormat="1" applyFont="1" applyFill="1" applyBorder="1" applyAlignment="1">
      <alignment vertical="center"/>
    </xf>
    <xf numFmtId="0" fontId="69" fillId="0" borderId="41" xfId="0" applyFont="1" applyFill="1" applyBorder="1" applyAlignment="1">
      <alignment horizontal="center" vertical="center"/>
    </xf>
    <xf numFmtId="169" fontId="69" fillId="0" borderId="41" xfId="3" applyNumberFormat="1" applyFont="1" applyFill="1" applyBorder="1" applyAlignment="1">
      <alignment vertical="center"/>
    </xf>
    <xf numFmtId="173" fontId="69" fillId="0" borderId="41" xfId="3" applyNumberFormat="1" applyFont="1" applyFill="1" applyBorder="1" applyAlignment="1">
      <alignment vertical="center"/>
    </xf>
    <xf numFmtId="169" fontId="37" fillId="0" borderId="41" xfId="3" applyNumberFormat="1" applyFont="1" applyFill="1" applyBorder="1" applyAlignment="1">
      <alignment vertical="center"/>
    </xf>
    <xf numFmtId="169" fontId="95" fillId="9" borderId="41" xfId="3" applyNumberFormat="1" applyFont="1" applyFill="1" applyBorder="1" applyAlignment="1">
      <alignment vertical="center"/>
    </xf>
    <xf numFmtId="0" fontId="78" fillId="0" borderId="76" xfId="0" applyNumberFormat="1" applyFont="1" applyFill="1" applyBorder="1" applyAlignment="1">
      <alignment horizontal="center" vertical="center"/>
    </xf>
    <xf numFmtId="0" fontId="62" fillId="11" borderId="53" xfId="0" applyFont="1" applyFill="1" applyBorder="1" applyAlignment="1"/>
    <xf numFmtId="172" fontId="39" fillId="0" borderId="31" xfId="3" applyNumberFormat="1" applyFont="1" applyFill="1" applyBorder="1" applyAlignment="1">
      <alignment horizontal="center" vertical="center"/>
    </xf>
    <xf numFmtId="0" fontId="62" fillId="11" borderId="57" xfId="0" applyFont="1" applyFill="1" applyBorder="1" applyAlignment="1">
      <alignment vertical="center"/>
    </xf>
    <xf numFmtId="0" fontId="5" fillId="20" borderId="40" xfId="0" applyFont="1" applyFill="1" applyBorder="1" applyAlignment="1">
      <alignment vertical="center"/>
    </xf>
    <xf numFmtId="0" fontId="18" fillId="20" borderId="40" xfId="0" applyFont="1" applyFill="1" applyBorder="1" applyAlignment="1">
      <alignment vertical="center"/>
    </xf>
    <xf numFmtId="0" fontId="224" fillId="20" borderId="39" xfId="0" applyFont="1" applyFill="1" applyBorder="1" applyAlignment="1">
      <alignment horizontal="center" vertical="center"/>
    </xf>
    <xf numFmtId="0" fontId="232" fillId="20" borderId="39" xfId="0" applyFont="1" applyFill="1" applyBorder="1" applyAlignment="1">
      <alignment horizontal="center" vertical="center"/>
    </xf>
    <xf numFmtId="0" fontId="221" fillId="20" borderId="61" xfId="0" applyFont="1" applyFill="1" applyBorder="1" applyAlignment="1">
      <alignment vertical="center"/>
    </xf>
    <xf numFmtId="0" fontId="223" fillId="20" borderId="61" xfId="0" applyFont="1" applyFill="1" applyBorder="1" applyAlignment="1">
      <alignment vertical="center"/>
    </xf>
    <xf numFmtId="0" fontId="223" fillId="20" borderId="97" xfId="0" applyFont="1" applyFill="1" applyBorder="1" applyAlignment="1">
      <alignment vertical="center"/>
    </xf>
    <xf numFmtId="178" fontId="20" fillId="0" borderId="0" xfId="0" applyNumberFormat="1" applyFont="1" applyFill="1" applyBorder="1" applyAlignment="1">
      <alignment horizontal="center" vertical="center"/>
    </xf>
    <xf numFmtId="167" fontId="221" fillId="20" borderId="39" xfId="0" applyNumberFormat="1" applyFont="1" applyFill="1" applyBorder="1" applyAlignment="1">
      <alignment horizontal="left" vertical="center"/>
    </xf>
    <xf numFmtId="0" fontId="69" fillId="23" borderId="39" xfId="0" applyFont="1" applyFill="1" applyBorder="1" applyAlignment="1">
      <alignment horizontal="center" vertical="center"/>
    </xf>
    <xf numFmtId="0" fontId="5" fillId="23" borderId="40" xfId="0" applyFont="1" applyFill="1" applyBorder="1" applyAlignment="1">
      <alignment vertical="center"/>
    </xf>
    <xf numFmtId="0" fontId="18" fillId="23" borderId="40" xfId="0" applyFont="1" applyFill="1" applyBorder="1" applyAlignment="1">
      <alignment vertical="center"/>
    </xf>
    <xf numFmtId="0" fontId="40" fillId="23" borderId="39" xfId="0" applyFont="1" applyFill="1" applyBorder="1" applyAlignment="1">
      <alignment vertical="center"/>
    </xf>
    <xf numFmtId="0" fontId="40" fillId="23" borderId="61" xfId="0" applyFont="1" applyFill="1" applyBorder="1" applyAlignment="1">
      <alignment vertical="center"/>
    </xf>
    <xf numFmtId="0" fontId="5" fillId="20" borderId="40" xfId="0" applyFont="1" applyFill="1" applyBorder="1" applyAlignment="1">
      <alignment horizontal="left" vertical="center"/>
    </xf>
    <xf numFmtId="0" fontId="18" fillId="20" borderId="40" xfId="0" applyFont="1" applyFill="1" applyBorder="1" applyAlignment="1">
      <alignment horizontal="left" vertical="center"/>
    </xf>
    <xf numFmtId="0" fontId="223" fillId="20" borderId="39" xfId="0" applyFont="1" applyFill="1" applyBorder="1" applyAlignment="1">
      <alignment horizontal="right" vertical="center"/>
    </xf>
    <xf numFmtId="0" fontId="221" fillId="20" borderId="61" xfId="0" applyFont="1" applyFill="1" applyBorder="1" applyAlignment="1">
      <alignment horizontal="right" vertical="center"/>
    </xf>
    <xf numFmtId="0" fontId="223" fillId="20" borderId="61" xfId="0" applyFont="1" applyFill="1" applyBorder="1" applyAlignment="1">
      <alignment horizontal="right" vertical="center"/>
    </xf>
    <xf numFmtId="0" fontId="223" fillId="20" borderId="97" xfId="0" applyFont="1" applyFill="1" applyBorder="1" applyAlignment="1">
      <alignment horizontal="right" vertical="center"/>
    </xf>
    <xf numFmtId="0" fontId="223" fillId="20" borderId="61" xfId="0" applyFont="1" applyFill="1" applyBorder="1" applyAlignment="1">
      <alignment horizontal="left" vertical="center"/>
    </xf>
    <xf numFmtId="0" fontId="27" fillId="26" borderId="41" xfId="0" applyFont="1" applyFill="1" applyBorder="1" applyAlignment="1">
      <alignment horizontal="center"/>
    </xf>
    <xf numFmtId="0" fontId="213" fillId="0" borderId="0" xfId="0" applyFont="1"/>
    <xf numFmtId="0" fontId="40" fillId="2" borderId="97" xfId="0" applyFont="1" applyFill="1" applyBorder="1" applyAlignment="1">
      <alignment vertical="center"/>
    </xf>
    <xf numFmtId="0" fontId="40" fillId="2" borderId="114" xfId="0" applyFont="1" applyFill="1" applyBorder="1" applyAlignment="1">
      <alignment vertical="center"/>
    </xf>
    <xf numFmtId="169" fontId="69" fillId="2" borderId="39" xfId="3" applyNumberFormat="1" applyFont="1" applyFill="1" applyBorder="1" applyAlignment="1">
      <alignment vertical="center"/>
    </xf>
    <xf numFmtId="169" fontId="0" fillId="0" borderId="0" xfId="0" applyNumberFormat="1" applyFill="1" applyBorder="1"/>
    <xf numFmtId="172" fontId="117" fillId="0" borderId="0" xfId="3" applyNumberFormat="1" applyFont="1" applyBorder="1" applyAlignment="1">
      <alignment horizontal="center" vertical="center"/>
    </xf>
    <xf numFmtId="172" fontId="117" fillId="0" borderId="0" xfId="3" applyNumberFormat="1" applyFont="1" applyFill="1" applyBorder="1" applyAlignment="1">
      <alignment horizontal="center" vertical="center"/>
    </xf>
    <xf numFmtId="49" fontId="0" fillId="0" borderId="0" xfId="0" applyNumberFormat="1"/>
    <xf numFmtId="0" fontId="102" fillId="0" borderId="141" xfId="0" applyFont="1" applyBorder="1" applyAlignment="1">
      <alignment horizontal="center"/>
    </xf>
    <xf numFmtId="172" fontId="32" fillId="13" borderId="66" xfId="3" applyNumberFormat="1" applyFont="1" applyFill="1" applyBorder="1" applyAlignment="1">
      <alignment horizontal="center" vertical="center"/>
    </xf>
    <xf numFmtId="0" fontId="69" fillId="20" borderId="39" xfId="0" applyFont="1" applyFill="1" applyBorder="1" applyAlignment="1">
      <alignment horizontal="center" vertical="center"/>
    </xf>
    <xf numFmtId="0" fontId="40" fillId="20" borderId="39" xfId="0" applyFont="1" applyFill="1" applyBorder="1" applyAlignment="1">
      <alignment vertical="center"/>
    </xf>
    <xf numFmtId="0" fontId="40" fillId="20" borderId="61" xfId="0" applyFont="1" applyFill="1" applyBorder="1" applyAlignment="1">
      <alignment vertical="center"/>
    </xf>
    <xf numFmtId="0" fontId="40" fillId="20" borderId="97" xfId="0" applyFont="1" applyFill="1" applyBorder="1" applyAlignment="1">
      <alignment vertical="center"/>
    </xf>
    <xf numFmtId="0" fontId="69" fillId="20" borderId="41" xfId="0" applyFont="1" applyFill="1" applyBorder="1" applyAlignment="1">
      <alignment horizontal="center" vertical="center"/>
    </xf>
    <xf numFmtId="0" fontId="40" fillId="20" borderId="114" xfId="0" applyFont="1" applyFill="1" applyBorder="1" applyAlignment="1">
      <alignment vertical="center"/>
    </xf>
    <xf numFmtId="1" fontId="205" fillId="0" borderId="3" xfId="0" applyNumberFormat="1" applyFont="1" applyBorder="1"/>
    <xf numFmtId="1" fontId="204" fillId="2" borderId="3" xfId="0" applyNumberFormat="1" applyFont="1" applyFill="1" applyBorder="1" applyAlignment="1">
      <alignment horizontal="center" vertical="center"/>
    </xf>
    <xf numFmtId="172" fontId="53" fillId="0" borderId="0" xfId="0" applyNumberFormat="1" applyFont="1" applyFill="1" applyBorder="1" applyAlignment="1">
      <alignment vertical="center"/>
    </xf>
    <xf numFmtId="0" fontId="40" fillId="2" borderId="43" xfId="0" applyFont="1" applyFill="1" applyBorder="1" applyAlignment="1">
      <alignment vertical="center"/>
    </xf>
    <xf numFmtId="0" fontId="40" fillId="23" borderId="43" xfId="0" applyFont="1" applyFill="1" applyBorder="1" applyAlignment="1">
      <alignment vertical="center"/>
    </xf>
    <xf numFmtId="0" fontId="40" fillId="2" borderId="98" xfId="0" applyFont="1" applyFill="1" applyBorder="1" applyAlignment="1">
      <alignment vertical="center"/>
    </xf>
    <xf numFmtId="0" fontId="40" fillId="2" borderId="44" xfId="0" applyFont="1" applyFill="1" applyBorder="1" applyAlignment="1">
      <alignment vertical="center"/>
    </xf>
    <xf numFmtId="0" fontId="11" fillId="0" borderId="23" xfId="0" applyFont="1" applyFill="1" applyBorder="1"/>
    <xf numFmtId="0" fontId="11" fillId="0" borderId="0" xfId="0" applyFont="1" applyFill="1" applyBorder="1"/>
    <xf numFmtId="1" fontId="17" fillId="0" borderId="39" xfId="0" applyNumberFormat="1" applyFont="1" applyBorder="1"/>
    <xf numFmtId="0" fontId="40" fillId="20" borderId="39" xfId="0" applyFont="1" applyFill="1" applyBorder="1" applyAlignment="1">
      <alignment horizontal="right" vertical="center"/>
    </xf>
    <xf numFmtId="0" fontId="40" fillId="20" borderId="61" xfId="0" applyFont="1" applyFill="1" applyBorder="1" applyAlignment="1">
      <alignment horizontal="right" vertical="center"/>
    </xf>
    <xf numFmtId="0" fontId="40" fillId="20" borderId="97" xfId="0" applyFont="1" applyFill="1" applyBorder="1" applyAlignment="1">
      <alignment horizontal="right" vertical="center"/>
    </xf>
    <xf numFmtId="0" fontId="40" fillId="20" borderId="61" xfId="0" applyFont="1" applyFill="1" applyBorder="1" applyAlignment="1">
      <alignment horizontal="left" vertical="center"/>
    </xf>
    <xf numFmtId="0" fontId="40" fillId="20" borderId="114" xfId="0" applyFont="1" applyFill="1" applyBorder="1" applyAlignment="1">
      <alignment horizontal="left" vertical="center"/>
    </xf>
    <xf numFmtId="0" fontId="15" fillId="15" borderId="3" xfId="0" applyFont="1" applyFill="1" applyBorder="1"/>
    <xf numFmtId="0" fontId="15" fillId="11" borderId="3" xfId="0" applyFont="1" applyFill="1" applyBorder="1"/>
    <xf numFmtId="0" fontId="15" fillId="15" borderId="3" xfId="0" applyFont="1" applyFill="1" applyBorder="1" applyAlignment="1">
      <alignment horizontal="center" vertical="center"/>
    </xf>
    <xf numFmtId="171" fontId="15" fillId="15" borderId="3" xfId="0" applyNumberFormat="1" applyFont="1" applyFill="1" applyBorder="1"/>
    <xf numFmtId="0" fontId="15" fillId="29" borderId="3" xfId="0" applyFont="1" applyFill="1" applyBorder="1" applyAlignment="1">
      <alignment horizontal="center" vertical="center"/>
    </xf>
    <xf numFmtId="0" fontId="15" fillId="29" borderId="3" xfId="0" applyNumberFormat="1" applyFont="1" applyFill="1" applyBorder="1" applyAlignment="1">
      <alignment horizontal="center" vertical="center"/>
    </xf>
    <xf numFmtId="0" fontId="15" fillId="29" borderId="3" xfId="0" applyFont="1" applyFill="1" applyBorder="1"/>
    <xf numFmtId="0" fontId="15" fillId="27" borderId="3" xfId="0" applyFont="1" applyFill="1" applyBorder="1"/>
    <xf numFmtId="0" fontId="50" fillId="0" borderId="0" xfId="0" applyFont="1"/>
    <xf numFmtId="0" fontId="228" fillId="9" borderId="118" xfId="0" applyFont="1" applyFill="1" applyBorder="1" applyAlignment="1">
      <alignment horizontal="center" vertical="top" wrapText="1"/>
    </xf>
    <xf numFmtId="0" fontId="234" fillId="9" borderId="118" xfId="0" applyFont="1" applyFill="1" applyBorder="1" applyAlignment="1">
      <alignment horizontal="center" vertical="center"/>
    </xf>
    <xf numFmtId="0" fontId="187" fillId="9" borderId="118" xfId="0" applyFont="1" applyFill="1" applyBorder="1" applyAlignment="1">
      <alignment horizontal="center" vertical="center"/>
    </xf>
    <xf numFmtId="0" fontId="229" fillId="9" borderId="118" xfId="0" applyFont="1" applyFill="1" applyBorder="1" applyAlignment="1">
      <alignment horizontal="center" vertical="center"/>
    </xf>
    <xf numFmtId="0" fontId="229" fillId="9" borderId="120" xfId="0" applyFont="1" applyFill="1" applyBorder="1" applyAlignment="1">
      <alignment horizontal="center" vertical="center"/>
    </xf>
    <xf numFmtId="0" fontId="7" fillId="9" borderId="3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left" vertical="center"/>
    </xf>
    <xf numFmtId="17" fontId="200" fillId="0" borderId="131" xfId="0" applyNumberFormat="1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194" fillId="0" borderId="129" xfId="0" applyFont="1" applyBorder="1" applyAlignment="1">
      <alignment horizontal="center" vertical="center"/>
    </xf>
    <xf numFmtId="0" fontId="200" fillId="0" borderId="129" xfId="0" applyFont="1" applyBorder="1" applyAlignment="1">
      <alignment horizontal="center" vertical="center"/>
    </xf>
    <xf numFmtId="0" fontId="7" fillId="9" borderId="3" xfId="0" applyFont="1" applyFill="1" applyBorder="1" applyAlignment="1">
      <alignment horizontal="center" vertical="center"/>
    </xf>
    <xf numFmtId="0" fontId="22" fillId="9" borderId="3" xfId="0" applyFont="1" applyFill="1" applyBorder="1" applyAlignment="1">
      <alignment horizontal="center" vertical="center"/>
    </xf>
    <xf numFmtId="0" fontId="231" fillId="9" borderId="120" xfId="0" applyFont="1" applyFill="1" applyBorder="1" applyAlignment="1">
      <alignment horizontal="center" vertical="center"/>
    </xf>
    <xf numFmtId="0" fontId="231" fillId="9" borderId="122" xfId="0" applyFont="1" applyFill="1" applyBorder="1" applyAlignment="1">
      <alignment horizontal="center" vertical="center"/>
    </xf>
    <xf numFmtId="0" fontId="231" fillId="9" borderId="124" xfId="0" applyFont="1" applyFill="1" applyBorder="1" applyAlignment="1">
      <alignment horizontal="center" vertical="center"/>
    </xf>
    <xf numFmtId="0" fontId="41" fillId="9" borderId="116" xfId="0" applyFont="1" applyFill="1" applyBorder="1" applyAlignment="1">
      <alignment horizontal="center" vertical="center"/>
    </xf>
    <xf numFmtId="0" fontId="41" fillId="9" borderId="117" xfId="0" applyFont="1" applyFill="1" applyBorder="1" applyAlignment="1">
      <alignment horizontal="center" vertical="center"/>
    </xf>
    <xf numFmtId="0" fontId="126" fillId="23" borderId="41" xfId="0" applyFont="1" applyFill="1" applyBorder="1" applyAlignment="1">
      <alignment horizontal="center"/>
    </xf>
    <xf numFmtId="0" fontId="27" fillId="23" borderId="41" xfId="0" applyFont="1" applyFill="1" applyBorder="1" applyAlignment="1">
      <alignment horizontal="center"/>
    </xf>
    <xf numFmtId="0" fontId="4" fillId="2" borderId="18" xfId="0" applyNumberFormat="1" applyFont="1" applyFill="1" applyBorder="1" applyAlignment="1">
      <alignment horizontal="center" vertical="center"/>
    </xf>
    <xf numFmtId="0" fontId="4" fillId="2" borderId="20" xfId="0" applyNumberFormat="1" applyFont="1" applyFill="1" applyBorder="1" applyAlignment="1">
      <alignment horizontal="center" vertical="center"/>
    </xf>
    <xf numFmtId="0" fontId="4" fillId="23" borderId="18" xfId="0" applyNumberFormat="1" applyFont="1" applyFill="1" applyBorder="1" applyAlignment="1">
      <alignment horizontal="center" vertical="center"/>
    </xf>
    <xf numFmtId="0" fontId="4" fillId="23" borderId="20" xfId="0" applyNumberFormat="1" applyFont="1" applyFill="1" applyBorder="1" applyAlignment="1">
      <alignment horizontal="center" vertical="center"/>
    </xf>
    <xf numFmtId="0" fontId="4" fillId="2" borderId="18" xfId="0" applyFont="1" applyFill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0" fontId="4" fillId="23" borderId="18" xfId="0" applyFont="1" applyFill="1" applyBorder="1" applyAlignment="1">
      <alignment horizontal="center" vertical="center"/>
    </xf>
    <xf numFmtId="0" fontId="4" fillId="23" borderId="20" xfId="0" applyFont="1" applyFill="1" applyBorder="1" applyAlignment="1">
      <alignment horizontal="center" vertical="center"/>
    </xf>
    <xf numFmtId="0" fontId="4" fillId="2" borderId="19" xfId="0" applyFont="1" applyFill="1" applyBorder="1" applyAlignment="1">
      <alignment horizontal="center" vertical="center"/>
    </xf>
    <xf numFmtId="0" fontId="51" fillId="23" borderId="7" xfId="0" applyNumberFormat="1" applyFont="1" applyFill="1" applyBorder="1" applyAlignment="1">
      <alignment horizontal="center" vertical="center"/>
    </xf>
    <xf numFmtId="0" fontId="51" fillId="23" borderId="8" xfId="0" applyNumberFormat="1" applyFont="1" applyFill="1" applyBorder="1" applyAlignment="1">
      <alignment horizontal="center" vertical="center"/>
    </xf>
    <xf numFmtId="0" fontId="4" fillId="2" borderId="84" xfId="0" applyFont="1" applyFill="1" applyBorder="1" applyAlignment="1">
      <alignment horizontal="center" vertical="center"/>
    </xf>
    <xf numFmtId="0" fontId="4" fillId="2" borderId="85" xfId="0" applyFont="1" applyFill="1" applyBorder="1" applyAlignment="1">
      <alignment horizontal="center" vertical="center"/>
    </xf>
    <xf numFmtId="0" fontId="31" fillId="0" borderId="9" xfId="0" applyFont="1" applyBorder="1" applyAlignment="1">
      <alignment horizontal="center" vertical="center" textRotation="60"/>
    </xf>
    <xf numFmtId="0" fontId="31" fillId="0" borderId="12" xfId="0" applyFont="1" applyBorder="1" applyAlignment="1">
      <alignment horizontal="center" vertical="center" textRotation="60"/>
    </xf>
    <xf numFmtId="0" fontId="51" fillId="25" borderId="7" xfId="0" applyNumberFormat="1" applyFont="1" applyFill="1" applyBorder="1" applyAlignment="1">
      <alignment horizontal="center" vertical="center"/>
    </xf>
    <xf numFmtId="0" fontId="51" fillId="25" borderId="8" xfId="0" applyNumberFormat="1" applyFont="1" applyFill="1" applyBorder="1" applyAlignment="1">
      <alignment horizontal="center" vertical="center"/>
    </xf>
    <xf numFmtId="0" fontId="126" fillId="26" borderId="41" xfId="0" applyFont="1" applyFill="1" applyBorder="1" applyAlignment="1">
      <alignment horizontal="center"/>
    </xf>
    <xf numFmtId="0" fontId="27" fillId="26" borderId="41" xfId="0" applyFont="1" applyFill="1" applyBorder="1" applyAlignment="1">
      <alignment horizontal="center"/>
    </xf>
    <xf numFmtId="0" fontId="132" fillId="0" borderId="43" xfId="0" applyFont="1" applyBorder="1" applyAlignment="1">
      <alignment horizontal="center" vertical="center"/>
    </xf>
    <xf numFmtId="0" fontId="132" fillId="0" borderId="61" xfId="0" applyFont="1" applyBorder="1" applyAlignment="1">
      <alignment horizontal="center" vertical="center"/>
    </xf>
    <xf numFmtId="168" fontId="107" fillId="0" borderId="61" xfId="0" applyNumberFormat="1" applyFont="1" applyBorder="1" applyAlignment="1">
      <alignment horizontal="center" vertical="center"/>
    </xf>
    <xf numFmtId="168" fontId="107" fillId="0" borderId="62" xfId="0" applyNumberFormat="1" applyFont="1" applyBorder="1" applyAlignment="1">
      <alignment horizontal="center" vertical="center"/>
    </xf>
    <xf numFmtId="0" fontId="76" fillId="0" borderId="1" xfId="0" applyFont="1" applyBorder="1" applyAlignment="1">
      <alignment horizontal="center" vertical="center"/>
    </xf>
    <xf numFmtId="0" fontId="76" fillId="0" borderId="2" xfId="0" applyFont="1" applyBorder="1" applyAlignment="1">
      <alignment horizontal="center" vertical="center"/>
    </xf>
    <xf numFmtId="0" fontId="132" fillId="0" borderId="62" xfId="0" applyFont="1" applyBorder="1" applyAlignment="1">
      <alignment horizontal="center" vertical="center"/>
    </xf>
    <xf numFmtId="0" fontId="57" fillId="0" borderId="3" xfId="0" applyFont="1" applyBorder="1" applyAlignment="1">
      <alignment horizontal="center" vertical="center"/>
    </xf>
    <xf numFmtId="0" fontId="57" fillId="0" borderId="1" xfId="0" applyFont="1" applyBorder="1" applyAlignment="1">
      <alignment horizontal="center" vertical="center"/>
    </xf>
    <xf numFmtId="0" fontId="57" fillId="0" borderId="2" xfId="0" applyFont="1" applyBorder="1" applyAlignment="1">
      <alignment horizontal="center" vertical="center"/>
    </xf>
    <xf numFmtId="168" fontId="131" fillId="0" borderId="43" xfId="0" applyNumberFormat="1" applyFont="1" applyBorder="1" applyAlignment="1">
      <alignment horizontal="center" vertical="center"/>
    </xf>
    <xf numFmtId="168" fontId="131" fillId="0" borderId="62" xfId="0" applyNumberFormat="1" applyFont="1" applyBorder="1" applyAlignment="1">
      <alignment horizontal="center" vertical="center"/>
    </xf>
    <xf numFmtId="169" fontId="166" fillId="0" borderId="66" xfId="3" applyNumberFormat="1" applyFont="1" applyBorder="1" applyAlignment="1">
      <alignment horizontal="center"/>
    </xf>
    <xf numFmtId="169" fontId="166" fillId="0" borderId="45" xfId="3" applyNumberFormat="1" applyFont="1" applyBorder="1" applyAlignment="1">
      <alignment horizontal="center"/>
    </xf>
    <xf numFmtId="172" fontId="173" fillId="0" borderId="34" xfId="3" applyNumberFormat="1" applyFont="1" applyBorder="1" applyAlignment="1">
      <alignment horizontal="center"/>
    </xf>
    <xf numFmtId="172" fontId="173" fillId="0" borderId="46" xfId="3" applyNumberFormat="1" applyFont="1" applyBorder="1" applyAlignment="1">
      <alignment horizontal="center"/>
    </xf>
    <xf numFmtId="172" fontId="157" fillId="0" borderId="34" xfId="3" applyNumberFormat="1" applyFont="1" applyBorder="1" applyAlignment="1">
      <alignment horizontal="center"/>
    </xf>
    <xf numFmtId="172" fontId="157" fillId="0" borderId="46" xfId="3" applyNumberFormat="1" applyFont="1" applyBorder="1" applyAlignment="1">
      <alignment horizontal="center"/>
    </xf>
    <xf numFmtId="0" fontId="179" fillId="7" borderId="43" xfId="0" applyFont="1" applyFill="1" applyBorder="1" applyAlignment="1">
      <alignment horizontal="center" vertical="center"/>
    </xf>
    <xf numFmtId="0" fontId="179" fillId="7" borderId="61" xfId="0" applyFont="1" applyFill="1" applyBorder="1" applyAlignment="1">
      <alignment horizontal="center" vertical="center"/>
    </xf>
    <xf numFmtId="0" fontId="179" fillId="7" borderId="62" xfId="0" applyFont="1" applyFill="1" applyBorder="1" applyAlignment="1">
      <alignment horizontal="center" vertical="center"/>
    </xf>
    <xf numFmtId="0" fontId="82" fillId="7" borderId="66" xfId="0" applyFont="1" applyFill="1" applyBorder="1" applyAlignment="1">
      <alignment horizontal="left" vertical="center"/>
    </xf>
    <xf numFmtId="0" fontId="82" fillId="7" borderId="45" xfId="0" applyFont="1" applyFill="1" applyBorder="1" applyAlignment="1">
      <alignment horizontal="left" vertical="center"/>
    </xf>
    <xf numFmtId="0" fontId="176" fillId="0" borderId="66" xfId="0" applyFont="1" applyBorder="1" applyAlignment="1">
      <alignment horizontal="left" vertical="center"/>
    </xf>
    <xf numFmtId="0" fontId="176" fillId="0" borderId="45" xfId="0" applyFont="1" applyBorder="1" applyAlignment="1">
      <alignment horizontal="left" vertical="center"/>
    </xf>
    <xf numFmtId="169" fontId="157" fillId="0" borderId="66" xfId="3" applyNumberFormat="1" applyFont="1" applyBorder="1" applyAlignment="1">
      <alignment horizontal="center"/>
    </xf>
    <xf numFmtId="169" fontId="157" fillId="0" borderId="45" xfId="3" applyNumberFormat="1" applyFont="1" applyBorder="1" applyAlignment="1">
      <alignment horizontal="center"/>
    </xf>
    <xf numFmtId="169" fontId="172" fillId="7" borderId="66" xfId="3" applyNumberFormat="1" applyFont="1" applyFill="1" applyBorder="1" applyAlignment="1">
      <alignment horizontal="center"/>
    </xf>
    <xf numFmtId="169" fontId="172" fillId="7" borderId="45" xfId="3" applyNumberFormat="1" applyFont="1" applyFill="1" applyBorder="1" applyAlignment="1">
      <alignment horizontal="center"/>
    </xf>
    <xf numFmtId="0" fontId="167" fillId="7" borderId="75" xfId="0" applyFont="1" applyFill="1" applyBorder="1" applyAlignment="1">
      <alignment horizontal="center" vertical="center"/>
    </xf>
    <xf numFmtId="0" fontId="167" fillId="7" borderId="44" xfId="0" applyFont="1" applyFill="1" applyBorder="1" applyAlignment="1">
      <alignment horizontal="center" vertical="center"/>
    </xf>
    <xf numFmtId="0" fontId="161" fillId="7" borderId="43" xfId="0" applyFont="1" applyFill="1" applyBorder="1" applyAlignment="1">
      <alignment horizontal="center" vertical="center"/>
    </xf>
    <xf numFmtId="0" fontId="161" fillId="7" borderId="61" xfId="0" applyFont="1" applyFill="1" applyBorder="1" applyAlignment="1">
      <alignment horizontal="center" vertical="center"/>
    </xf>
    <xf numFmtId="0" fontId="161" fillId="7" borderId="62" xfId="0" applyFont="1" applyFill="1" applyBorder="1" applyAlignment="1">
      <alignment horizontal="center" vertical="center"/>
    </xf>
    <xf numFmtId="172" fontId="157" fillId="0" borderId="66" xfId="3" applyNumberFormat="1" applyFont="1" applyBorder="1" applyAlignment="1">
      <alignment horizontal="left" vertical="center"/>
    </xf>
    <xf numFmtId="172" fontId="157" fillId="0" borderId="45" xfId="3" applyNumberFormat="1" applyFont="1" applyBorder="1" applyAlignment="1">
      <alignment horizontal="left" vertical="center"/>
    </xf>
    <xf numFmtId="169" fontId="164" fillId="7" borderId="43" xfId="0" applyNumberFormat="1" applyFont="1" applyFill="1" applyBorder="1" applyAlignment="1">
      <alignment horizontal="center" vertical="center"/>
    </xf>
    <xf numFmtId="169" fontId="164" fillId="7" borderId="62" xfId="0" applyNumberFormat="1" applyFont="1" applyFill="1" applyBorder="1" applyAlignment="1">
      <alignment horizontal="center" vertical="center"/>
    </xf>
    <xf numFmtId="172" fontId="166" fillId="0" borderId="66" xfId="3" applyNumberFormat="1" applyFont="1" applyBorder="1" applyAlignment="1">
      <alignment horizontal="center"/>
    </xf>
    <xf numFmtId="172" fontId="166" fillId="0" borderId="45" xfId="3" applyNumberFormat="1" applyFont="1" applyBorder="1" applyAlignment="1">
      <alignment horizontal="center"/>
    </xf>
    <xf numFmtId="172" fontId="172" fillId="7" borderId="66" xfId="3" applyNumberFormat="1" applyFont="1" applyFill="1" applyBorder="1" applyAlignment="1">
      <alignment horizontal="center"/>
    </xf>
    <xf numFmtId="172" fontId="172" fillId="7" borderId="45" xfId="3" applyNumberFormat="1" applyFont="1" applyFill="1" applyBorder="1" applyAlignment="1">
      <alignment horizontal="center"/>
    </xf>
    <xf numFmtId="0" fontId="174" fillId="0" borderId="66" xfId="0" applyFont="1" applyBorder="1" applyAlignment="1">
      <alignment horizontal="left" vertical="center"/>
    </xf>
    <xf numFmtId="0" fontId="174" fillId="0" borderId="45" xfId="0" applyFont="1" applyBorder="1" applyAlignment="1">
      <alignment horizontal="left" vertical="center"/>
    </xf>
    <xf numFmtId="0" fontId="175" fillId="0" borderId="34" xfId="0" applyFont="1" applyBorder="1" applyAlignment="1">
      <alignment horizontal="left"/>
    </xf>
    <xf numFmtId="0" fontId="175" fillId="0" borderId="46" xfId="0" applyFont="1" applyBorder="1" applyAlignment="1">
      <alignment horizontal="left"/>
    </xf>
    <xf numFmtId="0" fontId="175" fillId="0" borderId="66" xfId="0" applyFont="1" applyBorder="1" applyAlignment="1">
      <alignment horizontal="left"/>
    </xf>
    <xf numFmtId="0" fontId="175" fillId="0" borderId="45" xfId="0" applyFont="1" applyBorder="1" applyAlignment="1">
      <alignment horizontal="left"/>
    </xf>
    <xf numFmtId="0" fontId="171" fillId="0" borderId="66" xfId="0" applyFont="1" applyFill="1" applyBorder="1" applyAlignment="1">
      <alignment horizontal="left" vertical="center"/>
    </xf>
    <xf numFmtId="0" fontId="171" fillId="0" borderId="45" xfId="0" applyFont="1" applyFill="1" applyBorder="1" applyAlignment="1">
      <alignment horizontal="left" vertical="center"/>
    </xf>
    <xf numFmtId="0" fontId="167" fillId="7" borderId="43" xfId="0" applyFont="1" applyFill="1" applyBorder="1" applyAlignment="1">
      <alignment horizontal="center" vertical="center"/>
    </xf>
    <xf numFmtId="0" fontId="167" fillId="7" borderId="62" xfId="0" applyFont="1" applyFill="1" applyBorder="1" applyAlignment="1">
      <alignment horizontal="center" vertical="center"/>
    </xf>
    <xf numFmtId="0" fontId="170" fillId="0" borderId="66" xfId="0" applyFont="1" applyBorder="1" applyAlignment="1">
      <alignment horizontal="left" vertical="center"/>
    </xf>
    <xf numFmtId="0" fontId="170" fillId="0" borderId="45" xfId="0" applyFont="1" applyBorder="1" applyAlignment="1">
      <alignment horizontal="left" vertical="center"/>
    </xf>
    <xf numFmtId="0" fontId="171" fillId="0" borderId="66" xfId="0" applyFont="1" applyBorder="1" applyAlignment="1">
      <alignment horizontal="left" vertical="center"/>
    </xf>
    <xf numFmtId="0" fontId="171" fillId="0" borderId="45" xfId="0" applyFont="1" applyBorder="1" applyAlignment="1">
      <alignment horizontal="left" vertical="center"/>
    </xf>
    <xf numFmtId="0" fontId="175" fillId="0" borderId="34" xfId="0" applyFont="1" applyBorder="1" applyAlignment="1">
      <alignment horizontal="center"/>
    </xf>
    <xf numFmtId="0" fontId="175" fillId="0" borderId="46" xfId="0" applyFont="1" applyBorder="1" applyAlignment="1">
      <alignment horizontal="center"/>
    </xf>
    <xf numFmtId="0" fontId="153" fillId="10" borderId="66" xfId="0" applyFont="1" applyFill="1" applyBorder="1" applyAlignment="1">
      <alignment horizontal="center" vertical="center"/>
    </xf>
    <xf numFmtId="0" fontId="153" fillId="10" borderId="45" xfId="0" applyFont="1" applyFill="1" applyBorder="1" applyAlignment="1">
      <alignment horizontal="center" vertical="center"/>
    </xf>
    <xf numFmtId="0" fontId="153" fillId="14" borderId="66" xfId="0" applyFont="1" applyFill="1" applyBorder="1" applyAlignment="1">
      <alignment horizontal="center" vertical="center"/>
    </xf>
    <xf numFmtId="0" fontId="153" fillId="14" borderId="45" xfId="0" applyFont="1" applyFill="1" applyBorder="1" applyAlignment="1">
      <alignment horizontal="center" vertical="center"/>
    </xf>
    <xf numFmtId="0" fontId="154" fillId="10" borderId="115" xfId="0" applyFont="1" applyFill="1" applyBorder="1" applyAlignment="1">
      <alignment horizontal="center"/>
    </xf>
    <xf numFmtId="0" fontId="154" fillId="10" borderId="59" xfId="0" applyFont="1" applyFill="1" applyBorder="1" applyAlignment="1">
      <alignment horizontal="center"/>
    </xf>
    <xf numFmtId="0" fontId="154" fillId="14" borderId="66" xfId="0" applyFont="1" applyFill="1" applyBorder="1" applyAlignment="1">
      <alignment horizontal="center"/>
    </xf>
    <xf numFmtId="0" fontId="154" fillId="14" borderId="45" xfId="0" applyFont="1" applyFill="1" applyBorder="1" applyAlignment="1">
      <alignment horizontal="center"/>
    </xf>
    <xf numFmtId="0" fontId="178" fillId="7" borderId="43" xfId="0" applyFont="1" applyFill="1" applyBorder="1" applyAlignment="1">
      <alignment horizontal="center" vertical="center"/>
    </xf>
    <xf numFmtId="0" fontId="178" fillId="7" borderId="61" xfId="0" applyFont="1" applyFill="1" applyBorder="1" applyAlignment="1">
      <alignment horizontal="center" vertical="center"/>
    </xf>
    <xf numFmtId="0" fontId="155" fillId="7" borderId="43" xfId="0" applyFont="1" applyFill="1" applyBorder="1" applyAlignment="1">
      <alignment horizontal="center" vertical="center"/>
    </xf>
    <xf numFmtId="0" fontId="155" fillId="7" borderId="61" xfId="0" applyFont="1" applyFill="1" applyBorder="1" applyAlignment="1">
      <alignment horizontal="center" vertical="center"/>
    </xf>
    <xf numFmtId="0" fontId="155" fillId="7" borderId="62" xfId="0" applyFont="1" applyFill="1" applyBorder="1" applyAlignment="1">
      <alignment horizontal="center" vertical="center"/>
    </xf>
    <xf numFmtId="0" fontId="182" fillId="10" borderId="43" xfId="0" applyFont="1" applyFill="1" applyBorder="1" applyAlignment="1">
      <alignment horizontal="center" vertical="center" wrapText="1"/>
    </xf>
    <xf numFmtId="0" fontId="182" fillId="10" borderId="61" xfId="0" applyFont="1" applyFill="1" applyBorder="1" applyAlignment="1">
      <alignment horizontal="center" vertical="center"/>
    </xf>
    <xf numFmtId="0" fontId="182" fillId="10" borderId="62" xfId="0" applyFont="1" applyFill="1" applyBorder="1" applyAlignment="1">
      <alignment horizontal="center" vertical="center"/>
    </xf>
    <xf numFmtId="0" fontId="161" fillId="7" borderId="39" xfId="0" applyFont="1" applyFill="1" applyBorder="1" applyAlignment="1">
      <alignment horizontal="center" vertical="center"/>
    </xf>
    <xf numFmtId="0" fontId="181" fillId="10" borderId="18" xfId="0" applyFont="1" applyFill="1" applyBorder="1" applyAlignment="1">
      <alignment horizontal="center" vertical="center"/>
    </xf>
    <xf numFmtId="0" fontId="181" fillId="10" borderId="19" xfId="0" applyFont="1" applyFill="1" applyBorder="1" applyAlignment="1">
      <alignment horizontal="center" vertical="center"/>
    </xf>
    <xf numFmtId="0" fontId="171" fillId="0" borderId="72" xfId="0" applyFont="1" applyBorder="1" applyAlignment="1">
      <alignment horizontal="left" vertical="center"/>
    </xf>
    <xf numFmtId="0" fontId="171" fillId="0" borderId="81" xfId="0" applyFont="1" applyBorder="1" applyAlignment="1">
      <alignment horizontal="left" vertical="center"/>
    </xf>
    <xf numFmtId="169" fontId="157" fillId="0" borderId="72" xfId="3" applyNumberFormat="1" applyFont="1" applyBorder="1" applyAlignment="1">
      <alignment horizontal="center"/>
    </xf>
    <xf numFmtId="169" fontId="157" fillId="0" borderId="81" xfId="3" applyNumberFormat="1" applyFont="1" applyBorder="1" applyAlignment="1">
      <alignment horizontal="center"/>
    </xf>
    <xf numFmtId="169" fontId="164" fillId="7" borderId="75" xfId="0" applyNumberFormat="1" applyFont="1" applyFill="1" applyBorder="1" applyAlignment="1">
      <alignment horizontal="center" vertical="center"/>
    </xf>
    <xf numFmtId="169" fontId="164" fillId="7" borderId="44" xfId="0" applyNumberFormat="1" applyFont="1" applyFill="1" applyBorder="1" applyAlignment="1">
      <alignment horizontal="center" vertical="center"/>
    </xf>
    <xf numFmtId="172" fontId="173" fillId="0" borderId="66" xfId="3" applyNumberFormat="1" applyFont="1" applyBorder="1" applyAlignment="1">
      <alignment horizontal="center"/>
    </xf>
    <xf numFmtId="172" fontId="173" fillId="0" borderId="45" xfId="3" applyNumberFormat="1" applyFont="1" applyBorder="1" applyAlignment="1">
      <alignment horizontal="center"/>
    </xf>
    <xf numFmtId="172" fontId="183" fillId="0" borderId="66" xfId="3" applyNumberFormat="1" applyFont="1" applyBorder="1" applyAlignment="1">
      <alignment horizontal="center" vertical="center"/>
    </xf>
    <xf numFmtId="172" fontId="183" fillId="0" borderId="45" xfId="3" applyNumberFormat="1" applyFont="1" applyBorder="1" applyAlignment="1">
      <alignment horizontal="center" vertical="center"/>
    </xf>
    <xf numFmtId="0" fontId="153" fillId="14" borderId="72" xfId="0" applyFont="1" applyFill="1" applyBorder="1" applyAlignment="1">
      <alignment horizontal="center" vertical="center" wrapText="1"/>
    </xf>
    <xf numFmtId="0" fontId="153" fillId="14" borderId="81" xfId="0" applyFont="1" applyFill="1" applyBorder="1" applyAlignment="1">
      <alignment horizontal="center" vertical="center" wrapText="1"/>
    </xf>
    <xf numFmtId="0" fontId="153" fillId="10" borderId="66" xfId="0" applyFont="1" applyFill="1" applyBorder="1" applyAlignment="1">
      <alignment horizontal="center" vertical="center" wrapText="1"/>
    </xf>
    <xf numFmtId="0" fontId="153" fillId="10" borderId="45" xfId="0" applyFont="1" applyFill="1" applyBorder="1" applyAlignment="1">
      <alignment horizontal="center" vertical="center" wrapText="1"/>
    </xf>
    <xf numFmtId="0" fontId="153" fillId="14" borderId="66" xfId="0" applyFont="1" applyFill="1" applyBorder="1" applyAlignment="1">
      <alignment horizontal="center" vertical="center" wrapText="1"/>
    </xf>
    <xf numFmtId="0" fontId="153" fillId="14" borderId="45" xfId="0" applyFont="1" applyFill="1" applyBorder="1" applyAlignment="1">
      <alignment horizontal="center" vertical="center" wrapText="1"/>
    </xf>
    <xf numFmtId="0" fontId="202" fillId="10" borderId="66" xfId="0" applyFont="1" applyFill="1" applyBorder="1" applyAlignment="1">
      <alignment horizontal="center" vertical="center"/>
    </xf>
    <xf numFmtId="0" fontId="202" fillId="10" borderId="45" xfId="0" applyFont="1" applyFill="1" applyBorder="1" applyAlignment="1">
      <alignment horizontal="center" vertical="center"/>
    </xf>
    <xf numFmtId="0" fontId="154" fillId="14" borderId="66" xfId="0" applyFont="1" applyFill="1" applyBorder="1" applyAlignment="1">
      <alignment horizontal="center" vertical="center"/>
    </xf>
    <xf numFmtId="0" fontId="154" fillId="14" borderId="45" xfId="0" applyFont="1" applyFill="1" applyBorder="1" applyAlignment="1">
      <alignment horizontal="center" vertical="center"/>
    </xf>
    <xf numFmtId="0" fontId="184" fillId="10" borderId="66" xfId="0" applyFont="1" applyFill="1" applyBorder="1" applyAlignment="1">
      <alignment horizontal="center" vertical="center"/>
    </xf>
    <xf numFmtId="0" fontId="184" fillId="10" borderId="45" xfId="0" applyFont="1" applyFill="1" applyBorder="1" applyAlignment="1">
      <alignment horizontal="center" vertical="center"/>
    </xf>
    <xf numFmtId="0" fontId="7" fillId="9" borderId="7" xfId="0" applyFont="1" applyFill="1" applyBorder="1" applyAlignment="1">
      <alignment horizontal="center" vertical="center" wrapText="1"/>
    </xf>
    <xf numFmtId="0" fontId="7" fillId="9" borderId="8" xfId="0" applyFont="1" applyFill="1" applyBorder="1" applyAlignment="1">
      <alignment horizontal="center" vertical="center" wrapText="1"/>
    </xf>
    <xf numFmtId="0" fontId="7" fillId="9" borderId="43" xfId="0" applyFont="1" applyFill="1" applyBorder="1" applyAlignment="1">
      <alignment horizontal="center" vertical="center"/>
    </xf>
    <xf numFmtId="0" fontId="7" fillId="9" borderId="61" xfId="0" applyFont="1" applyFill="1" applyBorder="1" applyAlignment="1">
      <alignment horizontal="center" vertical="center"/>
    </xf>
    <xf numFmtId="0" fontId="7" fillId="9" borderId="62" xfId="0" applyFont="1" applyFill="1" applyBorder="1" applyAlignment="1">
      <alignment horizontal="center" vertical="center"/>
    </xf>
    <xf numFmtId="0" fontId="22" fillId="9" borderId="7" xfId="0" applyFont="1" applyFill="1" applyBorder="1" applyAlignment="1">
      <alignment horizontal="center" vertical="center"/>
    </xf>
    <xf numFmtId="0" fontId="22" fillId="9" borderId="8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4" fillId="0" borderId="20" xfId="0" applyFont="1" applyFill="1" applyBorder="1" applyAlignment="1">
      <alignment horizontal="center" vertical="center"/>
    </xf>
    <xf numFmtId="0" fontId="4" fillId="20" borderId="18" xfId="0" applyNumberFormat="1" applyFont="1" applyFill="1" applyBorder="1" applyAlignment="1">
      <alignment horizontal="center" vertical="center"/>
    </xf>
    <xf numFmtId="0" fontId="4" fillId="20" borderId="20" xfId="0" applyNumberFormat="1" applyFont="1" applyFill="1" applyBorder="1" applyAlignment="1">
      <alignment horizontal="center" vertical="center"/>
    </xf>
    <xf numFmtId="0" fontId="4" fillId="0" borderId="18" xfId="0" applyNumberFormat="1" applyFont="1" applyFill="1" applyBorder="1" applyAlignment="1">
      <alignment horizontal="center" vertical="center"/>
    </xf>
    <xf numFmtId="0" fontId="4" fillId="0" borderId="20" xfId="0" applyNumberFormat="1" applyFont="1" applyFill="1" applyBorder="1" applyAlignment="1">
      <alignment horizontal="center" vertical="center"/>
    </xf>
    <xf numFmtId="0" fontId="126" fillId="26" borderId="43" xfId="0" applyFont="1" applyFill="1" applyBorder="1" applyAlignment="1">
      <alignment horizontal="center"/>
    </xf>
    <xf numFmtId="0" fontId="126" fillId="26" borderId="62" xfId="0" applyFont="1" applyFill="1" applyBorder="1" applyAlignment="1">
      <alignment horizontal="center"/>
    </xf>
    <xf numFmtId="0" fontId="4" fillId="20" borderId="18" xfId="0" applyFont="1" applyFill="1" applyBorder="1" applyAlignment="1">
      <alignment horizontal="center" vertical="center"/>
    </xf>
    <xf numFmtId="0" fontId="4" fillId="20" borderId="20" xfId="0" applyFont="1" applyFill="1" applyBorder="1" applyAlignment="1">
      <alignment horizontal="center" vertical="center"/>
    </xf>
    <xf numFmtId="0" fontId="76" fillId="0" borderId="43" xfId="0" applyFont="1" applyBorder="1" applyAlignment="1">
      <alignment horizontal="center" vertical="center"/>
    </xf>
    <xf numFmtId="0" fontId="76" fillId="0" borderId="61" xfId="0" applyFont="1" applyBorder="1" applyAlignment="1">
      <alignment horizontal="center" vertical="center"/>
    </xf>
    <xf numFmtId="0" fontId="76" fillId="0" borderId="62" xfId="0" applyFont="1" applyBorder="1" applyAlignment="1">
      <alignment horizontal="center" vertical="center"/>
    </xf>
    <xf numFmtId="0" fontId="64" fillId="11" borderId="93" xfId="0" applyFont="1" applyFill="1" applyBorder="1" applyAlignment="1">
      <alignment horizontal="center" vertical="center" wrapText="1"/>
    </xf>
    <xf numFmtId="0" fontId="64" fillId="11" borderId="75" xfId="0" applyFont="1" applyFill="1" applyBorder="1" applyAlignment="1">
      <alignment horizontal="center" vertical="center" wrapText="1"/>
    </xf>
    <xf numFmtId="0" fontId="18" fillId="0" borderId="18" xfId="0" applyFont="1" applyFill="1" applyBorder="1" applyAlignment="1">
      <alignment horizontal="center" vertical="center"/>
    </xf>
    <xf numFmtId="0" fontId="18" fillId="0" borderId="13" xfId="0" applyFont="1" applyFill="1" applyBorder="1" applyAlignment="1">
      <alignment horizontal="center" vertical="center"/>
    </xf>
    <xf numFmtId="0" fontId="84" fillId="0" borderId="18" xfId="0" applyFont="1" applyFill="1" applyBorder="1" applyAlignment="1">
      <alignment horizontal="left" vertical="center"/>
    </xf>
    <xf numFmtId="0" fontId="84" fillId="0" borderId="19" xfId="0" applyFont="1" applyFill="1" applyBorder="1" applyAlignment="1">
      <alignment horizontal="left" vertical="center"/>
    </xf>
    <xf numFmtId="0" fontId="84" fillId="0" borderId="20" xfId="0" applyFont="1" applyFill="1" applyBorder="1" applyAlignment="1">
      <alignment horizontal="left" vertical="center"/>
    </xf>
    <xf numFmtId="0" fontId="20" fillId="0" borderId="0" xfId="0" applyFont="1" applyFill="1" applyBorder="1" applyAlignment="1">
      <alignment horizontal="center" vertical="center"/>
    </xf>
    <xf numFmtId="0" fontId="18" fillId="0" borderId="12" xfId="0" applyFont="1" applyFill="1" applyBorder="1" applyAlignment="1">
      <alignment horizontal="center" vertical="center"/>
    </xf>
    <xf numFmtId="0" fontId="22" fillId="9" borderId="43" xfId="0" applyFont="1" applyFill="1" applyBorder="1" applyAlignment="1">
      <alignment horizontal="center" vertical="center"/>
    </xf>
    <xf numFmtId="0" fontId="22" fillId="9" borderId="62" xfId="0" applyFont="1" applyFill="1" applyBorder="1" applyAlignment="1">
      <alignment horizontal="center" vertical="center"/>
    </xf>
    <xf numFmtId="0" fontId="84" fillId="0" borderId="27" xfId="0" applyFont="1" applyFill="1" applyBorder="1" applyAlignment="1">
      <alignment horizontal="left" vertical="center"/>
    </xf>
    <xf numFmtId="0" fontId="84" fillId="0" borderId="0" xfId="0" applyFont="1" applyFill="1" applyBorder="1" applyAlignment="1">
      <alignment horizontal="left" vertical="center"/>
    </xf>
    <xf numFmtId="0" fontId="84" fillId="0" borderId="13" xfId="0" applyFont="1" applyFill="1" applyBorder="1" applyAlignment="1">
      <alignment horizontal="left" vertical="center"/>
    </xf>
    <xf numFmtId="0" fontId="84" fillId="0" borderId="11" xfId="0" applyFont="1" applyFill="1" applyBorder="1" applyAlignment="1">
      <alignment horizontal="left" vertical="center"/>
    </xf>
    <xf numFmtId="0" fontId="84" fillId="0" borderId="21" xfId="0" applyFont="1" applyFill="1" applyBorder="1" applyAlignment="1">
      <alignment horizontal="left" vertical="center"/>
    </xf>
    <xf numFmtId="0" fontId="130" fillId="0" borderId="7" xfId="0" applyFont="1" applyFill="1" applyBorder="1" applyAlignment="1">
      <alignment horizontal="left" vertical="center"/>
    </xf>
    <xf numFmtId="0" fontId="130" fillId="0" borderId="10" xfId="0" applyFont="1" applyFill="1" applyBorder="1" applyAlignment="1">
      <alignment horizontal="left" vertical="center"/>
    </xf>
    <xf numFmtId="0" fontId="130" fillId="0" borderId="8" xfId="0" applyFont="1" applyFill="1" applyBorder="1" applyAlignment="1">
      <alignment horizontal="left" vertical="center"/>
    </xf>
    <xf numFmtId="172" fontId="3" fillId="0" borderId="0" xfId="3" applyNumberFormat="1" applyFont="1" applyFill="1" applyBorder="1" applyAlignment="1">
      <alignment horizontal="left"/>
    </xf>
    <xf numFmtId="0" fontId="86" fillId="0" borderId="7" xfId="0" applyFont="1" applyFill="1" applyBorder="1" applyAlignment="1">
      <alignment horizontal="left" vertical="center"/>
    </xf>
    <xf numFmtId="0" fontId="86" fillId="0" borderId="10" xfId="0" applyFont="1" applyFill="1" applyBorder="1" applyAlignment="1">
      <alignment horizontal="left" vertical="center"/>
    </xf>
    <xf numFmtId="0" fontId="86" fillId="0" borderId="8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center"/>
    </xf>
    <xf numFmtId="0" fontId="84" fillId="0" borderId="7" xfId="0" applyFont="1" applyFill="1" applyBorder="1" applyAlignment="1">
      <alignment horizontal="left"/>
    </xf>
    <xf numFmtId="0" fontId="84" fillId="0" borderId="10" xfId="0" applyFont="1" applyFill="1" applyBorder="1" applyAlignment="1">
      <alignment horizontal="left"/>
    </xf>
    <xf numFmtId="0" fontId="84" fillId="0" borderId="8" xfId="0" applyFont="1" applyFill="1" applyBorder="1" applyAlignment="1">
      <alignment horizontal="left"/>
    </xf>
    <xf numFmtId="0" fontId="84" fillId="0" borderId="7" xfId="0" applyFont="1" applyFill="1" applyBorder="1" applyAlignment="1">
      <alignment horizontal="left" vertical="center"/>
    </xf>
    <xf numFmtId="0" fontId="84" fillId="0" borderId="10" xfId="0" applyFont="1" applyFill="1" applyBorder="1" applyAlignment="1">
      <alignment horizontal="left" vertical="center"/>
    </xf>
    <xf numFmtId="0" fontId="84" fillId="0" borderId="8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/>
    </xf>
    <xf numFmtId="0" fontId="85" fillId="0" borderId="7" xfId="0" applyFont="1" applyFill="1" applyBorder="1" applyAlignment="1">
      <alignment horizontal="left" vertical="center"/>
    </xf>
    <xf numFmtId="0" fontId="85" fillId="0" borderId="10" xfId="0" applyFont="1" applyFill="1" applyBorder="1" applyAlignment="1">
      <alignment horizontal="left" vertical="center"/>
    </xf>
    <xf numFmtId="0" fontId="85" fillId="0" borderId="19" xfId="0" applyFont="1" applyFill="1" applyBorder="1" applyAlignment="1">
      <alignment horizontal="left" vertical="center"/>
    </xf>
    <xf numFmtId="0" fontId="85" fillId="0" borderId="20" xfId="0" applyFont="1" applyFill="1" applyBorder="1" applyAlignment="1">
      <alignment horizontal="left" vertical="center"/>
    </xf>
    <xf numFmtId="0" fontId="68" fillId="9" borderId="75" xfId="0" applyFont="1" applyFill="1" applyBorder="1" applyAlignment="1">
      <alignment horizontal="center" vertical="center"/>
    </xf>
    <xf numFmtId="0" fontId="68" fillId="9" borderId="114" xfId="0" applyFont="1" applyFill="1" applyBorder="1" applyAlignment="1">
      <alignment horizontal="center" vertical="center"/>
    </xf>
    <xf numFmtId="0" fontId="68" fillId="9" borderId="44" xfId="0" applyFont="1" applyFill="1" applyBorder="1" applyAlignment="1">
      <alignment horizontal="center" vertical="center"/>
    </xf>
    <xf numFmtId="0" fontId="19" fillId="9" borderId="75" xfId="0" applyFont="1" applyFill="1" applyBorder="1" applyAlignment="1">
      <alignment horizontal="center" vertical="center"/>
    </xf>
    <xf numFmtId="0" fontId="19" fillId="9" borderId="44" xfId="0" applyFont="1" applyFill="1" applyBorder="1" applyAlignment="1">
      <alignment horizontal="center" vertical="center"/>
    </xf>
    <xf numFmtId="0" fontId="43" fillId="9" borderId="75" xfId="0" applyFont="1" applyFill="1" applyBorder="1" applyAlignment="1">
      <alignment horizontal="center" vertical="center"/>
    </xf>
    <xf numFmtId="0" fontId="43" fillId="9" borderId="114" xfId="0" applyFont="1" applyFill="1" applyBorder="1" applyAlignment="1">
      <alignment horizontal="center" vertical="center"/>
    </xf>
    <xf numFmtId="0" fontId="7" fillId="9" borderId="13" xfId="0" applyFont="1" applyFill="1" applyBorder="1" applyAlignment="1">
      <alignment horizontal="center" vertical="center" wrapText="1"/>
    </xf>
    <xf numFmtId="0" fontId="7" fillId="9" borderId="21" xfId="0" applyFont="1" applyFill="1" applyBorder="1" applyAlignment="1">
      <alignment horizontal="center" vertical="center" wrapText="1"/>
    </xf>
    <xf numFmtId="0" fontId="87" fillId="0" borderId="7" xfId="0" applyFont="1" applyFill="1" applyBorder="1" applyAlignment="1">
      <alignment horizontal="left"/>
    </xf>
    <xf numFmtId="0" fontId="87" fillId="0" borderId="10" xfId="0" applyFont="1" applyFill="1" applyBorder="1" applyAlignment="1">
      <alignment horizontal="left"/>
    </xf>
    <xf numFmtId="0" fontId="87" fillId="0" borderId="8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center" vertical="center"/>
    </xf>
    <xf numFmtId="0" fontId="18" fillId="0" borderId="9" xfId="0" applyFont="1" applyFill="1" applyBorder="1" applyAlignment="1">
      <alignment horizontal="center" vertical="center"/>
    </xf>
    <xf numFmtId="0" fontId="18" fillId="0" borderId="16" xfId="0" applyFont="1" applyFill="1" applyBorder="1" applyAlignment="1">
      <alignment horizontal="center" vertical="center"/>
    </xf>
    <xf numFmtId="0" fontId="87" fillId="0" borderId="7" xfId="0" applyFont="1" applyFill="1" applyBorder="1" applyAlignment="1">
      <alignment horizontal="left" vertical="center"/>
    </xf>
    <xf numFmtId="0" fontId="87" fillId="0" borderId="10" xfId="0" applyFont="1" applyFill="1" applyBorder="1" applyAlignment="1">
      <alignment horizontal="left" vertical="center"/>
    </xf>
    <xf numFmtId="0" fontId="87" fillId="0" borderId="8" xfId="0" applyFont="1" applyFill="1" applyBorder="1" applyAlignment="1">
      <alignment horizontal="left" vertical="center"/>
    </xf>
    <xf numFmtId="0" fontId="89" fillId="0" borderId="7" xfId="0" applyFont="1" applyFill="1" applyBorder="1" applyAlignment="1">
      <alignment horizontal="left" vertical="center"/>
    </xf>
    <xf numFmtId="0" fontId="89" fillId="0" borderId="10" xfId="0" applyFont="1" applyFill="1" applyBorder="1" applyAlignment="1">
      <alignment horizontal="left" vertical="center"/>
    </xf>
    <xf numFmtId="0" fontId="89" fillId="0" borderId="8" xfId="0" applyFont="1" applyFill="1" applyBorder="1" applyAlignment="1">
      <alignment horizontal="left" vertical="center"/>
    </xf>
    <xf numFmtId="0" fontId="89" fillId="0" borderId="69" xfId="0" applyFont="1" applyFill="1" applyBorder="1" applyAlignment="1">
      <alignment horizontal="left" vertical="center"/>
    </xf>
    <xf numFmtId="0" fontId="89" fillId="0" borderId="70" xfId="0" applyFont="1" applyFill="1" applyBorder="1" applyAlignment="1">
      <alignment horizontal="left" vertical="center"/>
    </xf>
    <xf numFmtId="0" fontId="89" fillId="0" borderId="71" xfId="0" applyFont="1" applyFill="1" applyBorder="1" applyAlignment="1">
      <alignment horizontal="left" vertical="center"/>
    </xf>
    <xf numFmtId="0" fontId="19" fillId="9" borderId="13" xfId="0" applyFont="1" applyFill="1" applyBorder="1" applyAlignment="1">
      <alignment horizontal="center" vertical="center"/>
    </xf>
    <xf numFmtId="0" fontId="19" fillId="9" borderId="21" xfId="0" applyFont="1" applyFill="1" applyBorder="1" applyAlignment="1">
      <alignment horizontal="center" vertical="center"/>
    </xf>
    <xf numFmtId="0" fontId="88" fillId="0" borderId="7" xfId="0" applyFont="1" applyFill="1" applyBorder="1" applyAlignment="1">
      <alignment horizontal="left" vertical="center"/>
    </xf>
    <xf numFmtId="0" fontId="88" fillId="0" borderId="10" xfId="0" applyFont="1" applyFill="1" applyBorder="1" applyAlignment="1">
      <alignment horizontal="left" vertical="center"/>
    </xf>
    <xf numFmtId="0" fontId="88" fillId="0" borderId="8" xfId="0" applyFont="1" applyFill="1" applyBorder="1" applyAlignment="1">
      <alignment horizontal="left" vertical="center"/>
    </xf>
    <xf numFmtId="0" fontId="64" fillId="0" borderId="114" xfId="0" applyFont="1" applyFill="1" applyBorder="1" applyAlignment="1">
      <alignment horizontal="left" vertical="center"/>
    </xf>
    <xf numFmtId="0" fontId="64" fillId="0" borderId="44" xfId="0" applyFont="1" applyFill="1" applyBorder="1" applyAlignment="1">
      <alignment horizontal="left" vertical="center"/>
    </xf>
    <xf numFmtId="0" fontId="62" fillId="0" borderId="0" xfId="0" applyFont="1" applyAlignment="1">
      <alignment horizontal="center"/>
    </xf>
    <xf numFmtId="0" fontId="49" fillId="13" borderId="43" xfId="0" applyFont="1" applyFill="1" applyBorder="1" applyAlignment="1">
      <alignment horizontal="center" vertical="center"/>
    </xf>
    <xf numFmtId="0" fontId="49" fillId="13" borderId="62" xfId="0" applyFont="1" applyFill="1" applyBorder="1" applyAlignment="1">
      <alignment horizontal="center" vertical="center"/>
    </xf>
    <xf numFmtId="0" fontId="64" fillId="11" borderId="4" xfId="0" applyFont="1" applyFill="1" applyBorder="1" applyAlignment="1">
      <alignment horizontal="center" vertical="center" wrapText="1"/>
    </xf>
    <xf numFmtId="0" fontId="64" fillId="11" borderId="17" xfId="0" applyFont="1" applyFill="1" applyBorder="1" applyAlignment="1">
      <alignment horizontal="center" vertical="center" wrapText="1"/>
    </xf>
    <xf numFmtId="0" fontId="62" fillId="13" borderId="18" xfId="0" applyFont="1" applyFill="1" applyBorder="1" applyAlignment="1">
      <alignment horizontal="center" vertical="center"/>
    </xf>
    <xf numFmtId="0" fontId="62" fillId="13" borderId="20" xfId="0" applyFont="1" applyFill="1" applyBorder="1" applyAlignment="1">
      <alignment horizontal="center" vertical="center"/>
    </xf>
    <xf numFmtId="0" fontId="62" fillId="13" borderId="27" xfId="0" applyFont="1" applyFill="1" applyBorder="1" applyAlignment="1">
      <alignment horizontal="center" vertical="center"/>
    </xf>
    <xf numFmtId="0" fontId="62" fillId="13" borderId="29" xfId="0" applyFont="1" applyFill="1" applyBorder="1" applyAlignment="1">
      <alignment horizontal="center" vertical="center"/>
    </xf>
    <xf numFmtId="0" fontId="7" fillId="13" borderId="38" xfId="0" applyFont="1" applyFill="1" applyBorder="1" applyAlignment="1">
      <alignment vertical="center"/>
    </xf>
    <xf numFmtId="0" fontId="7" fillId="13" borderId="51" xfId="0" applyFont="1" applyFill="1" applyBorder="1" applyAlignment="1">
      <alignment vertical="center"/>
    </xf>
    <xf numFmtId="0" fontId="7" fillId="13" borderId="107" xfId="0" applyFont="1" applyFill="1" applyBorder="1" applyAlignment="1">
      <alignment vertical="center"/>
    </xf>
    <xf numFmtId="0" fontId="7" fillId="13" borderId="106" xfId="0" applyFont="1" applyFill="1" applyBorder="1" applyAlignment="1">
      <alignment vertical="center"/>
    </xf>
    <xf numFmtId="0" fontId="82" fillId="13" borderId="43" xfId="0" applyFont="1" applyFill="1" applyBorder="1" applyAlignment="1">
      <alignment horizontal="center" vertical="center"/>
    </xf>
    <xf numFmtId="0" fontId="82" fillId="13" borderId="62" xfId="0" applyFont="1" applyFill="1" applyBorder="1" applyAlignment="1">
      <alignment horizontal="center" vertical="center"/>
    </xf>
    <xf numFmtId="172" fontId="73" fillId="0" borderId="0" xfId="3" applyNumberFormat="1" applyFont="1" applyAlignment="1">
      <alignment horizontal="center"/>
    </xf>
    <xf numFmtId="165" fontId="92" fillId="0" borderId="43" xfId="0" applyNumberFormat="1" applyFont="1" applyBorder="1" applyAlignment="1">
      <alignment horizontal="center" vertical="center"/>
    </xf>
    <xf numFmtId="0" fontId="92" fillId="0" borderId="61" xfId="0" applyFont="1" applyBorder="1" applyAlignment="1">
      <alignment horizontal="center" vertical="center"/>
    </xf>
    <xf numFmtId="0" fontId="92" fillId="0" borderId="62" xfId="0" applyFont="1" applyBorder="1" applyAlignment="1">
      <alignment horizontal="center" vertical="center"/>
    </xf>
    <xf numFmtId="0" fontId="17" fillId="13" borderId="75" xfId="0" applyFont="1" applyFill="1" applyBorder="1" applyAlignment="1">
      <alignment horizontal="center" vertical="center"/>
    </xf>
    <xf numFmtId="0" fontId="17" fillId="13" borderId="44" xfId="0" applyFont="1" applyFill="1" applyBorder="1" applyAlignment="1">
      <alignment horizontal="center" vertical="center"/>
    </xf>
    <xf numFmtId="165" fontId="92" fillId="0" borderId="61" xfId="0" applyNumberFormat="1" applyFont="1" applyBorder="1" applyAlignment="1">
      <alignment horizontal="center" vertical="center"/>
    </xf>
    <xf numFmtId="165" fontId="92" fillId="0" borderId="114" xfId="0" applyNumberFormat="1" applyFont="1" applyBorder="1" applyAlignment="1">
      <alignment horizontal="center" vertical="center"/>
    </xf>
    <xf numFmtId="165" fontId="92" fillId="0" borderId="44" xfId="0" applyNumberFormat="1" applyFont="1" applyBorder="1" applyAlignment="1">
      <alignment horizontal="center" vertical="center"/>
    </xf>
    <xf numFmtId="0" fontId="21" fillId="13" borderId="79" xfId="0" applyFont="1" applyFill="1" applyBorder="1" applyAlignment="1">
      <alignment horizontal="center" vertical="center"/>
    </xf>
    <xf numFmtId="0" fontId="21" fillId="13" borderId="80" xfId="0" applyFont="1" applyFill="1" applyBorder="1" applyAlignment="1">
      <alignment horizontal="center" vertical="center"/>
    </xf>
    <xf numFmtId="0" fontId="7" fillId="13" borderId="1" xfId="0" applyFont="1" applyFill="1" applyBorder="1" applyAlignment="1">
      <alignment vertical="center"/>
    </xf>
    <xf numFmtId="0" fontId="7" fillId="13" borderId="2" xfId="0" applyFont="1" applyFill="1" applyBorder="1" applyAlignment="1">
      <alignment vertical="center"/>
    </xf>
    <xf numFmtId="0" fontId="82" fillId="13" borderId="39" xfId="0" applyFont="1" applyFill="1" applyBorder="1" applyAlignment="1">
      <alignment horizontal="center" vertical="center"/>
    </xf>
    <xf numFmtId="165" fontId="92" fillId="0" borderId="62" xfId="0" applyNumberFormat="1" applyFont="1" applyBorder="1" applyAlignment="1">
      <alignment horizontal="center" vertical="center"/>
    </xf>
    <xf numFmtId="0" fontId="7" fillId="9" borderId="92" xfId="0" applyFont="1" applyFill="1" applyBorder="1" applyAlignment="1">
      <alignment horizontal="center" vertical="center"/>
    </xf>
    <xf numFmtId="0" fontId="7" fillId="9" borderId="149" xfId="0" applyFont="1" applyFill="1" applyBorder="1" applyAlignment="1">
      <alignment horizontal="center" vertical="center"/>
    </xf>
    <xf numFmtId="0" fontId="7" fillId="9" borderId="148" xfId="0" applyFont="1" applyFill="1" applyBorder="1" applyAlignment="1">
      <alignment horizontal="center" vertical="center"/>
    </xf>
    <xf numFmtId="0" fontId="132" fillId="9" borderId="43" xfId="0" applyFont="1" applyFill="1" applyBorder="1" applyAlignment="1">
      <alignment horizontal="center" vertical="center"/>
    </xf>
    <xf numFmtId="0" fontId="132" fillId="9" borderId="61" xfId="0" applyFont="1" applyFill="1" applyBorder="1" applyAlignment="1">
      <alignment horizontal="center" vertical="center"/>
    </xf>
    <xf numFmtId="0" fontId="132" fillId="9" borderId="62" xfId="0" applyFont="1" applyFill="1" applyBorder="1" applyAlignment="1">
      <alignment horizontal="center" vertical="center"/>
    </xf>
    <xf numFmtId="165" fontId="92" fillId="0" borderId="43" xfId="0" applyNumberFormat="1" applyFont="1" applyFill="1" applyBorder="1" applyAlignment="1">
      <alignment horizontal="center" vertical="center"/>
    </xf>
    <xf numFmtId="165" fontId="92" fillId="0" borderId="61" xfId="0" applyNumberFormat="1" applyFont="1" applyFill="1" applyBorder="1" applyAlignment="1">
      <alignment horizontal="center" vertical="center"/>
    </xf>
    <xf numFmtId="165" fontId="92" fillId="0" borderId="62" xfId="0" applyNumberFormat="1" applyFont="1" applyFill="1" applyBorder="1" applyAlignment="1">
      <alignment horizontal="center" vertical="center"/>
    </xf>
    <xf numFmtId="0" fontId="68" fillId="13" borderId="141" xfId="0" applyFont="1" applyFill="1" applyBorder="1" applyAlignment="1">
      <alignment horizontal="center" vertical="center"/>
    </xf>
    <xf numFmtId="0" fontId="18" fillId="2" borderId="141" xfId="0" applyFont="1" applyFill="1" applyBorder="1" applyAlignment="1">
      <alignment horizontal="center" vertical="center" wrapText="1"/>
    </xf>
    <xf numFmtId="0" fontId="18" fillId="2" borderId="142" xfId="0" applyFont="1" applyFill="1" applyBorder="1" applyAlignment="1">
      <alignment horizontal="center" vertical="center" wrapText="1"/>
    </xf>
    <xf numFmtId="0" fontId="93" fillId="9" borderId="0" xfId="0" applyFont="1" applyFill="1" applyAlignment="1">
      <alignment horizontal="center"/>
    </xf>
    <xf numFmtId="0" fontId="93" fillId="9" borderId="73" xfId="0" applyFont="1" applyFill="1" applyBorder="1" applyAlignment="1">
      <alignment horizontal="center"/>
    </xf>
    <xf numFmtId="171" fontId="15" fillId="28" borderId="1" xfId="0" applyNumberFormat="1" applyFont="1" applyFill="1" applyBorder="1" applyAlignment="1">
      <alignment horizontal="center"/>
    </xf>
    <xf numFmtId="171" fontId="15" fillId="28" borderId="31" xfId="0" applyNumberFormat="1" applyFont="1" applyFill="1" applyBorder="1" applyAlignment="1">
      <alignment horizontal="center"/>
    </xf>
    <xf numFmtId="171" fontId="15" fillId="28" borderId="2" xfId="0" applyNumberFormat="1" applyFont="1" applyFill="1" applyBorder="1" applyAlignment="1">
      <alignment horizontal="center"/>
    </xf>
    <xf numFmtId="0" fontId="210" fillId="9" borderId="0" xfId="0" applyFont="1" applyFill="1" applyAlignment="1">
      <alignment horizontal="center"/>
    </xf>
    <xf numFmtId="0" fontId="210" fillId="9" borderId="73" xfId="0" applyFont="1" applyFill="1" applyBorder="1" applyAlignment="1">
      <alignment horizontal="center"/>
    </xf>
    <xf numFmtId="171" fontId="15" fillId="0" borderId="1" xfId="0" applyNumberFormat="1" applyFont="1" applyBorder="1" applyAlignment="1">
      <alignment horizontal="center"/>
    </xf>
    <xf numFmtId="171" fontId="15" fillId="0" borderId="31" xfId="0" applyNumberFormat="1" applyFont="1" applyBorder="1" applyAlignment="1">
      <alignment horizontal="center"/>
    </xf>
    <xf numFmtId="171" fontId="15" fillId="0" borderId="2" xfId="0" applyNumberFormat="1" applyFont="1" applyBorder="1" applyAlignment="1">
      <alignment horizontal="center"/>
    </xf>
    <xf numFmtId="0" fontId="205" fillId="0" borderId="0" xfId="0" applyFont="1" applyBorder="1" applyAlignment="1">
      <alignment horizontal="center"/>
    </xf>
    <xf numFmtId="171" fontId="11" fillId="0" borderId="3" xfId="0" applyNumberFormat="1" applyFont="1" applyBorder="1" applyAlignment="1">
      <alignment horizontal="center"/>
    </xf>
    <xf numFmtId="171" fontId="11" fillId="0" borderId="0" xfId="0" applyNumberFormat="1" applyFont="1" applyBorder="1" applyAlignment="1">
      <alignment horizontal="center"/>
    </xf>
    <xf numFmtId="0" fontId="11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/>
    </xf>
    <xf numFmtId="2" fontId="11" fillId="0" borderId="0" xfId="0" applyNumberFormat="1" applyFont="1" applyBorder="1" applyAlignment="1">
      <alignment horizontal="center"/>
    </xf>
    <xf numFmtId="171" fontId="15" fillId="0" borderId="0" xfId="0" applyNumberFormat="1" applyFont="1" applyBorder="1" applyAlignment="1">
      <alignment horizontal="center"/>
    </xf>
    <xf numFmtId="0" fontId="11" fillId="0" borderId="3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/>
    </xf>
    <xf numFmtId="2" fontId="11" fillId="0" borderId="3" xfId="0" applyNumberFormat="1" applyFont="1" applyBorder="1" applyAlignment="1">
      <alignment horizontal="center"/>
    </xf>
  </cellXfs>
  <cellStyles count="4">
    <cellStyle name="Comma" xfId="3" builtinId="3"/>
    <cellStyle name="Normal" xfId="0" builtinId="0"/>
    <cellStyle name="Normal 2" xfId="2"/>
    <cellStyle name="Normal 3" xfId="1"/>
  </cellStyles>
  <dxfs count="1292"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theme="6" tint="-0.24994659260841701"/>
      </font>
    </dxf>
    <dxf>
      <font>
        <color rgb="FF0000CC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theme="6" tint="-0.24994659260841701"/>
      </font>
    </dxf>
    <dxf>
      <font>
        <color rgb="FF0000CC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theme="6" tint="-0.24994659260841701"/>
      </font>
    </dxf>
    <dxf>
      <font>
        <color rgb="FF0000CC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theme="6" tint="-0.24994659260841701"/>
      </font>
    </dxf>
    <dxf>
      <font>
        <color rgb="FF0000CC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theme="6" tint="-0.24994659260841701"/>
      </font>
    </dxf>
    <dxf>
      <font>
        <color rgb="FF0000CC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theme="6" tint="-0.24994659260841701"/>
      </font>
    </dxf>
    <dxf>
      <font>
        <color rgb="FF0000CC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theme="6" tint="-0.24994659260841701"/>
      </font>
    </dxf>
    <dxf>
      <font>
        <color rgb="FF0000CC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theme="6" tint="-0.24994659260841701"/>
      </font>
    </dxf>
    <dxf>
      <font>
        <color rgb="FF0000CC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theme="6" tint="-0.24994659260841701"/>
      </font>
    </dxf>
    <dxf>
      <font>
        <color rgb="FF0000CC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theme="6" tint="-0.24994659260841701"/>
      </font>
    </dxf>
    <dxf>
      <font>
        <color rgb="FF0000CC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theme="6" tint="-0.24994659260841701"/>
      </font>
    </dxf>
    <dxf>
      <font>
        <color rgb="FF0000CC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theme="6" tint="-0.24994659260841701"/>
      </font>
    </dxf>
    <dxf>
      <font>
        <color rgb="FF0000CC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theme="6" tint="-0.24994659260841701"/>
      </font>
    </dxf>
    <dxf>
      <font>
        <color rgb="FF0000CC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theme="6" tint="-0.24994659260841701"/>
      </font>
    </dxf>
    <dxf>
      <font>
        <color rgb="FF0000CC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theme="6" tint="-0.24994659260841701"/>
      </font>
    </dxf>
    <dxf>
      <font>
        <color rgb="FF0000CC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theme="6" tint="-0.24994659260841701"/>
      </font>
    </dxf>
    <dxf>
      <font>
        <color rgb="FF0000CC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theme="6" tint="-0.24994659260841701"/>
      </font>
    </dxf>
    <dxf>
      <font>
        <color rgb="FF0000CC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theme="6" tint="-0.24994659260841701"/>
      </font>
    </dxf>
    <dxf>
      <font>
        <color rgb="FF0000CC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theme="6" tint="-0.24994659260841701"/>
      </font>
    </dxf>
    <dxf>
      <font>
        <color rgb="FF0000CC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theme="6" tint="-0.24994659260841701"/>
      </font>
    </dxf>
    <dxf>
      <font>
        <color rgb="FF0000CC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theme="6" tint="-0.24994659260841701"/>
      </font>
    </dxf>
    <dxf>
      <font>
        <color rgb="FF0000CC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theme="6" tint="-0.24994659260841701"/>
      </font>
    </dxf>
    <dxf>
      <font>
        <color rgb="FF0000CC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theme="6" tint="-0.24994659260841701"/>
      </font>
    </dxf>
    <dxf>
      <font>
        <color rgb="FF0000CC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theme="6" tint="-0.24994659260841701"/>
      </font>
    </dxf>
    <dxf>
      <font>
        <color rgb="FF0000CC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theme="6" tint="-0.24994659260841701"/>
      </font>
    </dxf>
    <dxf>
      <font>
        <color rgb="FF0000CC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theme="6" tint="-0.24994659260841701"/>
      </font>
    </dxf>
    <dxf>
      <font>
        <color rgb="FF0000CC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theme="6" tint="-0.24994659260841701"/>
      </font>
    </dxf>
    <dxf>
      <font>
        <color rgb="FF0000CC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theme="6" tint="-0.24994659260841701"/>
      </font>
    </dxf>
    <dxf>
      <font>
        <color rgb="FF0000CC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theme="6" tint="-0.24994659260841701"/>
      </font>
    </dxf>
    <dxf>
      <font>
        <color rgb="FF0000CC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theme="6" tint="-0.24994659260841701"/>
      </font>
    </dxf>
    <dxf>
      <font>
        <color rgb="FF0000CC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theme="6" tint="-0.24994659260841701"/>
      </font>
    </dxf>
    <dxf>
      <font>
        <color rgb="FF0000CC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FF66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FF66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FF6600"/>
      </font>
    </dxf>
    <dxf>
      <font>
        <color rgb="FFFF0000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FF6600"/>
      </font>
    </dxf>
    <dxf>
      <font>
        <color rgb="FFFF0000"/>
      </font>
    </dxf>
    <dxf>
      <font>
        <color rgb="FFFF0000"/>
      </font>
    </dxf>
    <dxf>
      <font>
        <color rgb="FF0000CC"/>
      </font>
    </dxf>
    <dxf>
      <font>
        <color rgb="FFFF0000"/>
      </font>
    </dxf>
    <dxf>
      <font>
        <color rgb="FFFFC00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lor rgb="FFFF66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</dxfs>
  <tableStyles count="0" defaultTableStyle="TableStyleMedium9" defaultPivotStyle="PivotStyleLight16"/>
  <colors>
    <mruColors>
      <color rgb="FF0000CC"/>
      <color rgb="FFFF6600"/>
      <color rgb="FFFF99FF"/>
      <color rgb="FF3121A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#'12'!A1"/><Relationship Id="rId18" Type="http://schemas.openxmlformats.org/officeDocument/2006/relationships/hyperlink" Target="#'17'!A1"/><Relationship Id="rId26" Type="http://schemas.openxmlformats.org/officeDocument/2006/relationships/hyperlink" Target="#'26'!A1"/><Relationship Id="rId39" Type="http://schemas.openxmlformats.org/officeDocument/2006/relationships/image" Target="../media/image1.wmf"/><Relationship Id="rId21" Type="http://schemas.openxmlformats.org/officeDocument/2006/relationships/hyperlink" Target="#'20'!A1"/><Relationship Id="rId34" Type="http://schemas.openxmlformats.org/officeDocument/2006/relationships/hyperlink" Target="#AVERAGE!A1"/><Relationship Id="rId7" Type="http://schemas.openxmlformats.org/officeDocument/2006/relationships/hyperlink" Target="#'6'!A1"/><Relationship Id="rId12" Type="http://schemas.openxmlformats.org/officeDocument/2006/relationships/hyperlink" Target="#'11'!A1"/><Relationship Id="rId17" Type="http://schemas.openxmlformats.org/officeDocument/2006/relationships/hyperlink" Target="#'16'!A1"/><Relationship Id="rId25" Type="http://schemas.openxmlformats.org/officeDocument/2006/relationships/hyperlink" Target="#'25'!A1"/><Relationship Id="rId33" Type="http://schemas.openxmlformats.org/officeDocument/2006/relationships/hyperlink" Target="#ATTENDANCE!A1"/><Relationship Id="rId38" Type="http://schemas.openxmlformats.org/officeDocument/2006/relationships/hyperlink" Target="#'SHAKEEL RUSK'!A1"/><Relationship Id="rId2" Type="http://schemas.openxmlformats.org/officeDocument/2006/relationships/hyperlink" Target="#'2'!A1"/><Relationship Id="rId16" Type="http://schemas.openxmlformats.org/officeDocument/2006/relationships/hyperlink" Target="#'15'!A1"/><Relationship Id="rId20" Type="http://schemas.openxmlformats.org/officeDocument/2006/relationships/hyperlink" Target="#'19'!A1"/><Relationship Id="rId29" Type="http://schemas.openxmlformats.org/officeDocument/2006/relationships/hyperlink" Target="#'29'!A1"/><Relationship Id="rId1" Type="http://schemas.openxmlformats.org/officeDocument/2006/relationships/hyperlink" Target="#'23'!A1"/><Relationship Id="rId6" Type="http://schemas.openxmlformats.org/officeDocument/2006/relationships/hyperlink" Target="#'5'!A1"/><Relationship Id="rId11" Type="http://schemas.openxmlformats.org/officeDocument/2006/relationships/hyperlink" Target="#'10'!A1"/><Relationship Id="rId24" Type="http://schemas.openxmlformats.org/officeDocument/2006/relationships/hyperlink" Target="#'24'!A1"/><Relationship Id="rId32" Type="http://schemas.openxmlformats.org/officeDocument/2006/relationships/hyperlink" Target="#'CUSTOMERS REPORT'!Print_Area"/><Relationship Id="rId37" Type="http://schemas.openxmlformats.org/officeDocument/2006/relationships/hyperlink" Target="#'DAMAGE REPAIR'!A1"/><Relationship Id="rId5" Type="http://schemas.openxmlformats.org/officeDocument/2006/relationships/hyperlink" Target="#'4'!A1"/><Relationship Id="rId15" Type="http://schemas.openxmlformats.org/officeDocument/2006/relationships/hyperlink" Target="#'14'!A1"/><Relationship Id="rId23" Type="http://schemas.openxmlformats.org/officeDocument/2006/relationships/hyperlink" Target="#'22'!A1"/><Relationship Id="rId28" Type="http://schemas.openxmlformats.org/officeDocument/2006/relationships/hyperlink" Target="#'28'!A1"/><Relationship Id="rId36" Type="http://schemas.openxmlformats.org/officeDocument/2006/relationships/hyperlink" Target="#'AQEEL RUSK'!A1"/><Relationship Id="rId10" Type="http://schemas.openxmlformats.org/officeDocument/2006/relationships/hyperlink" Target="#'9'!A1"/><Relationship Id="rId19" Type="http://schemas.openxmlformats.org/officeDocument/2006/relationships/hyperlink" Target="#'18'!A1"/><Relationship Id="rId31" Type="http://schemas.openxmlformats.org/officeDocument/2006/relationships/hyperlink" Target="#'31'!A1"/><Relationship Id="rId4" Type="http://schemas.openxmlformats.org/officeDocument/2006/relationships/hyperlink" Target="#'3'!A1"/><Relationship Id="rId9" Type="http://schemas.openxmlformats.org/officeDocument/2006/relationships/hyperlink" Target="#'8'!A1"/><Relationship Id="rId14" Type="http://schemas.openxmlformats.org/officeDocument/2006/relationships/hyperlink" Target="#'13'!A1"/><Relationship Id="rId22" Type="http://schemas.openxmlformats.org/officeDocument/2006/relationships/hyperlink" Target="#'21'!A1"/><Relationship Id="rId27" Type="http://schemas.openxmlformats.org/officeDocument/2006/relationships/hyperlink" Target="#'27'!A1"/><Relationship Id="rId30" Type="http://schemas.openxmlformats.org/officeDocument/2006/relationships/hyperlink" Target="#'30'!A1"/><Relationship Id="rId35" Type="http://schemas.openxmlformats.org/officeDocument/2006/relationships/hyperlink" Target="#CLOSING!B6:W48"/><Relationship Id="rId8" Type="http://schemas.openxmlformats.org/officeDocument/2006/relationships/hyperlink" Target="#'7'!A1"/><Relationship Id="rId3" Type="http://schemas.openxmlformats.org/officeDocument/2006/relationships/hyperlink" Target="#'1'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'Main Page'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'Main Page'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'Main Page'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'Main Page'!A1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hyperlink" Target="#'Main Page'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'Main Page'!A1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hyperlink" Target="#'Main Page'!A1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'Main Page'!A1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hyperlink" Target="#'Main Page'!A1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hyperlink" Target="#'Main Page'!A1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hyperlink" Target="#'Main Page'!A1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hyperlink" Target="#'Main Page'!A1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hyperlink" Target="#'Main Page'!A1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hyperlink" Target="#'Main Page'!A1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hyperlink" Target="#'Main Page'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hyperlink" Target="#'Main Page'!A1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hyperlink" Target="#'Main Page'!A1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hyperlink" Target="#'Main Page'!A1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hyperlink" Target="#'Main Page'!A1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hyperlink" Target="#'Main Page'!A1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hyperlink" Target="#'Main Page'!A1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hyperlink" Target="#'Main Page'!A1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hyperlink" Target="#'Main Page'!A1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hyperlink" Target="#'Main Page'!A1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hyperlink" Target="#'Main Page'!A1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hyperlink" Target="#'Main Page'!A1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hyperlink" Target="#'Main Page'!A1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hyperlink" Target="#'Main Page'!A1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hyperlink" Target="#'Main Page'!A1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hyperlink" Target="#'Main Page'!A1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hyperlink" Target="#'Main Page'!A1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hyperlink" Target="#'Main Page'!A1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hyperlink" Target="#'Main Page'!A1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hyperlink" Target="#'Main Page'!A1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hyperlink" Target="#'Main Page'!A1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hyperlink" Target="#'Main Page'!A1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hyperlink" Target="#'Main Page'!A1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hyperlink" Target="#'Main Page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1384438</xdr:colOff>
      <xdr:row>38</xdr:row>
      <xdr:rowOff>30647</xdr:rowOff>
    </xdr:from>
    <xdr:to>
      <xdr:col>4</xdr:col>
      <xdr:colOff>2322592</xdr:colOff>
      <xdr:row>38</xdr:row>
      <xdr:rowOff>180975</xdr:rowOff>
    </xdr:to>
    <xdr:sp macro="" textlink="">
      <xdr:nvSpPr>
        <xdr:cNvPr id="38" name="Right Arrow 37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000-000026000000}"/>
            </a:ext>
          </a:extLst>
        </xdr:cNvPr>
        <xdr:cNvSpPr/>
      </xdr:nvSpPr>
      <xdr:spPr>
        <a:xfrm>
          <a:off x="5546863" y="8107847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142875</xdr:colOff>
      <xdr:row>0</xdr:row>
      <xdr:rowOff>116414</xdr:rowOff>
    </xdr:from>
    <xdr:to>
      <xdr:col>14</xdr:col>
      <xdr:colOff>9525</xdr:colOff>
      <xdr:row>8</xdr:row>
      <xdr:rowOff>64556</xdr:rowOff>
    </xdr:to>
    <xdr:sp macro="" textlink="">
      <xdr:nvSpPr>
        <xdr:cNvPr id="3" name="TextBox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291042" y="116414"/>
          <a:ext cx="12323233" cy="1472142"/>
        </a:xfrm>
        <a:prstGeom prst="rect">
          <a:avLst/>
        </a:prstGeom>
        <a:ln/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wrap="square" rtlCol="0" anchor="ctr"/>
        <a:lstStyle/>
        <a:p>
          <a:pPr algn="ctr"/>
          <a:r>
            <a:rPr lang="en-US" sz="8800" b="1" cap="none" spc="0" baseline="0">
              <a:ln w="900" cmpd="sng">
                <a:solidFill>
                  <a:schemeClr val="accent1">
                    <a:satMod val="190000"/>
                    <a:alpha val="55000"/>
                  </a:schemeClr>
                </a:solidFill>
                <a:prstDash val="solid"/>
              </a:ln>
              <a:solidFill>
                <a:schemeClr val="accent1">
                  <a:satMod val="200000"/>
                  <a:tint val="3000"/>
                </a:schemeClr>
              </a:solidFill>
              <a:effectLst>
                <a:innerShdw blurRad="101600" dist="76200" dir="5400000">
                  <a:schemeClr val="accent1">
                    <a:satMod val="190000"/>
                    <a:tint val="100000"/>
                    <a:alpha val="74000"/>
                  </a:schemeClr>
                </a:innerShdw>
              </a:effectLst>
              <a:latin typeface="Candara" pitchFamily="34" charset="0"/>
            </a:rPr>
            <a:t>M.A RUSK</a:t>
          </a:r>
        </a:p>
      </xdr:txBody>
    </xdr:sp>
    <xdr:clientData/>
  </xdr:twoCellAnchor>
  <xdr:twoCellAnchor>
    <xdr:from>
      <xdr:col>4</xdr:col>
      <xdr:colOff>1384438</xdr:colOff>
      <xdr:row>17</xdr:row>
      <xdr:rowOff>49697</xdr:rowOff>
    </xdr:from>
    <xdr:to>
      <xdr:col>4</xdr:col>
      <xdr:colOff>2322592</xdr:colOff>
      <xdr:row>17</xdr:row>
      <xdr:rowOff>200025</xdr:rowOff>
    </xdr:to>
    <xdr:sp macro="" textlink="">
      <xdr:nvSpPr>
        <xdr:cNvPr id="16" name="Right Arrow 15">
          <a:hlinkClick xmlns:r="http://schemas.openxmlformats.org/officeDocument/2006/relationships" r:id="rId2"/>
          <a:extLst>
            <a:ext uri="{FF2B5EF4-FFF2-40B4-BE49-F238E27FC236}">
              <a16:creationId xmlns="" xmlns:a16="http://schemas.microsoft.com/office/drawing/2014/main" id="{00000000-0008-0000-0000-000010000000}"/>
            </a:ext>
          </a:extLst>
        </xdr:cNvPr>
        <xdr:cNvSpPr/>
      </xdr:nvSpPr>
      <xdr:spPr>
        <a:xfrm>
          <a:off x="5546863" y="3326297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16</xdr:row>
      <xdr:rowOff>40172</xdr:rowOff>
    </xdr:from>
    <xdr:to>
      <xdr:col>4</xdr:col>
      <xdr:colOff>2322592</xdr:colOff>
      <xdr:row>16</xdr:row>
      <xdr:rowOff>190500</xdr:rowOff>
    </xdr:to>
    <xdr:sp macro="" textlink="">
      <xdr:nvSpPr>
        <xdr:cNvPr id="17" name="Right Arrow 16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SpPr/>
      </xdr:nvSpPr>
      <xdr:spPr>
        <a:xfrm>
          <a:off x="5546863" y="3088172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1374913</xdr:colOff>
      <xdr:row>18</xdr:row>
      <xdr:rowOff>49697</xdr:rowOff>
    </xdr:from>
    <xdr:to>
      <xdr:col>4</xdr:col>
      <xdr:colOff>2313067</xdr:colOff>
      <xdr:row>18</xdr:row>
      <xdr:rowOff>200025</xdr:rowOff>
    </xdr:to>
    <xdr:sp macro="" textlink="">
      <xdr:nvSpPr>
        <xdr:cNvPr id="18" name="Right Arrow 17">
          <a:hlinkClick xmlns:r="http://schemas.openxmlformats.org/officeDocument/2006/relationships" r:id="rId4"/>
          <a:extLst>
            <a:ext uri="{FF2B5EF4-FFF2-40B4-BE49-F238E27FC236}">
              <a16:creationId xmlns="" xmlns:a16="http://schemas.microsoft.com/office/drawing/2014/main" id="{00000000-0008-0000-0000-000012000000}"/>
            </a:ext>
          </a:extLst>
        </xdr:cNvPr>
        <xdr:cNvSpPr/>
      </xdr:nvSpPr>
      <xdr:spPr>
        <a:xfrm>
          <a:off x="5537338" y="3554897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19</xdr:row>
      <xdr:rowOff>49697</xdr:rowOff>
    </xdr:from>
    <xdr:to>
      <xdr:col>4</xdr:col>
      <xdr:colOff>2322592</xdr:colOff>
      <xdr:row>19</xdr:row>
      <xdr:rowOff>200025</xdr:rowOff>
    </xdr:to>
    <xdr:sp macro="" textlink="">
      <xdr:nvSpPr>
        <xdr:cNvPr id="19" name="Right Arrow 18">
          <a:hlinkClick xmlns:r="http://schemas.openxmlformats.org/officeDocument/2006/relationships" r:id="rId5"/>
          <a:extLst>
            <a:ext uri="{FF2B5EF4-FFF2-40B4-BE49-F238E27FC236}">
              <a16:creationId xmlns="" xmlns:a16="http://schemas.microsoft.com/office/drawing/2014/main" id="{00000000-0008-0000-0000-000013000000}"/>
            </a:ext>
          </a:extLst>
        </xdr:cNvPr>
        <xdr:cNvSpPr/>
      </xdr:nvSpPr>
      <xdr:spPr>
        <a:xfrm>
          <a:off x="5546863" y="3783497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1374913</xdr:colOff>
      <xdr:row>20</xdr:row>
      <xdr:rowOff>40172</xdr:rowOff>
    </xdr:from>
    <xdr:to>
      <xdr:col>4</xdr:col>
      <xdr:colOff>2313067</xdr:colOff>
      <xdr:row>20</xdr:row>
      <xdr:rowOff>190500</xdr:rowOff>
    </xdr:to>
    <xdr:sp macro="" textlink="">
      <xdr:nvSpPr>
        <xdr:cNvPr id="20" name="Right Arrow 19">
          <a:hlinkClick xmlns:r="http://schemas.openxmlformats.org/officeDocument/2006/relationships" r:id="rId6"/>
          <a:extLst>
            <a:ext uri="{FF2B5EF4-FFF2-40B4-BE49-F238E27FC236}">
              <a16:creationId xmlns="" xmlns:a16="http://schemas.microsoft.com/office/drawing/2014/main" id="{00000000-0008-0000-0000-000014000000}"/>
            </a:ext>
          </a:extLst>
        </xdr:cNvPr>
        <xdr:cNvSpPr/>
      </xdr:nvSpPr>
      <xdr:spPr>
        <a:xfrm>
          <a:off x="5537338" y="4002572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1374913</xdr:colOff>
      <xdr:row>21</xdr:row>
      <xdr:rowOff>40172</xdr:rowOff>
    </xdr:from>
    <xdr:to>
      <xdr:col>4</xdr:col>
      <xdr:colOff>2313067</xdr:colOff>
      <xdr:row>21</xdr:row>
      <xdr:rowOff>190500</xdr:rowOff>
    </xdr:to>
    <xdr:sp macro="" textlink="">
      <xdr:nvSpPr>
        <xdr:cNvPr id="21" name="Right Arrow 20">
          <a:hlinkClick xmlns:r="http://schemas.openxmlformats.org/officeDocument/2006/relationships" r:id="rId7"/>
          <a:extLst>
            <a:ext uri="{FF2B5EF4-FFF2-40B4-BE49-F238E27FC236}">
              <a16:creationId xmlns="" xmlns:a16="http://schemas.microsoft.com/office/drawing/2014/main" id="{00000000-0008-0000-0000-000015000000}"/>
            </a:ext>
          </a:extLst>
        </xdr:cNvPr>
        <xdr:cNvSpPr/>
      </xdr:nvSpPr>
      <xdr:spPr>
        <a:xfrm>
          <a:off x="5537338" y="4231172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1374913</xdr:colOff>
      <xdr:row>22</xdr:row>
      <xdr:rowOff>40172</xdr:rowOff>
    </xdr:from>
    <xdr:to>
      <xdr:col>4</xdr:col>
      <xdr:colOff>2313067</xdr:colOff>
      <xdr:row>22</xdr:row>
      <xdr:rowOff>190500</xdr:rowOff>
    </xdr:to>
    <xdr:sp macro="" textlink="">
      <xdr:nvSpPr>
        <xdr:cNvPr id="22" name="Right Arrow 21">
          <a:hlinkClick xmlns:r="http://schemas.openxmlformats.org/officeDocument/2006/relationships" r:id="rId8"/>
          <a:extLst>
            <a:ext uri="{FF2B5EF4-FFF2-40B4-BE49-F238E27FC236}">
              <a16:creationId xmlns="" xmlns:a16="http://schemas.microsoft.com/office/drawing/2014/main" id="{00000000-0008-0000-0000-000016000000}"/>
            </a:ext>
          </a:extLst>
        </xdr:cNvPr>
        <xdr:cNvSpPr/>
      </xdr:nvSpPr>
      <xdr:spPr>
        <a:xfrm>
          <a:off x="5537338" y="4459772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1374913</xdr:colOff>
      <xdr:row>23</xdr:row>
      <xdr:rowOff>68747</xdr:rowOff>
    </xdr:from>
    <xdr:to>
      <xdr:col>4</xdr:col>
      <xdr:colOff>2313067</xdr:colOff>
      <xdr:row>23</xdr:row>
      <xdr:rowOff>219075</xdr:rowOff>
    </xdr:to>
    <xdr:sp macro="" textlink="">
      <xdr:nvSpPr>
        <xdr:cNvPr id="23" name="Right Arrow 22">
          <a:hlinkClick xmlns:r="http://schemas.openxmlformats.org/officeDocument/2006/relationships" r:id="rId9"/>
          <a:extLst>
            <a:ext uri="{FF2B5EF4-FFF2-40B4-BE49-F238E27FC236}">
              <a16:creationId xmlns="" xmlns:a16="http://schemas.microsoft.com/office/drawing/2014/main" id="{00000000-0008-0000-0000-000017000000}"/>
            </a:ext>
          </a:extLst>
        </xdr:cNvPr>
        <xdr:cNvSpPr/>
      </xdr:nvSpPr>
      <xdr:spPr>
        <a:xfrm>
          <a:off x="5537338" y="4716947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1374913</xdr:colOff>
      <xdr:row>24</xdr:row>
      <xdr:rowOff>68747</xdr:rowOff>
    </xdr:from>
    <xdr:to>
      <xdr:col>4</xdr:col>
      <xdr:colOff>2313067</xdr:colOff>
      <xdr:row>24</xdr:row>
      <xdr:rowOff>219075</xdr:rowOff>
    </xdr:to>
    <xdr:sp macro="" textlink="">
      <xdr:nvSpPr>
        <xdr:cNvPr id="24" name="Right Arrow 23">
          <a:hlinkClick xmlns:r="http://schemas.openxmlformats.org/officeDocument/2006/relationships" r:id="rId10"/>
          <a:extLst>
            <a:ext uri="{FF2B5EF4-FFF2-40B4-BE49-F238E27FC236}">
              <a16:creationId xmlns="" xmlns:a16="http://schemas.microsoft.com/office/drawing/2014/main" id="{00000000-0008-0000-0000-000018000000}"/>
            </a:ext>
          </a:extLst>
        </xdr:cNvPr>
        <xdr:cNvSpPr/>
      </xdr:nvSpPr>
      <xdr:spPr>
        <a:xfrm>
          <a:off x="5537338" y="4945547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1374913</xdr:colOff>
      <xdr:row>25</xdr:row>
      <xdr:rowOff>59222</xdr:rowOff>
    </xdr:from>
    <xdr:to>
      <xdr:col>4</xdr:col>
      <xdr:colOff>2313067</xdr:colOff>
      <xdr:row>25</xdr:row>
      <xdr:rowOff>209550</xdr:rowOff>
    </xdr:to>
    <xdr:sp macro="" textlink="">
      <xdr:nvSpPr>
        <xdr:cNvPr id="25" name="Right Arrow 24">
          <a:hlinkClick xmlns:r="http://schemas.openxmlformats.org/officeDocument/2006/relationships" r:id="rId11"/>
          <a:extLst>
            <a:ext uri="{FF2B5EF4-FFF2-40B4-BE49-F238E27FC236}">
              <a16:creationId xmlns="" xmlns:a16="http://schemas.microsoft.com/office/drawing/2014/main" id="{00000000-0008-0000-0000-000019000000}"/>
            </a:ext>
          </a:extLst>
        </xdr:cNvPr>
        <xdr:cNvSpPr/>
      </xdr:nvSpPr>
      <xdr:spPr>
        <a:xfrm>
          <a:off x="5537338" y="5164622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26</xdr:row>
      <xdr:rowOff>49697</xdr:rowOff>
    </xdr:from>
    <xdr:to>
      <xdr:col>4</xdr:col>
      <xdr:colOff>2322592</xdr:colOff>
      <xdr:row>26</xdr:row>
      <xdr:rowOff>200025</xdr:rowOff>
    </xdr:to>
    <xdr:sp macro="" textlink="">
      <xdr:nvSpPr>
        <xdr:cNvPr id="26" name="Right Arrow 25">
          <a:hlinkClick xmlns:r="http://schemas.openxmlformats.org/officeDocument/2006/relationships" r:id="rId12"/>
          <a:extLst>
            <a:ext uri="{FF2B5EF4-FFF2-40B4-BE49-F238E27FC236}">
              <a16:creationId xmlns="" xmlns:a16="http://schemas.microsoft.com/office/drawing/2014/main" id="{00000000-0008-0000-0000-00001A000000}"/>
            </a:ext>
          </a:extLst>
        </xdr:cNvPr>
        <xdr:cNvSpPr/>
      </xdr:nvSpPr>
      <xdr:spPr>
        <a:xfrm>
          <a:off x="5546863" y="5383697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27</xdr:row>
      <xdr:rowOff>49697</xdr:rowOff>
    </xdr:from>
    <xdr:to>
      <xdr:col>4</xdr:col>
      <xdr:colOff>2322592</xdr:colOff>
      <xdr:row>27</xdr:row>
      <xdr:rowOff>200025</xdr:rowOff>
    </xdr:to>
    <xdr:sp macro="" textlink="">
      <xdr:nvSpPr>
        <xdr:cNvPr id="27" name="Right Arrow 26">
          <a:hlinkClick xmlns:r="http://schemas.openxmlformats.org/officeDocument/2006/relationships" r:id="rId13"/>
          <a:extLst>
            <a:ext uri="{FF2B5EF4-FFF2-40B4-BE49-F238E27FC236}">
              <a16:creationId xmlns="" xmlns:a16="http://schemas.microsoft.com/office/drawing/2014/main" id="{00000000-0008-0000-0000-00001B000000}"/>
            </a:ext>
          </a:extLst>
        </xdr:cNvPr>
        <xdr:cNvSpPr/>
      </xdr:nvSpPr>
      <xdr:spPr>
        <a:xfrm>
          <a:off x="5546863" y="5612297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28</xdr:row>
      <xdr:rowOff>59222</xdr:rowOff>
    </xdr:from>
    <xdr:to>
      <xdr:col>4</xdr:col>
      <xdr:colOff>2322592</xdr:colOff>
      <xdr:row>28</xdr:row>
      <xdr:rowOff>209550</xdr:rowOff>
    </xdr:to>
    <xdr:sp macro="" textlink="">
      <xdr:nvSpPr>
        <xdr:cNvPr id="28" name="Right Arrow 27">
          <a:hlinkClick xmlns:r="http://schemas.openxmlformats.org/officeDocument/2006/relationships" r:id="rId14"/>
          <a:extLst>
            <a:ext uri="{FF2B5EF4-FFF2-40B4-BE49-F238E27FC236}">
              <a16:creationId xmlns="" xmlns:a16="http://schemas.microsoft.com/office/drawing/2014/main" id="{00000000-0008-0000-0000-00001C000000}"/>
            </a:ext>
          </a:extLst>
        </xdr:cNvPr>
        <xdr:cNvSpPr/>
      </xdr:nvSpPr>
      <xdr:spPr>
        <a:xfrm>
          <a:off x="5546863" y="5850422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29</xdr:row>
      <xdr:rowOff>59222</xdr:rowOff>
    </xdr:from>
    <xdr:to>
      <xdr:col>4</xdr:col>
      <xdr:colOff>2322592</xdr:colOff>
      <xdr:row>29</xdr:row>
      <xdr:rowOff>209550</xdr:rowOff>
    </xdr:to>
    <xdr:sp macro="" textlink="">
      <xdr:nvSpPr>
        <xdr:cNvPr id="29" name="Right Arrow 28">
          <a:hlinkClick xmlns:r="http://schemas.openxmlformats.org/officeDocument/2006/relationships" r:id="rId15"/>
          <a:extLst>
            <a:ext uri="{FF2B5EF4-FFF2-40B4-BE49-F238E27FC236}">
              <a16:creationId xmlns="" xmlns:a16="http://schemas.microsoft.com/office/drawing/2014/main" id="{00000000-0008-0000-0000-00001D000000}"/>
            </a:ext>
          </a:extLst>
        </xdr:cNvPr>
        <xdr:cNvSpPr/>
      </xdr:nvSpPr>
      <xdr:spPr>
        <a:xfrm>
          <a:off x="5546863" y="6079022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30</xdr:row>
      <xdr:rowOff>40172</xdr:rowOff>
    </xdr:from>
    <xdr:to>
      <xdr:col>4</xdr:col>
      <xdr:colOff>2322592</xdr:colOff>
      <xdr:row>30</xdr:row>
      <xdr:rowOff>190500</xdr:rowOff>
    </xdr:to>
    <xdr:sp macro="" textlink="">
      <xdr:nvSpPr>
        <xdr:cNvPr id="30" name="Right Arrow 29">
          <a:hlinkClick xmlns:r="http://schemas.openxmlformats.org/officeDocument/2006/relationships" r:id="rId16"/>
          <a:extLst>
            <a:ext uri="{FF2B5EF4-FFF2-40B4-BE49-F238E27FC236}">
              <a16:creationId xmlns="" xmlns:a16="http://schemas.microsoft.com/office/drawing/2014/main" id="{00000000-0008-0000-0000-00001E000000}"/>
            </a:ext>
          </a:extLst>
        </xdr:cNvPr>
        <xdr:cNvSpPr/>
      </xdr:nvSpPr>
      <xdr:spPr>
        <a:xfrm>
          <a:off x="5546863" y="6288572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31</xdr:row>
      <xdr:rowOff>68747</xdr:rowOff>
    </xdr:from>
    <xdr:to>
      <xdr:col>4</xdr:col>
      <xdr:colOff>2322592</xdr:colOff>
      <xdr:row>31</xdr:row>
      <xdr:rowOff>219075</xdr:rowOff>
    </xdr:to>
    <xdr:sp macro="" textlink="">
      <xdr:nvSpPr>
        <xdr:cNvPr id="31" name="Right Arrow 30">
          <a:hlinkClick xmlns:r="http://schemas.openxmlformats.org/officeDocument/2006/relationships" r:id="rId17"/>
          <a:extLst>
            <a:ext uri="{FF2B5EF4-FFF2-40B4-BE49-F238E27FC236}">
              <a16:creationId xmlns="" xmlns:a16="http://schemas.microsoft.com/office/drawing/2014/main" id="{00000000-0008-0000-0000-00001F000000}"/>
            </a:ext>
          </a:extLst>
        </xdr:cNvPr>
        <xdr:cNvSpPr/>
      </xdr:nvSpPr>
      <xdr:spPr>
        <a:xfrm>
          <a:off x="5546863" y="6545747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32</xdr:row>
      <xdr:rowOff>49697</xdr:rowOff>
    </xdr:from>
    <xdr:to>
      <xdr:col>4</xdr:col>
      <xdr:colOff>2322592</xdr:colOff>
      <xdr:row>32</xdr:row>
      <xdr:rowOff>200025</xdr:rowOff>
    </xdr:to>
    <xdr:sp macro="" textlink="">
      <xdr:nvSpPr>
        <xdr:cNvPr id="32" name="Right Arrow 31">
          <a:hlinkClick xmlns:r="http://schemas.openxmlformats.org/officeDocument/2006/relationships" r:id="rId18"/>
          <a:extLst>
            <a:ext uri="{FF2B5EF4-FFF2-40B4-BE49-F238E27FC236}">
              <a16:creationId xmlns="" xmlns:a16="http://schemas.microsoft.com/office/drawing/2014/main" id="{00000000-0008-0000-0000-000020000000}"/>
            </a:ext>
          </a:extLst>
        </xdr:cNvPr>
        <xdr:cNvSpPr/>
      </xdr:nvSpPr>
      <xdr:spPr>
        <a:xfrm>
          <a:off x="5546863" y="6755297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33</xdr:row>
      <xdr:rowOff>30647</xdr:rowOff>
    </xdr:from>
    <xdr:to>
      <xdr:col>4</xdr:col>
      <xdr:colOff>2322592</xdr:colOff>
      <xdr:row>33</xdr:row>
      <xdr:rowOff>180975</xdr:rowOff>
    </xdr:to>
    <xdr:sp macro="" textlink="">
      <xdr:nvSpPr>
        <xdr:cNvPr id="33" name="Right Arrow 32">
          <a:hlinkClick xmlns:r="http://schemas.openxmlformats.org/officeDocument/2006/relationships" r:id="rId19"/>
          <a:extLst>
            <a:ext uri="{FF2B5EF4-FFF2-40B4-BE49-F238E27FC236}">
              <a16:creationId xmlns="" xmlns:a16="http://schemas.microsoft.com/office/drawing/2014/main" id="{00000000-0008-0000-0000-000021000000}"/>
            </a:ext>
          </a:extLst>
        </xdr:cNvPr>
        <xdr:cNvSpPr/>
      </xdr:nvSpPr>
      <xdr:spPr>
        <a:xfrm>
          <a:off x="5546863" y="6964847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34</xdr:row>
      <xdr:rowOff>21122</xdr:rowOff>
    </xdr:from>
    <xdr:to>
      <xdr:col>4</xdr:col>
      <xdr:colOff>2322592</xdr:colOff>
      <xdr:row>34</xdr:row>
      <xdr:rowOff>171450</xdr:rowOff>
    </xdr:to>
    <xdr:sp macro="" textlink="">
      <xdr:nvSpPr>
        <xdr:cNvPr id="34" name="Right Arrow 33">
          <a:hlinkClick xmlns:r="http://schemas.openxmlformats.org/officeDocument/2006/relationships" r:id="rId20"/>
          <a:extLst>
            <a:ext uri="{FF2B5EF4-FFF2-40B4-BE49-F238E27FC236}">
              <a16:creationId xmlns="" xmlns:a16="http://schemas.microsoft.com/office/drawing/2014/main" id="{00000000-0008-0000-0000-000022000000}"/>
            </a:ext>
          </a:extLst>
        </xdr:cNvPr>
        <xdr:cNvSpPr/>
      </xdr:nvSpPr>
      <xdr:spPr>
        <a:xfrm>
          <a:off x="5546863" y="7183922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35</xdr:row>
      <xdr:rowOff>40172</xdr:rowOff>
    </xdr:from>
    <xdr:to>
      <xdr:col>4</xdr:col>
      <xdr:colOff>2322592</xdr:colOff>
      <xdr:row>35</xdr:row>
      <xdr:rowOff>190500</xdr:rowOff>
    </xdr:to>
    <xdr:sp macro="" textlink="">
      <xdr:nvSpPr>
        <xdr:cNvPr id="35" name="Right Arrow 34">
          <a:hlinkClick xmlns:r="http://schemas.openxmlformats.org/officeDocument/2006/relationships" r:id="rId21"/>
          <a:extLst>
            <a:ext uri="{FF2B5EF4-FFF2-40B4-BE49-F238E27FC236}">
              <a16:creationId xmlns="" xmlns:a16="http://schemas.microsoft.com/office/drawing/2014/main" id="{00000000-0008-0000-0000-000023000000}"/>
            </a:ext>
          </a:extLst>
        </xdr:cNvPr>
        <xdr:cNvSpPr/>
      </xdr:nvSpPr>
      <xdr:spPr>
        <a:xfrm>
          <a:off x="5546863" y="7431572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36</xdr:row>
      <xdr:rowOff>59222</xdr:rowOff>
    </xdr:from>
    <xdr:to>
      <xdr:col>4</xdr:col>
      <xdr:colOff>2322592</xdr:colOff>
      <xdr:row>36</xdr:row>
      <xdr:rowOff>209550</xdr:rowOff>
    </xdr:to>
    <xdr:sp macro="" textlink="">
      <xdr:nvSpPr>
        <xdr:cNvPr id="36" name="Right Arrow 35">
          <a:hlinkClick xmlns:r="http://schemas.openxmlformats.org/officeDocument/2006/relationships" r:id="rId22"/>
          <a:extLst>
            <a:ext uri="{FF2B5EF4-FFF2-40B4-BE49-F238E27FC236}">
              <a16:creationId xmlns="" xmlns:a16="http://schemas.microsoft.com/office/drawing/2014/main" id="{00000000-0008-0000-0000-000024000000}"/>
            </a:ext>
          </a:extLst>
        </xdr:cNvPr>
        <xdr:cNvSpPr/>
      </xdr:nvSpPr>
      <xdr:spPr>
        <a:xfrm>
          <a:off x="5546863" y="7679222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37</xdr:row>
      <xdr:rowOff>30647</xdr:rowOff>
    </xdr:from>
    <xdr:to>
      <xdr:col>4</xdr:col>
      <xdr:colOff>2322592</xdr:colOff>
      <xdr:row>37</xdr:row>
      <xdr:rowOff>180975</xdr:rowOff>
    </xdr:to>
    <xdr:sp macro="" textlink="">
      <xdr:nvSpPr>
        <xdr:cNvPr id="37" name="Right Arrow 36">
          <a:hlinkClick xmlns:r="http://schemas.openxmlformats.org/officeDocument/2006/relationships" r:id="rId23"/>
          <a:extLst>
            <a:ext uri="{FF2B5EF4-FFF2-40B4-BE49-F238E27FC236}">
              <a16:creationId xmlns="" xmlns:a16="http://schemas.microsoft.com/office/drawing/2014/main" id="{00000000-0008-0000-0000-000025000000}"/>
            </a:ext>
          </a:extLst>
        </xdr:cNvPr>
        <xdr:cNvSpPr/>
      </xdr:nvSpPr>
      <xdr:spPr>
        <a:xfrm>
          <a:off x="5546863" y="7879247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39</xdr:row>
      <xdr:rowOff>30647</xdr:rowOff>
    </xdr:from>
    <xdr:to>
      <xdr:col>4</xdr:col>
      <xdr:colOff>2322592</xdr:colOff>
      <xdr:row>39</xdr:row>
      <xdr:rowOff>180975</xdr:rowOff>
    </xdr:to>
    <xdr:sp macro="" textlink="">
      <xdr:nvSpPr>
        <xdr:cNvPr id="39" name="Right Arrow 38">
          <a:hlinkClick xmlns:r="http://schemas.openxmlformats.org/officeDocument/2006/relationships" r:id="rId24"/>
          <a:extLst>
            <a:ext uri="{FF2B5EF4-FFF2-40B4-BE49-F238E27FC236}">
              <a16:creationId xmlns="" xmlns:a16="http://schemas.microsoft.com/office/drawing/2014/main" id="{00000000-0008-0000-0000-000027000000}"/>
            </a:ext>
          </a:extLst>
        </xdr:cNvPr>
        <xdr:cNvSpPr/>
      </xdr:nvSpPr>
      <xdr:spPr>
        <a:xfrm>
          <a:off x="5546863" y="8336447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40</xdr:row>
      <xdr:rowOff>40172</xdr:rowOff>
    </xdr:from>
    <xdr:to>
      <xdr:col>4</xdr:col>
      <xdr:colOff>2322592</xdr:colOff>
      <xdr:row>40</xdr:row>
      <xdr:rowOff>190500</xdr:rowOff>
    </xdr:to>
    <xdr:sp macro="" textlink="">
      <xdr:nvSpPr>
        <xdr:cNvPr id="40" name="Right Arrow 39">
          <a:hlinkClick xmlns:r="http://schemas.openxmlformats.org/officeDocument/2006/relationships" r:id="rId25"/>
          <a:extLst>
            <a:ext uri="{FF2B5EF4-FFF2-40B4-BE49-F238E27FC236}">
              <a16:creationId xmlns="" xmlns:a16="http://schemas.microsoft.com/office/drawing/2014/main" id="{00000000-0008-0000-0000-000028000000}"/>
            </a:ext>
          </a:extLst>
        </xdr:cNvPr>
        <xdr:cNvSpPr/>
      </xdr:nvSpPr>
      <xdr:spPr>
        <a:xfrm>
          <a:off x="5546863" y="8574572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41</xdr:row>
      <xdr:rowOff>30647</xdr:rowOff>
    </xdr:from>
    <xdr:to>
      <xdr:col>4</xdr:col>
      <xdr:colOff>2322592</xdr:colOff>
      <xdr:row>41</xdr:row>
      <xdr:rowOff>180975</xdr:rowOff>
    </xdr:to>
    <xdr:sp macro="" textlink="">
      <xdr:nvSpPr>
        <xdr:cNvPr id="41" name="Right Arrow 40">
          <a:hlinkClick xmlns:r="http://schemas.openxmlformats.org/officeDocument/2006/relationships" r:id="rId26"/>
          <a:extLst>
            <a:ext uri="{FF2B5EF4-FFF2-40B4-BE49-F238E27FC236}">
              <a16:creationId xmlns="" xmlns:a16="http://schemas.microsoft.com/office/drawing/2014/main" id="{00000000-0008-0000-0000-000029000000}"/>
            </a:ext>
          </a:extLst>
        </xdr:cNvPr>
        <xdr:cNvSpPr/>
      </xdr:nvSpPr>
      <xdr:spPr>
        <a:xfrm>
          <a:off x="5546863" y="8793647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42</xdr:row>
      <xdr:rowOff>30647</xdr:rowOff>
    </xdr:from>
    <xdr:to>
      <xdr:col>4</xdr:col>
      <xdr:colOff>2322592</xdr:colOff>
      <xdr:row>42</xdr:row>
      <xdr:rowOff>180975</xdr:rowOff>
    </xdr:to>
    <xdr:sp macro="" textlink="">
      <xdr:nvSpPr>
        <xdr:cNvPr id="42" name="Right Arrow 41">
          <a:hlinkClick xmlns:r="http://schemas.openxmlformats.org/officeDocument/2006/relationships" r:id="rId27"/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SpPr/>
      </xdr:nvSpPr>
      <xdr:spPr>
        <a:xfrm>
          <a:off x="5546863" y="9022247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43</xdr:row>
      <xdr:rowOff>40172</xdr:rowOff>
    </xdr:from>
    <xdr:to>
      <xdr:col>4</xdr:col>
      <xdr:colOff>2322592</xdr:colOff>
      <xdr:row>43</xdr:row>
      <xdr:rowOff>190500</xdr:rowOff>
    </xdr:to>
    <xdr:sp macro="" textlink="">
      <xdr:nvSpPr>
        <xdr:cNvPr id="43" name="Right Arrow 42">
          <a:hlinkClick xmlns:r="http://schemas.openxmlformats.org/officeDocument/2006/relationships" r:id="rId28"/>
          <a:extLst>
            <a:ext uri="{FF2B5EF4-FFF2-40B4-BE49-F238E27FC236}">
              <a16:creationId xmlns="" xmlns:a16="http://schemas.microsoft.com/office/drawing/2014/main" id="{00000000-0008-0000-0000-00002B000000}"/>
            </a:ext>
          </a:extLst>
        </xdr:cNvPr>
        <xdr:cNvSpPr/>
      </xdr:nvSpPr>
      <xdr:spPr>
        <a:xfrm>
          <a:off x="5546863" y="9260372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1374913</xdr:colOff>
      <xdr:row>44</xdr:row>
      <xdr:rowOff>49697</xdr:rowOff>
    </xdr:from>
    <xdr:to>
      <xdr:col>4</xdr:col>
      <xdr:colOff>2313067</xdr:colOff>
      <xdr:row>44</xdr:row>
      <xdr:rowOff>200025</xdr:rowOff>
    </xdr:to>
    <xdr:sp macro="" textlink="">
      <xdr:nvSpPr>
        <xdr:cNvPr id="44" name="Right Arrow 43">
          <a:hlinkClick xmlns:r="http://schemas.openxmlformats.org/officeDocument/2006/relationships" r:id="rId29"/>
          <a:extLst>
            <a:ext uri="{FF2B5EF4-FFF2-40B4-BE49-F238E27FC236}">
              <a16:creationId xmlns="" xmlns:a16="http://schemas.microsoft.com/office/drawing/2014/main" id="{00000000-0008-0000-0000-00002C000000}"/>
            </a:ext>
          </a:extLst>
        </xdr:cNvPr>
        <xdr:cNvSpPr/>
      </xdr:nvSpPr>
      <xdr:spPr>
        <a:xfrm>
          <a:off x="5537338" y="9498497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1374913</xdr:colOff>
      <xdr:row>45</xdr:row>
      <xdr:rowOff>40172</xdr:rowOff>
    </xdr:from>
    <xdr:to>
      <xdr:col>4</xdr:col>
      <xdr:colOff>2313067</xdr:colOff>
      <xdr:row>45</xdr:row>
      <xdr:rowOff>190500</xdr:rowOff>
    </xdr:to>
    <xdr:sp macro="" textlink="">
      <xdr:nvSpPr>
        <xdr:cNvPr id="45" name="Right Arrow 44">
          <a:hlinkClick xmlns:r="http://schemas.openxmlformats.org/officeDocument/2006/relationships" r:id="rId30"/>
          <a:extLst>
            <a:ext uri="{FF2B5EF4-FFF2-40B4-BE49-F238E27FC236}">
              <a16:creationId xmlns="" xmlns:a16="http://schemas.microsoft.com/office/drawing/2014/main" id="{00000000-0008-0000-0000-00002D000000}"/>
            </a:ext>
          </a:extLst>
        </xdr:cNvPr>
        <xdr:cNvSpPr/>
      </xdr:nvSpPr>
      <xdr:spPr>
        <a:xfrm>
          <a:off x="5537338" y="9717572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46</xdr:row>
      <xdr:rowOff>30647</xdr:rowOff>
    </xdr:from>
    <xdr:to>
      <xdr:col>4</xdr:col>
      <xdr:colOff>2322592</xdr:colOff>
      <xdr:row>46</xdr:row>
      <xdr:rowOff>180975</xdr:rowOff>
    </xdr:to>
    <xdr:sp macro="" textlink="">
      <xdr:nvSpPr>
        <xdr:cNvPr id="46" name="Right Arrow 45">
          <a:hlinkClick xmlns:r="http://schemas.openxmlformats.org/officeDocument/2006/relationships" r:id="rId31"/>
          <a:extLst>
            <a:ext uri="{FF2B5EF4-FFF2-40B4-BE49-F238E27FC236}">
              <a16:creationId xmlns="" xmlns:a16="http://schemas.microsoft.com/office/drawing/2014/main" id="{00000000-0008-0000-0000-00002E000000}"/>
            </a:ext>
          </a:extLst>
        </xdr:cNvPr>
        <xdr:cNvSpPr/>
      </xdr:nvSpPr>
      <xdr:spPr>
        <a:xfrm>
          <a:off x="5546863" y="9936647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1746250</xdr:colOff>
      <xdr:row>8</xdr:row>
      <xdr:rowOff>64559</xdr:rowOff>
    </xdr:from>
    <xdr:to>
      <xdr:col>11</xdr:col>
      <xdr:colOff>600075</xdr:colOff>
      <xdr:row>11</xdr:row>
      <xdr:rowOff>112185</xdr:rowOff>
    </xdr:to>
    <xdr:sp macro="" textlink="">
      <xdr:nvSpPr>
        <xdr:cNvPr id="47" name="TextBox 46">
          <a:extLst>
            <a:ext uri="{FF2B5EF4-FFF2-40B4-BE49-F238E27FC236}">
              <a16:creationId xmlns="" xmlns:a16="http://schemas.microsoft.com/office/drawing/2014/main" id="{00000000-0008-0000-0000-00002F000000}"/>
            </a:ext>
          </a:extLst>
        </xdr:cNvPr>
        <xdr:cNvSpPr txBox="1"/>
      </xdr:nvSpPr>
      <xdr:spPr>
        <a:xfrm>
          <a:off x="1894417" y="1588559"/>
          <a:ext cx="9468908" cy="619126"/>
        </a:xfrm>
        <a:prstGeom prst="rect">
          <a:avLst/>
        </a:prstGeom>
        <a:ln/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5400" b="1" cap="none" spc="300" baseline="0">
              <a:ln w="11430" cmpd="sng">
                <a:solidFill>
                  <a:schemeClr val="accent1">
                    <a:tint val="10000"/>
                  </a:schemeClr>
                </a:solidFill>
                <a:prstDash val="solid"/>
                <a:miter lim="800000"/>
              </a:ln>
              <a:solidFill>
                <a:schemeClr val="bg2"/>
              </a:solidFill>
              <a:effectLst>
                <a:glow rad="45500">
                  <a:schemeClr val="accent1">
                    <a:satMod val="220000"/>
                    <a:alpha val="35000"/>
                  </a:schemeClr>
                </a:glow>
              </a:effectLst>
              <a:latin typeface="Calibri" pitchFamily="34" charset="0"/>
              <a:cs typeface="Calibri" pitchFamily="34" charset="0"/>
            </a:rPr>
            <a:t>Sabahat Food Products</a:t>
          </a:r>
          <a:endParaRPr lang="en-US" sz="5400" b="1" cap="none" spc="300">
            <a:ln w="11430" cmpd="sng">
              <a:solidFill>
                <a:schemeClr val="accent1">
                  <a:tint val="10000"/>
                </a:schemeClr>
              </a:solidFill>
              <a:prstDash val="solid"/>
              <a:miter lim="800000"/>
            </a:ln>
            <a:solidFill>
              <a:schemeClr val="bg2"/>
            </a:solidFill>
            <a:effectLst>
              <a:glow rad="45500">
                <a:schemeClr val="accent1">
                  <a:satMod val="220000"/>
                  <a:alpha val="35000"/>
                </a:schemeClr>
              </a:glow>
            </a:effectLst>
            <a:latin typeface="Calibri" pitchFamily="34" charset="0"/>
            <a:cs typeface="Calibri" pitchFamily="34" charset="0"/>
          </a:endParaRPr>
        </a:p>
      </xdr:txBody>
    </xdr:sp>
    <xdr:clientData/>
  </xdr:twoCellAnchor>
  <xdr:twoCellAnchor>
    <xdr:from>
      <xdr:col>0</xdr:col>
      <xdr:colOff>74134</xdr:colOff>
      <xdr:row>17</xdr:row>
      <xdr:rowOff>47095</xdr:rowOff>
    </xdr:from>
    <xdr:to>
      <xdr:col>2</xdr:col>
      <xdr:colOff>82826</xdr:colOff>
      <xdr:row>19</xdr:row>
      <xdr:rowOff>110595</xdr:rowOff>
    </xdr:to>
    <xdr:sp macro="" textlink="">
      <xdr:nvSpPr>
        <xdr:cNvPr id="54" name="Rounded Rectangle 53">
          <a:hlinkClick xmlns:r="http://schemas.openxmlformats.org/officeDocument/2006/relationships" r:id="rId32"/>
          <a:extLst>
            <a:ext uri="{FF2B5EF4-FFF2-40B4-BE49-F238E27FC236}">
              <a16:creationId xmlns="" xmlns:a16="http://schemas.microsoft.com/office/drawing/2014/main" id="{00000000-0008-0000-0000-000036000000}"/>
            </a:ext>
          </a:extLst>
        </xdr:cNvPr>
        <xdr:cNvSpPr/>
      </xdr:nvSpPr>
      <xdr:spPr>
        <a:xfrm>
          <a:off x="74134" y="3325283"/>
          <a:ext cx="2643942" cy="52387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2000" b="1" u="none" cap="none" spc="50">
              <a:ln w="11430"/>
              <a:solidFill>
                <a:srgbClr val="C00000"/>
              </a:solidFill>
              <a:effectLst>
                <a:glow rad="101600">
                  <a:schemeClr val="accent1">
                    <a:satMod val="175000"/>
                    <a:alpha val="40000"/>
                  </a:schemeClr>
                </a:glow>
                <a:outerShdw blurRad="60007" dist="310007" dir="7680000" sy="30000" kx="1300200" algn="ctr" rotWithShape="0">
                  <a:prstClr val="black">
                    <a:alpha val="32000"/>
                  </a:prstClr>
                </a:outerShdw>
              </a:effectLst>
            </a:rPr>
            <a:t>CUSTOMERS</a:t>
          </a:r>
          <a:r>
            <a:rPr lang="en-US" sz="2000" b="1" u="none" cap="none" spc="50" baseline="0">
              <a:ln w="11430"/>
              <a:solidFill>
                <a:srgbClr val="C00000"/>
              </a:solidFill>
              <a:effectLst>
                <a:glow rad="101600">
                  <a:schemeClr val="accent1">
                    <a:satMod val="175000"/>
                    <a:alpha val="40000"/>
                  </a:schemeClr>
                </a:glow>
                <a:outerShdw blurRad="60007" dist="310007" dir="7680000" sy="30000" kx="1300200" algn="ctr" rotWithShape="0">
                  <a:prstClr val="black">
                    <a:alpha val="32000"/>
                  </a:prstClr>
                </a:outerShdw>
              </a:effectLst>
            </a:rPr>
            <a:t> REPORT</a:t>
          </a:r>
          <a:endParaRPr lang="en-US" sz="2000" b="1" u="none" cap="none" spc="50">
            <a:ln w="11430"/>
            <a:solidFill>
              <a:srgbClr val="C00000"/>
            </a:solidFill>
            <a:effectLst>
              <a:glow rad="101600">
                <a:schemeClr val="accent1">
                  <a:satMod val="175000"/>
                  <a:alpha val="40000"/>
                </a:schemeClr>
              </a:glow>
              <a:outerShdw blurRad="60007" dist="310007" dir="7680000" sy="30000" kx="1300200" algn="ctr" rotWithShape="0">
                <a:prstClr val="black">
                  <a:alpha val="32000"/>
                </a:prstClr>
              </a:outerShdw>
            </a:effectLst>
          </a:endParaRPr>
        </a:p>
      </xdr:txBody>
    </xdr:sp>
    <xdr:clientData/>
  </xdr:twoCellAnchor>
  <xdr:twoCellAnchor>
    <xdr:from>
      <xdr:col>2</xdr:col>
      <xdr:colOff>480391</xdr:colOff>
      <xdr:row>11</xdr:row>
      <xdr:rowOff>166032</xdr:rowOff>
    </xdr:from>
    <xdr:to>
      <xdr:col>9</xdr:col>
      <xdr:colOff>463827</xdr:colOff>
      <xdr:row>15</xdr:row>
      <xdr:rowOff>24848</xdr:rowOff>
    </xdr:to>
    <xdr:sp macro="" textlink="">
      <xdr:nvSpPr>
        <xdr:cNvPr id="66" name="TextBox 65">
          <a:extLst>
            <a:ext uri="{FF2B5EF4-FFF2-40B4-BE49-F238E27FC236}">
              <a16:creationId xmlns="" xmlns:a16="http://schemas.microsoft.com/office/drawing/2014/main" id="{00000000-0008-0000-0000-000042000000}"/>
            </a:ext>
          </a:extLst>
        </xdr:cNvPr>
        <xdr:cNvSpPr txBox="1"/>
      </xdr:nvSpPr>
      <xdr:spPr>
        <a:xfrm>
          <a:off x="3114261" y="2261532"/>
          <a:ext cx="7015370" cy="620816"/>
        </a:xfrm>
        <a:prstGeom prst="rect">
          <a:avLst/>
        </a:prstGeom>
        <a:ln/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4000" b="1" cap="none" spc="300" baseline="0">
              <a:ln w="11430" cmpd="sng">
                <a:solidFill>
                  <a:schemeClr val="accent1">
                    <a:tint val="10000"/>
                  </a:schemeClr>
                </a:solidFill>
                <a:prstDash val="solid"/>
                <a:miter lim="800000"/>
              </a:ln>
              <a:solidFill>
                <a:srgbClr val="FFFF00"/>
              </a:solidFill>
              <a:effectLst>
                <a:glow rad="45500">
                  <a:schemeClr val="accent1">
                    <a:satMod val="220000"/>
                    <a:alpha val="35000"/>
                  </a:schemeClr>
                </a:glow>
              </a:effectLst>
              <a:latin typeface="Cooper Black" pitchFamily="18" charset="0"/>
            </a:rPr>
            <a:t>November </a:t>
          </a:r>
          <a:r>
            <a:rPr lang="en-US" sz="4000" b="1" cap="none" spc="300">
              <a:ln w="11430" cmpd="sng">
                <a:solidFill>
                  <a:schemeClr val="accent1">
                    <a:tint val="10000"/>
                  </a:schemeClr>
                </a:solidFill>
                <a:prstDash val="solid"/>
                <a:miter lim="800000"/>
              </a:ln>
              <a:solidFill>
                <a:srgbClr val="FFFF00"/>
              </a:solidFill>
              <a:effectLst>
                <a:glow rad="45500">
                  <a:schemeClr val="accent1">
                    <a:satMod val="220000"/>
                    <a:alpha val="35000"/>
                  </a:schemeClr>
                </a:glow>
              </a:effectLst>
              <a:latin typeface="Cooper Black" pitchFamily="18" charset="0"/>
            </a:rPr>
            <a:t>2022 </a:t>
          </a:r>
        </a:p>
      </xdr:txBody>
    </xdr:sp>
    <xdr:clientData/>
  </xdr:twoCellAnchor>
  <xdr:twoCellAnchor>
    <xdr:from>
      <xdr:col>1</xdr:col>
      <xdr:colOff>301957</xdr:colOff>
      <xdr:row>14</xdr:row>
      <xdr:rowOff>132485</xdr:rowOff>
    </xdr:from>
    <xdr:to>
      <xdr:col>1</xdr:col>
      <xdr:colOff>2062010</xdr:colOff>
      <xdr:row>17</xdr:row>
      <xdr:rowOff>45173</xdr:rowOff>
    </xdr:to>
    <xdr:sp macro="" textlink="">
      <xdr:nvSpPr>
        <xdr:cNvPr id="48" name="Rounded Rectangle 47">
          <a:hlinkClick xmlns:r="http://schemas.openxmlformats.org/officeDocument/2006/relationships" r:id="rId33"/>
          <a:extLst>
            <a:ext uri="{FF2B5EF4-FFF2-40B4-BE49-F238E27FC236}">
              <a16:creationId xmlns="" xmlns:a16="http://schemas.microsoft.com/office/drawing/2014/main" id="{00000000-0008-0000-0000-000030000000}"/>
            </a:ext>
          </a:extLst>
        </xdr:cNvPr>
        <xdr:cNvSpPr/>
      </xdr:nvSpPr>
      <xdr:spPr>
        <a:xfrm>
          <a:off x="444832" y="2799485"/>
          <a:ext cx="1760053" cy="523876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2000" b="1" u="none" cap="none" spc="50">
              <a:ln w="11430"/>
              <a:solidFill>
                <a:srgbClr val="C00000"/>
              </a:solidFill>
              <a:effectLst>
                <a:glow rad="101600">
                  <a:schemeClr val="accent1">
                    <a:satMod val="175000"/>
                    <a:alpha val="40000"/>
                  </a:schemeClr>
                </a:glow>
                <a:outerShdw blurRad="60007" dist="310007" dir="7680000" sy="30000" kx="1300200" algn="ctr" rotWithShape="0">
                  <a:prstClr val="black">
                    <a:alpha val="32000"/>
                  </a:prstClr>
                </a:outerShdw>
              </a:effectLst>
            </a:rPr>
            <a:t>ATTENDANCE</a:t>
          </a:r>
        </a:p>
      </xdr:txBody>
    </xdr:sp>
    <xdr:clientData/>
  </xdr:twoCellAnchor>
  <xdr:twoCellAnchor>
    <xdr:from>
      <xdr:col>0</xdr:col>
      <xdr:colOff>82823</xdr:colOff>
      <xdr:row>11</xdr:row>
      <xdr:rowOff>173896</xdr:rowOff>
    </xdr:from>
    <xdr:to>
      <xdr:col>1</xdr:col>
      <xdr:colOff>1702072</xdr:colOff>
      <xdr:row>14</xdr:row>
      <xdr:rowOff>129723</xdr:rowOff>
    </xdr:to>
    <xdr:sp macro="" textlink="">
      <xdr:nvSpPr>
        <xdr:cNvPr id="49" name="Rounded Rectangle 48">
          <a:hlinkClick xmlns:r="http://schemas.openxmlformats.org/officeDocument/2006/relationships" r:id="rId34"/>
          <a:extLst>
            <a:ext uri="{FF2B5EF4-FFF2-40B4-BE49-F238E27FC236}">
              <a16:creationId xmlns="" xmlns:a16="http://schemas.microsoft.com/office/drawing/2014/main" id="{00000000-0008-0000-0000-000031000000}"/>
            </a:ext>
          </a:extLst>
        </xdr:cNvPr>
        <xdr:cNvSpPr/>
      </xdr:nvSpPr>
      <xdr:spPr>
        <a:xfrm>
          <a:off x="82823" y="2459896"/>
          <a:ext cx="1760053" cy="527327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2000" b="1" u="none" cap="none" spc="50">
              <a:ln w="11430"/>
              <a:solidFill>
                <a:srgbClr val="C00000"/>
              </a:solidFill>
              <a:effectLst>
                <a:glow rad="101600">
                  <a:schemeClr val="accent1">
                    <a:satMod val="175000"/>
                    <a:alpha val="40000"/>
                  </a:schemeClr>
                </a:glow>
                <a:outerShdw blurRad="60007" dist="310007" dir="7680000" sy="30000" kx="1300200" algn="ctr" rotWithShape="0">
                  <a:prstClr val="black">
                    <a:alpha val="32000"/>
                  </a:prstClr>
                </a:outerShdw>
              </a:effectLst>
            </a:rPr>
            <a:t>AVERAGE</a:t>
          </a:r>
        </a:p>
      </xdr:txBody>
    </xdr:sp>
    <xdr:clientData/>
  </xdr:twoCellAnchor>
  <xdr:twoCellAnchor>
    <xdr:from>
      <xdr:col>1</xdr:col>
      <xdr:colOff>496629</xdr:colOff>
      <xdr:row>19</xdr:row>
      <xdr:rowOff>117575</xdr:rowOff>
    </xdr:from>
    <xdr:to>
      <xdr:col>1</xdr:col>
      <xdr:colOff>2256682</xdr:colOff>
      <xdr:row>21</xdr:row>
      <xdr:rowOff>181076</xdr:rowOff>
    </xdr:to>
    <xdr:sp macro="" textlink="">
      <xdr:nvSpPr>
        <xdr:cNvPr id="52" name="Rounded Rectangle 51">
          <a:hlinkClick xmlns:r="http://schemas.openxmlformats.org/officeDocument/2006/relationships" r:id="rId35"/>
          <a:extLst>
            <a:ext uri="{FF2B5EF4-FFF2-40B4-BE49-F238E27FC236}">
              <a16:creationId xmlns="" xmlns:a16="http://schemas.microsoft.com/office/drawing/2014/main" id="{00000000-0008-0000-0000-000034000000}"/>
            </a:ext>
          </a:extLst>
        </xdr:cNvPr>
        <xdr:cNvSpPr/>
      </xdr:nvSpPr>
      <xdr:spPr>
        <a:xfrm>
          <a:off x="639504" y="3856138"/>
          <a:ext cx="1760053" cy="523876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2000" b="1" u="none" cap="none" spc="50">
              <a:ln w="11430"/>
              <a:solidFill>
                <a:srgbClr val="C00000"/>
              </a:solidFill>
              <a:effectLst>
                <a:glow rad="101600">
                  <a:schemeClr val="accent1">
                    <a:satMod val="175000"/>
                    <a:alpha val="40000"/>
                  </a:schemeClr>
                </a:glow>
                <a:outerShdw blurRad="60007" dist="310007" dir="7680000" sy="30000" kx="1300200" algn="ctr" rotWithShape="0">
                  <a:prstClr val="black">
                    <a:alpha val="32000"/>
                  </a:prstClr>
                </a:outerShdw>
              </a:effectLst>
            </a:rPr>
            <a:t>CLOSING</a:t>
          </a:r>
        </a:p>
      </xdr:txBody>
    </xdr:sp>
    <xdr:clientData/>
  </xdr:twoCellAnchor>
  <xdr:twoCellAnchor>
    <xdr:from>
      <xdr:col>0</xdr:col>
      <xdr:colOff>106282</xdr:colOff>
      <xdr:row>26</xdr:row>
      <xdr:rowOff>152421</xdr:rowOff>
    </xdr:from>
    <xdr:to>
      <xdr:col>1</xdr:col>
      <xdr:colOff>2110677</xdr:colOff>
      <xdr:row>29</xdr:row>
      <xdr:rowOff>19900</xdr:rowOff>
    </xdr:to>
    <xdr:sp macro="" textlink="">
      <xdr:nvSpPr>
        <xdr:cNvPr id="53" name="Rounded Rectangle 52">
          <a:hlinkClick xmlns:r="http://schemas.openxmlformats.org/officeDocument/2006/relationships" r:id="rId36"/>
          <a:extLst>
            <a:ext uri="{FF2B5EF4-FFF2-40B4-BE49-F238E27FC236}">
              <a16:creationId xmlns="" xmlns:a16="http://schemas.microsoft.com/office/drawing/2014/main" id="{00000000-0008-0000-0000-000035000000}"/>
            </a:ext>
          </a:extLst>
        </xdr:cNvPr>
        <xdr:cNvSpPr/>
      </xdr:nvSpPr>
      <xdr:spPr>
        <a:xfrm>
          <a:off x="106282" y="5502296"/>
          <a:ext cx="2147270" cy="558042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2000" b="1" u="none" cap="none" spc="50">
              <a:ln w="11430"/>
              <a:solidFill>
                <a:srgbClr val="C00000"/>
              </a:solidFill>
              <a:effectLst>
                <a:glow rad="101600">
                  <a:schemeClr val="accent1">
                    <a:satMod val="175000"/>
                    <a:alpha val="40000"/>
                  </a:schemeClr>
                </a:glow>
                <a:outerShdw blurRad="60007" dist="310007" dir="7680000" sy="30000" kx="1300200" algn="ctr" rotWithShape="0">
                  <a:prstClr val="black">
                    <a:alpha val="32000"/>
                  </a:prstClr>
                </a:outerShdw>
              </a:effectLst>
            </a:rPr>
            <a:t>AQEEL RUSK</a:t>
          </a:r>
        </a:p>
      </xdr:txBody>
    </xdr:sp>
    <xdr:clientData/>
  </xdr:twoCellAnchor>
  <xdr:twoCellAnchor>
    <xdr:from>
      <xdr:col>0</xdr:col>
      <xdr:colOff>79328</xdr:colOff>
      <xdr:row>21</xdr:row>
      <xdr:rowOff>174594</xdr:rowOff>
    </xdr:from>
    <xdr:to>
      <xdr:col>1</xdr:col>
      <xdr:colOff>2190685</xdr:colOff>
      <xdr:row>24</xdr:row>
      <xdr:rowOff>42073</xdr:rowOff>
    </xdr:to>
    <xdr:sp macro="" textlink="">
      <xdr:nvSpPr>
        <xdr:cNvPr id="50" name="Rounded Rectangle 49">
          <a:hlinkClick xmlns:r="http://schemas.openxmlformats.org/officeDocument/2006/relationships" r:id="rId37"/>
          <a:extLst>
            <a:ext uri="{FF2B5EF4-FFF2-40B4-BE49-F238E27FC236}">
              <a16:creationId xmlns="" xmlns:a16="http://schemas.microsoft.com/office/drawing/2014/main" id="{00000000-0008-0000-0000-000032000000}"/>
            </a:ext>
          </a:extLst>
        </xdr:cNvPr>
        <xdr:cNvSpPr/>
      </xdr:nvSpPr>
      <xdr:spPr>
        <a:xfrm>
          <a:off x="79328" y="4373532"/>
          <a:ext cx="2254232" cy="558041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2000" b="1" u="none" cap="none" spc="50">
              <a:ln w="11430"/>
              <a:solidFill>
                <a:srgbClr val="C00000"/>
              </a:solidFill>
              <a:effectLst>
                <a:glow rad="101600">
                  <a:schemeClr val="accent1">
                    <a:satMod val="175000"/>
                    <a:alpha val="40000"/>
                  </a:schemeClr>
                </a:glow>
                <a:outerShdw blurRad="60007" dist="310007" dir="7680000" sy="30000" kx="1300200" algn="ctr" rotWithShape="0">
                  <a:prstClr val="black">
                    <a:alpha val="32000"/>
                  </a:prstClr>
                </a:outerShdw>
              </a:effectLst>
            </a:rPr>
            <a:t>DAMAGE RETURN</a:t>
          </a:r>
        </a:p>
      </xdr:txBody>
    </xdr:sp>
    <xdr:clientData/>
  </xdr:twoCellAnchor>
  <xdr:twoCellAnchor>
    <xdr:from>
      <xdr:col>1</xdr:col>
      <xdr:colOff>373062</xdr:colOff>
      <xdr:row>24</xdr:row>
      <xdr:rowOff>47608</xdr:rowOff>
    </xdr:from>
    <xdr:to>
      <xdr:col>2</xdr:col>
      <xdr:colOff>95251</xdr:colOff>
      <xdr:row>26</xdr:row>
      <xdr:rowOff>145275</xdr:rowOff>
    </xdr:to>
    <xdr:sp macro="" textlink="">
      <xdr:nvSpPr>
        <xdr:cNvPr id="51" name="Rounded Rectangle 50">
          <a:hlinkClick xmlns:r="http://schemas.openxmlformats.org/officeDocument/2006/relationships" r:id="rId38"/>
          <a:extLst>
            <a:ext uri="{FF2B5EF4-FFF2-40B4-BE49-F238E27FC236}">
              <a16:creationId xmlns="" xmlns:a16="http://schemas.microsoft.com/office/drawing/2014/main" id="{00000000-0008-0000-0000-000033000000}"/>
            </a:ext>
          </a:extLst>
        </xdr:cNvPr>
        <xdr:cNvSpPr/>
      </xdr:nvSpPr>
      <xdr:spPr>
        <a:xfrm>
          <a:off x="515937" y="4937108"/>
          <a:ext cx="2214564" cy="558042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2000" b="1" u="none" cap="none" spc="50">
              <a:ln w="11430"/>
              <a:solidFill>
                <a:srgbClr val="C00000"/>
              </a:solidFill>
              <a:effectLst>
                <a:glow rad="101600">
                  <a:schemeClr val="accent1">
                    <a:satMod val="175000"/>
                    <a:alpha val="40000"/>
                  </a:schemeClr>
                </a:glow>
                <a:outerShdw blurRad="60007" dist="310007" dir="7680000" sy="30000" kx="1300200" algn="ctr" rotWithShape="0">
                  <a:prstClr val="black">
                    <a:alpha val="32000"/>
                  </a:prstClr>
                </a:outerShdw>
              </a:effectLst>
            </a:rPr>
            <a:t>SHAKEEL</a:t>
          </a:r>
          <a:r>
            <a:rPr lang="en-US" sz="2000" b="1" u="none" cap="none" spc="50" baseline="0">
              <a:ln w="11430"/>
              <a:solidFill>
                <a:srgbClr val="C00000"/>
              </a:solidFill>
              <a:effectLst>
                <a:glow rad="101600">
                  <a:schemeClr val="accent1">
                    <a:satMod val="175000"/>
                    <a:alpha val="40000"/>
                  </a:schemeClr>
                </a:glow>
                <a:outerShdw blurRad="60007" dist="310007" dir="7680000" sy="30000" kx="1300200" algn="ctr" rotWithShape="0">
                  <a:prstClr val="black">
                    <a:alpha val="32000"/>
                  </a:prstClr>
                </a:outerShdw>
              </a:effectLst>
            </a:rPr>
            <a:t> RUSK</a:t>
          </a:r>
          <a:endParaRPr lang="en-US" sz="2000" b="1" u="none" cap="none" spc="50">
            <a:ln w="11430"/>
            <a:solidFill>
              <a:srgbClr val="C00000"/>
            </a:solidFill>
            <a:effectLst>
              <a:glow rad="101600">
                <a:schemeClr val="accent1">
                  <a:satMod val="175000"/>
                  <a:alpha val="40000"/>
                </a:schemeClr>
              </a:glow>
              <a:outerShdw blurRad="60007" dist="310007" dir="7680000" sy="30000" kx="1300200" algn="ctr" rotWithShape="0">
                <a:prstClr val="black">
                  <a:alpha val="32000"/>
                </a:prstClr>
              </a:outerShdw>
            </a:effectLst>
          </a:endParaRPr>
        </a:p>
      </xdr:txBody>
    </xdr:sp>
    <xdr:clientData/>
  </xdr:twoCellAnchor>
  <xdr:twoCellAnchor editAs="oneCell">
    <xdr:from>
      <xdr:col>5</xdr:col>
      <xdr:colOff>15875</xdr:colOff>
      <xdr:row>15</xdr:row>
      <xdr:rowOff>174625</xdr:rowOff>
    </xdr:from>
    <xdr:to>
      <xdr:col>10</xdr:col>
      <xdr:colOff>142875</xdr:colOff>
      <xdr:row>27</xdr:row>
      <xdr:rowOff>206375</xdr:rowOff>
    </xdr:to>
    <xdr:pic>
      <xdr:nvPicPr>
        <xdr:cNvPr id="55" name="Picture 54" descr="C:\Program Files (x86)\Microsoft Office\MEDIA\CAGCAT10\j0195384.wmf">
          <a:extLst>
            <a:ext uri="{FF2B5EF4-FFF2-40B4-BE49-F238E27FC236}">
              <a16:creationId xmlns="" xmlns:a16="http://schemas.microsoft.com/office/drawing/2014/main" id="{00000000-0008-0000-00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1063" y="3032125"/>
          <a:ext cx="3182937" cy="2754313"/>
        </a:xfrm>
        <a:prstGeom prst="rect">
          <a:avLst/>
        </a:prstGeom>
        <a:ln>
          <a:noFill/>
        </a:ln>
        <a:effectLst>
          <a:reflection blurRad="12700" stA="30000" endPos="30000" dist="5000" dir="5400000" sy="-100000" algn="bl" rotWithShape="0"/>
        </a:effectLst>
        <a:scene3d>
          <a:camera prst="perspectiveContrastingLeftFacing">
            <a:rot lat="300000" lon="19800000" rev="0"/>
          </a:camera>
          <a:lightRig rig="threePt" dir="t">
            <a:rot lat="0" lon="0" rev="2700000"/>
          </a:lightRig>
        </a:scene3d>
        <a:sp3d>
          <a:bevelT w="63500" h="50800"/>
        </a:sp3d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1384438</xdr:colOff>
      <xdr:row>17</xdr:row>
      <xdr:rowOff>40172</xdr:rowOff>
    </xdr:from>
    <xdr:to>
      <xdr:col>4</xdr:col>
      <xdr:colOff>2322592</xdr:colOff>
      <xdr:row>17</xdr:row>
      <xdr:rowOff>190500</xdr:rowOff>
    </xdr:to>
    <xdr:sp macro="" textlink="">
      <xdr:nvSpPr>
        <xdr:cNvPr id="56" name="Right Arrow 55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SpPr/>
      </xdr:nvSpPr>
      <xdr:spPr>
        <a:xfrm>
          <a:off x="5543688" y="3088172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18</xdr:row>
      <xdr:rowOff>40172</xdr:rowOff>
    </xdr:from>
    <xdr:to>
      <xdr:col>4</xdr:col>
      <xdr:colOff>2322592</xdr:colOff>
      <xdr:row>18</xdr:row>
      <xdr:rowOff>190500</xdr:rowOff>
    </xdr:to>
    <xdr:sp macro="" textlink="">
      <xdr:nvSpPr>
        <xdr:cNvPr id="57" name="Right Arrow 56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SpPr/>
      </xdr:nvSpPr>
      <xdr:spPr>
        <a:xfrm>
          <a:off x="5543688" y="3088172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19</xdr:row>
      <xdr:rowOff>40172</xdr:rowOff>
    </xdr:from>
    <xdr:to>
      <xdr:col>4</xdr:col>
      <xdr:colOff>2322592</xdr:colOff>
      <xdr:row>19</xdr:row>
      <xdr:rowOff>190500</xdr:rowOff>
    </xdr:to>
    <xdr:sp macro="" textlink="">
      <xdr:nvSpPr>
        <xdr:cNvPr id="58" name="Right Arrow 57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SpPr/>
      </xdr:nvSpPr>
      <xdr:spPr>
        <a:xfrm>
          <a:off x="5543688" y="3088172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20</xdr:row>
      <xdr:rowOff>40172</xdr:rowOff>
    </xdr:from>
    <xdr:to>
      <xdr:col>4</xdr:col>
      <xdr:colOff>2322592</xdr:colOff>
      <xdr:row>20</xdr:row>
      <xdr:rowOff>190500</xdr:rowOff>
    </xdr:to>
    <xdr:sp macro="" textlink="">
      <xdr:nvSpPr>
        <xdr:cNvPr id="59" name="Right Arrow 58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SpPr/>
      </xdr:nvSpPr>
      <xdr:spPr>
        <a:xfrm>
          <a:off x="5543688" y="3088172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21</xdr:row>
      <xdr:rowOff>40172</xdr:rowOff>
    </xdr:from>
    <xdr:to>
      <xdr:col>4</xdr:col>
      <xdr:colOff>2322592</xdr:colOff>
      <xdr:row>21</xdr:row>
      <xdr:rowOff>190500</xdr:rowOff>
    </xdr:to>
    <xdr:sp macro="" textlink="">
      <xdr:nvSpPr>
        <xdr:cNvPr id="60" name="Right Arrow 59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SpPr/>
      </xdr:nvSpPr>
      <xdr:spPr>
        <a:xfrm>
          <a:off x="5543688" y="3088172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22</xdr:row>
      <xdr:rowOff>40172</xdr:rowOff>
    </xdr:from>
    <xdr:to>
      <xdr:col>4</xdr:col>
      <xdr:colOff>2322592</xdr:colOff>
      <xdr:row>22</xdr:row>
      <xdr:rowOff>190500</xdr:rowOff>
    </xdr:to>
    <xdr:sp macro="" textlink="">
      <xdr:nvSpPr>
        <xdr:cNvPr id="61" name="Right Arrow 60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SpPr/>
      </xdr:nvSpPr>
      <xdr:spPr>
        <a:xfrm>
          <a:off x="5543688" y="3088172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23</xdr:row>
      <xdr:rowOff>40172</xdr:rowOff>
    </xdr:from>
    <xdr:to>
      <xdr:col>4</xdr:col>
      <xdr:colOff>2322592</xdr:colOff>
      <xdr:row>23</xdr:row>
      <xdr:rowOff>190500</xdr:rowOff>
    </xdr:to>
    <xdr:sp macro="" textlink="">
      <xdr:nvSpPr>
        <xdr:cNvPr id="62" name="Right Arrow 61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SpPr/>
      </xdr:nvSpPr>
      <xdr:spPr>
        <a:xfrm>
          <a:off x="5543688" y="3088172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24</xdr:row>
      <xdr:rowOff>40172</xdr:rowOff>
    </xdr:from>
    <xdr:to>
      <xdr:col>4</xdr:col>
      <xdr:colOff>2322592</xdr:colOff>
      <xdr:row>24</xdr:row>
      <xdr:rowOff>190500</xdr:rowOff>
    </xdr:to>
    <xdr:sp macro="" textlink="">
      <xdr:nvSpPr>
        <xdr:cNvPr id="63" name="Right Arrow 62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SpPr/>
      </xdr:nvSpPr>
      <xdr:spPr>
        <a:xfrm>
          <a:off x="5543688" y="3088172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25</xdr:row>
      <xdr:rowOff>40172</xdr:rowOff>
    </xdr:from>
    <xdr:to>
      <xdr:col>4</xdr:col>
      <xdr:colOff>2322592</xdr:colOff>
      <xdr:row>25</xdr:row>
      <xdr:rowOff>190500</xdr:rowOff>
    </xdr:to>
    <xdr:sp macro="" textlink="">
      <xdr:nvSpPr>
        <xdr:cNvPr id="64" name="Right Arrow 63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SpPr/>
      </xdr:nvSpPr>
      <xdr:spPr>
        <a:xfrm>
          <a:off x="5543688" y="3088172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26</xdr:row>
      <xdr:rowOff>40172</xdr:rowOff>
    </xdr:from>
    <xdr:to>
      <xdr:col>4</xdr:col>
      <xdr:colOff>2322592</xdr:colOff>
      <xdr:row>26</xdr:row>
      <xdr:rowOff>190500</xdr:rowOff>
    </xdr:to>
    <xdr:sp macro="" textlink="">
      <xdr:nvSpPr>
        <xdr:cNvPr id="65" name="Right Arrow 64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SpPr/>
      </xdr:nvSpPr>
      <xdr:spPr>
        <a:xfrm>
          <a:off x="5543688" y="3088172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27</xdr:row>
      <xdr:rowOff>40172</xdr:rowOff>
    </xdr:from>
    <xdr:to>
      <xdr:col>4</xdr:col>
      <xdr:colOff>2322592</xdr:colOff>
      <xdr:row>27</xdr:row>
      <xdr:rowOff>190500</xdr:rowOff>
    </xdr:to>
    <xdr:sp macro="" textlink="">
      <xdr:nvSpPr>
        <xdr:cNvPr id="67" name="Right Arrow 66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SpPr/>
      </xdr:nvSpPr>
      <xdr:spPr>
        <a:xfrm>
          <a:off x="5543688" y="3088172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28</xdr:row>
      <xdr:rowOff>40172</xdr:rowOff>
    </xdr:from>
    <xdr:to>
      <xdr:col>4</xdr:col>
      <xdr:colOff>2322592</xdr:colOff>
      <xdr:row>28</xdr:row>
      <xdr:rowOff>190500</xdr:rowOff>
    </xdr:to>
    <xdr:sp macro="" textlink="">
      <xdr:nvSpPr>
        <xdr:cNvPr id="68" name="Right Arrow 67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SpPr/>
      </xdr:nvSpPr>
      <xdr:spPr>
        <a:xfrm>
          <a:off x="5543688" y="3088172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29</xdr:row>
      <xdr:rowOff>40172</xdr:rowOff>
    </xdr:from>
    <xdr:to>
      <xdr:col>4</xdr:col>
      <xdr:colOff>2322592</xdr:colOff>
      <xdr:row>29</xdr:row>
      <xdr:rowOff>190500</xdr:rowOff>
    </xdr:to>
    <xdr:sp macro="" textlink="">
      <xdr:nvSpPr>
        <xdr:cNvPr id="69" name="Right Arrow 68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SpPr/>
      </xdr:nvSpPr>
      <xdr:spPr>
        <a:xfrm>
          <a:off x="5543688" y="3088172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30</xdr:row>
      <xdr:rowOff>40172</xdr:rowOff>
    </xdr:from>
    <xdr:to>
      <xdr:col>4</xdr:col>
      <xdr:colOff>2322592</xdr:colOff>
      <xdr:row>30</xdr:row>
      <xdr:rowOff>190500</xdr:rowOff>
    </xdr:to>
    <xdr:sp macro="" textlink="">
      <xdr:nvSpPr>
        <xdr:cNvPr id="70" name="Right Arrow 69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SpPr/>
      </xdr:nvSpPr>
      <xdr:spPr>
        <a:xfrm>
          <a:off x="5543688" y="3088172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31</xdr:row>
      <xdr:rowOff>40172</xdr:rowOff>
    </xdr:from>
    <xdr:to>
      <xdr:col>4</xdr:col>
      <xdr:colOff>2322592</xdr:colOff>
      <xdr:row>31</xdr:row>
      <xdr:rowOff>190500</xdr:rowOff>
    </xdr:to>
    <xdr:sp macro="" textlink="">
      <xdr:nvSpPr>
        <xdr:cNvPr id="71" name="Right Arrow 70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SpPr/>
      </xdr:nvSpPr>
      <xdr:spPr>
        <a:xfrm>
          <a:off x="5543688" y="3088172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32</xdr:row>
      <xdr:rowOff>40172</xdr:rowOff>
    </xdr:from>
    <xdr:to>
      <xdr:col>4</xdr:col>
      <xdr:colOff>2322592</xdr:colOff>
      <xdr:row>32</xdr:row>
      <xdr:rowOff>190500</xdr:rowOff>
    </xdr:to>
    <xdr:sp macro="" textlink="">
      <xdr:nvSpPr>
        <xdr:cNvPr id="72" name="Right Arrow 71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SpPr/>
      </xdr:nvSpPr>
      <xdr:spPr>
        <a:xfrm>
          <a:off x="5543688" y="3088172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33</xdr:row>
      <xdr:rowOff>40172</xdr:rowOff>
    </xdr:from>
    <xdr:to>
      <xdr:col>4</xdr:col>
      <xdr:colOff>2322592</xdr:colOff>
      <xdr:row>33</xdr:row>
      <xdr:rowOff>190500</xdr:rowOff>
    </xdr:to>
    <xdr:sp macro="" textlink="">
      <xdr:nvSpPr>
        <xdr:cNvPr id="73" name="Right Arrow 72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SpPr/>
      </xdr:nvSpPr>
      <xdr:spPr>
        <a:xfrm>
          <a:off x="5543688" y="3088172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34</xdr:row>
      <xdr:rowOff>40172</xdr:rowOff>
    </xdr:from>
    <xdr:to>
      <xdr:col>4</xdr:col>
      <xdr:colOff>2322592</xdr:colOff>
      <xdr:row>34</xdr:row>
      <xdr:rowOff>190500</xdr:rowOff>
    </xdr:to>
    <xdr:sp macro="" textlink="">
      <xdr:nvSpPr>
        <xdr:cNvPr id="74" name="Right Arrow 73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SpPr/>
      </xdr:nvSpPr>
      <xdr:spPr>
        <a:xfrm>
          <a:off x="5543688" y="3088172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35</xdr:row>
      <xdr:rowOff>40172</xdr:rowOff>
    </xdr:from>
    <xdr:to>
      <xdr:col>4</xdr:col>
      <xdr:colOff>2322592</xdr:colOff>
      <xdr:row>35</xdr:row>
      <xdr:rowOff>190500</xdr:rowOff>
    </xdr:to>
    <xdr:sp macro="" textlink="">
      <xdr:nvSpPr>
        <xdr:cNvPr id="75" name="Right Arrow 74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SpPr/>
      </xdr:nvSpPr>
      <xdr:spPr>
        <a:xfrm>
          <a:off x="5543688" y="3088172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36</xdr:row>
      <xdr:rowOff>40172</xdr:rowOff>
    </xdr:from>
    <xdr:to>
      <xdr:col>4</xdr:col>
      <xdr:colOff>2322592</xdr:colOff>
      <xdr:row>36</xdr:row>
      <xdr:rowOff>190500</xdr:rowOff>
    </xdr:to>
    <xdr:sp macro="" textlink="">
      <xdr:nvSpPr>
        <xdr:cNvPr id="76" name="Right Arrow 75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SpPr/>
      </xdr:nvSpPr>
      <xdr:spPr>
        <a:xfrm>
          <a:off x="5543688" y="3088172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37</xdr:row>
      <xdr:rowOff>40172</xdr:rowOff>
    </xdr:from>
    <xdr:to>
      <xdr:col>4</xdr:col>
      <xdr:colOff>2322592</xdr:colOff>
      <xdr:row>37</xdr:row>
      <xdr:rowOff>190500</xdr:rowOff>
    </xdr:to>
    <xdr:sp macro="" textlink="">
      <xdr:nvSpPr>
        <xdr:cNvPr id="77" name="Right Arrow 76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SpPr/>
      </xdr:nvSpPr>
      <xdr:spPr>
        <a:xfrm>
          <a:off x="5543688" y="3088172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38</xdr:row>
      <xdr:rowOff>40172</xdr:rowOff>
    </xdr:from>
    <xdr:to>
      <xdr:col>4</xdr:col>
      <xdr:colOff>2322592</xdr:colOff>
      <xdr:row>38</xdr:row>
      <xdr:rowOff>190500</xdr:rowOff>
    </xdr:to>
    <xdr:sp macro="" textlink="">
      <xdr:nvSpPr>
        <xdr:cNvPr id="78" name="Right Arrow 77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SpPr/>
      </xdr:nvSpPr>
      <xdr:spPr>
        <a:xfrm>
          <a:off x="5543688" y="3088172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39</xdr:row>
      <xdr:rowOff>40172</xdr:rowOff>
    </xdr:from>
    <xdr:to>
      <xdr:col>4</xdr:col>
      <xdr:colOff>2322592</xdr:colOff>
      <xdr:row>39</xdr:row>
      <xdr:rowOff>190500</xdr:rowOff>
    </xdr:to>
    <xdr:sp macro="" textlink="">
      <xdr:nvSpPr>
        <xdr:cNvPr id="79" name="Right Arrow 78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SpPr/>
      </xdr:nvSpPr>
      <xdr:spPr>
        <a:xfrm>
          <a:off x="5543688" y="3088172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40</xdr:row>
      <xdr:rowOff>40172</xdr:rowOff>
    </xdr:from>
    <xdr:to>
      <xdr:col>4</xdr:col>
      <xdr:colOff>2322592</xdr:colOff>
      <xdr:row>40</xdr:row>
      <xdr:rowOff>190500</xdr:rowOff>
    </xdr:to>
    <xdr:sp macro="" textlink="">
      <xdr:nvSpPr>
        <xdr:cNvPr id="80" name="Right Arrow 79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SpPr/>
      </xdr:nvSpPr>
      <xdr:spPr>
        <a:xfrm>
          <a:off x="5543688" y="3088172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41</xdr:row>
      <xdr:rowOff>40172</xdr:rowOff>
    </xdr:from>
    <xdr:to>
      <xdr:col>4</xdr:col>
      <xdr:colOff>2322592</xdr:colOff>
      <xdr:row>41</xdr:row>
      <xdr:rowOff>190500</xdr:rowOff>
    </xdr:to>
    <xdr:sp macro="" textlink="">
      <xdr:nvSpPr>
        <xdr:cNvPr id="81" name="Right Arrow 80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SpPr/>
      </xdr:nvSpPr>
      <xdr:spPr>
        <a:xfrm>
          <a:off x="5543688" y="3088172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42</xdr:row>
      <xdr:rowOff>40172</xdr:rowOff>
    </xdr:from>
    <xdr:to>
      <xdr:col>4</xdr:col>
      <xdr:colOff>2322592</xdr:colOff>
      <xdr:row>42</xdr:row>
      <xdr:rowOff>190500</xdr:rowOff>
    </xdr:to>
    <xdr:sp macro="" textlink="">
      <xdr:nvSpPr>
        <xdr:cNvPr id="82" name="Right Arrow 81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SpPr/>
      </xdr:nvSpPr>
      <xdr:spPr>
        <a:xfrm>
          <a:off x="5543688" y="3088172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43</xdr:row>
      <xdr:rowOff>40172</xdr:rowOff>
    </xdr:from>
    <xdr:to>
      <xdr:col>4</xdr:col>
      <xdr:colOff>2322592</xdr:colOff>
      <xdr:row>43</xdr:row>
      <xdr:rowOff>190500</xdr:rowOff>
    </xdr:to>
    <xdr:sp macro="" textlink="">
      <xdr:nvSpPr>
        <xdr:cNvPr id="83" name="Right Arrow 82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SpPr/>
      </xdr:nvSpPr>
      <xdr:spPr>
        <a:xfrm>
          <a:off x="5543688" y="3088172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44</xdr:row>
      <xdr:rowOff>40172</xdr:rowOff>
    </xdr:from>
    <xdr:to>
      <xdr:col>4</xdr:col>
      <xdr:colOff>2322592</xdr:colOff>
      <xdr:row>44</xdr:row>
      <xdr:rowOff>190500</xdr:rowOff>
    </xdr:to>
    <xdr:sp macro="" textlink="">
      <xdr:nvSpPr>
        <xdr:cNvPr id="84" name="Right Arrow 83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SpPr/>
      </xdr:nvSpPr>
      <xdr:spPr>
        <a:xfrm>
          <a:off x="5543688" y="3088172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45</xdr:row>
      <xdr:rowOff>40172</xdr:rowOff>
    </xdr:from>
    <xdr:to>
      <xdr:col>4</xdr:col>
      <xdr:colOff>2322592</xdr:colOff>
      <xdr:row>45</xdr:row>
      <xdr:rowOff>190500</xdr:rowOff>
    </xdr:to>
    <xdr:sp macro="" textlink="">
      <xdr:nvSpPr>
        <xdr:cNvPr id="85" name="Right Arrow 84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SpPr/>
      </xdr:nvSpPr>
      <xdr:spPr>
        <a:xfrm>
          <a:off x="5543688" y="3088172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1384438</xdr:colOff>
      <xdr:row>46</xdr:row>
      <xdr:rowOff>40172</xdr:rowOff>
    </xdr:from>
    <xdr:to>
      <xdr:col>4</xdr:col>
      <xdr:colOff>2322592</xdr:colOff>
      <xdr:row>46</xdr:row>
      <xdr:rowOff>190500</xdr:rowOff>
    </xdr:to>
    <xdr:sp macro="" textlink="">
      <xdr:nvSpPr>
        <xdr:cNvPr id="86" name="Right Arrow 85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SpPr/>
      </xdr:nvSpPr>
      <xdr:spPr>
        <a:xfrm>
          <a:off x="5543688" y="3088172"/>
          <a:ext cx="938154" cy="150328"/>
        </a:xfrm>
        <a:prstGeom prst="rightArrow">
          <a:avLst/>
        </a:prstGeom>
        <a:ln w="34925">
          <a:noFill/>
        </a:ln>
        <a:effectLst>
          <a:glow rad="63500">
            <a:schemeClr val="accent1">
              <a:tint val="30000"/>
              <a:shade val="95000"/>
              <a:satMod val="300000"/>
              <a:alpha val="50000"/>
            </a:schemeClr>
          </a:glow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96611</xdr:colOff>
      <xdr:row>0</xdr:row>
      <xdr:rowOff>54428</xdr:rowOff>
    </xdr:from>
    <xdr:to>
      <xdr:col>5</xdr:col>
      <xdr:colOff>1034143</xdr:colOff>
      <xdr:row>5</xdr:row>
      <xdr:rowOff>95249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SpPr/>
      </xdr:nvSpPr>
      <xdr:spPr>
        <a:xfrm>
          <a:off x="3212647" y="54428"/>
          <a:ext cx="3332389" cy="993321"/>
        </a:xfrm>
        <a:prstGeom prst="leftArrow">
          <a:avLst/>
        </a:prstGeom>
        <a:gradFill flip="none" rotWithShape="1">
          <a:gsLst>
            <a:gs pos="0">
              <a:srgbClr val="000082"/>
            </a:gs>
            <a:gs pos="30000">
              <a:srgbClr val="66008F"/>
            </a:gs>
            <a:gs pos="64999">
              <a:srgbClr val="BA0066"/>
            </a:gs>
            <a:gs pos="89999">
              <a:srgbClr val="FF0000"/>
            </a:gs>
            <a:gs pos="100000">
              <a:srgbClr val="FF8200"/>
            </a:gs>
          </a:gsLst>
          <a:path path="rect">
            <a:fillToRect l="100000" t="100000"/>
          </a:path>
          <a:tileRect r="-100000" b="-100000"/>
        </a:gradFill>
        <a:ln cap="sq" cmpd="sng"/>
        <a:effectLst>
          <a:outerShdw blurRad="101600" dist="25400" dir="5160000" sx="108000" sy="108000" algn="ctr" rotWithShape="0">
            <a:srgbClr val="000000"/>
          </a:outerShdw>
        </a:effectLst>
        <a:scene3d>
          <a:camera prst="orthographicFront"/>
          <a:lightRig rig="soft" dir="tl">
            <a:rot lat="0" lon="0" rev="0"/>
          </a:lightRig>
        </a:scene3d>
        <a:sp3d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20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Matura MT Script Capitals" pitchFamily="66" charset="0"/>
            </a:rPr>
            <a:t>Go Back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638174</xdr:colOff>
      <xdr:row>0</xdr:row>
      <xdr:rowOff>123826</xdr:rowOff>
    </xdr:from>
    <xdr:to>
      <xdr:col>13</xdr:col>
      <xdr:colOff>514349</xdr:colOff>
      <xdr:row>3</xdr:row>
      <xdr:rowOff>266700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SpPr/>
      </xdr:nvSpPr>
      <xdr:spPr>
        <a:xfrm>
          <a:off x="6848474" y="123826"/>
          <a:ext cx="2295525" cy="723899"/>
        </a:xfrm>
        <a:prstGeom prst="leftArrow">
          <a:avLst/>
        </a:prstGeom>
        <a:gradFill flip="none" rotWithShape="1">
          <a:gsLst>
            <a:gs pos="0">
              <a:srgbClr val="000082"/>
            </a:gs>
            <a:gs pos="30000">
              <a:srgbClr val="66008F"/>
            </a:gs>
            <a:gs pos="64999">
              <a:srgbClr val="BA0066"/>
            </a:gs>
            <a:gs pos="89999">
              <a:srgbClr val="FF0000"/>
            </a:gs>
            <a:gs pos="100000">
              <a:srgbClr val="FF8200"/>
            </a:gs>
          </a:gsLst>
          <a:path path="rect">
            <a:fillToRect l="100000" t="100000"/>
          </a:path>
          <a:tileRect r="-100000" b="-100000"/>
        </a:gradFill>
        <a:ln cap="sq" cmpd="sng"/>
        <a:effectLst>
          <a:outerShdw blurRad="101600" dist="25400" dir="5160000" sx="108000" sy="108000" algn="ctr" rotWithShape="0">
            <a:srgbClr val="000000"/>
          </a:outerShdw>
        </a:effectLst>
        <a:scene3d>
          <a:camera prst="orthographicFront"/>
          <a:lightRig rig="soft" dir="tl">
            <a:rot lat="0" lon="0" rev="0"/>
          </a:lightRig>
        </a:scene3d>
        <a:sp3d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20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Matura MT Script Capitals" pitchFamily="66" charset="0"/>
            </a:rPr>
            <a:t>Go Back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571499</xdr:colOff>
      <xdr:row>0</xdr:row>
      <xdr:rowOff>38100</xdr:rowOff>
    </xdr:from>
    <xdr:to>
      <xdr:col>4</xdr:col>
      <xdr:colOff>0</xdr:colOff>
      <xdr:row>4</xdr:row>
      <xdr:rowOff>104775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SpPr/>
      </xdr:nvSpPr>
      <xdr:spPr>
        <a:xfrm>
          <a:off x="2847974" y="38100"/>
          <a:ext cx="2819401" cy="828675"/>
        </a:xfrm>
        <a:prstGeom prst="leftArrow">
          <a:avLst/>
        </a:prstGeom>
        <a:gradFill flip="none" rotWithShape="1">
          <a:gsLst>
            <a:gs pos="0">
              <a:srgbClr val="000082"/>
            </a:gs>
            <a:gs pos="30000">
              <a:srgbClr val="66008F"/>
            </a:gs>
            <a:gs pos="64999">
              <a:srgbClr val="BA0066"/>
            </a:gs>
            <a:gs pos="89999">
              <a:srgbClr val="FF0000"/>
            </a:gs>
            <a:gs pos="100000">
              <a:srgbClr val="FF8200"/>
            </a:gs>
          </a:gsLst>
          <a:path path="rect">
            <a:fillToRect l="100000" t="100000"/>
          </a:path>
          <a:tileRect r="-100000" b="-100000"/>
        </a:gradFill>
        <a:ln cap="sq" cmpd="sng"/>
        <a:effectLst>
          <a:outerShdw blurRad="101600" dist="25400" dir="5160000" sx="108000" sy="108000" algn="ctr" rotWithShape="0">
            <a:srgbClr val="000000"/>
          </a:outerShdw>
        </a:effectLst>
        <a:scene3d>
          <a:camera prst="orthographicFront"/>
          <a:lightRig rig="soft" dir="tl">
            <a:rot lat="0" lon="0" rev="0"/>
          </a:lightRig>
        </a:scene3d>
        <a:sp3d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20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Matura MT Script Capitals" pitchFamily="66" charset="0"/>
            </a:rPr>
            <a:t>Go Back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1000124</xdr:colOff>
      <xdr:row>0</xdr:row>
      <xdr:rowOff>104774</xdr:rowOff>
    </xdr:from>
    <xdr:to>
      <xdr:col>5</xdr:col>
      <xdr:colOff>438150</xdr:colOff>
      <xdr:row>4</xdr:row>
      <xdr:rowOff>114300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400-000002000000}"/>
            </a:ext>
          </a:extLst>
        </xdr:cNvPr>
        <xdr:cNvSpPr/>
      </xdr:nvSpPr>
      <xdr:spPr>
        <a:xfrm>
          <a:off x="2219324" y="104774"/>
          <a:ext cx="2524126" cy="771526"/>
        </a:xfrm>
        <a:prstGeom prst="leftArrow">
          <a:avLst/>
        </a:prstGeom>
        <a:gradFill flip="none" rotWithShape="1">
          <a:gsLst>
            <a:gs pos="0">
              <a:srgbClr val="000082"/>
            </a:gs>
            <a:gs pos="30000">
              <a:srgbClr val="66008F"/>
            </a:gs>
            <a:gs pos="64999">
              <a:srgbClr val="BA0066"/>
            </a:gs>
            <a:gs pos="89999">
              <a:srgbClr val="FF0000"/>
            </a:gs>
            <a:gs pos="100000">
              <a:srgbClr val="FF8200"/>
            </a:gs>
          </a:gsLst>
          <a:path path="rect">
            <a:fillToRect l="100000" t="100000"/>
          </a:path>
          <a:tileRect r="-100000" b="-100000"/>
        </a:gradFill>
        <a:ln cap="sq" cmpd="sng"/>
        <a:effectLst>
          <a:outerShdw blurRad="101600" dist="25400" dir="5160000" sx="108000" sy="108000" algn="ctr" rotWithShape="0">
            <a:srgbClr val="000000"/>
          </a:outerShdw>
        </a:effectLst>
        <a:scene3d>
          <a:camera prst="orthographicFront"/>
          <a:lightRig rig="soft" dir="tl">
            <a:rot lat="0" lon="0" rev="0"/>
          </a:lightRig>
        </a:scene3d>
        <a:sp3d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20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Matura MT Script Capitals" pitchFamily="66" charset="0"/>
            </a:rPr>
            <a:t>Go Back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752475</xdr:colOff>
      <xdr:row>0</xdr:row>
      <xdr:rowOff>114300</xdr:rowOff>
    </xdr:from>
    <xdr:to>
      <xdr:col>5</xdr:col>
      <xdr:colOff>790575</xdr:colOff>
      <xdr:row>4</xdr:row>
      <xdr:rowOff>85725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500-000002000000}"/>
            </a:ext>
          </a:extLst>
        </xdr:cNvPr>
        <xdr:cNvSpPr/>
      </xdr:nvSpPr>
      <xdr:spPr>
        <a:xfrm>
          <a:off x="3219450" y="114300"/>
          <a:ext cx="2543175" cy="733425"/>
        </a:xfrm>
        <a:prstGeom prst="leftArrow">
          <a:avLst/>
        </a:prstGeom>
        <a:gradFill flip="none" rotWithShape="1">
          <a:gsLst>
            <a:gs pos="0">
              <a:srgbClr val="000082"/>
            </a:gs>
            <a:gs pos="30000">
              <a:srgbClr val="66008F"/>
            </a:gs>
            <a:gs pos="64999">
              <a:srgbClr val="BA0066"/>
            </a:gs>
            <a:gs pos="89999">
              <a:srgbClr val="FF0000"/>
            </a:gs>
            <a:gs pos="100000">
              <a:srgbClr val="FF8200"/>
            </a:gs>
          </a:gsLst>
          <a:path path="rect">
            <a:fillToRect l="100000" t="100000"/>
          </a:path>
          <a:tileRect r="-100000" b="-100000"/>
        </a:gradFill>
        <a:ln cap="sq" cmpd="sng"/>
        <a:effectLst>
          <a:outerShdw blurRad="101600" dist="25400" dir="5160000" sx="108000" sy="108000" algn="ctr" rotWithShape="0">
            <a:srgbClr val="000000"/>
          </a:outerShdw>
        </a:effectLst>
        <a:scene3d>
          <a:camera prst="orthographicFront"/>
          <a:lightRig rig="soft" dir="tl">
            <a:rot lat="0" lon="0" rev="0"/>
          </a:lightRig>
        </a:scene3d>
        <a:sp3d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20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Matura MT Script Capitals" pitchFamily="66" charset="0"/>
            </a:rPr>
            <a:t>Go Back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142876</xdr:rowOff>
    </xdr:from>
    <xdr:to>
      <xdr:col>6</xdr:col>
      <xdr:colOff>857250</xdr:colOff>
      <xdr:row>4</xdr:row>
      <xdr:rowOff>114300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600-000002000000}"/>
            </a:ext>
          </a:extLst>
        </xdr:cNvPr>
        <xdr:cNvSpPr/>
      </xdr:nvSpPr>
      <xdr:spPr>
        <a:xfrm>
          <a:off x="4219575" y="142876"/>
          <a:ext cx="2495550" cy="733424"/>
        </a:xfrm>
        <a:prstGeom prst="leftArrow">
          <a:avLst/>
        </a:prstGeom>
        <a:gradFill flip="none" rotWithShape="1">
          <a:gsLst>
            <a:gs pos="0">
              <a:srgbClr val="000082"/>
            </a:gs>
            <a:gs pos="30000">
              <a:srgbClr val="66008F"/>
            </a:gs>
            <a:gs pos="64999">
              <a:srgbClr val="BA0066"/>
            </a:gs>
            <a:gs pos="89999">
              <a:srgbClr val="FF0000"/>
            </a:gs>
            <a:gs pos="100000">
              <a:srgbClr val="FF8200"/>
            </a:gs>
          </a:gsLst>
          <a:path path="rect">
            <a:fillToRect l="100000" t="100000"/>
          </a:path>
          <a:tileRect r="-100000" b="-100000"/>
        </a:gradFill>
        <a:ln cap="sq" cmpd="sng"/>
        <a:effectLst>
          <a:outerShdw blurRad="101600" dist="25400" dir="5160000" sx="108000" sy="108000" algn="ctr" rotWithShape="0">
            <a:srgbClr val="000000"/>
          </a:outerShdw>
        </a:effectLst>
        <a:scene3d>
          <a:camera prst="orthographicFront"/>
          <a:lightRig rig="soft" dir="tl">
            <a:rot lat="0" lon="0" rev="0"/>
          </a:lightRig>
        </a:scene3d>
        <a:sp3d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20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Matura MT Script Capitals" pitchFamily="66" charset="0"/>
            </a:rPr>
            <a:t>Go Back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808225</xdr:colOff>
      <xdr:row>0</xdr:row>
      <xdr:rowOff>107156</xdr:rowOff>
    </xdr:from>
    <xdr:to>
      <xdr:col>8</xdr:col>
      <xdr:colOff>246531</xdr:colOff>
      <xdr:row>3</xdr:row>
      <xdr:rowOff>78441</xdr:rowOff>
    </xdr:to>
    <xdr:sp macro="" textlink="">
      <xdr:nvSpPr>
        <xdr:cNvPr id="3" name="Left Arrow 2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700-000003000000}"/>
            </a:ext>
          </a:extLst>
        </xdr:cNvPr>
        <xdr:cNvSpPr/>
      </xdr:nvSpPr>
      <xdr:spPr>
        <a:xfrm>
          <a:off x="3217490" y="107156"/>
          <a:ext cx="2833688" cy="923785"/>
        </a:xfrm>
        <a:prstGeom prst="leftArrow">
          <a:avLst/>
        </a:prstGeom>
        <a:gradFill flip="none" rotWithShape="1">
          <a:gsLst>
            <a:gs pos="0">
              <a:srgbClr val="000082"/>
            </a:gs>
            <a:gs pos="30000">
              <a:srgbClr val="66008F"/>
            </a:gs>
            <a:gs pos="64999">
              <a:srgbClr val="BA0066"/>
            </a:gs>
            <a:gs pos="89999">
              <a:srgbClr val="FF0000"/>
            </a:gs>
            <a:gs pos="100000">
              <a:srgbClr val="FF8200"/>
            </a:gs>
          </a:gsLst>
          <a:path path="rect">
            <a:fillToRect l="100000" t="100000"/>
          </a:path>
          <a:tileRect r="-100000" b="-100000"/>
        </a:gradFill>
        <a:ln cap="sq" cmpd="sng"/>
        <a:effectLst>
          <a:outerShdw blurRad="101600" dist="25400" dir="5160000" sx="108000" sy="108000" algn="ctr" rotWithShape="0">
            <a:srgbClr val="000000"/>
          </a:outerShdw>
        </a:effectLst>
        <a:scene3d>
          <a:camera prst="orthographicFront"/>
          <a:lightRig rig="soft" dir="tl">
            <a:rot lat="0" lon="0" rev="0"/>
          </a:lightRig>
        </a:scene3d>
        <a:sp3d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20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Matura MT Script Capitals" pitchFamily="66" charset="0"/>
            </a:rPr>
            <a:t>Go Back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804863</xdr:colOff>
      <xdr:row>0</xdr:row>
      <xdr:rowOff>126207</xdr:rowOff>
    </xdr:from>
    <xdr:to>
      <xdr:col>5</xdr:col>
      <xdr:colOff>1661585</xdr:colOff>
      <xdr:row>4</xdr:row>
      <xdr:rowOff>74082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800-000002000000}"/>
            </a:ext>
          </a:extLst>
        </xdr:cNvPr>
        <xdr:cNvSpPr/>
      </xdr:nvSpPr>
      <xdr:spPr>
        <a:xfrm>
          <a:off x="5281613" y="126207"/>
          <a:ext cx="2345003" cy="781313"/>
        </a:xfrm>
        <a:prstGeom prst="leftArrow">
          <a:avLst/>
        </a:prstGeom>
        <a:gradFill flip="none" rotWithShape="1">
          <a:gsLst>
            <a:gs pos="0">
              <a:srgbClr val="000082"/>
            </a:gs>
            <a:gs pos="30000">
              <a:srgbClr val="66008F"/>
            </a:gs>
            <a:gs pos="64999">
              <a:srgbClr val="BA0066"/>
            </a:gs>
            <a:gs pos="89999">
              <a:srgbClr val="FF0000"/>
            </a:gs>
            <a:gs pos="100000">
              <a:srgbClr val="FF8200"/>
            </a:gs>
          </a:gsLst>
          <a:path path="rect">
            <a:fillToRect l="100000" t="100000"/>
          </a:path>
          <a:tileRect r="-100000" b="-100000"/>
        </a:gradFill>
        <a:ln cap="sq" cmpd="sng"/>
        <a:effectLst>
          <a:outerShdw blurRad="101600" dist="25400" dir="5160000" sx="108000" sy="108000" algn="ctr" rotWithShape="0">
            <a:srgbClr val="000000"/>
          </a:outerShdw>
        </a:effectLst>
        <a:scene3d>
          <a:camera prst="orthographicFront"/>
          <a:lightRig rig="soft" dir="tl">
            <a:rot lat="0" lon="0" rev="0"/>
          </a:lightRig>
        </a:scene3d>
        <a:sp3d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20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Matura MT Script Capitals" pitchFamily="66" charset="0"/>
            </a:rPr>
            <a:t>Go Back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459048</xdr:colOff>
      <xdr:row>0</xdr:row>
      <xdr:rowOff>134938</xdr:rowOff>
    </xdr:from>
    <xdr:to>
      <xdr:col>5</xdr:col>
      <xdr:colOff>1512094</xdr:colOff>
      <xdr:row>4</xdr:row>
      <xdr:rowOff>59531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900-000002000000}"/>
            </a:ext>
          </a:extLst>
        </xdr:cNvPr>
        <xdr:cNvSpPr/>
      </xdr:nvSpPr>
      <xdr:spPr>
        <a:xfrm>
          <a:off x="4471454" y="134938"/>
          <a:ext cx="2410359" cy="686593"/>
        </a:xfrm>
        <a:prstGeom prst="leftArrow">
          <a:avLst/>
        </a:prstGeom>
        <a:gradFill flip="none" rotWithShape="1">
          <a:gsLst>
            <a:gs pos="0">
              <a:srgbClr val="000082"/>
            </a:gs>
            <a:gs pos="30000">
              <a:srgbClr val="66008F"/>
            </a:gs>
            <a:gs pos="64999">
              <a:srgbClr val="BA0066"/>
            </a:gs>
            <a:gs pos="89999">
              <a:srgbClr val="FF0000"/>
            </a:gs>
            <a:gs pos="100000">
              <a:srgbClr val="FF8200"/>
            </a:gs>
          </a:gsLst>
          <a:path path="rect">
            <a:fillToRect l="100000" t="100000"/>
          </a:path>
          <a:tileRect r="-100000" b="-100000"/>
        </a:gradFill>
        <a:ln cap="sq" cmpd="sng"/>
        <a:effectLst>
          <a:outerShdw blurRad="101600" dist="25400" dir="5160000" sx="108000" sy="108000" algn="ctr" rotWithShape="0">
            <a:srgbClr val="000000"/>
          </a:outerShdw>
        </a:effectLst>
        <a:scene3d>
          <a:camera prst="orthographicFront"/>
          <a:lightRig rig="soft" dir="tl">
            <a:rot lat="0" lon="0" rev="0"/>
          </a:lightRig>
        </a:scene3d>
        <a:sp3d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20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Matura MT Script Capitals" pitchFamily="66" charset="0"/>
            </a:rPr>
            <a:t>Go Back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676273</xdr:colOff>
      <xdr:row>0</xdr:row>
      <xdr:rowOff>52387</xdr:rowOff>
    </xdr:from>
    <xdr:to>
      <xdr:col>6</xdr:col>
      <xdr:colOff>391582</xdr:colOff>
      <xdr:row>4</xdr:row>
      <xdr:rowOff>21166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A00-000002000000}"/>
            </a:ext>
          </a:extLst>
        </xdr:cNvPr>
        <xdr:cNvSpPr/>
      </xdr:nvSpPr>
      <xdr:spPr>
        <a:xfrm>
          <a:off x="5618690" y="52387"/>
          <a:ext cx="1810809" cy="730779"/>
        </a:xfrm>
        <a:prstGeom prst="leftArrow">
          <a:avLst/>
        </a:prstGeom>
        <a:gradFill flip="none" rotWithShape="1">
          <a:gsLst>
            <a:gs pos="0">
              <a:srgbClr val="000082"/>
            </a:gs>
            <a:gs pos="30000">
              <a:srgbClr val="66008F"/>
            </a:gs>
            <a:gs pos="64999">
              <a:srgbClr val="BA0066"/>
            </a:gs>
            <a:gs pos="89999">
              <a:srgbClr val="FF0000"/>
            </a:gs>
            <a:gs pos="100000">
              <a:srgbClr val="FF8200"/>
            </a:gs>
          </a:gsLst>
          <a:path path="rect">
            <a:fillToRect l="100000" t="100000"/>
          </a:path>
          <a:tileRect r="-100000" b="-100000"/>
        </a:gradFill>
        <a:ln cap="sq" cmpd="sng"/>
        <a:effectLst>
          <a:outerShdw blurRad="101600" dist="25400" dir="5160000" sx="108000" sy="108000" algn="ctr" rotWithShape="0">
            <a:srgbClr val="000000"/>
          </a:outerShdw>
        </a:effectLst>
        <a:scene3d>
          <a:camera prst="orthographicFront"/>
          <a:lightRig rig="soft" dir="tl">
            <a:rot lat="0" lon="0" rev="0"/>
          </a:lightRig>
        </a:scene3d>
        <a:sp3d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20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Matura MT Script Capitals" pitchFamily="66" charset="0"/>
            </a:rPr>
            <a:t>Go Back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</xdr:colOff>
      <xdr:row>0</xdr:row>
      <xdr:rowOff>64294</xdr:rowOff>
    </xdr:from>
    <xdr:to>
      <xdr:col>6</xdr:col>
      <xdr:colOff>559594</xdr:colOff>
      <xdr:row>4</xdr:row>
      <xdr:rowOff>47625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B00-000002000000}"/>
            </a:ext>
          </a:extLst>
        </xdr:cNvPr>
        <xdr:cNvSpPr/>
      </xdr:nvSpPr>
      <xdr:spPr>
        <a:xfrm>
          <a:off x="5576887" y="64294"/>
          <a:ext cx="2269332" cy="745331"/>
        </a:xfrm>
        <a:prstGeom prst="leftArrow">
          <a:avLst/>
        </a:prstGeom>
        <a:gradFill flip="none" rotWithShape="1">
          <a:gsLst>
            <a:gs pos="0">
              <a:srgbClr val="000082"/>
            </a:gs>
            <a:gs pos="30000">
              <a:srgbClr val="66008F"/>
            </a:gs>
            <a:gs pos="64999">
              <a:srgbClr val="BA0066"/>
            </a:gs>
            <a:gs pos="89999">
              <a:srgbClr val="FF0000"/>
            </a:gs>
            <a:gs pos="100000">
              <a:srgbClr val="FF8200"/>
            </a:gs>
          </a:gsLst>
          <a:path path="rect">
            <a:fillToRect l="100000" t="100000"/>
          </a:path>
          <a:tileRect r="-100000" b="-100000"/>
        </a:gradFill>
        <a:ln cap="sq" cmpd="sng"/>
        <a:effectLst>
          <a:outerShdw blurRad="101600" dist="25400" dir="5160000" sx="108000" sy="108000" algn="ctr" rotWithShape="0">
            <a:srgbClr val="000000"/>
          </a:outerShdw>
        </a:effectLst>
        <a:scene3d>
          <a:camera prst="orthographicFront"/>
          <a:lightRig rig="soft" dir="tl">
            <a:rot lat="0" lon="0" rev="0"/>
          </a:lightRig>
        </a:scene3d>
        <a:sp3d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20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Matura MT Script Capitals" pitchFamily="66" charset="0"/>
            </a:rPr>
            <a:t>Go Back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383381</xdr:colOff>
      <xdr:row>0</xdr:row>
      <xdr:rowOff>76201</xdr:rowOff>
    </xdr:from>
    <xdr:to>
      <xdr:col>6</xdr:col>
      <xdr:colOff>321469</xdr:colOff>
      <xdr:row>3</xdr:row>
      <xdr:rowOff>178594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C00-000002000000}"/>
            </a:ext>
          </a:extLst>
        </xdr:cNvPr>
        <xdr:cNvSpPr/>
      </xdr:nvSpPr>
      <xdr:spPr>
        <a:xfrm>
          <a:off x="5443537" y="76201"/>
          <a:ext cx="2164557" cy="816768"/>
        </a:xfrm>
        <a:prstGeom prst="leftArrow">
          <a:avLst/>
        </a:prstGeom>
        <a:gradFill flip="none" rotWithShape="1">
          <a:gsLst>
            <a:gs pos="0">
              <a:srgbClr val="000082"/>
            </a:gs>
            <a:gs pos="30000">
              <a:srgbClr val="66008F"/>
            </a:gs>
            <a:gs pos="64999">
              <a:srgbClr val="BA0066"/>
            </a:gs>
            <a:gs pos="89999">
              <a:srgbClr val="FF0000"/>
            </a:gs>
            <a:gs pos="100000">
              <a:srgbClr val="FF8200"/>
            </a:gs>
          </a:gsLst>
          <a:path path="rect">
            <a:fillToRect l="100000" t="100000"/>
          </a:path>
          <a:tileRect r="-100000" b="-100000"/>
        </a:gradFill>
        <a:ln cap="sq" cmpd="sng"/>
        <a:effectLst>
          <a:outerShdw blurRad="101600" dist="25400" dir="5160000" sx="108000" sy="108000" algn="ctr" rotWithShape="0">
            <a:srgbClr val="000000"/>
          </a:outerShdw>
        </a:effectLst>
        <a:scene3d>
          <a:camera prst="orthographicFront"/>
          <a:lightRig rig="soft" dir="tl">
            <a:rot lat="0" lon="0" rev="0"/>
          </a:lightRig>
        </a:scene3d>
        <a:sp3d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20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Matura MT Script Capitals" pitchFamily="66" charset="0"/>
            </a:rPr>
            <a:t>Go Back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440532</xdr:colOff>
      <xdr:row>0</xdr:row>
      <xdr:rowOff>50006</xdr:rowOff>
    </xdr:from>
    <xdr:to>
      <xdr:col>7</xdr:col>
      <xdr:colOff>297656</xdr:colOff>
      <xdr:row>4</xdr:row>
      <xdr:rowOff>107156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D00-000002000000}"/>
            </a:ext>
          </a:extLst>
        </xdr:cNvPr>
        <xdr:cNvSpPr/>
      </xdr:nvSpPr>
      <xdr:spPr>
        <a:xfrm>
          <a:off x="6012657" y="50006"/>
          <a:ext cx="2750343" cy="842963"/>
        </a:xfrm>
        <a:prstGeom prst="leftArrow">
          <a:avLst/>
        </a:prstGeom>
        <a:gradFill flip="none" rotWithShape="1">
          <a:gsLst>
            <a:gs pos="0">
              <a:srgbClr val="000082"/>
            </a:gs>
            <a:gs pos="30000">
              <a:srgbClr val="66008F"/>
            </a:gs>
            <a:gs pos="64999">
              <a:srgbClr val="BA0066"/>
            </a:gs>
            <a:gs pos="89999">
              <a:srgbClr val="FF0000"/>
            </a:gs>
            <a:gs pos="100000">
              <a:srgbClr val="FF8200"/>
            </a:gs>
          </a:gsLst>
          <a:path path="rect">
            <a:fillToRect l="100000" t="100000"/>
          </a:path>
          <a:tileRect r="-100000" b="-100000"/>
        </a:gradFill>
        <a:ln cap="sq" cmpd="sng"/>
        <a:effectLst>
          <a:outerShdw blurRad="101600" dist="25400" dir="5160000" sx="108000" sy="108000" algn="ctr" rotWithShape="0">
            <a:srgbClr val="000000"/>
          </a:outerShdw>
        </a:effectLst>
        <a:scene3d>
          <a:camera prst="orthographicFront"/>
          <a:lightRig rig="soft" dir="tl">
            <a:rot lat="0" lon="0" rev="0"/>
          </a:lightRig>
        </a:scene3d>
        <a:sp3d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20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Matura MT Script Capitals" pitchFamily="66" charset="0"/>
            </a:rPr>
            <a:t>Go Back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90489</xdr:rowOff>
    </xdr:from>
    <xdr:to>
      <xdr:col>6</xdr:col>
      <xdr:colOff>559594</xdr:colOff>
      <xdr:row>4</xdr:row>
      <xdr:rowOff>23813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E00-000002000000}"/>
            </a:ext>
          </a:extLst>
        </xdr:cNvPr>
        <xdr:cNvSpPr/>
      </xdr:nvSpPr>
      <xdr:spPr>
        <a:xfrm>
          <a:off x="5572125" y="90489"/>
          <a:ext cx="2274094" cy="695324"/>
        </a:xfrm>
        <a:prstGeom prst="leftArrow">
          <a:avLst/>
        </a:prstGeom>
        <a:gradFill flip="none" rotWithShape="1">
          <a:gsLst>
            <a:gs pos="0">
              <a:srgbClr val="000082"/>
            </a:gs>
            <a:gs pos="30000">
              <a:srgbClr val="66008F"/>
            </a:gs>
            <a:gs pos="64999">
              <a:srgbClr val="BA0066"/>
            </a:gs>
            <a:gs pos="89999">
              <a:srgbClr val="FF0000"/>
            </a:gs>
            <a:gs pos="100000">
              <a:srgbClr val="FF8200"/>
            </a:gs>
          </a:gsLst>
          <a:path path="rect">
            <a:fillToRect l="100000" t="100000"/>
          </a:path>
          <a:tileRect r="-100000" b="-100000"/>
        </a:gradFill>
        <a:ln cap="sq" cmpd="sng"/>
        <a:effectLst>
          <a:outerShdw blurRad="101600" dist="25400" dir="5160000" sx="108000" sy="108000" algn="ctr" rotWithShape="0">
            <a:srgbClr val="000000"/>
          </a:outerShdw>
        </a:effectLst>
        <a:scene3d>
          <a:camera prst="orthographicFront"/>
          <a:lightRig rig="soft" dir="tl">
            <a:rot lat="0" lon="0" rev="0"/>
          </a:lightRig>
        </a:scene3d>
        <a:sp3d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20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Matura MT Script Capitals" pitchFamily="66" charset="0"/>
            </a:rPr>
            <a:t>Go Back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642937</xdr:colOff>
      <xdr:row>0</xdr:row>
      <xdr:rowOff>102393</xdr:rowOff>
    </xdr:from>
    <xdr:to>
      <xdr:col>5</xdr:col>
      <xdr:colOff>1535906</xdr:colOff>
      <xdr:row>4</xdr:row>
      <xdr:rowOff>35719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F00-000002000000}"/>
            </a:ext>
          </a:extLst>
        </xdr:cNvPr>
        <xdr:cNvSpPr/>
      </xdr:nvSpPr>
      <xdr:spPr>
        <a:xfrm>
          <a:off x="4655343" y="102393"/>
          <a:ext cx="2250282" cy="695326"/>
        </a:xfrm>
        <a:prstGeom prst="leftArrow">
          <a:avLst/>
        </a:prstGeom>
        <a:gradFill flip="none" rotWithShape="1">
          <a:gsLst>
            <a:gs pos="0">
              <a:srgbClr val="000082"/>
            </a:gs>
            <a:gs pos="30000">
              <a:srgbClr val="66008F"/>
            </a:gs>
            <a:gs pos="64999">
              <a:srgbClr val="BA0066"/>
            </a:gs>
            <a:gs pos="89999">
              <a:srgbClr val="FF0000"/>
            </a:gs>
            <a:gs pos="100000">
              <a:srgbClr val="FF8200"/>
            </a:gs>
          </a:gsLst>
          <a:path path="rect">
            <a:fillToRect l="100000" t="100000"/>
          </a:path>
          <a:tileRect r="-100000" b="-100000"/>
        </a:gradFill>
        <a:ln cap="sq" cmpd="sng"/>
        <a:effectLst>
          <a:outerShdw blurRad="101600" dist="25400" dir="5160000" sx="108000" sy="108000" algn="ctr" rotWithShape="0">
            <a:srgbClr val="000000"/>
          </a:outerShdw>
        </a:effectLst>
        <a:scene3d>
          <a:camera prst="orthographicFront"/>
          <a:lightRig rig="soft" dir="tl">
            <a:rot lat="0" lon="0" rev="0"/>
          </a:lightRig>
        </a:scene3d>
        <a:sp3d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20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Matura MT Script Capitals" pitchFamily="66" charset="0"/>
            </a:rPr>
            <a:t>Go Back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107156</xdr:colOff>
      <xdr:row>0</xdr:row>
      <xdr:rowOff>83344</xdr:rowOff>
    </xdr:from>
    <xdr:to>
      <xdr:col>6</xdr:col>
      <xdr:colOff>738188</xdr:colOff>
      <xdr:row>4</xdr:row>
      <xdr:rowOff>47626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1300-000002000000}"/>
            </a:ext>
          </a:extLst>
        </xdr:cNvPr>
        <xdr:cNvSpPr/>
      </xdr:nvSpPr>
      <xdr:spPr>
        <a:xfrm>
          <a:off x="5679281" y="83344"/>
          <a:ext cx="2345532" cy="726282"/>
        </a:xfrm>
        <a:prstGeom prst="leftArrow">
          <a:avLst/>
        </a:prstGeom>
        <a:gradFill flip="none" rotWithShape="1">
          <a:gsLst>
            <a:gs pos="0">
              <a:srgbClr val="000082"/>
            </a:gs>
            <a:gs pos="30000">
              <a:srgbClr val="66008F"/>
            </a:gs>
            <a:gs pos="64999">
              <a:srgbClr val="BA0066"/>
            </a:gs>
            <a:gs pos="89999">
              <a:srgbClr val="FF0000"/>
            </a:gs>
            <a:gs pos="100000">
              <a:srgbClr val="FF8200"/>
            </a:gs>
          </a:gsLst>
          <a:path path="rect">
            <a:fillToRect l="100000" t="100000"/>
          </a:path>
          <a:tileRect r="-100000" b="-100000"/>
        </a:gradFill>
        <a:ln cap="sq" cmpd="sng"/>
        <a:effectLst>
          <a:outerShdw blurRad="101600" dist="25400" dir="5160000" sx="108000" sy="108000" algn="ctr" rotWithShape="0">
            <a:srgbClr val="000000"/>
          </a:outerShdw>
        </a:effectLst>
        <a:scene3d>
          <a:camera prst="orthographicFront"/>
          <a:lightRig rig="soft" dir="tl">
            <a:rot lat="0" lon="0" rev="0"/>
          </a:lightRig>
        </a:scene3d>
        <a:sp3d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20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Matura MT Script Capitals" pitchFamily="66" charset="0"/>
            </a:rPr>
            <a:t>Go Back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4763</xdr:colOff>
      <xdr:row>0</xdr:row>
      <xdr:rowOff>83344</xdr:rowOff>
    </xdr:from>
    <xdr:to>
      <xdr:col>6</xdr:col>
      <xdr:colOff>511969</xdr:colOff>
      <xdr:row>4</xdr:row>
      <xdr:rowOff>35718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SpPr/>
      </xdr:nvSpPr>
      <xdr:spPr>
        <a:xfrm>
          <a:off x="5576888" y="83344"/>
          <a:ext cx="2221706" cy="714374"/>
        </a:xfrm>
        <a:prstGeom prst="leftArrow">
          <a:avLst/>
        </a:prstGeom>
        <a:gradFill flip="none" rotWithShape="1">
          <a:gsLst>
            <a:gs pos="0">
              <a:srgbClr val="000082"/>
            </a:gs>
            <a:gs pos="30000">
              <a:srgbClr val="66008F"/>
            </a:gs>
            <a:gs pos="64999">
              <a:srgbClr val="BA0066"/>
            </a:gs>
            <a:gs pos="89999">
              <a:srgbClr val="FF0000"/>
            </a:gs>
            <a:gs pos="100000">
              <a:srgbClr val="FF8200"/>
            </a:gs>
          </a:gsLst>
          <a:path path="rect">
            <a:fillToRect l="100000" t="100000"/>
          </a:path>
          <a:tileRect r="-100000" b="-100000"/>
        </a:gradFill>
        <a:ln cap="sq" cmpd="sng"/>
        <a:effectLst>
          <a:outerShdw blurRad="101600" dist="25400" dir="5160000" sx="108000" sy="108000" algn="ctr" rotWithShape="0">
            <a:srgbClr val="000000"/>
          </a:outerShdw>
        </a:effectLst>
        <a:scene3d>
          <a:camera prst="orthographicFront"/>
          <a:lightRig rig="soft" dir="tl">
            <a:rot lat="0" lon="0" rev="0"/>
          </a:lightRig>
        </a:scene3d>
        <a:sp3d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20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Matura MT Script Capitals" pitchFamily="66" charset="0"/>
            </a:rPr>
            <a:t>Go Back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130968</xdr:rowOff>
    </xdr:from>
    <xdr:to>
      <xdr:col>6</xdr:col>
      <xdr:colOff>940593</xdr:colOff>
      <xdr:row>4</xdr:row>
      <xdr:rowOff>107155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1100-000002000000}"/>
            </a:ext>
          </a:extLst>
        </xdr:cNvPr>
        <xdr:cNvSpPr/>
      </xdr:nvSpPr>
      <xdr:spPr>
        <a:xfrm>
          <a:off x="5572125" y="130968"/>
          <a:ext cx="2655093" cy="738187"/>
        </a:xfrm>
        <a:prstGeom prst="leftArrow">
          <a:avLst/>
        </a:prstGeom>
        <a:gradFill flip="none" rotWithShape="1">
          <a:gsLst>
            <a:gs pos="0">
              <a:srgbClr val="000082"/>
            </a:gs>
            <a:gs pos="30000">
              <a:srgbClr val="66008F"/>
            </a:gs>
            <a:gs pos="64999">
              <a:srgbClr val="BA0066"/>
            </a:gs>
            <a:gs pos="89999">
              <a:srgbClr val="FF0000"/>
            </a:gs>
            <a:gs pos="100000">
              <a:srgbClr val="FF8200"/>
            </a:gs>
          </a:gsLst>
          <a:path path="rect">
            <a:fillToRect l="100000" t="100000"/>
          </a:path>
          <a:tileRect r="-100000" b="-100000"/>
        </a:gradFill>
        <a:ln cap="sq" cmpd="sng"/>
        <a:effectLst>
          <a:outerShdw blurRad="101600" dist="25400" dir="5160000" sx="108000" sy="108000" algn="ctr" rotWithShape="0">
            <a:srgbClr val="000000"/>
          </a:outerShdw>
        </a:effectLst>
        <a:scene3d>
          <a:camera prst="orthographicFront"/>
          <a:lightRig rig="soft" dir="tl">
            <a:rot lat="0" lon="0" rev="0"/>
          </a:lightRig>
        </a:scene3d>
        <a:sp3d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20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Matura MT Script Capitals" pitchFamily="66" charset="0"/>
            </a:rPr>
            <a:t>Go Back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59530</xdr:rowOff>
    </xdr:from>
    <xdr:to>
      <xdr:col>7</xdr:col>
      <xdr:colOff>250031</xdr:colOff>
      <xdr:row>4</xdr:row>
      <xdr:rowOff>107155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1200-000002000000}"/>
            </a:ext>
          </a:extLst>
        </xdr:cNvPr>
        <xdr:cNvSpPr/>
      </xdr:nvSpPr>
      <xdr:spPr>
        <a:xfrm>
          <a:off x="5369719" y="59530"/>
          <a:ext cx="3143250" cy="904875"/>
        </a:xfrm>
        <a:prstGeom prst="leftArrow">
          <a:avLst/>
        </a:prstGeom>
        <a:gradFill flip="none" rotWithShape="1">
          <a:gsLst>
            <a:gs pos="0">
              <a:srgbClr val="000082"/>
            </a:gs>
            <a:gs pos="30000">
              <a:srgbClr val="66008F"/>
            </a:gs>
            <a:gs pos="64999">
              <a:srgbClr val="BA0066"/>
            </a:gs>
            <a:gs pos="89999">
              <a:srgbClr val="FF0000"/>
            </a:gs>
            <a:gs pos="100000">
              <a:srgbClr val="FF8200"/>
            </a:gs>
          </a:gsLst>
          <a:path path="rect">
            <a:fillToRect l="100000" t="100000"/>
          </a:path>
          <a:tileRect r="-100000" b="-100000"/>
        </a:gradFill>
        <a:ln cap="sq" cmpd="sng"/>
        <a:effectLst>
          <a:outerShdw blurRad="101600" dist="25400" dir="5160000" sx="108000" sy="108000" algn="ctr" rotWithShape="0">
            <a:srgbClr val="000000"/>
          </a:outerShdw>
        </a:effectLst>
        <a:scene3d>
          <a:camera prst="orthographicFront"/>
          <a:lightRig rig="soft" dir="tl">
            <a:rot lat="0" lon="0" rev="0"/>
          </a:lightRig>
        </a:scene3d>
        <a:sp3d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20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Matura MT Script Capitals" pitchFamily="66" charset="0"/>
            </a:rPr>
            <a:t>Go Back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95251</xdr:colOff>
      <xdr:row>0</xdr:row>
      <xdr:rowOff>35719</xdr:rowOff>
    </xdr:from>
    <xdr:to>
      <xdr:col>6</xdr:col>
      <xdr:colOff>1000124</xdr:colOff>
      <xdr:row>4</xdr:row>
      <xdr:rowOff>59531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1400-000002000000}"/>
            </a:ext>
          </a:extLst>
        </xdr:cNvPr>
        <xdr:cNvSpPr/>
      </xdr:nvSpPr>
      <xdr:spPr>
        <a:xfrm>
          <a:off x="6262689" y="35719"/>
          <a:ext cx="2619373" cy="857250"/>
        </a:xfrm>
        <a:prstGeom prst="leftArrow">
          <a:avLst/>
        </a:prstGeom>
        <a:gradFill flip="none" rotWithShape="1">
          <a:gsLst>
            <a:gs pos="0">
              <a:srgbClr val="000082"/>
            </a:gs>
            <a:gs pos="30000">
              <a:srgbClr val="66008F"/>
            </a:gs>
            <a:gs pos="64999">
              <a:srgbClr val="BA0066"/>
            </a:gs>
            <a:gs pos="89999">
              <a:srgbClr val="FF0000"/>
            </a:gs>
            <a:gs pos="100000">
              <a:srgbClr val="FF8200"/>
            </a:gs>
          </a:gsLst>
          <a:path path="rect">
            <a:fillToRect l="100000" t="100000"/>
          </a:path>
          <a:tileRect r="-100000" b="-100000"/>
        </a:gradFill>
        <a:ln cap="sq" cmpd="sng"/>
        <a:effectLst>
          <a:outerShdw blurRad="101600" dist="25400" dir="5160000" sx="108000" sy="108000" algn="ctr" rotWithShape="0">
            <a:srgbClr val="000000"/>
          </a:outerShdw>
        </a:effectLst>
        <a:scene3d>
          <a:camera prst="orthographicFront"/>
          <a:lightRig rig="soft" dir="tl">
            <a:rot lat="0" lon="0" rev="0"/>
          </a:lightRig>
        </a:scene3d>
        <a:sp3d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20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Matura MT Script Capitals" pitchFamily="66" charset="0"/>
            </a:rPr>
            <a:t>Go Back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59532</xdr:colOff>
      <xdr:row>0</xdr:row>
      <xdr:rowOff>83344</xdr:rowOff>
    </xdr:from>
    <xdr:to>
      <xdr:col>6</xdr:col>
      <xdr:colOff>702468</xdr:colOff>
      <xdr:row>4</xdr:row>
      <xdr:rowOff>154781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1500-000002000000}"/>
            </a:ext>
          </a:extLst>
        </xdr:cNvPr>
        <xdr:cNvSpPr/>
      </xdr:nvSpPr>
      <xdr:spPr>
        <a:xfrm>
          <a:off x="5917407" y="83344"/>
          <a:ext cx="2666999" cy="928687"/>
        </a:xfrm>
        <a:prstGeom prst="leftArrow">
          <a:avLst/>
        </a:prstGeom>
        <a:gradFill flip="none" rotWithShape="1">
          <a:gsLst>
            <a:gs pos="0">
              <a:srgbClr val="000082"/>
            </a:gs>
            <a:gs pos="30000">
              <a:srgbClr val="66008F"/>
            </a:gs>
            <a:gs pos="64999">
              <a:srgbClr val="BA0066"/>
            </a:gs>
            <a:gs pos="89999">
              <a:srgbClr val="FF0000"/>
            </a:gs>
            <a:gs pos="100000">
              <a:srgbClr val="FF8200"/>
            </a:gs>
          </a:gsLst>
          <a:path path="rect">
            <a:fillToRect l="100000" t="100000"/>
          </a:path>
          <a:tileRect r="-100000" b="-100000"/>
        </a:gradFill>
        <a:ln cap="sq" cmpd="sng"/>
        <a:effectLst>
          <a:outerShdw blurRad="101600" dist="25400" dir="5160000" sx="108000" sy="108000" algn="ctr" rotWithShape="0">
            <a:srgbClr val="000000"/>
          </a:outerShdw>
        </a:effectLst>
        <a:scene3d>
          <a:camera prst="orthographicFront"/>
          <a:lightRig rig="soft" dir="tl">
            <a:rot lat="0" lon="0" rev="0"/>
          </a:lightRig>
        </a:scene3d>
        <a:sp3d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20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Matura MT Script Capitals" pitchFamily="66" charset="0"/>
            </a:rPr>
            <a:t>Go Back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821533</xdr:colOff>
      <xdr:row>0</xdr:row>
      <xdr:rowOff>47625</xdr:rowOff>
    </xdr:from>
    <xdr:to>
      <xdr:col>6</xdr:col>
      <xdr:colOff>166688</xdr:colOff>
      <xdr:row>4</xdr:row>
      <xdr:rowOff>83344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1600-000002000000}"/>
            </a:ext>
          </a:extLst>
        </xdr:cNvPr>
        <xdr:cNvSpPr/>
      </xdr:nvSpPr>
      <xdr:spPr>
        <a:xfrm>
          <a:off x="4833939" y="47625"/>
          <a:ext cx="2619374" cy="797719"/>
        </a:xfrm>
        <a:prstGeom prst="leftArrow">
          <a:avLst/>
        </a:prstGeom>
        <a:gradFill flip="none" rotWithShape="1">
          <a:gsLst>
            <a:gs pos="0">
              <a:srgbClr val="000082"/>
            </a:gs>
            <a:gs pos="30000">
              <a:srgbClr val="66008F"/>
            </a:gs>
            <a:gs pos="64999">
              <a:srgbClr val="BA0066"/>
            </a:gs>
            <a:gs pos="89999">
              <a:srgbClr val="FF0000"/>
            </a:gs>
            <a:gs pos="100000">
              <a:srgbClr val="FF8200"/>
            </a:gs>
          </a:gsLst>
          <a:path path="rect">
            <a:fillToRect l="100000" t="100000"/>
          </a:path>
          <a:tileRect r="-100000" b="-100000"/>
        </a:gradFill>
        <a:ln cap="sq" cmpd="sng"/>
        <a:effectLst>
          <a:outerShdw blurRad="101600" dist="25400" dir="5160000" sx="108000" sy="108000" algn="ctr" rotWithShape="0">
            <a:srgbClr val="000000"/>
          </a:outerShdw>
        </a:effectLst>
        <a:scene3d>
          <a:camera prst="orthographicFront"/>
          <a:lightRig rig="soft" dir="tl">
            <a:rot lat="0" lon="0" rev="0"/>
          </a:lightRig>
        </a:scene3d>
        <a:sp3d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20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Matura MT Script Capitals" pitchFamily="66" charset="0"/>
            </a:rPr>
            <a:t>Go Back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</xdr:colOff>
      <xdr:row>0</xdr:row>
      <xdr:rowOff>85724</xdr:rowOff>
    </xdr:from>
    <xdr:to>
      <xdr:col>6</xdr:col>
      <xdr:colOff>666750</xdr:colOff>
      <xdr:row>4</xdr:row>
      <xdr:rowOff>83344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1700-000002000000}"/>
            </a:ext>
          </a:extLst>
        </xdr:cNvPr>
        <xdr:cNvSpPr/>
      </xdr:nvSpPr>
      <xdr:spPr>
        <a:xfrm>
          <a:off x="5572126" y="85724"/>
          <a:ext cx="2381249" cy="759620"/>
        </a:xfrm>
        <a:prstGeom prst="leftArrow">
          <a:avLst/>
        </a:prstGeom>
        <a:gradFill flip="none" rotWithShape="1">
          <a:gsLst>
            <a:gs pos="0">
              <a:srgbClr val="000082"/>
            </a:gs>
            <a:gs pos="30000">
              <a:srgbClr val="66008F"/>
            </a:gs>
            <a:gs pos="64999">
              <a:srgbClr val="BA0066"/>
            </a:gs>
            <a:gs pos="89999">
              <a:srgbClr val="FF0000"/>
            </a:gs>
            <a:gs pos="100000">
              <a:srgbClr val="FF8200"/>
            </a:gs>
          </a:gsLst>
          <a:path path="rect">
            <a:fillToRect l="100000" t="100000"/>
          </a:path>
          <a:tileRect r="-100000" b="-100000"/>
        </a:gradFill>
        <a:ln cap="sq" cmpd="sng"/>
        <a:effectLst>
          <a:outerShdw blurRad="101600" dist="25400" dir="5160000" sx="108000" sy="108000" algn="ctr" rotWithShape="0">
            <a:srgbClr val="000000"/>
          </a:outerShdw>
        </a:effectLst>
        <a:scene3d>
          <a:camera prst="orthographicFront"/>
          <a:lightRig rig="soft" dir="tl">
            <a:rot lat="0" lon="0" rev="0"/>
          </a:lightRig>
        </a:scene3d>
        <a:sp3d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20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Matura MT Script Capitals" pitchFamily="66" charset="0"/>
            </a:rPr>
            <a:t>Go Back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559595</xdr:colOff>
      <xdr:row>0</xdr:row>
      <xdr:rowOff>138112</xdr:rowOff>
    </xdr:from>
    <xdr:to>
      <xdr:col>7</xdr:col>
      <xdr:colOff>47626</xdr:colOff>
      <xdr:row>4</xdr:row>
      <xdr:rowOff>71438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1800-000002000000}"/>
            </a:ext>
          </a:extLst>
        </xdr:cNvPr>
        <xdr:cNvSpPr/>
      </xdr:nvSpPr>
      <xdr:spPr>
        <a:xfrm>
          <a:off x="5929314" y="138112"/>
          <a:ext cx="2381250" cy="695326"/>
        </a:xfrm>
        <a:prstGeom prst="leftArrow">
          <a:avLst/>
        </a:prstGeom>
        <a:gradFill flip="none" rotWithShape="1">
          <a:gsLst>
            <a:gs pos="0">
              <a:srgbClr val="000082"/>
            </a:gs>
            <a:gs pos="30000">
              <a:srgbClr val="66008F"/>
            </a:gs>
            <a:gs pos="64999">
              <a:srgbClr val="BA0066"/>
            </a:gs>
            <a:gs pos="89999">
              <a:srgbClr val="FF0000"/>
            </a:gs>
            <a:gs pos="100000">
              <a:srgbClr val="FF8200"/>
            </a:gs>
          </a:gsLst>
          <a:path path="rect">
            <a:fillToRect l="100000" t="100000"/>
          </a:path>
          <a:tileRect r="-100000" b="-100000"/>
        </a:gradFill>
        <a:ln cap="sq" cmpd="sng"/>
        <a:effectLst>
          <a:outerShdw blurRad="101600" dist="25400" dir="5160000" sx="108000" sy="108000" algn="ctr" rotWithShape="0">
            <a:srgbClr val="000000"/>
          </a:outerShdw>
        </a:effectLst>
        <a:scene3d>
          <a:camera prst="orthographicFront"/>
          <a:lightRig rig="soft" dir="tl">
            <a:rot lat="0" lon="0" rev="0"/>
          </a:lightRig>
        </a:scene3d>
        <a:sp3d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20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Matura MT Script Capitals" pitchFamily="66" charset="0"/>
            </a:rPr>
            <a:t>Go Back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509589</xdr:colOff>
      <xdr:row>0</xdr:row>
      <xdr:rowOff>119062</xdr:rowOff>
    </xdr:from>
    <xdr:to>
      <xdr:col>6</xdr:col>
      <xdr:colOff>547688</xdr:colOff>
      <xdr:row>4</xdr:row>
      <xdr:rowOff>95250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1900-000002000000}"/>
            </a:ext>
          </a:extLst>
        </xdr:cNvPr>
        <xdr:cNvSpPr/>
      </xdr:nvSpPr>
      <xdr:spPr>
        <a:xfrm>
          <a:off x="5569745" y="119062"/>
          <a:ext cx="2264568" cy="738188"/>
        </a:xfrm>
        <a:prstGeom prst="leftArrow">
          <a:avLst/>
        </a:prstGeom>
        <a:gradFill flip="none" rotWithShape="1">
          <a:gsLst>
            <a:gs pos="0">
              <a:srgbClr val="000082"/>
            </a:gs>
            <a:gs pos="30000">
              <a:srgbClr val="66008F"/>
            </a:gs>
            <a:gs pos="64999">
              <a:srgbClr val="BA0066"/>
            </a:gs>
            <a:gs pos="89999">
              <a:srgbClr val="FF0000"/>
            </a:gs>
            <a:gs pos="100000">
              <a:srgbClr val="FF8200"/>
            </a:gs>
          </a:gsLst>
          <a:path path="rect">
            <a:fillToRect l="100000" t="100000"/>
          </a:path>
          <a:tileRect r="-100000" b="-100000"/>
        </a:gradFill>
        <a:ln cap="sq" cmpd="sng"/>
        <a:effectLst>
          <a:outerShdw blurRad="101600" dist="25400" dir="5160000" sx="108000" sy="108000" algn="ctr" rotWithShape="0">
            <a:srgbClr val="000000"/>
          </a:outerShdw>
        </a:effectLst>
        <a:scene3d>
          <a:camera prst="orthographicFront"/>
          <a:lightRig rig="soft" dir="tl">
            <a:rot lat="0" lon="0" rev="0"/>
          </a:lightRig>
        </a:scene3d>
        <a:sp3d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20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Matura MT Script Capitals" pitchFamily="66" charset="0"/>
            </a:rPr>
            <a:t>Go Back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23813</xdr:rowOff>
    </xdr:from>
    <xdr:to>
      <xdr:col>6</xdr:col>
      <xdr:colOff>964406</xdr:colOff>
      <xdr:row>4</xdr:row>
      <xdr:rowOff>71437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1A00-000002000000}"/>
            </a:ext>
          </a:extLst>
        </xdr:cNvPr>
        <xdr:cNvSpPr/>
      </xdr:nvSpPr>
      <xdr:spPr>
        <a:xfrm>
          <a:off x="5572125" y="23813"/>
          <a:ext cx="2678906" cy="785812"/>
        </a:xfrm>
        <a:prstGeom prst="leftArrow">
          <a:avLst/>
        </a:prstGeom>
        <a:gradFill flip="none" rotWithShape="1">
          <a:gsLst>
            <a:gs pos="0">
              <a:srgbClr val="000082"/>
            </a:gs>
            <a:gs pos="30000">
              <a:srgbClr val="66008F"/>
            </a:gs>
            <a:gs pos="64999">
              <a:srgbClr val="BA0066"/>
            </a:gs>
            <a:gs pos="89999">
              <a:srgbClr val="FF0000"/>
            </a:gs>
            <a:gs pos="100000">
              <a:srgbClr val="FF8200"/>
            </a:gs>
          </a:gsLst>
          <a:path path="rect">
            <a:fillToRect l="100000" t="100000"/>
          </a:path>
          <a:tileRect r="-100000" b="-100000"/>
        </a:gradFill>
        <a:ln cap="sq" cmpd="sng"/>
        <a:effectLst>
          <a:outerShdw blurRad="101600" dist="25400" dir="5160000" sx="108000" sy="108000" algn="ctr" rotWithShape="0">
            <a:srgbClr val="000000"/>
          </a:outerShdw>
        </a:effectLst>
        <a:scene3d>
          <a:camera prst="orthographicFront"/>
          <a:lightRig rig="soft" dir="tl">
            <a:rot lat="0" lon="0" rev="0"/>
          </a:lightRig>
        </a:scene3d>
        <a:sp3d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20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Matura MT Script Capitals" pitchFamily="66" charset="0"/>
            </a:rPr>
            <a:t>Go Back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7143</xdr:colOff>
      <xdr:row>0</xdr:row>
      <xdr:rowOff>104775</xdr:rowOff>
    </xdr:from>
    <xdr:to>
      <xdr:col>6</xdr:col>
      <xdr:colOff>571500</xdr:colOff>
      <xdr:row>4</xdr:row>
      <xdr:rowOff>23813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1B00-000002000000}"/>
            </a:ext>
          </a:extLst>
        </xdr:cNvPr>
        <xdr:cNvSpPr/>
      </xdr:nvSpPr>
      <xdr:spPr>
        <a:xfrm>
          <a:off x="5579268" y="104775"/>
          <a:ext cx="2278857" cy="681038"/>
        </a:xfrm>
        <a:prstGeom prst="leftArrow">
          <a:avLst/>
        </a:prstGeom>
        <a:gradFill flip="none" rotWithShape="1">
          <a:gsLst>
            <a:gs pos="0">
              <a:srgbClr val="000082"/>
            </a:gs>
            <a:gs pos="30000">
              <a:srgbClr val="66008F"/>
            </a:gs>
            <a:gs pos="64999">
              <a:srgbClr val="BA0066"/>
            </a:gs>
            <a:gs pos="89999">
              <a:srgbClr val="FF0000"/>
            </a:gs>
            <a:gs pos="100000">
              <a:srgbClr val="FF8200"/>
            </a:gs>
          </a:gsLst>
          <a:path path="rect">
            <a:fillToRect l="100000" t="100000"/>
          </a:path>
          <a:tileRect r="-100000" b="-100000"/>
        </a:gradFill>
        <a:ln cap="sq" cmpd="sng"/>
        <a:effectLst>
          <a:outerShdw blurRad="101600" dist="25400" dir="5160000" sx="108000" sy="108000" algn="ctr" rotWithShape="0">
            <a:srgbClr val="000000"/>
          </a:outerShdw>
        </a:effectLst>
        <a:scene3d>
          <a:camera prst="orthographicFront"/>
          <a:lightRig rig="soft" dir="tl">
            <a:rot lat="0" lon="0" rev="0"/>
          </a:lightRig>
        </a:scene3d>
        <a:sp3d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20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Matura MT Script Capitals" pitchFamily="66" charset="0"/>
            </a:rPr>
            <a:t>Go Back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440530</xdr:colOff>
      <xdr:row>0</xdr:row>
      <xdr:rowOff>78583</xdr:rowOff>
    </xdr:from>
    <xdr:to>
      <xdr:col>7</xdr:col>
      <xdr:colOff>95250</xdr:colOff>
      <xdr:row>4</xdr:row>
      <xdr:rowOff>0</xdr:rowOff>
    </xdr:to>
    <xdr:sp macro="" textlink="">
      <xdr:nvSpPr>
        <xdr:cNvPr id="6" name="Left Arrow 5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1C00-000006000000}"/>
            </a:ext>
          </a:extLst>
        </xdr:cNvPr>
        <xdr:cNvSpPr/>
      </xdr:nvSpPr>
      <xdr:spPr>
        <a:xfrm>
          <a:off x="6012655" y="78583"/>
          <a:ext cx="2547939" cy="826292"/>
        </a:xfrm>
        <a:prstGeom prst="leftArrow">
          <a:avLst/>
        </a:prstGeom>
        <a:gradFill flip="none" rotWithShape="1">
          <a:gsLst>
            <a:gs pos="0">
              <a:srgbClr val="000082"/>
            </a:gs>
            <a:gs pos="30000">
              <a:srgbClr val="66008F"/>
            </a:gs>
            <a:gs pos="64999">
              <a:srgbClr val="BA0066"/>
            </a:gs>
            <a:gs pos="89999">
              <a:srgbClr val="FF0000"/>
            </a:gs>
            <a:gs pos="100000">
              <a:srgbClr val="FF8200"/>
            </a:gs>
          </a:gsLst>
          <a:path path="rect">
            <a:fillToRect l="100000" t="100000"/>
          </a:path>
          <a:tileRect r="-100000" b="-100000"/>
        </a:gradFill>
        <a:ln cap="sq" cmpd="sng"/>
        <a:effectLst>
          <a:outerShdw blurRad="101600" dist="25400" dir="5160000" sx="108000" sy="108000" algn="ctr" rotWithShape="0">
            <a:srgbClr val="000000"/>
          </a:outerShdw>
        </a:effectLst>
        <a:scene3d>
          <a:camera prst="orthographicFront"/>
          <a:lightRig rig="soft" dir="tl">
            <a:rot lat="0" lon="0" rev="0"/>
          </a:lightRig>
        </a:scene3d>
        <a:sp3d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20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Matura MT Script Capitals" pitchFamily="66" charset="0"/>
            </a:rPr>
            <a:t>Go Back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523875</xdr:colOff>
      <xdr:row>0</xdr:row>
      <xdr:rowOff>45244</xdr:rowOff>
    </xdr:from>
    <xdr:to>
      <xdr:col>5</xdr:col>
      <xdr:colOff>1607343</xdr:colOff>
      <xdr:row>4</xdr:row>
      <xdr:rowOff>107156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1D00-000002000000}"/>
            </a:ext>
          </a:extLst>
        </xdr:cNvPr>
        <xdr:cNvSpPr/>
      </xdr:nvSpPr>
      <xdr:spPr>
        <a:xfrm>
          <a:off x="4536281" y="45244"/>
          <a:ext cx="2643187" cy="823912"/>
        </a:xfrm>
        <a:prstGeom prst="leftArrow">
          <a:avLst/>
        </a:prstGeom>
        <a:gradFill flip="none" rotWithShape="1">
          <a:gsLst>
            <a:gs pos="0">
              <a:srgbClr val="000082"/>
            </a:gs>
            <a:gs pos="30000">
              <a:srgbClr val="66008F"/>
            </a:gs>
            <a:gs pos="64999">
              <a:srgbClr val="BA0066"/>
            </a:gs>
            <a:gs pos="89999">
              <a:srgbClr val="FF0000"/>
            </a:gs>
            <a:gs pos="100000">
              <a:srgbClr val="FF8200"/>
            </a:gs>
          </a:gsLst>
          <a:path path="rect">
            <a:fillToRect l="100000" t="100000"/>
          </a:path>
          <a:tileRect r="-100000" b="-100000"/>
        </a:gradFill>
        <a:ln cap="sq" cmpd="sng"/>
        <a:effectLst>
          <a:outerShdw blurRad="101600" dist="25400" dir="5160000" sx="108000" sy="108000" algn="ctr" rotWithShape="0">
            <a:srgbClr val="000000"/>
          </a:outerShdw>
        </a:effectLst>
        <a:scene3d>
          <a:camera prst="orthographicFront"/>
          <a:lightRig rig="soft" dir="tl">
            <a:rot lat="0" lon="0" rev="0"/>
          </a:lightRig>
        </a:scene3d>
        <a:sp3d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20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Matura MT Script Capitals" pitchFamily="66" charset="0"/>
            </a:rPr>
            <a:t>Go Back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726282</xdr:colOff>
      <xdr:row>0</xdr:row>
      <xdr:rowOff>145256</xdr:rowOff>
    </xdr:from>
    <xdr:to>
      <xdr:col>6</xdr:col>
      <xdr:colOff>1166813</xdr:colOff>
      <xdr:row>4</xdr:row>
      <xdr:rowOff>71438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1E00-000002000000}"/>
            </a:ext>
          </a:extLst>
        </xdr:cNvPr>
        <xdr:cNvSpPr/>
      </xdr:nvSpPr>
      <xdr:spPr>
        <a:xfrm>
          <a:off x="6298407" y="145256"/>
          <a:ext cx="2155031" cy="688182"/>
        </a:xfrm>
        <a:prstGeom prst="leftArrow">
          <a:avLst/>
        </a:prstGeom>
        <a:gradFill flip="none" rotWithShape="1">
          <a:gsLst>
            <a:gs pos="0">
              <a:srgbClr val="000082"/>
            </a:gs>
            <a:gs pos="30000">
              <a:srgbClr val="66008F"/>
            </a:gs>
            <a:gs pos="64999">
              <a:srgbClr val="BA0066"/>
            </a:gs>
            <a:gs pos="89999">
              <a:srgbClr val="FF0000"/>
            </a:gs>
            <a:gs pos="100000">
              <a:srgbClr val="FF8200"/>
            </a:gs>
          </a:gsLst>
          <a:path path="rect">
            <a:fillToRect l="100000" t="100000"/>
          </a:path>
          <a:tileRect r="-100000" b="-100000"/>
        </a:gradFill>
        <a:ln cap="sq" cmpd="sng"/>
        <a:effectLst>
          <a:outerShdw blurRad="101600" dist="25400" dir="5160000" sx="108000" sy="108000" algn="ctr" rotWithShape="0">
            <a:srgbClr val="000000"/>
          </a:outerShdw>
        </a:effectLst>
        <a:scene3d>
          <a:camera prst="orthographicFront"/>
          <a:lightRig rig="soft" dir="tl">
            <a:rot lat="0" lon="0" rev="0"/>
          </a:lightRig>
        </a:scene3d>
        <a:sp3d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20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Matura MT Script Capitals" pitchFamily="66" charset="0"/>
            </a:rPr>
            <a:t>Go Back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476250</xdr:colOff>
      <xdr:row>0</xdr:row>
      <xdr:rowOff>78579</xdr:rowOff>
    </xdr:from>
    <xdr:to>
      <xdr:col>6</xdr:col>
      <xdr:colOff>261937</xdr:colOff>
      <xdr:row>4</xdr:row>
      <xdr:rowOff>23812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1F00-000002000000}"/>
            </a:ext>
          </a:extLst>
        </xdr:cNvPr>
        <xdr:cNvSpPr/>
      </xdr:nvSpPr>
      <xdr:spPr>
        <a:xfrm>
          <a:off x="5334000" y="78579"/>
          <a:ext cx="2012156" cy="707233"/>
        </a:xfrm>
        <a:prstGeom prst="leftArrow">
          <a:avLst/>
        </a:prstGeom>
        <a:gradFill flip="none" rotWithShape="1">
          <a:gsLst>
            <a:gs pos="0">
              <a:srgbClr val="000082"/>
            </a:gs>
            <a:gs pos="30000">
              <a:srgbClr val="66008F"/>
            </a:gs>
            <a:gs pos="64999">
              <a:srgbClr val="BA0066"/>
            </a:gs>
            <a:gs pos="89999">
              <a:srgbClr val="FF0000"/>
            </a:gs>
            <a:gs pos="100000">
              <a:srgbClr val="FF8200"/>
            </a:gs>
          </a:gsLst>
          <a:path path="rect">
            <a:fillToRect l="100000" t="100000"/>
          </a:path>
          <a:tileRect r="-100000" b="-100000"/>
        </a:gradFill>
        <a:ln cap="sq" cmpd="sng"/>
        <a:effectLst>
          <a:outerShdw blurRad="101600" dist="25400" dir="5160000" sx="108000" sy="108000" algn="ctr" rotWithShape="0">
            <a:srgbClr val="000000"/>
          </a:outerShdw>
        </a:effectLst>
        <a:scene3d>
          <a:camera prst="orthographicFront"/>
          <a:lightRig rig="soft" dir="tl">
            <a:rot lat="0" lon="0" rev="0"/>
          </a:lightRig>
        </a:scene3d>
        <a:sp3d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20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Matura MT Script Capitals" pitchFamily="66" charset="0"/>
            </a:rPr>
            <a:t>Go Back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357188</xdr:colOff>
      <xdr:row>0</xdr:row>
      <xdr:rowOff>85724</xdr:rowOff>
    </xdr:from>
    <xdr:to>
      <xdr:col>7</xdr:col>
      <xdr:colOff>238125</xdr:colOff>
      <xdr:row>4</xdr:row>
      <xdr:rowOff>71438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2000-000002000000}"/>
            </a:ext>
          </a:extLst>
        </xdr:cNvPr>
        <xdr:cNvSpPr/>
      </xdr:nvSpPr>
      <xdr:spPr>
        <a:xfrm>
          <a:off x="5726907" y="85724"/>
          <a:ext cx="2774156" cy="747714"/>
        </a:xfrm>
        <a:prstGeom prst="leftArrow">
          <a:avLst/>
        </a:prstGeom>
        <a:gradFill flip="none" rotWithShape="1">
          <a:gsLst>
            <a:gs pos="0">
              <a:srgbClr val="000082"/>
            </a:gs>
            <a:gs pos="30000">
              <a:srgbClr val="66008F"/>
            </a:gs>
            <a:gs pos="64999">
              <a:srgbClr val="BA0066"/>
            </a:gs>
            <a:gs pos="89999">
              <a:srgbClr val="FF0000"/>
            </a:gs>
            <a:gs pos="100000">
              <a:srgbClr val="FF8200"/>
            </a:gs>
          </a:gsLst>
          <a:path path="rect">
            <a:fillToRect l="100000" t="100000"/>
          </a:path>
          <a:tileRect r="-100000" b="-100000"/>
        </a:gradFill>
        <a:ln cap="sq" cmpd="sng"/>
        <a:effectLst>
          <a:outerShdw blurRad="101600" dist="25400" dir="5160000" sx="108000" sy="108000" algn="ctr" rotWithShape="0">
            <a:srgbClr val="000000"/>
          </a:outerShdw>
        </a:effectLst>
        <a:scene3d>
          <a:camera prst="orthographicFront"/>
          <a:lightRig rig="soft" dir="tl">
            <a:rot lat="0" lon="0" rev="0"/>
          </a:lightRig>
        </a:scene3d>
        <a:sp3d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20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Matura MT Script Capitals" pitchFamily="66" charset="0"/>
            </a:rPr>
            <a:t>Go Back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511968</xdr:colOff>
      <xdr:row>0</xdr:row>
      <xdr:rowOff>88105</xdr:rowOff>
    </xdr:from>
    <xdr:to>
      <xdr:col>6</xdr:col>
      <xdr:colOff>428624</xdr:colOff>
      <xdr:row>4</xdr:row>
      <xdr:rowOff>71438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2100-000002000000}"/>
            </a:ext>
          </a:extLst>
        </xdr:cNvPr>
        <xdr:cNvSpPr/>
      </xdr:nvSpPr>
      <xdr:spPr>
        <a:xfrm>
          <a:off x="5572124" y="88105"/>
          <a:ext cx="2143125" cy="745333"/>
        </a:xfrm>
        <a:prstGeom prst="leftArrow">
          <a:avLst/>
        </a:prstGeom>
        <a:gradFill flip="none" rotWithShape="1">
          <a:gsLst>
            <a:gs pos="0">
              <a:srgbClr val="000082"/>
            </a:gs>
            <a:gs pos="30000">
              <a:srgbClr val="66008F"/>
            </a:gs>
            <a:gs pos="64999">
              <a:srgbClr val="BA0066"/>
            </a:gs>
            <a:gs pos="89999">
              <a:srgbClr val="FF0000"/>
            </a:gs>
            <a:gs pos="100000">
              <a:srgbClr val="FF8200"/>
            </a:gs>
          </a:gsLst>
          <a:path path="rect">
            <a:fillToRect l="100000" t="100000"/>
          </a:path>
          <a:tileRect r="-100000" b="-100000"/>
        </a:gradFill>
        <a:ln cap="sq" cmpd="sng"/>
        <a:effectLst>
          <a:outerShdw blurRad="101600" dist="25400" dir="5160000" sx="108000" sy="108000" algn="ctr" rotWithShape="0">
            <a:srgbClr val="000000"/>
          </a:outerShdw>
        </a:effectLst>
        <a:scene3d>
          <a:camera prst="orthographicFront"/>
          <a:lightRig rig="soft" dir="tl">
            <a:rot lat="0" lon="0" rev="0"/>
          </a:lightRig>
        </a:scene3d>
        <a:sp3d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20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Matura MT Script Capitals" pitchFamily="66" charset="0"/>
            </a:rPr>
            <a:t>Go Back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4763</xdr:colOff>
      <xdr:row>0</xdr:row>
      <xdr:rowOff>59531</xdr:rowOff>
    </xdr:from>
    <xdr:to>
      <xdr:col>6</xdr:col>
      <xdr:colOff>369094</xdr:colOff>
      <xdr:row>4</xdr:row>
      <xdr:rowOff>23813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2200-000002000000}"/>
            </a:ext>
          </a:extLst>
        </xdr:cNvPr>
        <xdr:cNvSpPr/>
      </xdr:nvSpPr>
      <xdr:spPr>
        <a:xfrm>
          <a:off x="5576888" y="59531"/>
          <a:ext cx="2078831" cy="726282"/>
        </a:xfrm>
        <a:prstGeom prst="leftArrow">
          <a:avLst/>
        </a:prstGeom>
        <a:gradFill flip="none" rotWithShape="1">
          <a:gsLst>
            <a:gs pos="0">
              <a:srgbClr val="000082"/>
            </a:gs>
            <a:gs pos="30000">
              <a:srgbClr val="66008F"/>
            </a:gs>
            <a:gs pos="64999">
              <a:srgbClr val="BA0066"/>
            </a:gs>
            <a:gs pos="89999">
              <a:srgbClr val="FF0000"/>
            </a:gs>
            <a:gs pos="100000">
              <a:srgbClr val="FF8200"/>
            </a:gs>
          </a:gsLst>
          <a:path path="rect">
            <a:fillToRect l="100000" t="100000"/>
          </a:path>
          <a:tileRect r="-100000" b="-100000"/>
        </a:gradFill>
        <a:ln cap="sq" cmpd="sng"/>
        <a:effectLst>
          <a:outerShdw blurRad="101600" dist="25400" dir="5160000" sx="108000" sy="108000" algn="ctr" rotWithShape="0">
            <a:srgbClr val="000000"/>
          </a:outerShdw>
        </a:effectLst>
        <a:scene3d>
          <a:camera prst="orthographicFront"/>
          <a:lightRig rig="soft" dir="tl">
            <a:rot lat="0" lon="0" rev="0"/>
          </a:lightRig>
        </a:scene3d>
        <a:sp3d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20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Matura MT Script Capitals" pitchFamily="66" charset="0"/>
            </a:rPr>
            <a:t>Go Back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71438</xdr:colOff>
      <xdr:row>0</xdr:row>
      <xdr:rowOff>147639</xdr:rowOff>
    </xdr:from>
    <xdr:to>
      <xdr:col>6</xdr:col>
      <xdr:colOff>821531</xdr:colOff>
      <xdr:row>4</xdr:row>
      <xdr:rowOff>107156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2300-000002000000}"/>
            </a:ext>
          </a:extLst>
        </xdr:cNvPr>
        <xdr:cNvSpPr/>
      </xdr:nvSpPr>
      <xdr:spPr>
        <a:xfrm>
          <a:off x="5643563" y="147639"/>
          <a:ext cx="2464593" cy="721517"/>
        </a:xfrm>
        <a:prstGeom prst="leftArrow">
          <a:avLst/>
        </a:prstGeom>
        <a:gradFill flip="none" rotWithShape="1">
          <a:gsLst>
            <a:gs pos="0">
              <a:srgbClr val="000082"/>
            </a:gs>
            <a:gs pos="30000">
              <a:srgbClr val="66008F"/>
            </a:gs>
            <a:gs pos="64999">
              <a:srgbClr val="BA0066"/>
            </a:gs>
            <a:gs pos="89999">
              <a:srgbClr val="FF0000"/>
            </a:gs>
            <a:gs pos="100000">
              <a:srgbClr val="FF8200"/>
            </a:gs>
          </a:gsLst>
          <a:path path="rect">
            <a:fillToRect l="100000" t="100000"/>
          </a:path>
          <a:tileRect r="-100000" b="-100000"/>
        </a:gradFill>
        <a:ln cap="sq" cmpd="sng"/>
        <a:effectLst>
          <a:outerShdw blurRad="101600" dist="25400" dir="5160000" sx="108000" sy="108000" algn="ctr" rotWithShape="0">
            <a:srgbClr val="000000"/>
          </a:outerShdw>
        </a:effectLst>
        <a:scene3d>
          <a:camera prst="orthographicFront"/>
          <a:lightRig rig="soft" dir="tl">
            <a:rot lat="0" lon="0" rev="0"/>
          </a:lightRig>
        </a:scene3d>
        <a:sp3d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20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Matura MT Script Capitals" pitchFamily="66" charset="0"/>
            </a:rPr>
            <a:t>Go Back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128588</xdr:rowOff>
    </xdr:from>
    <xdr:to>
      <xdr:col>6</xdr:col>
      <xdr:colOff>345281</xdr:colOff>
      <xdr:row>4</xdr:row>
      <xdr:rowOff>59531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2400-000002000000}"/>
            </a:ext>
          </a:extLst>
        </xdr:cNvPr>
        <xdr:cNvSpPr/>
      </xdr:nvSpPr>
      <xdr:spPr>
        <a:xfrm>
          <a:off x="5572125" y="128588"/>
          <a:ext cx="2059781" cy="692943"/>
        </a:xfrm>
        <a:prstGeom prst="leftArrow">
          <a:avLst/>
        </a:prstGeom>
        <a:gradFill flip="none" rotWithShape="1">
          <a:gsLst>
            <a:gs pos="0">
              <a:srgbClr val="000082"/>
            </a:gs>
            <a:gs pos="30000">
              <a:srgbClr val="66008F"/>
            </a:gs>
            <a:gs pos="64999">
              <a:srgbClr val="BA0066"/>
            </a:gs>
            <a:gs pos="89999">
              <a:srgbClr val="FF0000"/>
            </a:gs>
            <a:gs pos="100000">
              <a:srgbClr val="FF8200"/>
            </a:gs>
          </a:gsLst>
          <a:path path="rect">
            <a:fillToRect l="100000" t="100000"/>
          </a:path>
          <a:tileRect r="-100000" b="-100000"/>
        </a:gradFill>
        <a:ln cap="sq" cmpd="sng"/>
        <a:effectLst>
          <a:outerShdw blurRad="101600" dist="25400" dir="5160000" sx="108000" sy="108000" algn="ctr" rotWithShape="0">
            <a:srgbClr val="000000"/>
          </a:outerShdw>
        </a:effectLst>
        <a:scene3d>
          <a:camera prst="orthographicFront"/>
          <a:lightRig rig="soft" dir="tl">
            <a:rot lat="0" lon="0" rev="0"/>
          </a:lightRig>
        </a:scene3d>
        <a:sp3d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20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Matura MT Script Capitals" pitchFamily="66" charset="0"/>
            </a:rPr>
            <a:t>Go Back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</xdr:colOff>
      <xdr:row>0</xdr:row>
      <xdr:rowOff>76199</xdr:rowOff>
    </xdr:from>
    <xdr:to>
      <xdr:col>6</xdr:col>
      <xdr:colOff>547687</xdr:colOff>
      <xdr:row>4</xdr:row>
      <xdr:rowOff>47624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2500-000002000000}"/>
            </a:ext>
          </a:extLst>
        </xdr:cNvPr>
        <xdr:cNvSpPr/>
      </xdr:nvSpPr>
      <xdr:spPr>
        <a:xfrm>
          <a:off x="5576887" y="76199"/>
          <a:ext cx="2257425" cy="733425"/>
        </a:xfrm>
        <a:prstGeom prst="leftArrow">
          <a:avLst/>
        </a:prstGeom>
        <a:gradFill flip="none" rotWithShape="1">
          <a:gsLst>
            <a:gs pos="0">
              <a:srgbClr val="000082"/>
            </a:gs>
            <a:gs pos="30000">
              <a:srgbClr val="66008F"/>
            </a:gs>
            <a:gs pos="64999">
              <a:srgbClr val="BA0066"/>
            </a:gs>
            <a:gs pos="89999">
              <a:srgbClr val="FF0000"/>
            </a:gs>
            <a:gs pos="100000">
              <a:srgbClr val="FF8200"/>
            </a:gs>
          </a:gsLst>
          <a:path path="rect">
            <a:fillToRect l="100000" t="100000"/>
          </a:path>
          <a:tileRect r="-100000" b="-100000"/>
        </a:gradFill>
        <a:ln cap="sq" cmpd="sng"/>
        <a:effectLst>
          <a:outerShdw blurRad="101600" dist="25400" dir="5160000" sx="108000" sy="108000" algn="ctr" rotWithShape="0">
            <a:srgbClr val="000000"/>
          </a:outerShdw>
        </a:effectLst>
        <a:scene3d>
          <a:camera prst="orthographicFront"/>
          <a:lightRig rig="soft" dir="tl">
            <a:rot lat="0" lon="0" rev="0"/>
          </a:lightRig>
        </a:scene3d>
        <a:sp3d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20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Matura MT Script Capitals" pitchFamily="66" charset="0"/>
            </a:rPr>
            <a:t>Go Back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502443</xdr:colOff>
      <xdr:row>0</xdr:row>
      <xdr:rowOff>107156</xdr:rowOff>
    </xdr:from>
    <xdr:to>
      <xdr:col>6</xdr:col>
      <xdr:colOff>583405</xdr:colOff>
      <xdr:row>4</xdr:row>
      <xdr:rowOff>95249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2600-000002000000}"/>
            </a:ext>
          </a:extLst>
        </xdr:cNvPr>
        <xdr:cNvSpPr/>
      </xdr:nvSpPr>
      <xdr:spPr>
        <a:xfrm>
          <a:off x="5562599" y="107156"/>
          <a:ext cx="2307431" cy="750093"/>
        </a:xfrm>
        <a:prstGeom prst="leftArrow">
          <a:avLst/>
        </a:prstGeom>
        <a:gradFill flip="none" rotWithShape="1">
          <a:gsLst>
            <a:gs pos="0">
              <a:srgbClr val="000082"/>
            </a:gs>
            <a:gs pos="30000">
              <a:srgbClr val="66008F"/>
            </a:gs>
            <a:gs pos="64999">
              <a:srgbClr val="BA0066"/>
            </a:gs>
            <a:gs pos="89999">
              <a:srgbClr val="FF0000"/>
            </a:gs>
            <a:gs pos="100000">
              <a:srgbClr val="FF8200"/>
            </a:gs>
          </a:gsLst>
          <a:path path="rect">
            <a:fillToRect l="100000" t="100000"/>
          </a:path>
          <a:tileRect r="-100000" b="-100000"/>
        </a:gradFill>
        <a:ln cap="sq" cmpd="sng"/>
        <a:effectLst>
          <a:outerShdw blurRad="101600" dist="25400" dir="5160000" sx="108000" sy="108000" algn="ctr" rotWithShape="0">
            <a:srgbClr val="000000"/>
          </a:outerShdw>
        </a:effectLst>
        <a:scene3d>
          <a:camera prst="orthographicFront"/>
          <a:lightRig rig="soft" dir="tl">
            <a:rot lat="0" lon="0" rev="0"/>
          </a:lightRig>
        </a:scene3d>
        <a:sp3d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20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Matura MT Script Capitals" pitchFamily="66" charset="0"/>
            </a:rPr>
            <a:t>Go Back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Technic">
      <a:fillStyleLst>
        <a:solidFill>
          <a:schemeClr val="phClr"/>
        </a:solidFill>
        <a:gradFill rotWithShape="1">
          <a:gsLst>
            <a:gs pos="0">
              <a:schemeClr val="phClr">
                <a:tint val="1000"/>
              </a:schemeClr>
            </a:gs>
            <a:gs pos="68000">
              <a:schemeClr val="phClr">
                <a:tint val="77000"/>
              </a:schemeClr>
            </a:gs>
            <a:gs pos="81000">
              <a:schemeClr val="phClr">
                <a:tint val="79000"/>
              </a:schemeClr>
            </a:gs>
            <a:gs pos="86000">
              <a:schemeClr val="phClr">
                <a:tint val="73000"/>
              </a:schemeClr>
            </a:gs>
            <a:gs pos="100000">
              <a:schemeClr val="phClr">
                <a:tint val="35000"/>
              </a:schemeClr>
            </a:gs>
          </a:gsLst>
          <a:lin ang="5400000" scaled="1"/>
        </a:gradFill>
        <a:gradFill rotWithShape="1">
          <a:gsLst>
            <a:gs pos="0">
              <a:schemeClr val="phClr">
                <a:tint val="73000"/>
                <a:satMod val="150000"/>
              </a:schemeClr>
            </a:gs>
            <a:gs pos="25000">
              <a:schemeClr val="phClr">
                <a:tint val="96000"/>
                <a:shade val="80000"/>
                <a:satMod val="105000"/>
              </a:schemeClr>
            </a:gs>
            <a:gs pos="38000">
              <a:schemeClr val="phClr">
                <a:tint val="96000"/>
                <a:shade val="59000"/>
                <a:satMod val="120000"/>
              </a:schemeClr>
            </a:gs>
            <a:gs pos="55000">
              <a:schemeClr val="phClr">
                <a:shade val="57000"/>
                <a:satMod val="120000"/>
              </a:schemeClr>
            </a:gs>
            <a:gs pos="80000">
              <a:schemeClr val="phClr">
                <a:shade val="56000"/>
                <a:satMod val="145000"/>
              </a:schemeClr>
            </a:gs>
            <a:gs pos="88000">
              <a:schemeClr val="phClr">
                <a:shade val="63000"/>
                <a:satMod val="160000"/>
              </a:schemeClr>
            </a:gs>
            <a:gs pos="100000">
              <a:schemeClr val="phClr">
                <a:tint val="99555"/>
                <a:satMod val="155000"/>
              </a:schemeClr>
            </a:gs>
          </a:gsLst>
          <a:lin ang="5400000" scaled="1"/>
        </a:gradFill>
      </a:fillStyleLst>
      <a:lnStyleLst>
        <a:ln w="9525" cap="flat" cmpd="sng" algn="ctr">
          <a:solidFill>
            <a:schemeClr val="phClr">
              <a:shade val="60000"/>
              <a:satMod val="300000"/>
            </a:schemeClr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glow rad="63500">
              <a:schemeClr val="phClr">
                <a:tint val="30000"/>
                <a:shade val="95000"/>
                <a:satMod val="300000"/>
                <a:alpha val="50000"/>
              </a:schemeClr>
            </a:glow>
          </a:effectLst>
        </a:effectStyle>
        <a:effectStyle>
          <a:effectLst>
            <a:glow rad="70000">
              <a:schemeClr val="phClr">
                <a:tint val="30000"/>
                <a:shade val="95000"/>
                <a:satMod val="300000"/>
                <a:alpha val="50000"/>
              </a:schemeClr>
            </a:glow>
          </a:effectLst>
        </a:effectStyle>
        <a:effectStyle>
          <a:effectLst>
            <a:glow rad="76200">
              <a:schemeClr val="phClr">
                <a:tint val="30000"/>
                <a:shade val="95000"/>
                <a:satMod val="300000"/>
                <a:alpha val="50000"/>
              </a:schemeClr>
            </a:glow>
          </a:effectLst>
          <a:scene3d>
            <a:camera prst="orthographicFront" fov="0">
              <a:rot lat="0" lon="0" rev="0"/>
            </a:camera>
            <a:lightRig rig="harsh" dir="t">
              <a:rot lat="6000000" lon="6000000" rev="0"/>
            </a:lightRig>
          </a:scene3d>
          <a:sp3d contourW="10000" prstMaterial="metal">
            <a:bevelT w="20000" h="9000" prst="softRound"/>
            <a:contourClr>
              <a:schemeClr val="phClr">
                <a:shade val="30000"/>
                <a:satMod val="200000"/>
              </a:schemeClr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49"/>
  <sheetViews>
    <sheetView showGridLines="0" topLeftCell="A3" zoomScale="120" zoomScaleNormal="120" workbookViewId="0">
      <selection activeCell="E3" sqref="E3"/>
    </sheetView>
  </sheetViews>
  <sheetFormatPr defaultColWidth="9.140625" defaultRowHeight="15"/>
  <cols>
    <col min="1" max="1" width="2.140625" style="32" customWidth="1"/>
    <col min="2" max="2" width="37.42578125" style="32" customWidth="1"/>
    <col min="3" max="3" width="13.7109375" style="32" customWidth="1"/>
    <col min="4" max="4" width="9.140625" style="32"/>
    <col min="5" max="5" width="45.85546875" style="32" bestFit="1" customWidth="1"/>
    <col min="6" max="16" width="9.140625" style="32"/>
    <col min="17" max="17" width="56.85546875" style="32" customWidth="1"/>
    <col min="18" max="18" width="2.140625" style="32" customWidth="1"/>
    <col min="19" max="16384" width="9.140625" style="32"/>
  </cols>
  <sheetData>
    <row r="1" spans="1:18">
      <c r="A1" s="35"/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</row>
    <row r="2" spans="1:18">
      <c r="A2" s="35" t="s">
        <v>0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5"/>
    </row>
    <row r="3" spans="1:18">
      <c r="A3" s="35" t="s">
        <v>0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5"/>
    </row>
    <row r="4" spans="1:18">
      <c r="A4" s="35" t="s">
        <v>0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5"/>
    </row>
    <row r="5" spans="1:18">
      <c r="A5" s="35" t="s">
        <v>0</v>
      </c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5"/>
    </row>
    <row r="6" spans="1:18">
      <c r="A6" s="35" t="s">
        <v>0</v>
      </c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5"/>
    </row>
    <row r="7" spans="1:18">
      <c r="A7" s="35" t="s">
        <v>0</v>
      </c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5"/>
    </row>
    <row r="8" spans="1:18">
      <c r="A8" s="35" t="s">
        <v>0</v>
      </c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5"/>
    </row>
    <row r="9" spans="1:18">
      <c r="A9" s="35" t="s">
        <v>0</v>
      </c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5"/>
    </row>
    <row r="10" spans="1:18">
      <c r="A10" s="35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5"/>
    </row>
    <row r="11" spans="1:18">
      <c r="A11" s="35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5"/>
    </row>
    <row r="12" spans="1:18">
      <c r="A12" s="35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5"/>
    </row>
    <row r="13" spans="1:18">
      <c r="A13" s="35"/>
      <c r="B13" s="37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5"/>
    </row>
    <row r="14" spans="1:18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5"/>
    </row>
    <row r="15" spans="1:18">
      <c r="A15" s="35"/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5"/>
    </row>
    <row r="16" spans="1:18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5"/>
    </row>
    <row r="17" spans="1:18" ht="18" customHeight="1">
      <c r="A17" s="35"/>
      <c r="B17" s="37"/>
      <c r="C17" s="37"/>
      <c r="D17" s="37"/>
      <c r="E17" s="174">
        <v>44866</v>
      </c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5"/>
    </row>
    <row r="18" spans="1:18" ht="18" customHeight="1">
      <c r="A18" s="35"/>
      <c r="B18" s="37"/>
      <c r="C18" s="37"/>
      <c r="D18" s="37"/>
      <c r="E18" s="174">
        <v>44867</v>
      </c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5"/>
    </row>
    <row r="19" spans="1:18" ht="18" customHeight="1">
      <c r="A19" s="35"/>
      <c r="B19" s="44"/>
      <c r="C19" s="37"/>
      <c r="D19" s="37"/>
      <c r="E19" s="174">
        <v>44868</v>
      </c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5"/>
    </row>
    <row r="20" spans="1:18" ht="18" customHeight="1">
      <c r="A20" s="35"/>
      <c r="B20" s="37"/>
      <c r="C20" s="37"/>
      <c r="D20" s="37"/>
      <c r="E20" s="174">
        <v>44869</v>
      </c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5"/>
    </row>
    <row r="21" spans="1:18" ht="18" customHeight="1">
      <c r="A21" s="35"/>
      <c r="B21" s="37"/>
      <c r="C21" s="37"/>
      <c r="D21" s="37"/>
      <c r="E21" s="174">
        <v>44870</v>
      </c>
      <c r="F21" s="37"/>
      <c r="G21" s="37"/>
      <c r="H21" s="37"/>
      <c r="I21" s="37"/>
      <c r="J21" s="37" t="s">
        <v>1</v>
      </c>
      <c r="K21" s="37"/>
      <c r="L21" s="37"/>
      <c r="M21" s="37"/>
      <c r="N21" s="37"/>
      <c r="O21" s="37"/>
      <c r="P21" s="37"/>
      <c r="Q21" s="37"/>
      <c r="R21" s="35"/>
    </row>
    <row r="22" spans="1:18" ht="18" customHeight="1">
      <c r="A22" s="35"/>
      <c r="B22" s="37"/>
      <c r="C22" s="37"/>
      <c r="D22" s="37"/>
      <c r="E22" s="174">
        <v>44871</v>
      </c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 t="s">
        <v>1</v>
      </c>
      <c r="Q22" s="37"/>
      <c r="R22" s="35"/>
    </row>
    <row r="23" spans="1:18" ht="18" customHeight="1">
      <c r="A23" s="35"/>
      <c r="B23" s="37"/>
      <c r="C23" s="37"/>
      <c r="D23" s="38"/>
      <c r="E23" s="174">
        <v>44872</v>
      </c>
      <c r="F23" s="37"/>
      <c r="G23" s="37"/>
      <c r="H23" s="37"/>
      <c r="I23" s="37"/>
      <c r="J23" s="37"/>
      <c r="K23" s="37"/>
      <c r="L23" s="37"/>
      <c r="M23" s="37"/>
      <c r="N23" s="37" t="s">
        <v>1</v>
      </c>
      <c r="O23" s="37"/>
      <c r="P23" s="37"/>
      <c r="Q23" s="37"/>
      <c r="R23" s="35"/>
    </row>
    <row r="24" spans="1:18" ht="18" customHeight="1">
      <c r="A24" s="35"/>
      <c r="B24" s="37"/>
      <c r="C24" s="37"/>
      <c r="D24" s="37"/>
      <c r="E24" s="174">
        <v>44873</v>
      </c>
      <c r="F24" s="37"/>
      <c r="G24" s="37"/>
      <c r="H24" s="37"/>
      <c r="I24" s="37"/>
      <c r="J24" s="37"/>
      <c r="K24" s="37"/>
      <c r="L24" s="37"/>
      <c r="M24" s="37" t="s">
        <v>1</v>
      </c>
      <c r="N24" s="37"/>
      <c r="O24" s="37"/>
      <c r="P24" s="37"/>
      <c r="Q24" s="37"/>
      <c r="R24" s="35"/>
    </row>
    <row r="25" spans="1:18" ht="18" customHeight="1">
      <c r="A25" s="35"/>
      <c r="B25" s="37"/>
      <c r="C25" s="37"/>
      <c r="D25" s="37"/>
      <c r="E25" s="174">
        <v>44874</v>
      </c>
      <c r="F25" s="37"/>
      <c r="G25" s="37"/>
      <c r="H25" s="37"/>
      <c r="I25" s="37"/>
      <c r="J25" s="37" t="s">
        <v>1</v>
      </c>
      <c r="K25" s="37"/>
      <c r="L25" s="37"/>
      <c r="M25" s="37"/>
      <c r="N25" s="37"/>
      <c r="O25" s="37"/>
      <c r="P25" s="37"/>
      <c r="Q25" s="37"/>
      <c r="R25" s="35"/>
    </row>
    <row r="26" spans="1:18" ht="18" customHeight="1">
      <c r="A26" s="35"/>
      <c r="B26" s="37"/>
      <c r="C26" s="37"/>
      <c r="D26" s="37"/>
      <c r="E26" s="174">
        <v>44875</v>
      </c>
      <c r="F26" s="37"/>
      <c r="G26" s="38"/>
      <c r="H26" s="37"/>
      <c r="I26" s="37"/>
      <c r="J26" s="37"/>
      <c r="K26" s="37"/>
      <c r="L26" s="37"/>
      <c r="M26" s="37"/>
      <c r="N26" s="37"/>
      <c r="O26" s="37"/>
      <c r="P26" s="37" t="s">
        <v>1</v>
      </c>
      <c r="Q26" s="37"/>
      <c r="R26" s="35"/>
    </row>
    <row r="27" spans="1:18" ht="18" customHeight="1">
      <c r="A27" s="35"/>
      <c r="B27" s="37"/>
      <c r="C27" s="37"/>
      <c r="D27" s="37"/>
      <c r="E27" s="174">
        <v>44876</v>
      </c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5"/>
    </row>
    <row r="28" spans="1:18" ht="18" customHeight="1">
      <c r="A28" s="35"/>
      <c r="B28" s="37"/>
      <c r="C28" s="37"/>
      <c r="D28" s="37"/>
      <c r="E28" s="174">
        <v>44877</v>
      </c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5"/>
    </row>
    <row r="29" spans="1:18" ht="18" customHeight="1">
      <c r="A29" s="35"/>
      <c r="B29" s="37"/>
      <c r="C29" s="37"/>
      <c r="D29" s="37"/>
      <c r="E29" s="174">
        <v>44878</v>
      </c>
      <c r="F29" s="37"/>
      <c r="G29" s="37"/>
      <c r="H29" s="37"/>
      <c r="I29" s="37"/>
      <c r="J29" s="37"/>
      <c r="K29" s="37"/>
      <c r="L29" s="37" t="s">
        <v>2</v>
      </c>
      <c r="M29" s="37"/>
      <c r="N29" s="37"/>
      <c r="O29" s="37"/>
      <c r="P29" s="37"/>
      <c r="Q29" s="37"/>
      <c r="R29" s="35"/>
    </row>
    <row r="30" spans="1:18" ht="18" customHeight="1">
      <c r="A30" s="35"/>
      <c r="B30" s="37"/>
      <c r="C30" s="37"/>
      <c r="D30" s="37"/>
      <c r="E30" s="174">
        <v>44879</v>
      </c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5"/>
    </row>
    <row r="31" spans="1:18" ht="18" customHeight="1">
      <c r="A31" s="35"/>
      <c r="B31" s="37"/>
      <c r="C31" s="37"/>
      <c r="D31" s="37"/>
      <c r="E31" s="174">
        <v>44880</v>
      </c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5"/>
    </row>
    <row r="32" spans="1:18" ht="18" customHeight="1">
      <c r="A32" s="35"/>
      <c r="B32" s="37"/>
      <c r="C32" s="37"/>
      <c r="D32" s="37"/>
      <c r="E32" s="174">
        <v>44881</v>
      </c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5"/>
    </row>
    <row r="33" spans="1:18" ht="18" customHeight="1">
      <c r="A33" s="35"/>
      <c r="B33" s="37"/>
      <c r="C33" s="37"/>
      <c r="D33" s="37"/>
      <c r="E33" s="174">
        <v>44882</v>
      </c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5"/>
    </row>
    <row r="34" spans="1:18" ht="18" customHeight="1">
      <c r="A34" s="35"/>
      <c r="B34" s="37"/>
      <c r="C34" s="37"/>
      <c r="D34" s="37"/>
      <c r="E34" s="174">
        <v>44883</v>
      </c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5"/>
    </row>
    <row r="35" spans="1:18" ht="18" customHeight="1">
      <c r="A35" s="35"/>
      <c r="B35" s="37"/>
      <c r="C35" s="37"/>
      <c r="D35" s="37"/>
      <c r="E35" s="174">
        <v>44884</v>
      </c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5"/>
    </row>
    <row r="36" spans="1:18" ht="18" customHeight="1">
      <c r="A36" s="35"/>
      <c r="B36" s="37"/>
      <c r="C36" s="37"/>
      <c r="D36" s="37"/>
      <c r="E36" s="174">
        <v>44885</v>
      </c>
      <c r="F36" s="37"/>
      <c r="G36" s="37"/>
      <c r="H36" s="37" t="s">
        <v>3</v>
      </c>
      <c r="I36" s="37"/>
      <c r="J36" s="37"/>
      <c r="K36" s="37"/>
      <c r="L36" s="37"/>
      <c r="M36" s="37"/>
      <c r="N36" s="37"/>
      <c r="O36" s="37"/>
      <c r="P36" s="37"/>
      <c r="Q36" s="37"/>
      <c r="R36" s="35"/>
    </row>
    <row r="37" spans="1:18" ht="18" customHeight="1">
      <c r="A37" s="35"/>
      <c r="B37" s="37"/>
      <c r="C37" s="37"/>
      <c r="D37" s="37"/>
      <c r="E37" s="174">
        <v>44886</v>
      </c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5"/>
    </row>
    <row r="38" spans="1:18" ht="18" customHeight="1">
      <c r="A38" s="35"/>
      <c r="B38" s="37"/>
      <c r="C38" s="37"/>
      <c r="D38" s="37"/>
      <c r="E38" s="174">
        <v>44887</v>
      </c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5"/>
    </row>
    <row r="39" spans="1:18" ht="18" customHeight="1">
      <c r="A39" s="35"/>
      <c r="B39" s="37"/>
      <c r="C39" s="37"/>
      <c r="D39" s="37"/>
      <c r="E39" s="174">
        <v>44888</v>
      </c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5"/>
    </row>
    <row r="40" spans="1:18" ht="18" customHeight="1">
      <c r="A40" s="35"/>
      <c r="B40" s="37"/>
      <c r="C40" s="37"/>
      <c r="D40" s="37"/>
      <c r="E40" s="174">
        <v>44889</v>
      </c>
      <c r="F40" s="37"/>
      <c r="G40" s="37"/>
      <c r="H40" s="37"/>
      <c r="I40" s="37" t="s">
        <v>1</v>
      </c>
      <c r="J40" s="37"/>
      <c r="K40" s="37"/>
      <c r="L40" s="37" t="s">
        <v>1</v>
      </c>
      <c r="M40" s="37"/>
      <c r="N40" s="37"/>
      <c r="O40" s="37"/>
      <c r="P40" s="37"/>
      <c r="Q40" s="37"/>
      <c r="R40" s="35"/>
    </row>
    <row r="41" spans="1:18" ht="18" customHeight="1">
      <c r="A41" s="35"/>
      <c r="B41" s="37"/>
      <c r="C41" s="37"/>
      <c r="D41" s="37"/>
      <c r="E41" s="174">
        <v>44890</v>
      </c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5"/>
    </row>
    <row r="42" spans="1:18" ht="18" customHeight="1">
      <c r="A42" s="35"/>
      <c r="B42" s="37"/>
      <c r="C42" s="37"/>
      <c r="D42" s="37"/>
      <c r="E42" s="174">
        <v>44891</v>
      </c>
      <c r="F42" s="37" t="s">
        <v>1</v>
      </c>
      <c r="G42" s="37"/>
      <c r="H42" s="37" t="s">
        <v>1</v>
      </c>
      <c r="I42" s="37"/>
      <c r="J42" s="37"/>
      <c r="K42" s="37"/>
      <c r="L42" s="37"/>
      <c r="M42" s="37"/>
      <c r="N42" s="37"/>
      <c r="O42" s="37"/>
      <c r="P42" s="37"/>
      <c r="Q42" s="37"/>
      <c r="R42" s="35"/>
    </row>
    <row r="43" spans="1:18" ht="18" customHeight="1">
      <c r="A43" s="35"/>
      <c r="B43" s="37"/>
      <c r="C43" s="37"/>
      <c r="D43" s="37"/>
      <c r="E43" s="174">
        <v>44892</v>
      </c>
      <c r="F43" s="37" t="s">
        <v>1</v>
      </c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5"/>
    </row>
    <row r="44" spans="1:18" ht="18" customHeight="1">
      <c r="A44" s="35"/>
      <c r="B44" s="37"/>
      <c r="C44" s="37"/>
      <c r="D44" s="37" t="s">
        <v>1</v>
      </c>
      <c r="E44" s="174">
        <v>44893</v>
      </c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5"/>
    </row>
    <row r="45" spans="1:18" ht="18" customHeight="1">
      <c r="A45" s="35"/>
      <c r="B45" s="37"/>
      <c r="C45" s="37"/>
      <c r="D45" s="37"/>
      <c r="E45" s="174">
        <v>44894</v>
      </c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5"/>
    </row>
    <row r="46" spans="1:18" ht="18" customHeight="1">
      <c r="A46" s="35"/>
      <c r="B46" s="37"/>
      <c r="C46" s="37"/>
      <c r="D46" s="37"/>
      <c r="E46" s="174">
        <v>44895</v>
      </c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5"/>
    </row>
    <row r="47" spans="1:18" ht="18" customHeight="1">
      <c r="A47" s="35"/>
      <c r="B47" s="37"/>
      <c r="C47" s="37"/>
      <c r="D47" s="37"/>
      <c r="E47" s="174">
        <v>44896</v>
      </c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5"/>
    </row>
    <row r="48" spans="1:18">
      <c r="B48" s="36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</row>
    <row r="49" spans="2:2">
      <c r="B49" s="33"/>
    </row>
  </sheetData>
  <pageMargins left="0.9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A41"/>
  <sheetViews>
    <sheetView topLeftCell="A13" zoomScale="70" zoomScaleNormal="70" workbookViewId="0">
      <selection activeCell="C25" sqref="C25"/>
    </sheetView>
  </sheetViews>
  <sheetFormatPr defaultRowHeight="15"/>
  <cols>
    <col min="1" max="1" width="5" customWidth="1"/>
    <col min="2" max="2" width="22.5703125" bestFit="1" customWidth="1"/>
    <col min="3" max="3" width="20.7109375" customWidth="1"/>
    <col min="4" max="4" width="33.5703125" customWidth="1"/>
    <col min="5" max="5" width="20.7109375" customWidth="1"/>
    <col min="6" max="6" width="33.5703125" bestFit="1" customWidth="1"/>
    <col min="7" max="7" width="23" customWidth="1"/>
    <col min="8" max="8" width="33.5703125" bestFit="1" customWidth="1"/>
    <col min="9" max="9" width="26.42578125" bestFit="1" customWidth="1"/>
    <col min="10" max="10" width="32.5703125" bestFit="1" customWidth="1"/>
    <col min="11" max="11" width="20.7109375" customWidth="1"/>
    <col min="12" max="12" width="26.28515625" bestFit="1" customWidth="1"/>
    <col min="13" max="13" width="22.85546875" bestFit="1" customWidth="1"/>
    <col min="14" max="14" width="33.5703125" bestFit="1" customWidth="1"/>
    <col min="15" max="15" width="22.85546875" bestFit="1" customWidth="1"/>
    <col min="16" max="16" width="25.42578125" bestFit="1" customWidth="1"/>
    <col min="17" max="17" width="20.7109375" customWidth="1"/>
    <col min="18" max="18" width="30.7109375" bestFit="1" customWidth="1"/>
    <col min="19" max="19" width="30.5703125" customWidth="1"/>
    <col min="20" max="20" width="36.7109375" bestFit="1" customWidth="1"/>
    <col min="21" max="21" width="40.7109375" customWidth="1"/>
    <col min="22" max="23" width="33.5703125" bestFit="1" customWidth="1"/>
    <col min="24" max="24" width="25.5703125" bestFit="1" customWidth="1"/>
  </cols>
  <sheetData>
    <row r="1" spans="1:27">
      <c r="F1" t="s">
        <v>1</v>
      </c>
    </row>
    <row r="2" spans="1:27">
      <c r="G2" t="s">
        <v>1</v>
      </c>
      <c r="J2" t="s">
        <v>1</v>
      </c>
    </row>
    <row r="3" spans="1:27">
      <c r="E3" t="s">
        <v>1</v>
      </c>
    </row>
    <row r="4" spans="1:27"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</row>
    <row r="5" spans="1:27"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</row>
    <row r="6" spans="1:27" ht="21" thickBot="1">
      <c r="C6" s="1270"/>
      <c r="D6" s="1270"/>
      <c r="E6" s="1270"/>
      <c r="F6" s="1270"/>
      <c r="G6" s="1270"/>
      <c r="H6" s="1270"/>
      <c r="I6" s="1268"/>
      <c r="J6" s="1268"/>
      <c r="K6" s="1268"/>
      <c r="L6" s="1270"/>
      <c r="M6" s="1270"/>
      <c r="N6" s="1270"/>
      <c r="O6" s="1270"/>
      <c r="P6" s="1268"/>
      <c r="Q6" s="1268"/>
    </row>
    <row r="7" spans="1:27" ht="92.25">
      <c r="B7" s="981">
        <v>2021</v>
      </c>
      <c r="C7" s="1272" t="s">
        <v>439</v>
      </c>
      <c r="D7" s="1272"/>
      <c r="E7" s="1272"/>
      <c r="F7" s="1271" t="s">
        <v>4</v>
      </c>
      <c r="G7" s="1271"/>
      <c r="H7" s="1271"/>
      <c r="I7" s="1271"/>
      <c r="J7" s="1271"/>
      <c r="K7" s="1271"/>
      <c r="L7" s="1271"/>
      <c r="M7" s="1271"/>
      <c r="N7" s="1271"/>
      <c r="O7" s="1271"/>
      <c r="P7" s="1271"/>
      <c r="Q7" s="1271"/>
      <c r="R7" s="1271"/>
      <c r="S7" s="1271"/>
      <c r="T7" s="1271"/>
      <c r="U7" s="982" t="s">
        <v>1</v>
      </c>
      <c r="V7" s="982"/>
      <c r="W7" s="982"/>
      <c r="X7" s="976"/>
    </row>
    <row r="8" spans="1:27" ht="75" customHeight="1">
      <c r="B8" s="1269" t="s">
        <v>5</v>
      </c>
      <c r="C8" s="1273" t="s">
        <v>95</v>
      </c>
      <c r="D8" s="1273"/>
      <c r="E8" s="1273"/>
      <c r="F8" s="1273"/>
      <c r="G8" s="1273" t="s">
        <v>7</v>
      </c>
      <c r="H8" s="1273"/>
      <c r="I8" s="1273"/>
      <c r="J8" s="1273" t="s">
        <v>8</v>
      </c>
      <c r="K8" s="1273"/>
      <c r="L8" s="1273" t="s">
        <v>9</v>
      </c>
      <c r="M8" s="1273"/>
      <c r="N8" s="1273"/>
      <c r="O8" s="1273"/>
      <c r="P8" s="1273"/>
      <c r="Q8" s="1273"/>
      <c r="R8" s="1273"/>
      <c r="S8" s="1274" t="s">
        <v>10</v>
      </c>
      <c r="T8" s="1274"/>
      <c r="U8" s="1267" t="s">
        <v>289</v>
      </c>
      <c r="V8" s="1267"/>
      <c r="W8" s="980" t="s">
        <v>290</v>
      </c>
      <c r="X8" s="977"/>
    </row>
    <row r="9" spans="1:27" ht="75" customHeight="1">
      <c r="B9" s="1269"/>
      <c r="C9" s="918" t="s">
        <v>12</v>
      </c>
      <c r="D9" s="918" t="s">
        <v>13</v>
      </c>
      <c r="E9" s="918" t="s">
        <v>14</v>
      </c>
      <c r="F9" s="919" t="s">
        <v>263</v>
      </c>
      <c r="G9" s="918" t="s">
        <v>12</v>
      </c>
      <c r="H9" s="918" t="s">
        <v>13</v>
      </c>
      <c r="I9" s="918" t="s">
        <v>282</v>
      </c>
      <c r="J9" s="918" t="s">
        <v>12</v>
      </c>
      <c r="K9" s="918" t="s">
        <v>16</v>
      </c>
      <c r="L9" s="918" t="s">
        <v>17</v>
      </c>
      <c r="M9" s="918" t="s">
        <v>18</v>
      </c>
      <c r="N9" s="918" t="s">
        <v>19</v>
      </c>
      <c r="O9" s="918" t="s">
        <v>96</v>
      </c>
      <c r="P9" s="918" t="s">
        <v>257</v>
      </c>
      <c r="Q9" s="918" t="s">
        <v>254</v>
      </c>
      <c r="R9" s="918" t="s">
        <v>20</v>
      </c>
      <c r="S9" s="918" t="s">
        <v>13</v>
      </c>
      <c r="T9" s="918" t="s">
        <v>14</v>
      </c>
      <c r="U9" s="918" t="s">
        <v>284</v>
      </c>
      <c r="V9" s="918" t="s">
        <v>288</v>
      </c>
      <c r="W9" s="918" t="s">
        <v>291</v>
      </c>
      <c r="X9" s="977"/>
    </row>
    <row r="10" spans="1:27" ht="75" customHeight="1">
      <c r="B10" s="983" t="s">
        <v>21</v>
      </c>
      <c r="C10" s="974">
        <f>'1'!T50+'2'!T50+'3'!T50+'4'!T50+'5'!T50+'6'!T50+'7'!T50+'8'!T50+'9'!T50+'10'!T50+'11'!T50+'12'!T50+'13'!T50+'14'!T50+'15'!T50+'16'!T50+'17'!T50+'18'!T50+'19'!T50+'20'!T50+'21'!T50+'22'!T50+'23'!T50+'24'!T50+'25'!T50+'26'!T50+'27'!T50+'28'!T50+'29'!T50+'30'!T50+'31'!T50</f>
        <v>62</v>
      </c>
      <c r="D10" s="974">
        <f>'1'!U50+'2'!U50+'3'!U50+'4'!U50+'5'!U50+'6'!U50+'7'!U50+'8'!U50+'9'!U50+'10'!U50+'11'!U50+'12'!U50+'13'!U50+'14'!U50+'15'!U50+'16'!U50+'17'!U50+'18'!U50+'19'!U50+'20'!U50+'21'!U50+'22'!U50+'23'!U50+'24'!U50+'25'!U50+'26'!U50+'27'!U50+'28'!U50+'29'!U50+'30'!U50+'31'!U50</f>
        <v>0</v>
      </c>
      <c r="E10" s="974">
        <f>'1'!V50+'2'!V50+'3'!V50+'4'!V50+'5'!V50+'6'!V50+'7'!V50+'8'!V50+'9'!V50+'10'!V50+'11'!V50+'12'!V50+'13'!V50+'14'!V50+'15'!V50+'16'!V50+'17'!V50+'18'!V50+'19'!V50+'20'!V50+'21'!V50+'22'!V50+'23'!V50+'24'!V50+'25'!V50+'26'!V50+'27'!V50+'28'!V50+'29'!V50+'30'!V50+'31'!V50</f>
        <v>190</v>
      </c>
      <c r="F10" s="974">
        <f>'1'!W50+'2'!W50+'3'!W50+'4'!W50+'5'!W50+'6'!W50+'7'!W50+'8'!W50+'9'!W50+'10'!W50+'11'!W50+'12'!W50+'13'!W50+'14'!W50+'15'!W50+'16'!W50+'17'!W50+'18'!W50+'19'!W50+'20'!W50+'21'!W50+'22'!W50+'23'!W50+'24'!W50+'25'!W50+'26'!W50+'27'!W50+'28'!W50+'29'!W50+'30'!W50+'31'!W50</f>
        <v>18</v>
      </c>
      <c r="G10" s="974">
        <f>'1'!X50+'2'!X50+'3'!X50+'4'!X50+'5'!X50+'6'!X50+'7'!X50+'8'!X50+'9'!X50+'10'!X50+'11'!X50+'12'!X50+'13'!X50+'14'!X50+'15'!X50+'16'!X50+'17'!X50+'18'!X50+'19'!X50+'20'!X50+'21'!X50+'22'!X50+'23'!X50+'24'!X50+'25'!X50+'26'!X50+'27'!X50+'28'!X50+'29'!X50+'30'!X50+'31'!X50</f>
        <v>0</v>
      </c>
      <c r="H10" s="974">
        <f>'1'!Y50+'2'!Y50+'3'!Y50+'4'!Y50+'5'!Y50+'6'!Y50+'7'!Y50+'8'!Y50+'9'!Y50+'10'!Y50+'11'!Y50+'12'!Y50+'13'!Y50+'14'!Y50+'15'!Y50+'16'!Y50+'17'!Y50+'18'!Y50+'19'!Y50+'20'!Y50+'21'!Y50+'22'!Y50+'23'!Y50+'24'!Y50+'25'!Y50+'26'!Y50+'27'!Y50+'28'!Y50+'29'!Y50+'30'!Y50+'31'!Y50</f>
        <v>0</v>
      </c>
      <c r="I10" s="974">
        <f>'1'!Z50+'2'!Z50+'3'!Z50+'4'!Z50+'5'!Z50+'6'!Z50+'7'!Z50+'8'!Z50+'9'!Z50+'10'!Z50+'11'!Z50+'12'!Z50+'13'!Z50+'14'!Z50+'15'!Z50+'16'!Z50+'17'!Z50+'18'!Z50+'19'!Z50+'20'!Z50+'21'!Z50+'22'!Z50+'23'!Z50+'24'!Z50+'25'!Z50+'26'!Z50+'27'!Z50+'28'!Z50+'29'!Z50+'30'!Z50+'31'!Z50</f>
        <v>528</v>
      </c>
      <c r="J10" s="974">
        <f>'1'!AA50+'2'!AA50+'3'!AA50+'4'!AA50+'5'!AA50+'6'!AA50+'7'!AA50+'8'!AA50+'9'!AA50+'10'!AA50+'11'!AA50+'12'!AA50+'13'!AA50+'14'!AA50+'15'!AA50+'16'!AA50+'17'!AA50+'18'!AA50+'19'!AA50+'20'!AA50+'21'!AA50+'22'!AA50+'23'!AA50+'24'!AA50+'25'!AA50+'26'!AA50+'27'!AA50+'28'!AA50+'29'!AA50+'30'!AA50+'31'!AA50</f>
        <v>5690</v>
      </c>
      <c r="K10" s="974">
        <f>'1'!AB50+'2'!AB50+'3'!AB50+'4'!AB50+'5'!AB50+'6'!AB50+'7'!AB50+'8'!AB50+'9'!AB50+'10'!AB50+'11'!AB50+'12'!AB50+'13'!AB50+'14'!AB50+'15'!AB50+'16'!AB50+'17'!AB50+'18'!AB50+'19'!AB50+'20'!AB50+'21'!AB50+'22'!AB50+'23'!AB50+'24'!AB50+'25'!AB50+'26'!AB50+'27'!AB50+'28'!AB50+'29'!AB50+'30'!AB50+'31'!AB50</f>
        <v>170</v>
      </c>
      <c r="L10" s="974">
        <f>'1'!AC50+'2'!AC50+'3'!AC50+'4'!AC50+'5'!AC50+'6'!AC50+'7'!AC50+'8'!AC50+'9'!AC50+'10'!AC50+'11'!AC50+'12'!AC50+'13'!AC50+'14'!AC50+'15'!AC50+'16'!AC50+'17'!AC50+'18'!AC50+'19'!AC50+'20'!AC50+'21'!AC50+'22'!AC50+'23'!AC50+'24'!AC50+'25'!AC50+'26'!AC50+'27'!AC50+'28'!AC50+'29'!AC50+'30'!AC50+'31'!AC50</f>
        <v>3221</v>
      </c>
      <c r="M10" s="974">
        <f>'1'!AD50+'2'!AD50+'3'!AD50+'4'!AD50+'5'!AD50+'6'!AD50+'7'!AD50+'8'!AD50+'9'!AD50+'10'!AD50+'11'!AD50+'12'!AD50+'13'!AD50+'14'!AD50+'15'!AD50+'16'!AD50+'17'!AD50+'18'!AD50+'19'!AD50+'20'!AD50+'21'!AD50+'22'!AD50+'23'!AD50+'24'!AD50+'25'!AD50+'26'!AD50+'27'!AD50+'28'!AD50+'29'!AD50+'30'!AD50+'31'!AD50</f>
        <v>1292</v>
      </c>
      <c r="N10" s="974">
        <f>'1'!AE50+'2'!AE50+'3'!AE50+'4'!AE50+'5'!AE50+'6'!AE50+'7'!AE50+'8'!AE50+'9'!AE50+'10'!AE50+'11'!AE50+'12'!AE50+'13'!AE50+'14'!AE50+'15'!AE50+'16'!AE50+'17'!AE50+'18'!AE50+'19'!AE50+'20'!AE50+'21'!AE50+'22'!AE50+'23'!AE50+'24'!AE50+'25'!AE50+'26'!AE50+'27'!AE50+'28'!AE50+'29'!AE50+'30'!AE50+'31'!AE50</f>
        <v>0</v>
      </c>
      <c r="O10" s="974">
        <f>'1'!AF50+'2'!AF50+'3'!AF50+'4'!AF50+'5'!AF50+'6'!AF50+'7'!AF50+'8'!AF50+'9'!AF50+'10'!AF50+'11'!AF50+'12'!AF50+'13'!AF50+'14'!AF50+'15'!AF50+'16'!AF50+'17'!AF50+'18'!AF50+'19'!AF50+'20'!AF50+'21'!AF50+'22'!AF50+'23'!AF50+'24'!AF50+'25'!AF50+'26'!AF50+'27'!AF50+'28'!AF50+'29'!AF50+'30'!AF50+'31'!AF50</f>
        <v>3752</v>
      </c>
      <c r="P10" s="974">
        <f>'1'!AG50+'2'!AG50+'3'!AG50+'4'!AG50+'5'!AG50+'6'!AG50+'7'!AG50+'8'!AG50+'9'!AG50+'10'!AG50+'11'!AG50+'12'!AG50+'13'!AG50+'14'!AG50+'15'!AG50+'16'!AG50+'17'!AG50+'18'!AG50+'19'!AG50+'20'!AG50+'21'!AG50+'22'!AG50+'23'!AG50+'24'!AG50+'25'!AG50+'26'!AG50+'27'!AG50+'28'!AG50+'29'!AG50+'30'!AG50+'31'!AG50</f>
        <v>1113</v>
      </c>
      <c r="Q10" s="974">
        <f>'1'!AH50+'2'!AH50+'3'!AH50+'4'!AH50+'5'!AH50+'6'!AH50+'7'!AH50+'8'!AH50+'9'!AH50+'10'!AH50+'11'!AH50+'12'!AH50+'13'!AH50+'14'!AH50+'15'!AH50+'16'!AH50+'17'!AH50+'18'!AH50+'19'!AH50+'20'!AH50+'21'!AH50+'22'!AH50+'23'!AH50+'24'!AH50+'25'!AH50+'26'!AH50+'27'!AH50+'28'!AH50+'29'!AH50+'30'!AH50+'31'!AH50</f>
        <v>2011</v>
      </c>
      <c r="R10" s="974">
        <f>'1'!AI50+'2'!AI50+'3'!AI50+'4'!AI50+'5'!AI50+'6'!AI50+'7'!AI50+'8'!AI50+'9'!AI50+'10'!AI50+'11'!AI50+'12'!AI50+'13'!AI50+'14'!AI50+'15'!AI50+'16'!AI50+'17'!AI50+'18'!AI50+'19'!AI50+'20'!AI50+'21'!AI50+'22'!AI50+'23'!AI50+'24'!AI50+'25'!AI50+'26'!AI50+'27'!AI50+'28'!AI50+'29'!AI50+'30'!AI50+'31'!AI50</f>
        <v>631</v>
      </c>
      <c r="S10" s="974">
        <f>'1'!AJ50+'2'!AJ50+'3'!AJ50+'4'!AJ50+'5'!AJ50+'6'!AJ50+'7'!AJ50+'8'!AJ50+'9'!AJ50+'10'!AJ50+'11'!AJ50+'12'!AJ50+'13'!AJ50+'14'!AJ50+'15'!AJ50+'16'!AJ50+'17'!AJ50+'18'!AJ50+'19'!AJ50+'20'!AJ50+'21'!AJ50+'22'!AJ50+'23'!AJ50+'24'!AJ50+'25'!AJ50+'26'!AJ50+'27'!AJ50+'28'!AJ50+'29'!AJ50+'30'!AJ50+'31'!AJ50</f>
        <v>0</v>
      </c>
      <c r="T10" s="974">
        <f>'1'!AK50+'2'!AK50+'3'!AK50+'4'!AK50+'5'!AK50+'6'!AK50+'7'!AK50+'8'!AK50+'9'!AK50+'10'!AK50+'11'!AK50+'12'!AK50+'13'!AK50+'14'!AK50+'15'!AK50+'16'!AK50+'17'!AK50+'18'!AK50+'19'!AK50+'20'!AK50+'21'!AK50+'22'!AK50+'23'!AK50+'24'!AK50+'25'!AK50+'26'!AK50+'27'!AK50+'28'!AK50+'29'!AK50+'30'!AK50+'31'!AK50</f>
        <v>124</v>
      </c>
      <c r="U10" s="974">
        <f>'1'!AL50+'2'!AL50+'3'!AL50+'4'!AL50+'5'!AL50+'6'!AL50+'7'!AL50+'8'!AL50+'9'!AL50+'10'!AL50+'11'!AL50+'12'!AL50+'13'!AL50+'14'!AL50+'15'!AL50+'16'!AL50+'17'!AL50+'18'!AL50+'19'!AL50+'20'!AL50+'21'!AL50+'22'!AL50+'23'!AL50+'24'!AL50+'25'!AL50+'26'!AL50+'27'!AL50+'28'!AL50+'29'!AL50+'30'!AL50+'31'!AL50</f>
        <v>0</v>
      </c>
      <c r="V10" s="974">
        <f>'1'!AM50+'2'!AM50+'3'!AM50+'4'!AM50+'5'!AM50+'6'!AM50+'7'!AM50+'8'!AM50+'9'!AM50+'10'!AM50+'11'!AM50+'12'!AM50+'13'!AM50+'14'!AM50+'15'!AM50+'16'!AM50+'17'!AM50+'18'!AM50+'19'!AM50+'20'!AM50+'21'!AM50+'22'!AM50+'23'!AM50+'24'!AM50+'25'!AM50+'26'!AM50+'27'!AM50+'28'!AM50+'29'!AM50+'30'!AM50+'31'!AM50</f>
        <v>0</v>
      </c>
      <c r="W10" s="974">
        <f>'1'!AN50+'2'!AN50+'3'!AN50+'4'!AN50+'5'!AN50+'6'!AN50+'7'!AN50+'8'!AN50+'9'!AN50+'10'!AN50+'11'!AN50+'12'!AN50+'13'!AN50+'14'!AN50+'15'!AN50+'16'!AN50+'17'!AN50+'18'!AN50+'19'!AN50+'20'!AN50+'21'!AN50+'22'!AN50+'23'!AN50+'24'!AN50+'25'!AN50+'26'!AN50+'27'!AN50+'28'!AN50+'29'!AN50+'30'!AN50+'31'!AN50</f>
        <v>0</v>
      </c>
      <c r="X10" s="977"/>
      <c r="AA10" t="s">
        <v>1</v>
      </c>
    </row>
    <row r="11" spans="1:27" ht="75" customHeight="1">
      <c r="A11" s="117"/>
      <c r="B11" s="984" t="s">
        <v>22</v>
      </c>
      <c r="C11" s="975">
        <f>'1'!T56+'2'!T56+'3'!T56+'4'!T56+'5'!T56+'6'!T56+'7'!T56+'8'!T56+'9'!T56+'10'!T56+'11'!T56+'12'!T56+'13'!T56+'14'!T56+'15'!T56+'16'!T56+'17'!T56+'18'!T56+'19'!T56+'20'!T56+'21'!T56+'22'!T56+'23'!T56+'24'!T56+'25'!T56+'26'!T56+'27'!T56+'28'!T56+'29'!T56+'30'!T56+'31'!T56</f>
        <v>1</v>
      </c>
      <c r="D11" s="975">
        <f>'1'!U56+'2'!U56+'3'!U56+'4'!U56+'5'!U56+'6'!U56+'7'!U56+'8'!U56+'9'!U56+'10'!U56+'11'!U56+'12'!U56+'13'!U56+'14'!U56+'15'!U56+'16'!U56+'17'!U56+'18'!U56+'19'!U56+'20'!U56+'21'!U56+'22'!U56+'23'!U56+'24'!U56+'25'!U56+'26'!U56+'27'!U56+'28'!U56+'29'!U56+'30'!U56+'31'!U56</f>
        <v>0</v>
      </c>
      <c r="E11" s="975">
        <f>'1'!V56+'2'!V56+'3'!V56+'4'!V56+'5'!V56+'6'!V56+'7'!V56+'8'!V56+'9'!V56+'10'!V56+'11'!V56+'12'!V56+'13'!V56+'14'!V56+'15'!V56+'16'!V56+'17'!V56+'18'!V56+'19'!V56+'20'!V56+'21'!V56+'22'!V56+'23'!V56+'24'!V56+'25'!V56+'26'!V56+'27'!V56+'28'!V56+'29'!V56+'30'!V56+'31'!V56</f>
        <v>3</v>
      </c>
      <c r="F11" s="975">
        <f>'1'!W56+'2'!W56+'3'!W56+'4'!W56+'5'!W56+'6'!W56+'7'!W56+'8'!W56+'9'!W56+'10'!W56+'11'!W56+'12'!W56+'13'!W56+'14'!W56+'15'!W56+'16'!W56+'17'!W56+'18'!W56+'19'!W56+'20'!W56+'21'!W56+'22'!W56+'23'!W56+'24'!W56+'25'!W56+'26'!W56+'27'!W56+'28'!W56+'29'!W56+'30'!W56+'31'!W56</f>
        <v>0.3</v>
      </c>
      <c r="G11" s="975">
        <f>'1'!X56+'2'!X56+'3'!X56+'4'!X56+'5'!X56+'6'!X56+'7'!X56+'8'!X56+'9'!X56+'10'!X56+'11'!X56+'12'!X56+'13'!X56+'14'!X56+'15'!X56+'16'!X56+'17'!X56+'18'!X56+'19'!X56+'20'!X56+'21'!X56+'22'!X56+'23'!X56+'24'!X56+'25'!X56+'26'!X56+'27'!X56+'28'!X56+'29'!X56+'30'!X56+'31'!X56</f>
        <v>0</v>
      </c>
      <c r="H11" s="975">
        <f>'1'!Y56+'2'!Y56+'3'!Y56+'4'!Y56+'5'!Y56+'6'!Y56+'7'!Y56+'8'!Y56+'9'!Y56+'10'!Y56+'11'!Y56+'12'!Y56+'13'!Y56+'14'!Y56+'15'!Y56+'16'!Y56+'17'!Y56+'18'!Y56+'19'!Y56+'20'!Y56+'21'!Y56+'22'!Y56+'23'!Y56+'24'!Y56+'25'!Y56+'26'!Y56+'27'!Y56+'28'!Y56+'29'!Y56+'30'!Y56+'31'!Y56</f>
        <v>0</v>
      </c>
      <c r="I11" s="975">
        <f>'1'!Z56+'2'!Z56+'3'!Z56+'4'!Z56+'5'!Z56+'6'!Z56+'7'!Z56+'8'!Z56+'9'!Z56+'10'!Z56+'11'!Z56+'12'!Z56+'13'!Z56+'14'!Z56+'15'!Z56+'16'!Z56+'17'!Z56+'18'!Z56+'19'!Z56+'20'!Z56+'21'!Z56+'22'!Z56+'23'!Z56+'24'!Z56+'25'!Z56+'26'!Z56+'27'!Z56+'28'!Z56+'29'!Z56+'30'!Z56+'31'!Z56</f>
        <v>3</v>
      </c>
      <c r="J11" s="975">
        <f>'1'!AA56+'2'!AA56+'3'!AA56+'4'!AA56+'5'!AA56+'6'!AA56+'7'!AA56+'8'!AA56+'9'!AA56+'10'!AA56+'11'!AA56+'12'!AA56+'13'!AA56+'14'!AA56+'15'!AA56+'16'!AA56+'17'!AA56+'18'!AA56+'19'!AA56+'20'!AA56+'21'!AA56+'22'!AA56+'23'!AA56+'24'!AA56+'25'!AA56+'26'!AA56+'27'!AA56+'28'!AA56+'29'!AA56+'30'!AA56+'31'!AA56</f>
        <v>9</v>
      </c>
      <c r="K11" s="975">
        <f>'1'!AB56+'2'!AB56+'3'!AB56+'4'!AB56+'5'!AB56+'6'!AB56+'7'!AB56+'8'!AB56+'9'!AB56+'10'!AB56+'11'!AB56+'12'!AB56+'13'!AB56+'14'!AB56+'15'!AB56+'16'!AB56+'17'!AB56+'18'!AB56+'19'!AB56+'20'!AB56+'21'!AB56+'22'!AB56+'23'!AB56+'24'!AB56+'25'!AB56+'26'!AB56+'27'!AB56+'28'!AB56+'29'!AB56+'30'!AB56+'31'!AB56</f>
        <v>0.25</v>
      </c>
      <c r="L11" s="975">
        <f>'1'!AC56+'2'!AC56+'3'!AC56+'4'!AC56+'5'!AC56+'6'!AC56+'7'!AC56+'8'!AC56+'9'!AC56+'10'!AC56+'11'!AC56+'12'!AC56+'13'!AC56+'14'!AC56+'15'!AC56+'16'!AC56+'17'!AC56+'18'!AC56+'19'!AC56+'20'!AC56+'21'!AC56+'22'!AC56+'23'!AC56+'24'!AC56+'25'!AC56+'26'!AC56+'27'!AC56+'28'!AC56+'29'!AC56+'30'!AC56+'31'!AC56</f>
        <v>36.450000000000003</v>
      </c>
      <c r="M11" s="975">
        <f>'1'!AD56+'2'!AD56+'3'!AD56+'4'!AD56+'5'!AD56+'6'!AD56+'7'!AD56+'8'!AD56+'9'!AD56+'10'!AD56+'11'!AD56+'12'!AD56+'13'!AD56+'14'!AD56+'15'!AD56+'16'!AD56+'17'!AD56+'18'!AD56+'19'!AD56+'20'!AD56+'21'!AD56+'22'!AD56+'23'!AD56+'24'!AD56+'25'!AD56+'26'!AD56+'27'!AD56+'28'!AD56+'29'!AD56+'30'!AD56+'31'!AD56</f>
        <v>17.400000000000002</v>
      </c>
      <c r="N11" s="975">
        <f>'1'!AE56+'2'!AE56+'3'!AE56+'4'!AE56+'5'!AE56+'6'!AE56+'7'!AE56+'8'!AE56+'9'!AE56+'10'!AE56+'11'!AE56+'12'!AE56+'13'!AE56+'14'!AE56+'15'!AE56+'16'!AE56+'17'!AE56+'18'!AE56+'19'!AE56+'20'!AE56+'21'!AE56+'22'!AE56+'23'!AE56+'24'!AE56+'25'!AE56+'26'!AE56+'27'!AE56+'28'!AE56+'29'!AE56+'30'!AE56+'31'!AE56</f>
        <v>0</v>
      </c>
      <c r="O11" s="975">
        <f>'1'!AF56+'2'!AF56+'3'!AF56+'4'!AF56+'5'!AF56+'6'!AF56+'7'!AF56+'8'!AF56+'9'!AF56+'10'!AF56+'11'!AF56+'12'!AF56+'13'!AF56+'14'!AF56+'15'!AF56+'16'!AF56+'17'!AF56+'18'!AF56+'19'!AF56+'20'!AF56+'21'!AF56+'22'!AF56+'23'!AF56+'24'!AF56+'25'!AF56+'26'!AF56+'27'!AF56+'28'!AF56+'29'!AF56+'30'!AF56+'31'!AF56</f>
        <v>49.8</v>
      </c>
      <c r="P11" s="975">
        <f>'1'!AG56+'2'!AG56+'3'!AG56+'4'!AG56+'5'!AG56+'6'!AG56+'7'!AG56+'8'!AG56+'9'!AG56+'10'!AG56+'11'!AG56+'12'!AG56+'13'!AG56+'14'!AG56+'15'!AG56+'16'!AG56+'17'!AG56+'18'!AG56+'19'!AG56+'20'!AG56+'21'!AG56+'22'!AG56+'23'!AG56+'24'!AG56+'25'!AG56+'26'!AG56+'27'!AG56+'28'!AG56+'29'!AG56+'30'!AG56+'31'!AG56</f>
        <v>12</v>
      </c>
      <c r="Q11" s="975">
        <f>'1'!AH56+'2'!AH56+'3'!AH56+'4'!AH56+'5'!AH56+'6'!AH56+'7'!AH56+'8'!AH56+'9'!AH56+'10'!AH56+'11'!AH56+'12'!AH56+'13'!AH56+'14'!AH56+'15'!AH56+'16'!AH56+'17'!AH56+'18'!AH56+'19'!AH56+'20'!AH56+'21'!AH56+'22'!AH56+'23'!AH56+'24'!AH56+'25'!AH56+'26'!AH56+'27'!AH56+'28'!AH56+'29'!AH56+'30'!AH56+'31'!AH56</f>
        <v>7</v>
      </c>
      <c r="R11" s="975">
        <f>'1'!AI56+'2'!AI56+'3'!AI56+'4'!AI56+'5'!AI56+'6'!AI56+'7'!AI56+'8'!AI56+'9'!AI56+'10'!AI56+'11'!AI56+'12'!AI56+'13'!AI56+'14'!AI56+'15'!AI56+'16'!AI56+'17'!AI56+'18'!AI56+'19'!AI56+'20'!AI56+'21'!AI56+'22'!AI56+'23'!AI56+'24'!AI56+'25'!AI56+'26'!AI56+'27'!AI56+'28'!AI56+'29'!AI56+'30'!AI56+'31'!AI56</f>
        <v>1.8</v>
      </c>
      <c r="S11" s="975">
        <f>'1'!AJ56+'2'!AJ56+'3'!AJ56+'4'!AJ56+'5'!AJ56+'6'!AJ56+'7'!AJ56+'8'!AJ56+'9'!AJ56+'10'!AJ56+'11'!AJ56+'12'!AJ56+'13'!AJ56+'14'!AJ56+'15'!AJ56+'16'!AJ56+'17'!AJ56+'18'!AJ56+'19'!AJ56+'20'!AJ56+'21'!AJ56+'22'!AJ56+'23'!AJ56+'24'!AJ56+'25'!AJ56+'26'!AJ56+'27'!AJ56+'28'!AJ56+'29'!AJ56+'30'!AJ56+'31'!AJ56</f>
        <v>0</v>
      </c>
      <c r="T11" s="975">
        <f>'1'!AK56+'2'!AK56+'3'!AK56+'4'!AK56+'5'!AK56+'6'!AK56+'7'!AK56+'8'!AK56+'9'!AK56+'10'!AK56+'11'!AK56+'12'!AK56+'13'!AK56+'14'!AK56+'15'!AK56+'16'!AK56+'17'!AK56+'18'!AK56+'19'!AK56+'20'!AK56+'21'!AK56+'22'!AK56+'23'!AK56+'24'!AK56+'25'!AK56+'26'!AK56+'27'!AK56+'28'!AK56+'29'!AK56+'30'!AK56+'31'!AK56</f>
        <v>2</v>
      </c>
      <c r="U11" s="975">
        <f>'1'!AL56+'2'!AL56+'3'!AL56+'4'!AL56+'5'!AL56+'6'!AL56+'7'!AL56+'8'!AL56+'9'!AL56+'10'!AL56+'11'!AL56+'12'!AL56+'13'!AL56+'14'!AL56+'15'!AL56+'16'!AL56+'17'!AL56+'18'!AL56+'19'!AL56+'20'!AL56+'21'!AL56+'22'!AL56+'23'!AL56+'24'!AL56+'25'!AL56+'26'!AL56+'27'!AL56+'28'!AL56+'29'!AL56+'30'!AL56+'31'!AL56</f>
        <v>0</v>
      </c>
      <c r="V11" s="975">
        <f>'1'!AM56+'2'!AM56+'3'!AM56+'4'!AM56+'5'!AM56+'6'!AM56+'7'!AM56+'8'!AM56+'9'!AM56+'10'!AM56+'11'!AM56+'12'!AM56+'13'!AM56+'14'!AM56+'15'!AM56+'16'!AM56+'17'!AM56+'18'!AM56+'19'!AM56+'20'!AM56+'21'!AM56+'22'!AM56+'23'!AM56+'24'!AM56+'25'!AM56+'26'!AM56+'27'!AM56+'28'!AM56+'29'!AM56+'30'!AM56+'31'!AM56</f>
        <v>0</v>
      </c>
      <c r="W11" s="975">
        <f>'1'!AN56+'2'!AN56+'3'!AN56+'4'!AN56+'5'!AN56+'6'!AN56+'7'!AN56+'8'!AN56+'9'!AN56+'10'!AN56+'11'!AN56+'12'!AN56+'13'!AN56+'14'!AN56+'15'!AN56+'16'!AN56+'17'!AN56+'18'!AN56+'19'!AN56+'20'!AN56+'21'!AN56+'22'!AN56+'23'!AN56+'24'!AN56+'25'!AN56+'26'!AN56+'27'!AN56+'28'!AN56+'29'!AN56+'30'!AN56+'31'!AN56</f>
        <v>0</v>
      </c>
      <c r="X11" s="992">
        <f>SUM(C11:W11)</f>
        <v>143</v>
      </c>
      <c r="AA11" t="s">
        <v>1</v>
      </c>
    </row>
    <row r="12" spans="1:27" ht="75" customHeight="1" thickBot="1">
      <c r="B12" s="985" t="s">
        <v>23</v>
      </c>
      <c r="C12" s="978">
        <f>C10/C11</f>
        <v>62</v>
      </c>
      <c r="D12" s="978" t="e">
        <f t="shared" ref="D12:W12" si="0">D10/D11</f>
        <v>#DIV/0!</v>
      </c>
      <c r="E12" s="979">
        <f>E10/E11</f>
        <v>63.333333333333336</v>
      </c>
      <c r="F12" s="978">
        <f t="shared" si="0"/>
        <v>60</v>
      </c>
      <c r="G12" s="978" t="e">
        <f t="shared" si="0"/>
        <v>#DIV/0!</v>
      </c>
      <c r="H12" s="978" t="e">
        <f t="shared" si="0"/>
        <v>#DIV/0!</v>
      </c>
      <c r="I12" s="978">
        <f t="shared" si="0"/>
        <v>176</v>
      </c>
      <c r="J12" s="978">
        <f t="shared" si="0"/>
        <v>632.22222222222217</v>
      </c>
      <c r="K12" s="978">
        <f t="shared" si="0"/>
        <v>680</v>
      </c>
      <c r="L12" s="990">
        <f t="shared" si="0"/>
        <v>88.367626886145402</v>
      </c>
      <c r="M12" s="978">
        <f t="shared" si="0"/>
        <v>74.252873563218387</v>
      </c>
      <c r="N12" s="978" t="e">
        <f t="shared" si="0"/>
        <v>#DIV/0!</v>
      </c>
      <c r="O12" s="978">
        <f t="shared" si="0"/>
        <v>75.341365461847388</v>
      </c>
      <c r="P12" s="978">
        <f t="shared" si="0"/>
        <v>92.75</v>
      </c>
      <c r="Q12" s="978">
        <f t="shared" si="0"/>
        <v>287.28571428571428</v>
      </c>
      <c r="R12" s="978">
        <f t="shared" si="0"/>
        <v>350.55555555555554</v>
      </c>
      <c r="S12" s="978" t="e">
        <f t="shared" si="0"/>
        <v>#DIV/0!</v>
      </c>
      <c r="T12" s="990">
        <f t="shared" si="0"/>
        <v>62</v>
      </c>
      <c r="U12" s="990" t="e">
        <f t="shared" si="0"/>
        <v>#DIV/0!</v>
      </c>
      <c r="V12" s="990" t="e">
        <f t="shared" si="0"/>
        <v>#DIV/0!</v>
      </c>
      <c r="W12" s="990" t="e">
        <f t="shared" si="0"/>
        <v>#DIV/0!</v>
      </c>
      <c r="X12" s="798"/>
      <c r="Z12" t="s">
        <v>1</v>
      </c>
    </row>
    <row r="13" spans="1:27" ht="29.25" thickBot="1">
      <c r="B13" s="193"/>
    </row>
    <row r="14" spans="1:27" ht="75" customHeight="1" thickTop="1" thickBot="1">
      <c r="B14" s="727" t="s">
        <v>24</v>
      </c>
      <c r="C14" s="727">
        <v>290</v>
      </c>
      <c r="D14" s="727">
        <v>290</v>
      </c>
      <c r="E14" s="727">
        <v>290</v>
      </c>
      <c r="F14" s="727">
        <v>290</v>
      </c>
      <c r="G14" s="727">
        <v>135</v>
      </c>
      <c r="H14" s="727">
        <v>135</v>
      </c>
      <c r="I14" s="727">
        <v>120</v>
      </c>
      <c r="J14" s="727">
        <v>33</v>
      </c>
      <c r="K14" s="727">
        <v>33</v>
      </c>
      <c r="L14" s="727">
        <v>380</v>
      </c>
      <c r="M14" s="727">
        <v>380</v>
      </c>
      <c r="N14" s="727">
        <v>380</v>
      </c>
      <c r="O14" s="727">
        <v>380</v>
      </c>
      <c r="P14" s="727">
        <v>35</v>
      </c>
      <c r="Q14" s="727">
        <v>190</v>
      </c>
      <c r="R14" s="727"/>
      <c r="S14" s="727">
        <v>280</v>
      </c>
      <c r="T14" s="986">
        <v>280</v>
      </c>
      <c r="U14" s="987"/>
      <c r="V14" s="987"/>
      <c r="W14" s="989">
        <v>48</v>
      </c>
      <c r="X14" s="987"/>
    </row>
    <row r="15" spans="1:27" ht="75" customHeight="1" thickTop="1" thickBot="1">
      <c r="B15" s="80" t="s">
        <v>25</v>
      </c>
      <c r="C15" s="225">
        <f>C10*C14</f>
        <v>17980</v>
      </c>
      <c r="D15" s="225">
        <f t="shared" ref="D15:W15" si="1">D10*D14</f>
        <v>0</v>
      </c>
      <c r="E15" s="225">
        <f t="shared" si="1"/>
        <v>55100</v>
      </c>
      <c r="F15" s="225">
        <f>F10*F14</f>
        <v>5220</v>
      </c>
      <c r="G15" s="225">
        <f t="shared" si="1"/>
        <v>0</v>
      </c>
      <c r="H15" s="225">
        <f>H10*H14</f>
        <v>0</v>
      </c>
      <c r="I15" s="225">
        <f t="shared" si="1"/>
        <v>63360</v>
      </c>
      <c r="J15" s="225">
        <f t="shared" si="1"/>
        <v>187770</v>
      </c>
      <c r="K15" s="225">
        <f t="shared" si="1"/>
        <v>5610</v>
      </c>
      <c r="L15" s="225">
        <f t="shared" si="1"/>
        <v>1223980</v>
      </c>
      <c r="M15" s="225">
        <f t="shared" si="1"/>
        <v>490960</v>
      </c>
      <c r="N15" s="225">
        <f>N10*N14</f>
        <v>0</v>
      </c>
      <c r="O15" s="225">
        <f t="shared" si="1"/>
        <v>1425760</v>
      </c>
      <c r="P15" s="225">
        <f t="shared" si="1"/>
        <v>38955</v>
      </c>
      <c r="Q15" s="225">
        <f t="shared" si="1"/>
        <v>382090</v>
      </c>
      <c r="R15" s="225">
        <f t="shared" si="1"/>
        <v>0</v>
      </c>
      <c r="S15" s="225">
        <f t="shared" si="1"/>
        <v>0</v>
      </c>
      <c r="T15" s="988">
        <f t="shared" si="1"/>
        <v>34720</v>
      </c>
      <c r="U15" s="988">
        <f t="shared" si="1"/>
        <v>0</v>
      </c>
      <c r="V15" s="988">
        <f t="shared" si="1"/>
        <v>0</v>
      </c>
      <c r="W15" s="988">
        <f t="shared" si="1"/>
        <v>0</v>
      </c>
      <c r="X15" s="987"/>
      <c r="Z15" s="991"/>
    </row>
    <row r="16" spans="1:27" ht="16.5" thickTop="1" thickBot="1">
      <c r="A16" s="19"/>
      <c r="B16" s="19"/>
      <c r="C16" s="19"/>
      <c r="D16" s="19"/>
      <c r="E16" s="19" t="s">
        <v>1</v>
      </c>
      <c r="F16" s="19" t="s">
        <v>1</v>
      </c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</row>
    <row r="17" spans="1:25" ht="75" customHeight="1" thickTop="1" thickBot="1">
      <c r="A17" s="19"/>
      <c r="B17" s="19"/>
      <c r="C17" s="49"/>
      <c r="D17" s="49"/>
      <c r="E17" s="49"/>
      <c r="F17" s="49"/>
      <c r="G17" s="49"/>
      <c r="H17" s="49"/>
      <c r="I17" s="49"/>
      <c r="J17" s="49" t="s">
        <v>1</v>
      </c>
      <c r="K17" s="49"/>
      <c r="L17" s="49"/>
      <c r="M17" s="49"/>
      <c r="N17" s="49"/>
      <c r="O17" s="189" t="s">
        <v>1</v>
      </c>
      <c r="P17" s="189"/>
      <c r="Q17" s="188"/>
      <c r="T17" s="481" t="s">
        <v>26</v>
      </c>
      <c r="U17" s="212">
        <f>SUM(C15:W15)</f>
        <v>3931505</v>
      </c>
    </row>
    <row r="18" spans="1:25" ht="12.75" customHeight="1" thickTop="1" thickBot="1">
      <c r="A18" s="19"/>
      <c r="B18" s="19"/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189"/>
      <c r="P18" s="189"/>
      <c r="Q18" s="188"/>
      <c r="T18" s="685"/>
      <c r="U18" s="684"/>
    </row>
    <row r="19" spans="1:25" ht="75" customHeight="1" thickTop="1" thickBot="1">
      <c r="A19" s="19"/>
      <c r="B19" s="729" t="s">
        <v>199</v>
      </c>
      <c r="C19" s="728">
        <v>62</v>
      </c>
      <c r="D19" s="728">
        <v>64</v>
      </c>
      <c r="E19" s="728">
        <v>62</v>
      </c>
      <c r="F19" s="728">
        <v>140</v>
      </c>
      <c r="G19" s="728">
        <v>150</v>
      </c>
      <c r="H19" s="728">
        <v>150</v>
      </c>
      <c r="I19" s="728">
        <v>150</v>
      </c>
      <c r="J19" s="728">
        <v>600</v>
      </c>
      <c r="K19" s="728">
        <v>0</v>
      </c>
      <c r="L19" s="728">
        <v>64</v>
      </c>
      <c r="M19" s="728">
        <v>64</v>
      </c>
      <c r="N19" s="728">
        <v>64</v>
      </c>
      <c r="O19" s="728">
        <v>64</v>
      </c>
      <c r="P19" s="728">
        <v>64</v>
      </c>
      <c r="Q19" s="728">
        <v>0</v>
      </c>
      <c r="R19" s="728">
        <v>65</v>
      </c>
      <c r="S19" s="728">
        <v>61</v>
      </c>
      <c r="T19" s="728">
        <v>60</v>
      </c>
      <c r="U19" s="728">
        <v>270</v>
      </c>
      <c r="V19" s="728">
        <v>270</v>
      </c>
      <c r="W19" s="728">
        <v>320</v>
      </c>
      <c r="Y19" t="s">
        <v>1</v>
      </c>
    </row>
    <row r="20" spans="1:25" ht="75" customHeight="1" thickTop="1" thickBot="1">
      <c r="A20" s="19"/>
      <c r="B20" s="680" t="s">
        <v>173</v>
      </c>
      <c r="C20" s="686">
        <f>C19-C12</f>
        <v>0</v>
      </c>
      <c r="D20" s="993" t="e">
        <f t="shared" ref="D20:W20" si="2">D19-D12</f>
        <v>#DIV/0!</v>
      </c>
      <c r="E20" s="686">
        <f t="shared" si="2"/>
        <v>-1.3333333333333357</v>
      </c>
      <c r="F20" s="993">
        <f t="shared" si="2"/>
        <v>80</v>
      </c>
      <c r="G20" s="686" t="e">
        <f t="shared" si="2"/>
        <v>#DIV/0!</v>
      </c>
      <c r="H20" s="686" t="e">
        <f t="shared" si="2"/>
        <v>#DIV/0!</v>
      </c>
      <c r="I20" s="686">
        <f t="shared" si="2"/>
        <v>-26</v>
      </c>
      <c r="J20" s="686">
        <f t="shared" si="2"/>
        <v>-32.222222222222172</v>
      </c>
      <c r="K20" s="993">
        <f t="shared" si="2"/>
        <v>-680</v>
      </c>
      <c r="L20" s="686">
        <f t="shared" si="2"/>
        <v>-24.367626886145402</v>
      </c>
      <c r="M20" s="686">
        <f t="shared" si="2"/>
        <v>-10.252873563218387</v>
      </c>
      <c r="N20" s="994" t="e">
        <f t="shared" si="2"/>
        <v>#DIV/0!</v>
      </c>
      <c r="O20" s="686">
        <f t="shared" si="2"/>
        <v>-11.341365461847388</v>
      </c>
      <c r="P20" s="993">
        <f t="shared" si="2"/>
        <v>-28.75</v>
      </c>
      <c r="Q20" s="993">
        <f t="shared" si="2"/>
        <v>-287.28571428571428</v>
      </c>
      <c r="R20" s="993">
        <f t="shared" si="2"/>
        <v>-285.55555555555554</v>
      </c>
      <c r="S20" s="686" t="e">
        <f t="shared" si="2"/>
        <v>#DIV/0!</v>
      </c>
      <c r="T20" s="686">
        <f t="shared" si="2"/>
        <v>-2</v>
      </c>
      <c r="U20" s="993" t="e">
        <f t="shared" si="2"/>
        <v>#DIV/0!</v>
      </c>
      <c r="V20" s="993" t="e">
        <f t="shared" si="2"/>
        <v>#DIV/0!</v>
      </c>
      <c r="W20" s="686" t="e">
        <f t="shared" si="2"/>
        <v>#DIV/0!</v>
      </c>
    </row>
    <row r="21" spans="1:25" ht="30" thickTop="1" thickBot="1">
      <c r="A21" s="19"/>
      <c r="B21" s="193"/>
    </row>
    <row r="22" spans="1:25" ht="75" customHeight="1" thickTop="1" thickBot="1">
      <c r="A22" s="19"/>
      <c r="B22" s="727" t="s">
        <v>24</v>
      </c>
      <c r="C22" s="727">
        <v>270</v>
      </c>
      <c r="D22" s="727">
        <v>270</v>
      </c>
      <c r="E22" s="727">
        <v>270</v>
      </c>
      <c r="F22" s="727">
        <v>270</v>
      </c>
      <c r="G22" s="727">
        <v>125</v>
      </c>
      <c r="H22" s="727">
        <v>125</v>
      </c>
      <c r="I22" s="727">
        <v>113</v>
      </c>
      <c r="J22" s="727">
        <v>27</v>
      </c>
      <c r="K22" s="727">
        <v>0</v>
      </c>
      <c r="L22" s="727">
        <v>375</v>
      </c>
      <c r="M22" s="727">
        <v>375</v>
      </c>
      <c r="N22" s="727">
        <v>375</v>
      </c>
      <c r="O22" s="727">
        <v>0</v>
      </c>
      <c r="P22" s="727">
        <v>35</v>
      </c>
      <c r="Q22" s="727">
        <v>190</v>
      </c>
      <c r="R22" s="727">
        <v>190</v>
      </c>
      <c r="S22" s="727"/>
      <c r="T22" s="727">
        <v>72</v>
      </c>
      <c r="U22" s="727">
        <v>72</v>
      </c>
      <c r="V22" s="727">
        <v>72</v>
      </c>
      <c r="W22" s="727">
        <v>72</v>
      </c>
    </row>
    <row r="23" spans="1:25" ht="75" customHeight="1" thickTop="1" thickBot="1">
      <c r="B23" s="80" t="s">
        <v>25</v>
      </c>
      <c r="C23" s="730">
        <f>C20*C22</f>
        <v>0</v>
      </c>
      <c r="D23" s="995" t="e">
        <f>D20*D22</f>
        <v>#DIV/0!</v>
      </c>
      <c r="E23" s="687">
        <f t="shared" ref="E23:W23" si="3">E20*E22</f>
        <v>-360.00000000000063</v>
      </c>
      <c r="F23" s="996">
        <f t="shared" si="3"/>
        <v>21600</v>
      </c>
      <c r="G23" s="687" t="e">
        <f t="shared" si="3"/>
        <v>#DIV/0!</v>
      </c>
      <c r="H23" s="687" t="e">
        <f t="shared" si="3"/>
        <v>#DIV/0!</v>
      </c>
      <c r="I23" s="687">
        <f t="shared" si="3"/>
        <v>-2938</v>
      </c>
      <c r="J23" s="687">
        <f t="shared" si="3"/>
        <v>-869.99999999999864</v>
      </c>
      <c r="K23" s="996">
        <f t="shared" si="3"/>
        <v>0</v>
      </c>
      <c r="L23" s="687">
        <f t="shared" si="3"/>
        <v>-9137.8600823045253</v>
      </c>
      <c r="M23" s="687">
        <f t="shared" si="3"/>
        <v>-3844.8275862068949</v>
      </c>
      <c r="N23" s="996" t="e">
        <f t="shared" si="3"/>
        <v>#DIV/0!</v>
      </c>
      <c r="O23" s="687">
        <f t="shared" si="3"/>
        <v>0</v>
      </c>
      <c r="P23" s="996">
        <f t="shared" si="3"/>
        <v>-1006.25</v>
      </c>
      <c r="Q23" s="996">
        <f t="shared" si="3"/>
        <v>-54584.28571428571</v>
      </c>
      <c r="R23" s="996">
        <f t="shared" si="3"/>
        <v>-54255.555555555555</v>
      </c>
      <c r="S23" s="687" t="e">
        <f t="shared" si="3"/>
        <v>#DIV/0!</v>
      </c>
      <c r="T23" s="687">
        <f t="shared" si="3"/>
        <v>-144</v>
      </c>
      <c r="U23" s="687" t="e">
        <f t="shared" si="3"/>
        <v>#DIV/0!</v>
      </c>
      <c r="V23" s="687" t="e">
        <f t="shared" si="3"/>
        <v>#DIV/0!</v>
      </c>
      <c r="W23" s="687" t="e">
        <f t="shared" si="3"/>
        <v>#DIV/0!</v>
      </c>
    </row>
    <row r="24" spans="1:25" ht="16.5" thickTop="1" thickBot="1">
      <c r="J24" t="s">
        <v>1</v>
      </c>
    </row>
    <row r="25" spans="1:25" ht="75" customHeight="1" thickTop="1" thickBot="1">
      <c r="P25" t="s">
        <v>1</v>
      </c>
      <c r="R25" t="s">
        <v>1</v>
      </c>
      <c r="T25" s="481" t="s">
        <v>200</v>
      </c>
      <c r="U25" s="212" t="e">
        <f>SUM(C23:W23)</f>
        <v>#DIV/0!</v>
      </c>
      <c r="W25" t="s">
        <v>1</v>
      </c>
    </row>
    <row r="26" spans="1:25" ht="15.75" thickTop="1">
      <c r="D26" t="s">
        <v>1</v>
      </c>
      <c r="Q26" t="s">
        <v>1</v>
      </c>
    </row>
    <row r="41" spans="5:5">
      <c r="E41" t="s">
        <v>1</v>
      </c>
    </row>
  </sheetData>
  <mergeCells count="14">
    <mergeCell ref="U8:V8"/>
    <mergeCell ref="P6:Q6"/>
    <mergeCell ref="B8:B9"/>
    <mergeCell ref="C6:E6"/>
    <mergeCell ref="F6:H6"/>
    <mergeCell ref="I6:K6"/>
    <mergeCell ref="L6:O6"/>
    <mergeCell ref="F7:T7"/>
    <mergeCell ref="C7:E7"/>
    <mergeCell ref="C8:F8"/>
    <mergeCell ref="G8:I8"/>
    <mergeCell ref="J8:K8"/>
    <mergeCell ref="L8:R8"/>
    <mergeCell ref="S8:T8"/>
  </mergeCells>
  <printOptions horizontalCentered="1" verticalCentered="1"/>
  <pageMargins left="0" right="0" top="0" bottom="0" header="0" footer="0"/>
  <pageSetup paperSize="5" scale="29" fitToHeight="0" orientation="landscape" r:id="rId1"/>
  <ignoredErrors>
    <ignoredError sqref="C12:R12 S12:T12 Q23 O23 J23:K23 E23 B23 F23:I23 L23:N23 P23 R23:T23" evalError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CH93"/>
  <sheetViews>
    <sheetView zoomScaleNormal="100" workbookViewId="0">
      <pane xSplit="2" ySplit="7" topLeftCell="BA8" activePane="bottomRight" state="frozen"/>
      <selection pane="topRight" activeCell="C1" sqref="C1"/>
      <selection pane="bottomLeft" activeCell="A8" sqref="A8"/>
      <selection pane="bottomRight" activeCell="BE30" sqref="BE30:BF30"/>
    </sheetView>
  </sheetViews>
  <sheetFormatPr defaultRowHeight="15"/>
  <cols>
    <col min="1" max="1" width="5.42578125" bestFit="1" customWidth="1"/>
    <col min="2" max="2" width="31.28515625" bestFit="1" customWidth="1"/>
    <col min="3" max="3" width="4.7109375" customWidth="1"/>
    <col min="4" max="4" width="12.28515625" customWidth="1"/>
    <col min="5" max="5" width="4.7109375" customWidth="1"/>
    <col min="6" max="6" width="12.28515625" customWidth="1"/>
    <col min="7" max="7" width="4.7109375" customWidth="1"/>
    <col min="8" max="8" width="14.5703125" customWidth="1"/>
    <col min="9" max="9" width="4.7109375" customWidth="1"/>
    <col min="10" max="10" width="14.5703125" customWidth="1"/>
    <col min="11" max="11" width="4.7109375" customWidth="1"/>
    <col min="12" max="12" width="12.28515625" customWidth="1"/>
    <col min="13" max="13" width="4.7109375" customWidth="1"/>
    <col min="14" max="14" width="12.28515625" customWidth="1"/>
    <col min="15" max="15" width="4.7109375" customWidth="1"/>
    <col min="16" max="16" width="12.28515625" customWidth="1"/>
    <col min="17" max="17" width="4.7109375" customWidth="1"/>
    <col min="18" max="18" width="12.28515625" customWidth="1"/>
    <col min="19" max="19" width="4.7109375" customWidth="1"/>
    <col min="20" max="20" width="12.28515625" customWidth="1"/>
    <col min="21" max="21" width="4.7109375" customWidth="1"/>
    <col min="22" max="22" width="12.28515625" customWidth="1"/>
    <col min="23" max="23" width="4.7109375" customWidth="1"/>
    <col min="24" max="24" width="12.28515625" customWidth="1"/>
    <col min="25" max="25" width="4.7109375" customWidth="1"/>
    <col min="26" max="26" width="12.28515625" customWidth="1"/>
    <col min="27" max="27" width="4.7109375" customWidth="1"/>
    <col min="28" max="28" width="12.28515625" customWidth="1"/>
    <col min="29" max="29" width="4.7109375" customWidth="1"/>
    <col min="30" max="30" width="12.28515625" customWidth="1"/>
    <col min="31" max="31" width="4.7109375" customWidth="1"/>
    <col min="32" max="32" width="14.5703125" customWidth="1"/>
    <col min="33" max="33" width="4.7109375" customWidth="1"/>
    <col min="34" max="34" width="12.28515625" customWidth="1"/>
    <col min="35" max="35" width="4.7109375" customWidth="1"/>
    <col min="36" max="36" width="12.28515625" customWidth="1"/>
    <col min="37" max="37" width="4.7109375" customWidth="1"/>
    <col min="38" max="38" width="12.28515625" customWidth="1"/>
    <col min="39" max="39" width="4.7109375" customWidth="1"/>
    <col min="40" max="40" width="12.28515625" customWidth="1"/>
    <col min="41" max="41" width="4.7109375" customWidth="1"/>
    <col min="42" max="42" width="12.28515625" customWidth="1"/>
    <col min="43" max="43" width="4.7109375" customWidth="1"/>
    <col min="44" max="44" width="12.28515625" customWidth="1"/>
    <col min="45" max="45" width="4.7109375" customWidth="1"/>
    <col min="46" max="46" width="12.28515625" customWidth="1"/>
    <col min="47" max="47" width="4.7109375" customWidth="1"/>
    <col min="48" max="48" width="12.28515625" customWidth="1"/>
    <col min="49" max="49" width="4.7109375" customWidth="1"/>
    <col min="50" max="50" width="12.28515625" customWidth="1"/>
    <col min="51" max="51" width="4.7109375" customWidth="1"/>
    <col min="52" max="52" width="12.28515625" customWidth="1"/>
    <col min="53" max="53" width="4.7109375" customWidth="1"/>
    <col min="54" max="54" width="12.28515625" customWidth="1"/>
    <col min="55" max="55" width="4.7109375" customWidth="1"/>
    <col min="56" max="56" width="12.28515625" customWidth="1"/>
    <col min="57" max="57" width="4.7109375" customWidth="1"/>
    <col min="58" max="58" width="12.28515625" customWidth="1"/>
    <col min="59" max="59" width="4.7109375" customWidth="1"/>
    <col min="60" max="60" width="12.28515625" customWidth="1"/>
    <col min="61" max="61" width="5.28515625" bestFit="1" customWidth="1"/>
    <col min="62" max="62" width="12.28515625" customWidth="1"/>
    <col min="63" max="63" width="5.28515625" customWidth="1"/>
    <col min="64" max="64" width="12.28515625" customWidth="1"/>
    <col min="65" max="65" width="14.5703125" bestFit="1" customWidth="1"/>
    <col min="66" max="66" width="17" customWidth="1"/>
    <col min="67" max="69" width="18.42578125" bestFit="1" customWidth="1"/>
    <col min="70" max="70" width="17.42578125" bestFit="1" customWidth="1"/>
    <col min="71" max="71" width="18.42578125" bestFit="1" customWidth="1"/>
    <col min="73" max="75" width="17.7109375" customWidth="1"/>
    <col min="79" max="79" width="17.85546875" bestFit="1" customWidth="1"/>
    <col min="80" max="80" width="25.7109375" customWidth="1"/>
  </cols>
  <sheetData>
    <row r="2" spans="1:75">
      <c r="H2" t="s">
        <v>1</v>
      </c>
      <c r="J2" t="s">
        <v>1</v>
      </c>
      <c r="L2" t="s">
        <v>1</v>
      </c>
      <c r="BH2" t="s">
        <v>1</v>
      </c>
    </row>
    <row r="3" spans="1:75" ht="15.75" thickBot="1">
      <c r="H3" t="s">
        <v>1</v>
      </c>
      <c r="J3" t="s">
        <v>1</v>
      </c>
      <c r="AZ3" t="s">
        <v>1</v>
      </c>
      <c r="BG3" t="s">
        <v>1</v>
      </c>
      <c r="BH3" t="s">
        <v>1</v>
      </c>
      <c r="BJ3" t="s">
        <v>1</v>
      </c>
      <c r="BK3" t="s">
        <v>1</v>
      </c>
      <c r="BN3" t="s">
        <v>1</v>
      </c>
      <c r="BP3" t="s">
        <v>1</v>
      </c>
    </row>
    <row r="4" spans="1:75" ht="24" thickBot="1">
      <c r="B4" s="46"/>
      <c r="C4" s="75"/>
      <c r="G4" t="s">
        <v>1</v>
      </c>
      <c r="K4" t="s">
        <v>1</v>
      </c>
      <c r="L4" t="s">
        <v>1</v>
      </c>
      <c r="AM4" s="74"/>
      <c r="AN4" s="74"/>
      <c r="AO4" s="74"/>
      <c r="AP4" s="74"/>
      <c r="AQ4" s="74"/>
      <c r="AR4" s="74"/>
      <c r="AS4" s="731"/>
      <c r="AT4" s="731"/>
      <c r="AU4" s="731"/>
      <c r="AV4" s="731"/>
      <c r="AW4" s="731"/>
      <c r="AX4" s="731"/>
      <c r="AY4" s="74"/>
      <c r="AZ4" s="74"/>
      <c r="BA4" s="74"/>
      <c r="BB4" s="74"/>
      <c r="BC4" s="74"/>
      <c r="BD4" s="74"/>
      <c r="BE4" s="74"/>
      <c r="BF4" s="74" t="s">
        <v>1</v>
      </c>
      <c r="BG4" s="74"/>
      <c r="BH4" s="74" t="s">
        <v>1</v>
      </c>
      <c r="BI4" s="74"/>
      <c r="BJ4" s="74" t="s">
        <v>1</v>
      </c>
      <c r="BN4" t="s">
        <v>1</v>
      </c>
      <c r="BO4" t="s">
        <v>1</v>
      </c>
      <c r="BP4" t="s">
        <v>1</v>
      </c>
      <c r="BR4" t="s">
        <v>1</v>
      </c>
      <c r="BV4" t="s">
        <v>1</v>
      </c>
      <c r="BW4" t="s">
        <v>1</v>
      </c>
    </row>
    <row r="5" spans="1:75" ht="34.5" thickBot="1">
      <c r="A5" s="1295" t="s">
        <v>27</v>
      </c>
      <c r="B5" s="1020" t="s">
        <v>439</v>
      </c>
      <c r="C5" s="1291" t="s">
        <v>34</v>
      </c>
      <c r="D5" s="1292"/>
      <c r="E5" s="1291" t="s">
        <v>28</v>
      </c>
      <c r="F5" s="1292"/>
      <c r="G5" s="1291" t="s">
        <v>29</v>
      </c>
      <c r="H5" s="1292"/>
      <c r="I5" s="1291" t="s">
        <v>30</v>
      </c>
      <c r="J5" s="1292"/>
      <c r="K5" s="1291" t="s">
        <v>31</v>
      </c>
      <c r="L5" s="1292"/>
      <c r="M5" s="1291" t="s">
        <v>32</v>
      </c>
      <c r="N5" s="1292"/>
      <c r="O5" s="1291" t="s">
        <v>33</v>
      </c>
      <c r="P5" s="1292"/>
      <c r="Q5" s="1291" t="s">
        <v>34</v>
      </c>
      <c r="R5" s="1292"/>
      <c r="S5" s="1291" t="s">
        <v>28</v>
      </c>
      <c r="T5" s="1292"/>
      <c r="U5" s="1291" t="s">
        <v>29</v>
      </c>
      <c r="V5" s="1292"/>
      <c r="W5" s="1291" t="s">
        <v>30</v>
      </c>
      <c r="X5" s="1292"/>
      <c r="Y5" s="1291" t="s">
        <v>31</v>
      </c>
      <c r="Z5" s="1292"/>
      <c r="AA5" s="1291" t="s">
        <v>32</v>
      </c>
      <c r="AB5" s="1292"/>
      <c r="AC5" s="1291" t="s">
        <v>33</v>
      </c>
      <c r="AD5" s="1292"/>
      <c r="AE5" s="1291" t="s">
        <v>34</v>
      </c>
      <c r="AF5" s="1292"/>
      <c r="AG5" s="1291" t="s">
        <v>28</v>
      </c>
      <c r="AH5" s="1292"/>
      <c r="AI5" s="1291" t="s">
        <v>29</v>
      </c>
      <c r="AJ5" s="1292"/>
      <c r="AK5" s="1291" t="s">
        <v>30</v>
      </c>
      <c r="AL5" s="1292"/>
      <c r="AM5" s="1291" t="s">
        <v>31</v>
      </c>
      <c r="AN5" s="1292"/>
      <c r="AO5" s="1291" t="s">
        <v>32</v>
      </c>
      <c r="AP5" s="1292"/>
      <c r="AQ5" s="1291" t="s">
        <v>33</v>
      </c>
      <c r="AR5" s="1292"/>
      <c r="AS5" s="1291" t="s">
        <v>34</v>
      </c>
      <c r="AT5" s="1292"/>
      <c r="AU5" s="1291" t="s">
        <v>28</v>
      </c>
      <c r="AV5" s="1292"/>
      <c r="AW5" s="1291" t="s">
        <v>29</v>
      </c>
      <c r="AX5" s="1292"/>
      <c r="AY5" s="1291" t="s">
        <v>30</v>
      </c>
      <c r="AZ5" s="1292"/>
      <c r="BA5" s="1291" t="s">
        <v>31</v>
      </c>
      <c r="BB5" s="1292"/>
      <c r="BC5" s="1291" t="s">
        <v>32</v>
      </c>
      <c r="BD5" s="1292"/>
      <c r="BE5" s="1291" t="s">
        <v>33</v>
      </c>
      <c r="BF5" s="1292"/>
      <c r="BG5" s="1291" t="s">
        <v>34</v>
      </c>
      <c r="BH5" s="1292"/>
      <c r="BI5" s="1291" t="s">
        <v>28</v>
      </c>
      <c r="BJ5" s="1292"/>
      <c r="BK5" s="1291" t="s">
        <v>29</v>
      </c>
      <c r="BL5" s="1292"/>
      <c r="BM5" s="624"/>
      <c r="BN5" s="167"/>
      <c r="BO5" s="167"/>
      <c r="BP5" s="167"/>
      <c r="BQ5" s="167"/>
      <c r="BR5" s="167"/>
      <c r="BS5" s="167"/>
      <c r="BT5" s="2"/>
    </row>
    <row r="6" spans="1:75" ht="28.5" thickBot="1">
      <c r="A6" s="1296"/>
      <c r="B6" s="45">
        <v>2022</v>
      </c>
      <c r="C6" s="1282">
        <v>1</v>
      </c>
      <c r="D6" s="1283"/>
      <c r="E6" s="1282">
        <v>2</v>
      </c>
      <c r="F6" s="1283"/>
      <c r="G6" s="1282">
        <v>3</v>
      </c>
      <c r="H6" s="1283"/>
      <c r="I6" s="1282">
        <v>4</v>
      </c>
      <c r="J6" s="1283"/>
      <c r="K6" s="1282">
        <v>5</v>
      </c>
      <c r="L6" s="1283"/>
      <c r="M6" s="1282">
        <v>6</v>
      </c>
      <c r="N6" s="1283"/>
      <c r="O6" s="1284">
        <v>7</v>
      </c>
      <c r="P6" s="1285"/>
      <c r="Q6" s="1282">
        <v>8</v>
      </c>
      <c r="R6" s="1283"/>
      <c r="S6" s="1282">
        <v>9</v>
      </c>
      <c r="T6" s="1283"/>
      <c r="U6" s="1282">
        <v>10</v>
      </c>
      <c r="V6" s="1283"/>
      <c r="W6" s="1282">
        <v>11</v>
      </c>
      <c r="X6" s="1283"/>
      <c r="Y6" s="1282">
        <v>12</v>
      </c>
      <c r="Z6" s="1283"/>
      <c r="AA6" s="1282">
        <v>13</v>
      </c>
      <c r="AB6" s="1283"/>
      <c r="AC6" s="1284">
        <v>14</v>
      </c>
      <c r="AD6" s="1285"/>
      <c r="AE6" s="1282">
        <v>15</v>
      </c>
      <c r="AF6" s="1283"/>
      <c r="AG6" s="1286">
        <v>16</v>
      </c>
      <c r="AH6" s="1287"/>
      <c r="AI6" s="1286">
        <v>17</v>
      </c>
      <c r="AJ6" s="1287"/>
      <c r="AK6" s="1282">
        <v>18</v>
      </c>
      <c r="AL6" s="1283"/>
      <c r="AM6" s="1290">
        <v>19</v>
      </c>
      <c r="AN6" s="1290"/>
      <c r="AO6" s="1286">
        <v>20</v>
      </c>
      <c r="AP6" s="1287"/>
      <c r="AQ6" s="1288">
        <v>21</v>
      </c>
      <c r="AR6" s="1289"/>
      <c r="AS6" s="1286">
        <v>22</v>
      </c>
      <c r="AT6" s="1287"/>
      <c r="AU6" s="1286">
        <v>23</v>
      </c>
      <c r="AV6" s="1287"/>
      <c r="AW6" s="1286">
        <v>24</v>
      </c>
      <c r="AX6" s="1287"/>
      <c r="AY6" s="1286">
        <v>25</v>
      </c>
      <c r="AZ6" s="1287"/>
      <c r="BA6" s="1286">
        <v>26</v>
      </c>
      <c r="BB6" s="1287"/>
      <c r="BC6" s="1286">
        <v>27</v>
      </c>
      <c r="BD6" s="1287"/>
      <c r="BE6" s="1288">
        <v>28</v>
      </c>
      <c r="BF6" s="1289"/>
      <c r="BG6" s="1286">
        <v>29</v>
      </c>
      <c r="BH6" s="1287"/>
      <c r="BI6" s="1286">
        <v>30</v>
      </c>
      <c r="BJ6" s="1287"/>
      <c r="BK6" s="1293">
        <v>31</v>
      </c>
      <c r="BL6" s="1294"/>
      <c r="BM6" s="625"/>
      <c r="BN6" s="23"/>
      <c r="BO6" s="23"/>
      <c r="BP6" s="23"/>
      <c r="BQ6" s="23"/>
      <c r="BR6" s="23"/>
      <c r="BS6" s="23"/>
      <c r="BT6" s="2"/>
    </row>
    <row r="7" spans="1:75" ht="37.5" thickTop="1" thickBot="1">
      <c r="A7" s="69"/>
      <c r="B7" s="487" t="s">
        <v>35</v>
      </c>
      <c r="C7" s="912"/>
      <c r="D7" s="913"/>
      <c r="E7" s="912"/>
      <c r="F7" s="913"/>
      <c r="G7" s="1103"/>
      <c r="H7" s="1104"/>
      <c r="I7" s="1103"/>
      <c r="J7" s="913"/>
      <c r="K7" s="912"/>
      <c r="L7" s="913"/>
      <c r="M7" s="912"/>
      <c r="N7" s="1104"/>
      <c r="O7" s="1210"/>
      <c r="P7" s="1211"/>
      <c r="Q7" s="1103"/>
      <c r="R7" s="1104"/>
      <c r="S7" s="1103"/>
      <c r="T7" s="1104"/>
      <c r="U7" s="1103"/>
      <c r="V7" s="1104"/>
      <c r="W7" s="1103"/>
      <c r="X7" s="1104"/>
      <c r="Y7" s="1103"/>
      <c r="Z7" s="1104"/>
      <c r="AA7" s="1103"/>
      <c r="AB7" s="1104"/>
      <c r="AC7" s="1210"/>
      <c r="AD7" s="1211"/>
      <c r="AE7" s="1103"/>
      <c r="AF7" s="1104"/>
      <c r="AG7" s="1103"/>
      <c r="AH7" s="1104"/>
      <c r="AI7" s="1103"/>
      <c r="AJ7" s="1104"/>
      <c r="AK7" s="1103"/>
      <c r="AL7" s="1104"/>
      <c r="AM7" s="1103"/>
      <c r="AN7" s="1104"/>
      <c r="AO7" s="1103"/>
      <c r="AP7" s="1104"/>
      <c r="AQ7" s="1210"/>
      <c r="AR7" s="1211"/>
      <c r="AS7" s="1103"/>
      <c r="AT7" s="1104"/>
      <c r="AU7" s="1103"/>
      <c r="AV7" s="1104"/>
      <c r="AW7" s="1103"/>
      <c r="AX7" s="1104"/>
      <c r="AY7" s="1103"/>
      <c r="AZ7" s="1104"/>
      <c r="BA7" s="1103"/>
      <c r="BB7" s="1104"/>
      <c r="BC7" s="1103"/>
      <c r="BD7" s="1104"/>
      <c r="BE7" s="1210"/>
      <c r="BF7" s="1211"/>
      <c r="BG7" s="1103"/>
      <c r="BH7" s="1104"/>
      <c r="BI7" s="1103"/>
      <c r="BJ7" s="1104"/>
      <c r="BK7" s="1103"/>
      <c r="BL7" s="1104"/>
      <c r="BM7" s="495" t="s">
        <v>185</v>
      </c>
      <c r="BN7" s="495" t="s">
        <v>36</v>
      </c>
      <c r="BO7" s="496" t="s">
        <v>37</v>
      </c>
      <c r="BP7" s="496" t="s">
        <v>38</v>
      </c>
      <c r="BQ7" s="496" t="s">
        <v>39</v>
      </c>
      <c r="BR7" s="496" t="s">
        <v>113</v>
      </c>
      <c r="BS7" s="496" t="s">
        <v>40</v>
      </c>
      <c r="BU7" s="496" t="s">
        <v>186</v>
      </c>
      <c r="BV7" s="496" t="s">
        <v>98</v>
      </c>
      <c r="BW7" s="496" t="s">
        <v>59</v>
      </c>
    </row>
    <row r="8" spans="1:75" ht="24.75" thickTop="1" thickBot="1">
      <c r="A8" s="69">
        <v>1</v>
      </c>
      <c r="B8" s="489" t="s">
        <v>361</v>
      </c>
      <c r="C8" s="914">
        <v>1</v>
      </c>
      <c r="D8" s="915"/>
      <c r="E8" s="914">
        <v>1</v>
      </c>
      <c r="F8" s="915"/>
      <c r="G8" s="914">
        <v>1</v>
      </c>
      <c r="H8" s="215">
        <v>5000</v>
      </c>
      <c r="I8" s="914">
        <v>1</v>
      </c>
      <c r="J8" s="1168"/>
      <c r="K8" s="914">
        <v>1</v>
      </c>
      <c r="L8" s="915"/>
      <c r="M8" s="914">
        <v>1</v>
      </c>
      <c r="N8" s="215"/>
      <c r="O8" s="1209">
        <v>1</v>
      </c>
      <c r="P8" s="1212"/>
      <c r="Q8" s="914">
        <v>1</v>
      </c>
      <c r="R8" s="215"/>
      <c r="S8" s="914">
        <v>1</v>
      </c>
      <c r="T8" s="215">
        <v>7000</v>
      </c>
      <c r="U8" s="914">
        <v>1</v>
      </c>
      <c r="V8" s="215"/>
      <c r="W8" s="914">
        <v>1</v>
      </c>
      <c r="X8" s="215"/>
      <c r="Y8" s="914">
        <v>1</v>
      </c>
      <c r="Z8" s="215"/>
      <c r="AA8" s="914">
        <v>1</v>
      </c>
      <c r="AB8" s="215"/>
      <c r="AC8" s="1209">
        <v>1</v>
      </c>
      <c r="AD8" s="1212">
        <v>2000</v>
      </c>
      <c r="AE8" s="914">
        <v>1</v>
      </c>
      <c r="AF8" s="215"/>
      <c r="AG8" s="914">
        <v>1</v>
      </c>
      <c r="AH8" s="215"/>
      <c r="AI8" s="914">
        <v>1</v>
      </c>
      <c r="AJ8" s="215"/>
      <c r="AK8" s="914">
        <v>1</v>
      </c>
      <c r="AL8" s="215"/>
      <c r="AM8" s="914">
        <v>1</v>
      </c>
      <c r="AN8" s="215">
        <v>8000</v>
      </c>
      <c r="AO8" s="914">
        <v>1</v>
      </c>
      <c r="AP8" s="215"/>
      <c r="AQ8" s="1209">
        <v>1</v>
      </c>
      <c r="AR8" s="1212"/>
      <c r="AS8" s="914">
        <v>1</v>
      </c>
      <c r="AT8" s="215"/>
      <c r="AU8" s="914">
        <v>1</v>
      </c>
      <c r="AV8" s="215">
        <v>2000</v>
      </c>
      <c r="AW8" s="914">
        <v>1</v>
      </c>
      <c r="AX8" s="215"/>
      <c r="AY8" s="914">
        <v>1</v>
      </c>
      <c r="AZ8" s="215"/>
      <c r="BA8" s="914">
        <v>1</v>
      </c>
      <c r="BB8" s="215"/>
      <c r="BC8" s="914">
        <v>1</v>
      </c>
      <c r="BD8" s="215"/>
      <c r="BE8" s="1209">
        <v>1</v>
      </c>
      <c r="BF8" s="1212">
        <v>4000</v>
      </c>
      <c r="BG8" s="914"/>
      <c r="BH8" s="215"/>
      <c r="BI8" s="914"/>
      <c r="BJ8" s="215"/>
      <c r="BK8" s="914"/>
      <c r="BL8" s="215"/>
      <c r="BM8" s="215"/>
      <c r="BN8" s="491">
        <v>30</v>
      </c>
      <c r="BO8" s="492">
        <v>28000</v>
      </c>
      <c r="BP8" s="493">
        <f>BN8*BO8/30</f>
        <v>28000</v>
      </c>
      <c r="BQ8" s="217">
        <f t="shared" ref="BQ8:BQ27" si="0">D8+F8+H8+J8+L8+N8+P8+R8+T8+V8+X8+Z8+AB8+AD8+AF8+AH8+AJ8+AL8+AN8+AP8+AR8+AT8+AV8+AX8+AZ8+BB8+BD8+BF8+BH8+BJ8+BL8</f>
        <v>28000</v>
      </c>
      <c r="BR8" s="217"/>
      <c r="BS8" s="1018">
        <f>BP8-BQ8+BR8</f>
        <v>0</v>
      </c>
      <c r="BU8" s="217">
        <v>22000</v>
      </c>
      <c r="BV8" s="216"/>
      <c r="BW8" s="216">
        <f t="shared" ref="BW8:BW27" si="1">BU8-BV8</f>
        <v>22000</v>
      </c>
    </row>
    <row r="9" spans="1:75" ht="24.75" thickTop="1" thickBot="1">
      <c r="A9" s="69">
        <v>2</v>
      </c>
      <c r="B9" s="488" t="s">
        <v>362</v>
      </c>
      <c r="C9" s="914"/>
      <c r="D9" s="915"/>
      <c r="E9" s="914"/>
      <c r="F9" s="915"/>
      <c r="G9" s="914"/>
      <c r="H9" s="215"/>
      <c r="I9" s="914"/>
      <c r="J9" s="1168"/>
      <c r="K9" s="914"/>
      <c r="L9" s="915"/>
      <c r="M9" s="914"/>
      <c r="N9" s="215"/>
      <c r="O9" s="1209"/>
      <c r="P9" s="1212"/>
      <c r="Q9" s="914"/>
      <c r="R9" s="215"/>
      <c r="S9" s="914"/>
      <c r="T9" s="215"/>
      <c r="U9" s="914"/>
      <c r="V9" s="215"/>
      <c r="W9" s="914"/>
      <c r="X9" s="215"/>
      <c r="Y9" s="914"/>
      <c r="Z9" s="215"/>
      <c r="AA9" s="914"/>
      <c r="AB9" s="215"/>
      <c r="AC9" s="1209"/>
      <c r="AD9" s="1212"/>
      <c r="AE9" s="914"/>
      <c r="AF9" s="215"/>
      <c r="AG9" s="914"/>
      <c r="AH9" s="215"/>
      <c r="AI9" s="914"/>
      <c r="AJ9" s="215"/>
      <c r="AK9" s="914"/>
      <c r="AL9" s="215"/>
      <c r="AM9" s="914"/>
      <c r="AN9" s="215"/>
      <c r="AO9" s="914"/>
      <c r="AP9" s="215"/>
      <c r="AQ9" s="1209"/>
      <c r="AR9" s="1212"/>
      <c r="AS9" s="914"/>
      <c r="AT9" s="215"/>
      <c r="AU9" s="914"/>
      <c r="AV9" s="215"/>
      <c r="AW9" s="914"/>
      <c r="AX9" s="215"/>
      <c r="AY9" s="914"/>
      <c r="AZ9" s="215"/>
      <c r="BA9" s="914"/>
      <c r="BB9" s="215"/>
      <c r="BC9" s="914"/>
      <c r="BD9" s="215"/>
      <c r="BE9" s="1209"/>
      <c r="BF9" s="1212">
        <v>25000</v>
      </c>
      <c r="BG9" s="914"/>
      <c r="BH9" s="215"/>
      <c r="BI9" s="914"/>
      <c r="BJ9" s="215"/>
      <c r="BK9" s="914"/>
      <c r="BL9" s="215"/>
      <c r="BM9" s="215"/>
      <c r="BN9" s="491">
        <v>30</v>
      </c>
      <c r="BO9" s="492">
        <v>25000</v>
      </c>
      <c r="BP9" s="493">
        <f t="shared" ref="BP9:BP26" si="2">BN9*BO9/30</f>
        <v>25000</v>
      </c>
      <c r="BQ9" s="217">
        <f t="shared" si="0"/>
        <v>25000</v>
      </c>
      <c r="BR9" s="217"/>
      <c r="BS9" s="1018">
        <f t="shared" ref="BS9:BS10" si="3">BP9-BQ9+BR9</f>
        <v>0</v>
      </c>
      <c r="BT9" t="s">
        <v>1</v>
      </c>
      <c r="BU9" s="217">
        <v>0</v>
      </c>
      <c r="BV9" s="216"/>
      <c r="BW9" s="216">
        <f t="shared" si="1"/>
        <v>0</v>
      </c>
    </row>
    <row r="10" spans="1:75" ht="24.75" thickTop="1" thickBot="1">
      <c r="A10" s="69">
        <v>3</v>
      </c>
      <c r="B10" s="488" t="s">
        <v>363</v>
      </c>
      <c r="C10" s="914"/>
      <c r="D10" s="915"/>
      <c r="E10" s="914"/>
      <c r="F10" s="915"/>
      <c r="G10" s="914"/>
      <c r="H10" s="215"/>
      <c r="I10" s="914"/>
      <c r="J10" s="1168"/>
      <c r="K10" s="914"/>
      <c r="L10" s="915"/>
      <c r="M10" s="914"/>
      <c r="N10" s="215"/>
      <c r="O10" s="1209"/>
      <c r="P10" s="1212"/>
      <c r="Q10" s="914"/>
      <c r="R10" s="215"/>
      <c r="S10" s="914"/>
      <c r="T10" s="215"/>
      <c r="U10" s="914"/>
      <c r="V10" s="215"/>
      <c r="W10" s="914"/>
      <c r="X10" s="215"/>
      <c r="Y10" s="914"/>
      <c r="Z10" s="215"/>
      <c r="AA10" s="914"/>
      <c r="AB10" s="215"/>
      <c r="AC10" s="1209"/>
      <c r="AD10" s="1212"/>
      <c r="AE10" s="914"/>
      <c r="AF10" s="215"/>
      <c r="AG10" s="914"/>
      <c r="AH10" s="215"/>
      <c r="AI10" s="914"/>
      <c r="AJ10" s="215"/>
      <c r="AK10" s="914"/>
      <c r="AL10" s="215"/>
      <c r="AM10" s="914"/>
      <c r="AN10" s="215"/>
      <c r="AO10" s="914"/>
      <c r="AP10" s="215"/>
      <c r="AQ10" s="1209"/>
      <c r="AR10" s="1212"/>
      <c r="AS10" s="914"/>
      <c r="AT10" s="215"/>
      <c r="AU10" s="914"/>
      <c r="AV10" s="215"/>
      <c r="AW10" s="914"/>
      <c r="AX10" s="215">
        <v>2000</v>
      </c>
      <c r="AY10" s="914"/>
      <c r="AZ10" s="215"/>
      <c r="BA10" s="914"/>
      <c r="BB10" s="215"/>
      <c r="BC10" s="914"/>
      <c r="BD10" s="215"/>
      <c r="BE10" s="1209"/>
      <c r="BF10" s="1212">
        <v>33000</v>
      </c>
      <c r="BG10" s="914"/>
      <c r="BH10" s="215"/>
      <c r="BI10" s="914"/>
      <c r="BJ10" s="215"/>
      <c r="BK10" s="914"/>
      <c r="BL10" s="215"/>
      <c r="BM10" s="215"/>
      <c r="BN10" s="491">
        <v>30</v>
      </c>
      <c r="BO10" s="492">
        <v>35000</v>
      </c>
      <c r="BP10" s="493">
        <f t="shared" si="2"/>
        <v>35000</v>
      </c>
      <c r="BQ10" s="217">
        <f t="shared" si="0"/>
        <v>35000</v>
      </c>
      <c r="BR10" s="217"/>
      <c r="BS10" s="1018">
        <f t="shared" si="3"/>
        <v>0</v>
      </c>
      <c r="BT10" t="s">
        <v>1</v>
      </c>
      <c r="BU10" s="217">
        <v>30000</v>
      </c>
      <c r="BV10" s="216"/>
      <c r="BW10" s="216">
        <f t="shared" si="1"/>
        <v>30000</v>
      </c>
    </row>
    <row r="11" spans="1:75" ht="24.75" thickTop="1" thickBot="1">
      <c r="A11" s="69">
        <v>4</v>
      </c>
      <c r="B11" s="488" t="s">
        <v>364</v>
      </c>
      <c r="C11" s="914"/>
      <c r="D11" s="916"/>
      <c r="E11" s="914"/>
      <c r="F11" s="916"/>
      <c r="G11" s="914"/>
      <c r="H11" s="1173"/>
      <c r="I11" s="914"/>
      <c r="J11" s="1172"/>
      <c r="K11" s="914"/>
      <c r="L11" s="916"/>
      <c r="M11" s="914"/>
      <c r="N11" s="1173"/>
      <c r="O11" s="1209"/>
      <c r="P11" s="1213"/>
      <c r="Q11" s="914"/>
      <c r="R11" s="1173"/>
      <c r="S11" s="914"/>
      <c r="T11" s="1173"/>
      <c r="U11" s="914"/>
      <c r="V11" s="1173"/>
      <c r="W11" s="914"/>
      <c r="X11" s="1173"/>
      <c r="Y11" s="914"/>
      <c r="Z11" s="1173"/>
      <c r="AA11" s="914"/>
      <c r="AB11" s="1173"/>
      <c r="AC11" s="1209"/>
      <c r="AD11" s="1213"/>
      <c r="AE11" s="914"/>
      <c r="AF11" s="1173"/>
      <c r="AG11" s="914"/>
      <c r="AH11" s="1173"/>
      <c r="AI11" s="914"/>
      <c r="AJ11" s="1173"/>
      <c r="AK11" s="914"/>
      <c r="AL11" s="1173"/>
      <c r="AM11" s="914"/>
      <c r="AN11" s="1173"/>
      <c r="AO11" s="914"/>
      <c r="AP11" s="1173"/>
      <c r="AQ11" s="1209"/>
      <c r="AR11" s="1213"/>
      <c r="AS11" s="914"/>
      <c r="AT11" s="1173"/>
      <c r="AU11" s="914"/>
      <c r="AV11" s="1173"/>
      <c r="AW11" s="914"/>
      <c r="AX11" s="1173"/>
      <c r="AY11" s="914"/>
      <c r="AZ11" s="1173"/>
      <c r="BA11" s="914"/>
      <c r="BB11" s="1173"/>
      <c r="BC11" s="914"/>
      <c r="BD11" s="1173"/>
      <c r="BE11" s="1209"/>
      <c r="BF11" s="1213"/>
      <c r="BG11" s="914"/>
      <c r="BH11" s="1173"/>
      <c r="BI11" s="914"/>
      <c r="BJ11" s="1174"/>
      <c r="BK11" s="914"/>
      <c r="BL11" s="1174"/>
      <c r="BM11" s="215"/>
      <c r="BN11" s="491">
        <v>30</v>
      </c>
      <c r="BO11" s="492"/>
      <c r="BP11" s="493">
        <f t="shared" si="2"/>
        <v>0</v>
      </c>
      <c r="BQ11" s="217">
        <f t="shared" ref="BQ11:BQ22" si="4">D11+F11+H11+J11+L11+N11+P11+R11+T11+V11+X11+Z11+AB11+AD11+AF11+AH11+AJ11+AL11+AN11+AP11+AR11+AT11+AV11+AX11+AZ11+BB11+BD11+BF11+BH11+BJ11+BL11</f>
        <v>0</v>
      </c>
      <c r="BR11" s="217"/>
      <c r="BS11" s="1018">
        <f t="shared" ref="BS11:BS22" si="5">BP11-BQ11+BR11</f>
        <v>0</v>
      </c>
      <c r="BU11" s="217">
        <v>0</v>
      </c>
      <c r="BV11" s="216"/>
      <c r="BW11" s="216">
        <f t="shared" si="1"/>
        <v>0</v>
      </c>
    </row>
    <row r="12" spans="1:75" ht="24.75" thickTop="1" thickBot="1">
      <c r="A12" s="69">
        <v>5</v>
      </c>
      <c r="B12" s="490" t="s">
        <v>365</v>
      </c>
      <c r="C12" s="914"/>
      <c r="D12" s="916"/>
      <c r="E12" s="914"/>
      <c r="F12" s="916"/>
      <c r="G12" s="914"/>
      <c r="H12" s="1173"/>
      <c r="I12" s="914"/>
      <c r="J12" s="1172"/>
      <c r="K12" s="914"/>
      <c r="L12" s="916"/>
      <c r="M12" s="914"/>
      <c r="N12" s="1174"/>
      <c r="O12" s="1209"/>
      <c r="P12" s="1212"/>
      <c r="Q12" s="914"/>
      <c r="R12" s="215"/>
      <c r="S12" s="914"/>
      <c r="T12" s="215"/>
      <c r="U12" s="914"/>
      <c r="V12" s="215"/>
      <c r="W12" s="914"/>
      <c r="X12" s="215"/>
      <c r="Y12" s="914"/>
      <c r="Z12" s="215"/>
      <c r="AA12" s="914"/>
      <c r="AB12" s="215">
        <v>2000</v>
      </c>
      <c r="AC12" s="1209"/>
      <c r="AD12" s="1212"/>
      <c r="AE12" s="914"/>
      <c r="AF12" s="215"/>
      <c r="AG12" s="914"/>
      <c r="AH12" s="215"/>
      <c r="AI12" s="914"/>
      <c r="AJ12" s="215"/>
      <c r="AK12" s="914"/>
      <c r="AL12" s="215"/>
      <c r="AM12" s="914"/>
      <c r="AN12" s="215"/>
      <c r="AO12" s="914"/>
      <c r="AP12" s="215"/>
      <c r="AQ12" s="1209"/>
      <c r="AR12" s="1212"/>
      <c r="AS12" s="914"/>
      <c r="AT12" s="215"/>
      <c r="AU12" s="914"/>
      <c r="AV12" s="215"/>
      <c r="AW12" s="914"/>
      <c r="AX12" s="215"/>
      <c r="AY12" s="914"/>
      <c r="AZ12" s="215"/>
      <c r="BA12" s="914"/>
      <c r="BB12" s="215"/>
      <c r="BC12" s="914"/>
      <c r="BD12" s="215"/>
      <c r="BE12" s="1209"/>
      <c r="BF12" s="1212">
        <v>23000</v>
      </c>
      <c r="BG12" s="914"/>
      <c r="BH12" s="215"/>
      <c r="BI12" s="914"/>
      <c r="BJ12" s="215"/>
      <c r="BK12" s="914"/>
      <c r="BL12" s="215"/>
      <c r="BM12" s="215"/>
      <c r="BN12" s="491">
        <v>30</v>
      </c>
      <c r="BO12" s="492">
        <v>25000</v>
      </c>
      <c r="BP12" s="493">
        <f t="shared" si="2"/>
        <v>25000</v>
      </c>
      <c r="BQ12" s="217">
        <f t="shared" si="4"/>
        <v>25000</v>
      </c>
      <c r="BR12" s="217"/>
      <c r="BS12" s="1018">
        <f t="shared" si="5"/>
        <v>0</v>
      </c>
      <c r="BU12" s="217">
        <v>0</v>
      </c>
      <c r="BV12" s="216"/>
      <c r="BW12" s="216">
        <f t="shared" si="1"/>
        <v>0</v>
      </c>
    </row>
    <row r="13" spans="1:75" ht="24.75" thickTop="1" thickBot="1">
      <c r="A13" s="69">
        <v>6</v>
      </c>
      <c r="B13" s="488" t="s">
        <v>367</v>
      </c>
      <c r="C13" s="914"/>
      <c r="D13" s="916"/>
      <c r="E13" s="914"/>
      <c r="F13" s="916"/>
      <c r="G13" s="914"/>
      <c r="H13" s="1173"/>
      <c r="I13" s="914"/>
      <c r="J13" s="1172"/>
      <c r="K13" s="914"/>
      <c r="L13" s="916"/>
      <c r="M13" s="914"/>
      <c r="N13" s="1174"/>
      <c r="O13" s="1209"/>
      <c r="P13" s="1212"/>
      <c r="Q13" s="914"/>
      <c r="R13" s="215"/>
      <c r="S13" s="914"/>
      <c r="T13" s="215"/>
      <c r="U13" s="914"/>
      <c r="V13" s="215"/>
      <c r="W13" s="914"/>
      <c r="X13" s="215"/>
      <c r="Y13" s="914"/>
      <c r="Z13" s="215"/>
      <c r="AA13" s="914"/>
      <c r="AB13" s="215"/>
      <c r="AC13" s="1209"/>
      <c r="AD13" s="1212"/>
      <c r="AE13" s="914"/>
      <c r="AF13" s="215"/>
      <c r="AG13" s="914"/>
      <c r="AH13" s="215">
        <v>8000</v>
      </c>
      <c r="AI13" s="914"/>
      <c r="AJ13" s="215"/>
      <c r="AK13" s="914"/>
      <c r="AL13" s="215"/>
      <c r="AM13" s="914"/>
      <c r="AN13" s="215"/>
      <c r="AO13" s="914"/>
      <c r="AP13" s="215"/>
      <c r="AQ13" s="1209"/>
      <c r="AR13" s="1212"/>
      <c r="AS13" s="914"/>
      <c r="AT13" s="215"/>
      <c r="AU13" s="914"/>
      <c r="AV13" s="215"/>
      <c r="AW13" s="914"/>
      <c r="AX13" s="215"/>
      <c r="AY13" s="914"/>
      <c r="AZ13" s="215"/>
      <c r="BA13" s="914"/>
      <c r="BB13" s="215"/>
      <c r="BC13" s="914"/>
      <c r="BD13" s="215"/>
      <c r="BE13" s="1209"/>
      <c r="BF13" s="1212">
        <v>6000</v>
      </c>
      <c r="BG13" s="914"/>
      <c r="BH13" s="215"/>
      <c r="BI13" s="914"/>
      <c r="BJ13" s="215"/>
      <c r="BK13" s="914"/>
      <c r="BL13" s="215"/>
      <c r="BM13" s="215"/>
      <c r="BN13" s="491">
        <v>30</v>
      </c>
      <c r="BO13" s="492">
        <v>14000</v>
      </c>
      <c r="BP13" s="493">
        <f t="shared" si="2"/>
        <v>14000</v>
      </c>
      <c r="BQ13" s="217">
        <f t="shared" si="4"/>
        <v>14000</v>
      </c>
      <c r="BR13" s="217"/>
      <c r="BS13" s="1018">
        <f t="shared" si="5"/>
        <v>0</v>
      </c>
      <c r="BU13" s="217">
        <v>0</v>
      </c>
      <c r="BV13" s="216"/>
      <c r="BW13" s="216">
        <f t="shared" si="1"/>
        <v>0</v>
      </c>
    </row>
    <row r="14" spans="1:75" ht="24.75" thickTop="1" thickBot="1">
      <c r="A14" s="69">
        <v>7</v>
      </c>
      <c r="B14" s="488" t="s">
        <v>368</v>
      </c>
      <c r="C14" s="914"/>
      <c r="D14" s="916"/>
      <c r="E14" s="914"/>
      <c r="F14" s="916"/>
      <c r="G14" s="914"/>
      <c r="H14" s="1173"/>
      <c r="I14" s="914"/>
      <c r="J14" s="1172"/>
      <c r="K14" s="914"/>
      <c r="L14" s="916"/>
      <c r="M14" s="914"/>
      <c r="N14" s="1174"/>
      <c r="O14" s="1209"/>
      <c r="P14" s="1212"/>
      <c r="Q14" s="914"/>
      <c r="R14" s="215"/>
      <c r="S14" s="914"/>
      <c r="T14" s="215"/>
      <c r="U14" s="914"/>
      <c r="V14" s="215"/>
      <c r="W14" s="914"/>
      <c r="X14" s="215"/>
      <c r="Y14" s="914"/>
      <c r="Z14" s="215"/>
      <c r="AA14" s="914"/>
      <c r="AB14" s="215"/>
      <c r="AC14" s="1209"/>
      <c r="AD14" s="1212"/>
      <c r="AE14" s="914"/>
      <c r="AF14" s="215"/>
      <c r="AG14" s="914"/>
      <c r="AH14" s="215">
        <v>6000</v>
      </c>
      <c r="AI14" s="914"/>
      <c r="AJ14" s="215"/>
      <c r="AK14" s="914"/>
      <c r="AL14" s="215"/>
      <c r="AM14" s="914"/>
      <c r="AN14" s="215"/>
      <c r="AO14" s="914"/>
      <c r="AP14" s="215"/>
      <c r="AQ14" s="1209"/>
      <c r="AR14" s="1212"/>
      <c r="AS14" s="914"/>
      <c r="AT14" s="215"/>
      <c r="AU14" s="914"/>
      <c r="AV14" s="215"/>
      <c r="AW14" s="914"/>
      <c r="AX14" s="215"/>
      <c r="AY14" s="914"/>
      <c r="AZ14" s="215"/>
      <c r="BA14" s="914"/>
      <c r="BB14" s="215"/>
      <c r="BC14" s="914"/>
      <c r="BD14" s="215"/>
      <c r="BE14" s="1209"/>
      <c r="BF14" s="1212">
        <v>8000</v>
      </c>
      <c r="BG14" s="914"/>
      <c r="BH14" s="215"/>
      <c r="BI14" s="914"/>
      <c r="BJ14" s="215"/>
      <c r="BK14" s="914"/>
      <c r="BL14" s="215"/>
      <c r="BM14" s="215"/>
      <c r="BN14" s="491">
        <v>30</v>
      </c>
      <c r="BO14" s="492">
        <v>14000</v>
      </c>
      <c r="BP14" s="493">
        <f t="shared" si="2"/>
        <v>14000</v>
      </c>
      <c r="BQ14" s="217">
        <f t="shared" si="4"/>
        <v>14000</v>
      </c>
      <c r="BR14" s="217"/>
      <c r="BS14" s="1018">
        <f t="shared" si="5"/>
        <v>0</v>
      </c>
      <c r="BU14" s="217">
        <v>0</v>
      </c>
      <c r="BV14" s="216"/>
      <c r="BW14" s="216">
        <f t="shared" si="1"/>
        <v>0</v>
      </c>
    </row>
    <row r="15" spans="1:75" ht="24.75" thickTop="1" thickBot="1">
      <c r="A15" s="69">
        <v>8</v>
      </c>
      <c r="B15" s="488" t="s">
        <v>366</v>
      </c>
      <c r="C15" s="914"/>
      <c r="D15" s="916"/>
      <c r="E15" s="914"/>
      <c r="F15" s="916"/>
      <c r="G15" s="914"/>
      <c r="H15" s="1173"/>
      <c r="I15" s="914"/>
      <c r="J15" s="1172"/>
      <c r="K15" s="914"/>
      <c r="L15" s="916"/>
      <c r="M15" s="914"/>
      <c r="N15" s="1173"/>
      <c r="O15" s="1209"/>
      <c r="P15" s="1213"/>
      <c r="Q15" s="914"/>
      <c r="R15" s="1173"/>
      <c r="S15" s="914"/>
      <c r="T15" s="1173"/>
      <c r="U15" s="914"/>
      <c r="V15" s="1173"/>
      <c r="W15" s="914"/>
      <c r="X15" s="1173"/>
      <c r="Y15" s="914"/>
      <c r="Z15" s="1173">
        <v>1000</v>
      </c>
      <c r="AA15" s="914"/>
      <c r="AB15" s="1173">
        <v>1000</v>
      </c>
      <c r="AC15" s="1209"/>
      <c r="AD15" s="1213"/>
      <c r="AE15" s="914"/>
      <c r="AF15" s="1173"/>
      <c r="AG15" s="914"/>
      <c r="AH15" s="1173"/>
      <c r="AI15" s="914"/>
      <c r="AJ15" s="1173">
        <v>5000</v>
      </c>
      <c r="AK15" s="914"/>
      <c r="AL15" s="1173"/>
      <c r="AM15" s="914"/>
      <c r="AN15" s="1173"/>
      <c r="AO15" s="914"/>
      <c r="AP15" s="1173"/>
      <c r="AQ15" s="1209"/>
      <c r="AR15" s="1213"/>
      <c r="AS15" s="914"/>
      <c r="AT15" s="1173"/>
      <c r="AU15" s="914"/>
      <c r="AV15" s="1173"/>
      <c r="AW15" s="914"/>
      <c r="AX15" s="1173"/>
      <c r="AY15" s="914"/>
      <c r="AZ15" s="1173"/>
      <c r="BA15" s="914"/>
      <c r="BB15" s="1173"/>
      <c r="BC15" s="914"/>
      <c r="BD15" s="1173"/>
      <c r="BE15" s="1209"/>
      <c r="BF15" s="1213">
        <v>7000</v>
      </c>
      <c r="BG15" s="914"/>
      <c r="BH15" s="1173"/>
      <c r="BI15" s="914"/>
      <c r="BJ15" s="1174"/>
      <c r="BK15" s="914"/>
      <c r="BL15" s="1174"/>
      <c r="BM15" s="215"/>
      <c r="BN15" s="491">
        <v>30</v>
      </c>
      <c r="BO15" s="492">
        <v>14000</v>
      </c>
      <c r="BP15" s="493">
        <f t="shared" si="2"/>
        <v>14000</v>
      </c>
      <c r="BQ15" s="217">
        <f t="shared" si="4"/>
        <v>14000</v>
      </c>
      <c r="BR15" s="217"/>
      <c r="BS15" s="1018">
        <f t="shared" si="5"/>
        <v>0</v>
      </c>
      <c r="BU15" s="217">
        <v>4000</v>
      </c>
      <c r="BV15" s="216"/>
      <c r="BW15" s="216">
        <f t="shared" si="1"/>
        <v>4000</v>
      </c>
    </row>
    <row r="16" spans="1:75" ht="24.75" thickTop="1" thickBot="1">
      <c r="A16" s="69">
        <v>9</v>
      </c>
      <c r="B16" s="488" t="s">
        <v>369</v>
      </c>
      <c r="C16" s="914"/>
      <c r="D16" s="915"/>
      <c r="E16" s="914"/>
      <c r="F16" s="915"/>
      <c r="G16" s="914"/>
      <c r="H16" s="215"/>
      <c r="I16" s="914"/>
      <c r="J16" s="1168"/>
      <c r="K16" s="914"/>
      <c r="L16" s="915"/>
      <c r="M16" s="914"/>
      <c r="N16" s="215"/>
      <c r="O16" s="1209"/>
      <c r="P16" s="1212"/>
      <c r="Q16" s="914"/>
      <c r="R16" s="215"/>
      <c r="S16" s="914"/>
      <c r="T16" s="1241"/>
      <c r="U16" s="914"/>
      <c r="V16" s="1174"/>
      <c r="W16" s="914"/>
      <c r="X16" s="215"/>
      <c r="Y16" s="914"/>
      <c r="Z16" s="215"/>
      <c r="AA16" s="914"/>
      <c r="AB16" s="215"/>
      <c r="AC16" s="1209"/>
      <c r="AD16" s="1212"/>
      <c r="AE16" s="914"/>
      <c r="AF16" s="215"/>
      <c r="AG16" s="914"/>
      <c r="AH16" s="215"/>
      <c r="AI16" s="914"/>
      <c r="AJ16" s="215">
        <v>3000</v>
      </c>
      <c r="AK16" s="914"/>
      <c r="AL16" s="215"/>
      <c r="AM16" s="914"/>
      <c r="AN16" s="215"/>
      <c r="AO16" s="914"/>
      <c r="AP16" s="215"/>
      <c r="AQ16" s="1209"/>
      <c r="AR16" s="1242"/>
      <c r="AS16" s="914"/>
      <c r="AT16" s="1174"/>
      <c r="AU16" s="914"/>
      <c r="AV16" s="215"/>
      <c r="AW16" s="914"/>
      <c r="AX16" s="215">
        <v>1000</v>
      </c>
      <c r="AY16" s="914"/>
      <c r="AZ16" s="215"/>
      <c r="BA16" s="914"/>
      <c r="BB16" s="215"/>
      <c r="BC16" s="914"/>
      <c r="BD16" s="215"/>
      <c r="BE16" s="1209"/>
      <c r="BF16" s="1212">
        <v>10000</v>
      </c>
      <c r="BG16" s="914"/>
      <c r="BH16" s="215"/>
      <c r="BI16" s="914"/>
      <c r="BJ16" s="215"/>
      <c r="BK16" s="914"/>
      <c r="BL16" s="215"/>
      <c r="BM16" s="215"/>
      <c r="BN16" s="491">
        <v>30</v>
      </c>
      <c r="BO16" s="492">
        <v>14000</v>
      </c>
      <c r="BP16" s="493">
        <f t="shared" si="2"/>
        <v>14000</v>
      </c>
      <c r="BQ16" s="217">
        <f t="shared" si="4"/>
        <v>14000</v>
      </c>
      <c r="BR16" s="217"/>
      <c r="BS16" s="1018">
        <f t="shared" si="5"/>
        <v>0</v>
      </c>
      <c r="BU16" s="217"/>
      <c r="BV16" s="216"/>
      <c r="BW16" s="216">
        <f t="shared" si="1"/>
        <v>0</v>
      </c>
    </row>
    <row r="17" spans="1:80" ht="24.75" thickTop="1" thickBot="1">
      <c r="A17" s="69">
        <v>10</v>
      </c>
      <c r="B17" s="488" t="s">
        <v>419</v>
      </c>
      <c r="C17" s="914"/>
      <c r="D17" s="916"/>
      <c r="E17" s="914"/>
      <c r="F17" s="916"/>
      <c r="G17" s="914"/>
      <c r="H17" s="1173"/>
      <c r="I17" s="914"/>
      <c r="J17" s="1172"/>
      <c r="K17" s="914"/>
      <c r="L17" s="916"/>
      <c r="M17" s="914"/>
      <c r="N17" s="1173"/>
      <c r="O17" s="1209"/>
      <c r="P17" s="1213"/>
      <c r="Q17" s="914"/>
      <c r="R17" s="1173"/>
      <c r="S17" s="914"/>
      <c r="T17" s="1173"/>
      <c r="U17" s="914"/>
      <c r="V17" s="1173"/>
      <c r="W17" s="914"/>
      <c r="X17" s="1173"/>
      <c r="Y17" s="914"/>
      <c r="Z17" s="1173"/>
      <c r="AA17" s="914"/>
      <c r="AB17" s="1173"/>
      <c r="AC17" s="1209"/>
      <c r="AD17" s="1213"/>
      <c r="AE17" s="914"/>
      <c r="AF17" s="1173"/>
      <c r="AG17" s="914"/>
      <c r="AH17" s="1173"/>
      <c r="AI17" s="914"/>
      <c r="AJ17" s="1173"/>
      <c r="AK17" s="914"/>
      <c r="AL17" s="1173"/>
      <c r="AM17" s="914"/>
      <c r="AN17" s="1173"/>
      <c r="AO17" s="914"/>
      <c r="AP17" s="1173"/>
      <c r="AQ17" s="1209"/>
      <c r="AR17" s="1213"/>
      <c r="AS17" s="914"/>
      <c r="AT17" s="1173"/>
      <c r="AU17" s="914"/>
      <c r="AV17" s="1173"/>
      <c r="AW17" s="914"/>
      <c r="AX17" s="1173"/>
      <c r="AY17" s="914"/>
      <c r="AZ17" s="1173"/>
      <c r="BA17" s="914"/>
      <c r="BB17" s="1173"/>
      <c r="BC17" s="914"/>
      <c r="BD17" s="1173"/>
      <c r="BE17" s="1209"/>
      <c r="BF17" s="1213">
        <v>15000</v>
      </c>
      <c r="BG17" s="914"/>
      <c r="BH17" s="1173"/>
      <c r="BI17" s="914"/>
      <c r="BJ17" s="1174"/>
      <c r="BK17" s="914"/>
      <c r="BL17" s="1174"/>
      <c r="BM17" s="215"/>
      <c r="BN17" s="491">
        <v>30</v>
      </c>
      <c r="BO17" s="492">
        <v>15000</v>
      </c>
      <c r="BP17" s="493">
        <f t="shared" si="2"/>
        <v>15000</v>
      </c>
      <c r="BQ17" s="217">
        <f t="shared" si="4"/>
        <v>15000</v>
      </c>
      <c r="BR17" s="217"/>
      <c r="BS17" s="1018">
        <f t="shared" si="5"/>
        <v>0</v>
      </c>
      <c r="BU17" s="217"/>
      <c r="BV17" s="216"/>
      <c r="BW17" s="216"/>
    </row>
    <row r="18" spans="1:80" ht="24.75" thickTop="1" thickBot="1">
      <c r="A18" s="69">
        <v>11</v>
      </c>
      <c r="B18" s="490" t="s">
        <v>277</v>
      </c>
      <c r="C18" s="914"/>
      <c r="D18" s="916"/>
      <c r="E18" s="914"/>
      <c r="F18" s="916"/>
      <c r="G18" s="914"/>
      <c r="H18" s="1173"/>
      <c r="I18" s="914"/>
      <c r="J18" s="1172"/>
      <c r="K18" s="914"/>
      <c r="L18" s="916"/>
      <c r="M18" s="914"/>
      <c r="N18" s="1173"/>
      <c r="O18" s="1209"/>
      <c r="P18" s="1213"/>
      <c r="Q18" s="914"/>
      <c r="R18" s="1173"/>
      <c r="S18" s="914"/>
      <c r="T18" s="1173"/>
      <c r="U18" s="914"/>
      <c r="V18" s="1173"/>
      <c r="W18" s="914"/>
      <c r="X18" s="1173"/>
      <c r="Y18" s="914"/>
      <c r="Z18" s="1173"/>
      <c r="AA18" s="914"/>
      <c r="AB18" s="1173"/>
      <c r="AC18" s="1209"/>
      <c r="AD18" s="1213"/>
      <c r="AE18" s="914"/>
      <c r="AF18" s="1173"/>
      <c r="AG18" s="914"/>
      <c r="AH18" s="1173"/>
      <c r="AI18" s="914"/>
      <c r="AJ18" s="1173"/>
      <c r="AK18" s="914"/>
      <c r="AL18" s="1173"/>
      <c r="AM18" s="914"/>
      <c r="AN18" s="1173"/>
      <c r="AO18" s="914"/>
      <c r="AP18" s="1173"/>
      <c r="AQ18" s="1209"/>
      <c r="AR18" s="1213"/>
      <c r="AS18" s="914"/>
      <c r="AT18" s="1173"/>
      <c r="AU18" s="914"/>
      <c r="AV18" s="1173"/>
      <c r="AW18" s="914"/>
      <c r="AX18" s="1173"/>
      <c r="AY18" s="914"/>
      <c r="AZ18" s="1173"/>
      <c r="BA18" s="914"/>
      <c r="BB18" s="1173"/>
      <c r="BC18" s="914"/>
      <c r="BD18" s="1173"/>
      <c r="BE18" s="1209"/>
      <c r="BF18" s="1213">
        <v>3500</v>
      </c>
      <c r="BG18" s="914"/>
      <c r="BH18" s="1173"/>
      <c r="BI18" s="914"/>
      <c r="BJ18" s="1174"/>
      <c r="BK18" s="914"/>
      <c r="BL18" s="1174"/>
      <c r="BM18" s="215"/>
      <c r="BN18" s="491">
        <v>30</v>
      </c>
      <c r="BO18" s="492">
        <v>3500</v>
      </c>
      <c r="BP18" s="493">
        <f t="shared" si="2"/>
        <v>3500</v>
      </c>
      <c r="BQ18" s="217">
        <f t="shared" si="4"/>
        <v>3500</v>
      </c>
      <c r="BR18" s="217"/>
      <c r="BS18" s="1018">
        <f t="shared" si="5"/>
        <v>0</v>
      </c>
      <c r="BU18" s="217"/>
      <c r="BV18" s="216"/>
      <c r="BW18" s="216"/>
    </row>
    <row r="19" spans="1:80" ht="24.75" hidden="1" thickTop="1" thickBot="1">
      <c r="A19" s="69">
        <v>12</v>
      </c>
      <c r="B19" s="738"/>
      <c r="C19" s="914"/>
      <c r="D19" s="916"/>
      <c r="E19" s="213"/>
      <c r="F19" s="1094"/>
      <c r="G19" s="213"/>
      <c r="H19" s="1063"/>
      <c r="I19" s="213"/>
      <c r="J19" s="1094"/>
      <c r="K19" s="213"/>
      <c r="L19" s="1094"/>
      <c r="M19" s="1096"/>
      <c r="N19" s="1098"/>
      <c r="O19" s="213"/>
      <c r="P19" s="1063"/>
      <c r="Q19" s="213"/>
      <c r="R19" s="1063"/>
      <c r="S19" s="213"/>
      <c r="T19" s="1063"/>
      <c r="U19" s="213"/>
      <c r="V19" s="1063"/>
      <c r="W19" s="213"/>
      <c r="X19" s="1063"/>
      <c r="Y19" s="213"/>
      <c r="Z19" s="1063"/>
      <c r="AA19" s="1096"/>
      <c r="AB19" s="1098"/>
      <c r="AC19" s="213"/>
      <c r="AD19" s="1063"/>
      <c r="AE19" s="213"/>
      <c r="AF19" s="1063"/>
      <c r="AG19" s="213"/>
      <c r="AH19" s="1063"/>
      <c r="AI19" s="213"/>
      <c r="AJ19" s="1063"/>
      <c r="AK19" s="213"/>
      <c r="AL19" s="1063"/>
      <c r="AM19" s="213"/>
      <c r="AN19" s="1063"/>
      <c r="AO19" s="1096"/>
      <c r="AP19" s="1098"/>
      <c r="AQ19" s="213"/>
      <c r="AR19" s="1063"/>
      <c r="AS19" s="213"/>
      <c r="AT19" s="1063"/>
      <c r="AU19" s="213"/>
      <c r="AV19" s="1063"/>
      <c r="AW19" s="213"/>
      <c r="AX19" s="1063"/>
      <c r="AY19" s="213"/>
      <c r="AZ19" s="1063"/>
      <c r="BA19" s="213"/>
      <c r="BB19" s="1063"/>
      <c r="BC19" s="1096"/>
      <c r="BD19" s="1098"/>
      <c r="BE19" s="213"/>
      <c r="BF19" s="1063"/>
      <c r="BG19" s="213"/>
      <c r="BH19" s="1063"/>
      <c r="BI19" s="213"/>
      <c r="BJ19" s="1064"/>
      <c r="BK19" s="213"/>
      <c r="BL19" s="1064"/>
      <c r="BM19" s="215"/>
      <c r="BN19" s="491"/>
      <c r="BO19" s="492"/>
      <c r="BP19" s="493">
        <f t="shared" si="2"/>
        <v>0</v>
      </c>
      <c r="BQ19" s="217"/>
      <c r="BR19" s="217"/>
      <c r="BS19" s="1018">
        <f t="shared" si="5"/>
        <v>0</v>
      </c>
      <c r="BU19" s="217"/>
      <c r="BV19" s="216"/>
      <c r="BW19" s="216"/>
    </row>
    <row r="20" spans="1:80" ht="24.75" hidden="1" thickTop="1" thickBot="1">
      <c r="A20" s="69">
        <v>13</v>
      </c>
      <c r="B20" s="488"/>
      <c r="C20" s="914"/>
      <c r="D20" s="916"/>
      <c r="E20" s="213"/>
      <c r="F20" s="1094"/>
      <c r="G20" s="213"/>
      <c r="H20" s="1063"/>
      <c r="I20" s="213"/>
      <c r="J20" s="1094"/>
      <c r="K20" s="213"/>
      <c r="L20" s="1094"/>
      <c r="M20" s="1096"/>
      <c r="N20" s="1098"/>
      <c r="O20" s="213"/>
      <c r="P20" s="1063"/>
      <c r="Q20" s="213"/>
      <c r="R20" s="1063"/>
      <c r="S20" s="213"/>
      <c r="T20" s="1063"/>
      <c r="U20" s="213"/>
      <c r="V20" s="1063"/>
      <c r="W20" s="213"/>
      <c r="X20" s="1063"/>
      <c r="Y20" s="213"/>
      <c r="Z20" s="1063"/>
      <c r="AA20" s="1096"/>
      <c r="AB20" s="1098"/>
      <c r="AC20" s="213"/>
      <c r="AD20" s="1063"/>
      <c r="AE20" s="213"/>
      <c r="AF20" s="1063"/>
      <c r="AG20" s="213"/>
      <c r="AH20" s="1063"/>
      <c r="AI20" s="213"/>
      <c r="AJ20" s="1063"/>
      <c r="AK20" s="213"/>
      <c r="AL20" s="1063"/>
      <c r="AM20" s="213"/>
      <c r="AN20" s="1063"/>
      <c r="AO20" s="1096"/>
      <c r="AP20" s="1098"/>
      <c r="AQ20" s="213"/>
      <c r="AR20" s="1063"/>
      <c r="AS20" s="213"/>
      <c r="AT20" s="1063"/>
      <c r="AU20" s="213"/>
      <c r="AV20" s="1063"/>
      <c r="AW20" s="213"/>
      <c r="AX20" s="1063"/>
      <c r="AY20" s="213"/>
      <c r="AZ20" s="1063"/>
      <c r="BA20" s="213"/>
      <c r="BB20" s="1063"/>
      <c r="BC20" s="1096"/>
      <c r="BD20" s="1098"/>
      <c r="BE20" s="213"/>
      <c r="BF20" s="1063"/>
      <c r="BG20" s="213"/>
      <c r="BH20" s="1063"/>
      <c r="BI20" s="213"/>
      <c r="BJ20" s="1064"/>
      <c r="BK20" s="213"/>
      <c r="BL20" s="1064"/>
      <c r="BM20" s="215"/>
      <c r="BN20" s="491"/>
      <c r="BO20" s="492"/>
      <c r="BP20" s="493">
        <f t="shared" si="2"/>
        <v>0</v>
      </c>
      <c r="BQ20" s="217">
        <f t="shared" si="4"/>
        <v>0</v>
      </c>
      <c r="BR20" s="217"/>
      <c r="BS20" s="1018">
        <f t="shared" si="5"/>
        <v>0</v>
      </c>
      <c r="BU20" s="217"/>
      <c r="BV20" s="216"/>
      <c r="BW20" s="216">
        <f t="shared" si="1"/>
        <v>0</v>
      </c>
    </row>
    <row r="21" spans="1:80" ht="24.75" hidden="1" thickTop="1" thickBot="1">
      <c r="A21" s="737">
        <v>14</v>
      </c>
      <c r="B21" s="490"/>
      <c r="C21" s="914"/>
      <c r="D21" s="917"/>
      <c r="E21" s="213"/>
      <c r="F21" s="1095"/>
      <c r="G21" s="213"/>
      <c r="H21" s="1065"/>
      <c r="I21" s="213"/>
      <c r="J21" s="1095"/>
      <c r="K21" s="213"/>
      <c r="L21" s="1095"/>
      <c r="M21" s="1096"/>
      <c r="N21" s="1099"/>
      <c r="O21" s="213"/>
      <c r="P21" s="1065"/>
      <c r="Q21" s="213"/>
      <c r="R21" s="1065"/>
      <c r="S21" s="213"/>
      <c r="T21" s="1065"/>
      <c r="U21" s="213"/>
      <c r="V21" s="1065"/>
      <c r="W21" s="213"/>
      <c r="X21" s="1065"/>
      <c r="Y21" s="213"/>
      <c r="Z21" s="1065"/>
      <c r="AA21" s="1096"/>
      <c r="AB21" s="1099"/>
      <c r="AC21" s="213"/>
      <c r="AD21" s="1065"/>
      <c r="AE21" s="213"/>
      <c r="AF21" s="1065"/>
      <c r="AG21" s="213"/>
      <c r="AH21" s="1065"/>
      <c r="AI21" s="213"/>
      <c r="AJ21" s="1065"/>
      <c r="AK21" s="213"/>
      <c r="AL21" s="1065"/>
      <c r="AM21" s="213"/>
      <c r="AN21" s="1065"/>
      <c r="AO21" s="1096"/>
      <c r="AP21" s="1099"/>
      <c r="AQ21" s="213"/>
      <c r="AR21" s="1065"/>
      <c r="AS21" s="213"/>
      <c r="AT21" s="1065"/>
      <c r="AU21" s="213"/>
      <c r="AV21" s="1065"/>
      <c r="AW21" s="213"/>
      <c r="AX21" s="1065"/>
      <c r="AY21" s="213"/>
      <c r="AZ21" s="1065"/>
      <c r="BA21" s="213"/>
      <c r="BB21" s="1065"/>
      <c r="BC21" s="1096"/>
      <c r="BD21" s="1099"/>
      <c r="BE21" s="213"/>
      <c r="BF21" s="1065"/>
      <c r="BG21" s="213"/>
      <c r="BH21" s="1065"/>
      <c r="BI21" s="213"/>
      <c r="BJ21" s="1066"/>
      <c r="BK21" s="213"/>
      <c r="BL21" s="1066"/>
      <c r="BM21" s="626"/>
      <c r="BN21" s="491"/>
      <c r="BO21" s="494"/>
      <c r="BP21" s="493">
        <f t="shared" si="2"/>
        <v>0</v>
      </c>
      <c r="BQ21" s="219">
        <f t="shared" si="4"/>
        <v>0</v>
      </c>
      <c r="BR21" s="219"/>
      <c r="BS21" s="1019">
        <f t="shared" si="5"/>
        <v>0</v>
      </c>
      <c r="BU21" s="219">
        <v>0</v>
      </c>
      <c r="BV21" s="218"/>
      <c r="BW21" s="216">
        <f t="shared" si="1"/>
        <v>0</v>
      </c>
    </row>
    <row r="22" spans="1:80" s="739" customFormat="1" ht="24.75" hidden="1" thickTop="1" thickBot="1">
      <c r="A22" s="69"/>
      <c r="B22" s="738"/>
      <c r="C22" s="914"/>
      <c r="D22" s="916"/>
      <c r="E22" s="213"/>
      <c r="F22" s="1094"/>
      <c r="G22" s="213"/>
      <c r="H22" s="1063"/>
      <c r="I22" s="213"/>
      <c r="J22" s="1094"/>
      <c r="K22" s="213"/>
      <c r="L22" s="1094"/>
      <c r="M22" s="1096"/>
      <c r="N22" s="1098"/>
      <c r="O22" s="213"/>
      <c r="P22" s="1063"/>
      <c r="Q22" s="213"/>
      <c r="R22" s="1063"/>
      <c r="S22" s="213"/>
      <c r="T22" s="1063"/>
      <c r="U22" s="213"/>
      <c r="V22" s="1063"/>
      <c r="W22" s="213"/>
      <c r="X22" s="1063"/>
      <c r="Y22" s="213"/>
      <c r="Z22" s="1063"/>
      <c r="AA22" s="1096"/>
      <c r="AB22" s="1098"/>
      <c r="AC22" s="213"/>
      <c r="AD22" s="1063"/>
      <c r="AE22" s="213"/>
      <c r="AF22" s="1063"/>
      <c r="AG22" s="213"/>
      <c r="AH22" s="1063"/>
      <c r="AI22" s="213"/>
      <c r="AJ22" s="1063"/>
      <c r="AK22" s="213"/>
      <c r="AL22" s="1063"/>
      <c r="AM22" s="213"/>
      <c r="AN22" s="1063"/>
      <c r="AO22" s="1096"/>
      <c r="AP22" s="1098"/>
      <c r="AQ22" s="213"/>
      <c r="AR22" s="1063"/>
      <c r="AS22" s="213"/>
      <c r="AT22" s="1063"/>
      <c r="AU22" s="213"/>
      <c r="AV22" s="1063"/>
      <c r="AW22" s="213"/>
      <c r="AX22" s="1063"/>
      <c r="AY22" s="213"/>
      <c r="AZ22" s="1063"/>
      <c r="BA22" s="213"/>
      <c r="BB22" s="1063"/>
      <c r="BC22" s="1096"/>
      <c r="BD22" s="1098"/>
      <c r="BE22" s="213"/>
      <c r="BF22" s="1063"/>
      <c r="BG22" s="213"/>
      <c r="BH22" s="1063"/>
      <c r="BI22" s="213"/>
      <c r="BJ22" s="1064"/>
      <c r="BK22" s="213"/>
      <c r="BL22" s="1064"/>
      <c r="BM22" s="214"/>
      <c r="BN22" s="491"/>
      <c r="BO22" s="492"/>
      <c r="BP22" s="493">
        <f t="shared" si="2"/>
        <v>0</v>
      </c>
      <c r="BQ22" s="217">
        <f t="shared" si="4"/>
        <v>0</v>
      </c>
      <c r="BR22" s="217"/>
      <c r="BS22" s="1018">
        <f t="shared" si="5"/>
        <v>0</v>
      </c>
      <c r="BU22" s="217">
        <v>0</v>
      </c>
      <c r="BV22" s="216"/>
      <c r="BW22" s="216">
        <f t="shared" si="1"/>
        <v>0</v>
      </c>
    </row>
    <row r="23" spans="1:80" ht="24.75" hidden="1" thickTop="1" thickBot="1">
      <c r="A23" s="69"/>
      <c r="B23" s="488"/>
      <c r="C23" s="914"/>
      <c r="D23" s="915"/>
      <c r="E23" s="213"/>
      <c r="F23" s="1093"/>
      <c r="G23" s="213"/>
      <c r="H23" s="214"/>
      <c r="I23" s="213"/>
      <c r="J23" s="1093"/>
      <c r="K23" s="213"/>
      <c r="L23" s="1093"/>
      <c r="M23" s="1096"/>
      <c r="N23" s="1097"/>
      <c r="O23" s="213"/>
      <c r="P23" s="214"/>
      <c r="Q23" s="213"/>
      <c r="R23" s="214"/>
      <c r="S23" s="213"/>
      <c r="T23" s="214"/>
      <c r="U23" s="213"/>
      <c r="V23" s="214"/>
      <c r="W23" s="213"/>
      <c r="X23" s="214"/>
      <c r="Y23" s="213"/>
      <c r="Z23" s="214"/>
      <c r="AA23" s="1096"/>
      <c r="AB23" s="1097"/>
      <c r="AC23" s="213"/>
      <c r="AD23" s="214"/>
      <c r="AE23" s="213"/>
      <c r="AF23" s="214"/>
      <c r="AG23" s="213"/>
      <c r="AH23" s="214"/>
      <c r="AI23" s="213"/>
      <c r="AJ23" s="214"/>
      <c r="AK23" s="213"/>
      <c r="AL23" s="214"/>
      <c r="AM23" s="213"/>
      <c r="AN23" s="214"/>
      <c r="AO23" s="1096"/>
      <c r="AP23" s="1097"/>
      <c r="AQ23" s="213"/>
      <c r="AR23" s="214"/>
      <c r="AS23" s="213"/>
      <c r="AT23" s="214"/>
      <c r="AU23" s="213"/>
      <c r="AV23" s="214"/>
      <c r="AW23" s="213"/>
      <c r="AX23" s="214"/>
      <c r="AY23" s="213"/>
      <c r="AZ23" s="214"/>
      <c r="BA23" s="213"/>
      <c r="BB23" s="214"/>
      <c r="BC23" s="1096"/>
      <c r="BD23" s="1097"/>
      <c r="BE23" s="213"/>
      <c r="BF23" s="214"/>
      <c r="BG23" s="213"/>
      <c r="BH23" s="214"/>
      <c r="BI23" s="213"/>
      <c r="BJ23" s="214"/>
      <c r="BK23" s="213"/>
      <c r="BL23" s="214"/>
      <c r="BM23" s="215"/>
      <c r="BN23" s="491"/>
      <c r="BO23" s="492"/>
      <c r="BP23" s="493">
        <f>BN23*BO23/30</f>
        <v>0</v>
      </c>
      <c r="BQ23" s="217">
        <f>D23+F23+H23+J23+L23+N23+P23+R23+T23+V23+X23+Z23+AB23+AD23+AF23+AH23+AJ23+AL23+AN23+AP23+AR23+AT23+AV23+AX23+AZ23+BB23+BD23+BF23+BH23+BJ23+BL23</f>
        <v>0</v>
      </c>
      <c r="BR23" s="217"/>
      <c r="BS23" s="1018">
        <f>BP23-BQ23+BR23</f>
        <v>0</v>
      </c>
      <c r="BU23" s="217">
        <v>0</v>
      </c>
      <c r="BV23" s="216"/>
      <c r="BW23" s="216">
        <f>BU23-BV23</f>
        <v>0</v>
      </c>
      <c r="BX23" s="739"/>
    </row>
    <row r="24" spans="1:80" ht="24.75" hidden="1" thickTop="1" thickBot="1">
      <c r="A24" s="69"/>
      <c r="B24" s="488"/>
      <c r="C24" s="914"/>
      <c r="D24" s="916"/>
      <c r="E24" s="213"/>
      <c r="F24" s="1094"/>
      <c r="G24" s="213"/>
      <c r="H24" s="1063"/>
      <c r="I24" s="213"/>
      <c r="J24" s="1094"/>
      <c r="K24" s="213"/>
      <c r="L24" s="1094"/>
      <c r="M24" s="1096"/>
      <c r="N24" s="1098"/>
      <c r="O24" s="213"/>
      <c r="P24" s="1063"/>
      <c r="Q24" s="213"/>
      <c r="R24" s="1063"/>
      <c r="S24" s="213"/>
      <c r="T24" s="1063"/>
      <c r="U24" s="213"/>
      <c r="V24" s="1063"/>
      <c r="W24" s="213"/>
      <c r="X24" s="1063"/>
      <c r="Y24" s="213"/>
      <c r="Z24" s="1063"/>
      <c r="AA24" s="1096"/>
      <c r="AB24" s="1098"/>
      <c r="AC24" s="213"/>
      <c r="AD24" s="1063"/>
      <c r="AE24" s="213"/>
      <c r="AF24" s="1063"/>
      <c r="AG24" s="213"/>
      <c r="AH24" s="1063"/>
      <c r="AI24" s="213"/>
      <c r="AJ24" s="1063"/>
      <c r="AK24" s="213"/>
      <c r="AL24" s="1063"/>
      <c r="AM24" s="213"/>
      <c r="AN24" s="1063"/>
      <c r="AO24" s="1096"/>
      <c r="AP24" s="1098"/>
      <c r="AQ24" s="213"/>
      <c r="AR24" s="1063"/>
      <c r="AS24" s="213"/>
      <c r="AT24" s="1063"/>
      <c r="AU24" s="213"/>
      <c r="AV24" s="1063"/>
      <c r="AW24" s="213"/>
      <c r="AX24" s="1063"/>
      <c r="AY24" s="213"/>
      <c r="AZ24" s="1063"/>
      <c r="BA24" s="213"/>
      <c r="BB24" s="1063"/>
      <c r="BC24" s="1096"/>
      <c r="BD24" s="1098"/>
      <c r="BE24" s="213"/>
      <c r="BF24" s="1063"/>
      <c r="BG24" s="213"/>
      <c r="BH24" s="1063"/>
      <c r="BI24" s="213"/>
      <c r="BJ24" s="1064"/>
      <c r="BK24" s="213"/>
      <c r="BL24" s="1064"/>
      <c r="BM24" s="215"/>
      <c r="BN24" s="491"/>
      <c r="BO24" s="492"/>
      <c r="BP24" s="493">
        <f t="shared" si="2"/>
        <v>0</v>
      </c>
      <c r="BQ24" s="217">
        <f>D24+F24+H24+J24+L24+N24+P24+R24+T24+V24+X24+Z24+AB24+AD24+AF24+AH24+AJ24+AL24+AN24+AP24+AR24+AT24+AV24+AX24+AZ24+BB24+BD24+BF24+BH24+BJ24+BL24</f>
        <v>0</v>
      </c>
      <c r="BR24" s="217"/>
      <c r="BS24" s="1018">
        <f>BP24-BQ24+BR24</f>
        <v>0</v>
      </c>
      <c r="BU24" s="217">
        <v>0</v>
      </c>
      <c r="BV24" s="216"/>
      <c r="BW24" s="216">
        <f t="shared" si="1"/>
        <v>0</v>
      </c>
      <c r="BX24" s="739"/>
    </row>
    <row r="25" spans="1:80" ht="24.75" hidden="1" thickTop="1" thickBot="1">
      <c r="A25" s="69"/>
      <c r="B25" s="488"/>
      <c r="C25" s="914"/>
      <c r="D25" s="916"/>
      <c r="E25" s="213"/>
      <c r="F25" s="1094"/>
      <c r="G25" s="213"/>
      <c r="H25" s="1063"/>
      <c r="I25" s="213"/>
      <c r="J25" s="1094"/>
      <c r="K25" s="213"/>
      <c r="L25" s="1094"/>
      <c r="M25" s="1096"/>
      <c r="N25" s="1098"/>
      <c r="O25" s="213"/>
      <c r="P25" s="1063"/>
      <c r="Q25" s="213"/>
      <c r="R25" s="1063"/>
      <c r="S25" s="213"/>
      <c r="T25" s="1063"/>
      <c r="U25" s="213"/>
      <c r="V25" s="1063"/>
      <c r="W25" s="213"/>
      <c r="X25" s="1063"/>
      <c r="Y25" s="213"/>
      <c r="Z25" s="1063"/>
      <c r="AA25" s="1096"/>
      <c r="AB25" s="1098"/>
      <c r="AC25" s="213"/>
      <c r="AD25" s="1063"/>
      <c r="AE25" s="213"/>
      <c r="AF25" s="1063"/>
      <c r="AG25" s="213"/>
      <c r="AH25" s="1063"/>
      <c r="AI25" s="213"/>
      <c r="AJ25" s="1063"/>
      <c r="AK25" s="213"/>
      <c r="AL25" s="1063"/>
      <c r="AM25" s="213"/>
      <c r="AN25" s="1063"/>
      <c r="AO25" s="1096"/>
      <c r="AP25" s="1098"/>
      <c r="AQ25" s="213"/>
      <c r="AR25" s="1063"/>
      <c r="AS25" s="213"/>
      <c r="AT25" s="1063"/>
      <c r="AU25" s="213"/>
      <c r="AV25" s="1063"/>
      <c r="AW25" s="213"/>
      <c r="AX25" s="1063"/>
      <c r="AY25" s="213"/>
      <c r="AZ25" s="1063"/>
      <c r="BA25" s="213"/>
      <c r="BB25" s="1063"/>
      <c r="BC25" s="1096"/>
      <c r="BD25" s="1098"/>
      <c r="BE25" s="213"/>
      <c r="BF25" s="1063"/>
      <c r="BG25" s="213"/>
      <c r="BH25" s="1063"/>
      <c r="BI25" s="213"/>
      <c r="BJ25" s="1064"/>
      <c r="BK25" s="213"/>
      <c r="BL25" s="1064"/>
      <c r="BM25" s="215"/>
      <c r="BN25" s="491"/>
      <c r="BO25" s="492"/>
      <c r="BP25" s="493">
        <f t="shared" si="2"/>
        <v>0</v>
      </c>
      <c r="BQ25" s="217">
        <f>D25+F25+H25+J25+L25+N25+P25+R25+T25+V25+X25+Z25+AB25+AD25+AF25+AH25+AJ25+AL25+AN25+AP25+AR25+AT25+AV25+AX25+AZ25+BB25+BD25+BF25+BH25+BJ25+BL25</f>
        <v>0</v>
      </c>
      <c r="BR25" s="217"/>
      <c r="BS25" s="1018">
        <f>BP25-BQ25+BR25</f>
        <v>0</v>
      </c>
      <c r="BU25" s="217">
        <v>0</v>
      </c>
      <c r="BV25" s="216"/>
      <c r="BW25" s="216">
        <f t="shared" si="1"/>
        <v>0</v>
      </c>
      <c r="BX25" s="739"/>
    </row>
    <row r="26" spans="1:80" ht="24.75" hidden="1" thickTop="1" thickBot="1">
      <c r="A26" s="69"/>
      <c r="B26" s="488"/>
      <c r="C26" s="914"/>
      <c r="D26" s="916"/>
      <c r="E26" s="213"/>
      <c r="F26" s="1094"/>
      <c r="G26" s="213"/>
      <c r="H26" s="1063"/>
      <c r="I26" s="213"/>
      <c r="J26" s="1094"/>
      <c r="K26" s="213"/>
      <c r="L26" s="1094"/>
      <c r="M26" s="1096"/>
      <c r="N26" s="1098"/>
      <c r="O26" s="213"/>
      <c r="P26" s="1063"/>
      <c r="Q26" s="213"/>
      <c r="R26" s="1063"/>
      <c r="S26" s="213"/>
      <c r="T26" s="1063"/>
      <c r="U26" s="213"/>
      <c r="V26" s="1063"/>
      <c r="W26" s="213"/>
      <c r="X26" s="1063"/>
      <c r="Y26" s="213"/>
      <c r="Z26" s="1063"/>
      <c r="AA26" s="1096"/>
      <c r="AB26" s="1098"/>
      <c r="AC26" s="213"/>
      <c r="AD26" s="1063"/>
      <c r="AE26" s="213"/>
      <c r="AF26" s="1063"/>
      <c r="AG26" s="213"/>
      <c r="AH26" s="1063"/>
      <c r="AI26" s="213"/>
      <c r="AJ26" s="1063"/>
      <c r="AK26" s="213"/>
      <c r="AL26" s="1063"/>
      <c r="AM26" s="213"/>
      <c r="AN26" s="1063"/>
      <c r="AO26" s="1096"/>
      <c r="AP26" s="1098"/>
      <c r="AQ26" s="213"/>
      <c r="AR26" s="1063"/>
      <c r="AS26" s="213"/>
      <c r="AT26" s="1063"/>
      <c r="AU26" s="213"/>
      <c r="AV26" s="1063"/>
      <c r="AW26" s="213"/>
      <c r="AX26" s="1063"/>
      <c r="AY26" s="213"/>
      <c r="AZ26" s="1063"/>
      <c r="BA26" s="213"/>
      <c r="BB26" s="1063"/>
      <c r="BC26" s="1096"/>
      <c r="BD26" s="1098"/>
      <c r="BE26" s="213"/>
      <c r="BF26" s="1063"/>
      <c r="BG26" s="213"/>
      <c r="BH26" s="1063"/>
      <c r="BI26" s="213"/>
      <c r="BJ26" s="1064"/>
      <c r="BK26" s="213"/>
      <c r="BL26" s="1064"/>
      <c r="BM26" s="215"/>
      <c r="BN26" s="491"/>
      <c r="BO26" s="492"/>
      <c r="BP26" s="493">
        <f t="shared" si="2"/>
        <v>0</v>
      </c>
      <c r="BQ26" s="217">
        <f>D26+F26+H26+J26+L26+N26+P26+R26+T26+V26+X26+Z26+AB26+AD26+AF26+AH26+AJ26+AL26+AN26+AP26+AR26+AT26+AV26+AX26+AZ26+BB26+BD26+BF26+BH26+BJ26+BL26</f>
        <v>0</v>
      </c>
      <c r="BR26" s="217"/>
      <c r="BS26" s="1018">
        <f>BP26-BQ26+BR26</f>
        <v>0</v>
      </c>
      <c r="BU26" s="217">
        <v>0</v>
      </c>
      <c r="BV26" s="216"/>
      <c r="BW26" s="216">
        <f t="shared" si="1"/>
        <v>0</v>
      </c>
      <c r="BX26" s="739"/>
    </row>
    <row r="27" spans="1:80" ht="24.75" hidden="1" thickTop="1" thickBot="1">
      <c r="B27" s="488"/>
      <c r="C27" s="914"/>
      <c r="D27" s="916"/>
      <c r="E27" s="213"/>
      <c r="F27" s="1094"/>
      <c r="G27" s="213"/>
      <c r="H27" s="1063"/>
      <c r="I27" s="213"/>
      <c r="J27" s="1094"/>
      <c r="K27" s="213"/>
      <c r="L27" s="1094"/>
      <c r="M27" s="1096"/>
      <c r="N27" s="1098"/>
      <c r="O27" s="213"/>
      <c r="P27" s="1063"/>
      <c r="Q27" s="213"/>
      <c r="R27" s="1063"/>
      <c r="S27" s="213"/>
      <c r="T27" s="1063"/>
      <c r="U27" s="213"/>
      <c r="V27" s="1063"/>
      <c r="W27" s="213"/>
      <c r="X27" s="1063"/>
      <c r="Y27" s="213"/>
      <c r="Z27" s="1063"/>
      <c r="AA27" s="1096"/>
      <c r="AB27" s="1098"/>
      <c r="AC27" s="213"/>
      <c r="AD27" s="1063"/>
      <c r="AE27" s="213"/>
      <c r="AF27" s="1063"/>
      <c r="AG27" s="213"/>
      <c r="AH27" s="1063"/>
      <c r="AI27" s="213"/>
      <c r="AJ27" s="1063"/>
      <c r="AK27" s="213"/>
      <c r="AL27" s="1063"/>
      <c r="AM27" s="213"/>
      <c r="AN27" s="1063"/>
      <c r="AO27" s="1096"/>
      <c r="AP27" s="1098"/>
      <c r="AQ27" s="213"/>
      <c r="AR27" s="1063"/>
      <c r="AS27" s="213"/>
      <c r="AT27" s="1063"/>
      <c r="AU27" s="213"/>
      <c r="AV27" s="1063"/>
      <c r="AW27" s="213"/>
      <c r="AX27" s="1063"/>
      <c r="AY27" s="213"/>
      <c r="AZ27" s="1063"/>
      <c r="BA27" s="213"/>
      <c r="BB27" s="1063"/>
      <c r="BC27" s="1096"/>
      <c r="BD27" s="1098"/>
      <c r="BE27" s="213"/>
      <c r="BF27" s="1063"/>
      <c r="BG27" s="213"/>
      <c r="BH27" s="1063"/>
      <c r="BI27" s="213"/>
      <c r="BJ27" s="1063"/>
      <c r="BK27" s="213"/>
      <c r="BL27" s="1064"/>
      <c r="BM27" s="215"/>
      <c r="BN27" s="213">
        <f t="shared" ref="BN27" si="6">SUM(C27+E27+G27+I27+K27+M27+O27+Q27+S27+U27+W27+Y27+AA27+AC27+AE27+AG27+AI27+AK27+AM27+AO27+AQ27+AS27+AU27+AW27+AY27+BA27+BC27+BE27+BG27+BI27+BK27)</f>
        <v>0</v>
      </c>
      <c r="BO27" s="492"/>
      <c r="BP27" s="493">
        <f t="shared" ref="BP27" si="7">BN27*BO27/31</f>
        <v>0</v>
      </c>
      <c r="BQ27" s="217">
        <f t="shared" si="0"/>
        <v>0</v>
      </c>
      <c r="BR27" s="217"/>
      <c r="BS27" s="216">
        <f t="shared" ref="BS27" si="8">BP27-BQ27+BR27</f>
        <v>0</v>
      </c>
      <c r="BU27" s="217">
        <v>0</v>
      </c>
      <c r="BV27" s="216"/>
      <c r="BW27" s="216">
        <f t="shared" si="1"/>
        <v>0</v>
      </c>
      <c r="BX27" s="739"/>
    </row>
    <row r="28" spans="1:80" ht="30" customHeight="1" thickTop="1" thickBot="1">
      <c r="B28" s="1013" t="s">
        <v>41</v>
      </c>
      <c r="C28" s="1280">
        <f>SUM(D8:D27)</f>
        <v>0</v>
      </c>
      <c r="D28" s="1280"/>
      <c r="E28" s="1280">
        <f>SUM(F8:F27)</f>
        <v>0</v>
      </c>
      <c r="F28" s="1280"/>
      <c r="G28" s="1280">
        <f>SUM(H8:H27)</f>
        <v>5000</v>
      </c>
      <c r="H28" s="1280"/>
      <c r="I28" s="1280">
        <f>SUM(J8:J27)</f>
        <v>0</v>
      </c>
      <c r="J28" s="1280"/>
      <c r="K28" s="1280">
        <f>SUM(L8:L27)</f>
        <v>0</v>
      </c>
      <c r="L28" s="1280"/>
      <c r="M28" s="1280">
        <f>SUM(N8:N27)</f>
        <v>0</v>
      </c>
      <c r="N28" s="1280"/>
      <c r="O28" s="1280">
        <f>SUM(P8:P27)</f>
        <v>0</v>
      </c>
      <c r="P28" s="1280"/>
      <c r="Q28" s="1280">
        <f>SUM(R8:R27)</f>
        <v>0</v>
      </c>
      <c r="R28" s="1280"/>
      <c r="S28" s="1280">
        <f>SUM(T8:T27)</f>
        <v>7000</v>
      </c>
      <c r="T28" s="1280"/>
      <c r="U28" s="1280">
        <f>SUM(V8:V27)</f>
        <v>0</v>
      </c>
      <c r="V28" s="1280"/>
      <c r="W28" s="1280">
        <f>SUM(X8:X27)</f>
        <v>0</v>
      </c>
      <c r="X28" s="1280"/>
      <c r="Y28" s="1280">
        <f>SUM(Z8:Z27)</f>
        <v>1000</v>
      </c>
      <c r="Z28" s="1280"/>
      <c r="AA28" s="1280">
        <f>SUM(AB8:AB27)</f>
        <v>3000</v>
      </c>
      <c r="AB28" s="1280"/>
      <c r="AC28" s="1280">
        <f>SUM(AD8:AD27)</f>
        <v>2000</v>
      </c>
      <c r="AD28" s="1280"/>
      <c r="AE28" s="1280">
        <f>SUM(AF8:AF27)</f>
        <v>0</v>
      </c>
      <c r="AF28" s="1280"/>
      <c r="AG28" s="1280">
        <f>SUM(AH8:AH27)</f>
        <v>14000</v>
      </c>
      <c r="AH28" s="1280"/>
      <c r="AI28" s="1280">
        <f>SUM(AJ8:AJ27)</f>
        <v>8000</v>
      </c>
      <c r="AJ28" s="1280"/>
      <c r="AK28" s="1280">
        <f>SUM(AL8:AL27)</f>
        <v>0</v>
      </c>
      <c r="AL28" s="1280"/>
      <c r="AM28" s="1280">
        <f>SUM(AN8:AN27)</f>
        <v>8000</v>
      </c>
      <c r="AN28" s="1280"/>
      <c r="AO28" s="1280">
        <f>SUM(AP8:AP27)</f>
        <v>0</v>
      </c>
      <c r="AP28" s="1280"/>
      <c r="AQ28" s="1280">
        <f>SUM(AR8:AR27)</f>
        <v>0</v>
      </c>
      <c r="AR28" s="1280"/>
      <c r="AS28" s="1280">
        <f>SUM(AT8:AT27)</f>
        <v>0</v>
      </c>
      <c r="AT28" s="1280"/>
      <c r="AU28" s="1280">
        <f>SUM(AV8:AV27)</f>
        <v>2000</v>
      </c>
      <c r="AV28" s="1280"/>
      <c r="AW28" s="1280">
        <f>SUM(AX8:AX27)</f>
        <v>3000</v>
      </c>
      <c r="AX28" s="1280"/>
      <c r="AY28" s="1280">
        <f>SUM(AZ8:AZ27)</f>
        <v>0</v>
      </c>
      <c r="AZ28" s="1280"/>
      <c r="BA28" s="1280">
        <f>SUM(BB8:BB27)</f>
        <v>0</v>
      </c>
      <c r="BB28" s="1280"/>
      <c r="BC28" s="1280">
        <f>SUM(BD8:BD27)</f>
        <v>0</v>
      </c>
      <c r="BD28" s="1280"/>
      <c r="BE28" s="1280">
        <f>SUM(BF8:BF27)</f>
        <v>134500</v>
      </c>
      <c r="BF28" s="1280"/>
      <c r="BG28" s="1280">
        <f>SUM(BH8:BH27)</f>
        <v>0</v>
      </c>
      <c r="BH28" s="1280"/>
      <c r="BI28" s="1280">
        <f>SUM(BJ8:BJ27)</f>
        <v>0</v>
      </c>
      <c r="BJ28" s="1280"/>
      <c r="BK28" s="1281">
        <f>SUM(BL8:BL27)</f>
        <v>0</v>
      </c>
      <c r="BL28" s="1281"/>
      <c r="BM28" s="1014">
        <f>SUM(BM8:BM27)</f>
        <v>0</v>
      </c>
      <c r="BN28" s="1015"/>
      <c r="BO28" s="1016">
        <f>SUM(BO8:BO27)</f>
        <v>187500</v>
      </c>
      <c r="BP28" s="1016">
        <f>SUM(BP8:BP27)</f>
        <v>187500</v>
      </c>
      <c r="BQ28" s="1016">
        <f>SUM(BQ8:BQ27)</f>
        <v>187500</v>
      </c>
      <c r="BR28" s="1016">
        <f>SUM(BR8:BR27)</f>
        <v>0</v>
      </c>
      <c r="BS28" s="1016">
        <f>SUM(BS8:BS27)</f>
        <v>0</v>
      </c>
      <c r="BT28" s="1017"/>
      <c r="BU28" s="1016">
        <f>SUM(BU8:BU27)</f>
        <v>56000</v>
      </c>
      <c r="BV28" s="1016">
        <f>SUM(BV8:BV27)</f>
        <v>0</v>
      </c>
      <c r="BW28" s="1016">
        <f t="shared" ref="BW28" si="9">SUM(BW8:BW27)</f>
        <v>56000</v>
      </c>
      <c r="BX28" s="739"/>
    </row>
    <row r="29" spans="1:80" ht="35.25" thickTop="1" thickBot="1">
      <c r="A29" s="1295"/>
      <c r="B29" s="1101"/>
      <c r="C29" s="1297"/>
      <c r="D29" s="1298"/>
      <c r="E29" s="1297"/>
      <c r="F29" s="1298"/>
      <c r="G29" s="1297"/>
      <c r="H29" s="1298"/>
      <c r="I29" s="1297"/>
      <c r="J29" s="1298"/>
      <c r="K29" s="1297"/>
      <c r="L29" s="1298"/>
      <c r="M29" s="1297"/>
      <c r="N29" s="1298"/>
      <c r="O29" s="1297"/>
      <c r="P29" s="1298"/>
      <c r="Q29" s="1297"/>
      <c r="R29" s="1298"/>
      <c r="S29" s="1297"/>
      <c r="T29" s="1298"/>
      <c r="U29" s="1297"/>
      <c r="V29" s="1298"/>
      <c r="W29" s="1297"/>
      <c r="X29" s="1298"/>
      <c r="Y29" s="1297"/>
      <c r="Z29" s="1298"/>
      <c r="AA29" s="1297"/>
      <c r="AB29" s="1298"/>
      <c r="AC29" s="1297"/>
      <c r="AD29" s="1298"/>
      <c r="AE29" s="1297"/>
      <c r="AF29" s="1298"/>
      <c r="AG29" s="1297"/>
      <c r="AH29" s="1298"/>
      <c r="AI29" s="1297"/>
      <c r="AJ29" s="1298"/>
      <c r="AK29" s="1297"/>
      <c r="AL29" s="1298"/>
      <c r="AM29" s="1297"/>
      <c r="AN29" s="1298"/>
      <c r="AO29" s="1297"/>
      <c r="AP29" s="1298"/>
      <c r="AQ29" s="1297"/>
      <c r="AR29" s="1298"/>
      <c r="AS29" s="1297"/>
      <c r="AT29" s="1298"/>
      <c r="AU29" s="1297"/>
      <c r="AV29" s="1298"/>
      <c r="AW29" s="1297"/>
      <c r="AX29" s="1298"/>
      <c r="AY29" s="1297"/>
      <c r="AZ29" s="1298"/>
      <c r="BA29" s="1297"/>
      <c r="BB29" s="1298"/>
      <c r="BC29" s="1297"/>
      <c r="BD29" s="1298"/>
      <c r="BE29" s="1297"/>
      <c r="BF29" s="1298"/>
      <c r="BG29" s="1297"/>
      <c r="BH29" s="1298"/>
      <c r="BI29" s="1297"/>
      <c r="BJ29" s="1298"/>
      <c r="BK29" s="1297"/>
      <c r="BL29" s="1298"/>
      <c r="BM29" s="624"/>
      <c r="BN29" s="167"/>
      <c r="BO29" s="167"/>
      <c r="BP29" s="167"/>
      <c r="BQ29" s="167"/>
      <c r="BR29" s="167"/>
      <c r="BS29" s="167"/>
      <c r="BU29" t="s">
        <v>1</v>
      </c>
      <c r="BV29" s="2"/>
      <c r="BW29" s="2"/>
    </row>
    <row r="30" spans="1:80" ht="42" customHeight="1" thickBot="1">
      <c r="A30" s="1296"/>
      <c r="B30" s="45"/>
      <c r="C30" s="1282"/>
      <c r="D30" s="1283"/>
      <c r="E30" s="1282"/>
      <c r="F30" s="1283"/>
      <c r="G30" s="1282"/>
      <c r="H30" s="1283"/>
      <c r="I30" s="1282"/>
      <c r="J30" s="1283"/>
      <c r="K30" s="1282"/>
      <c r="L30" s="1283"/>
      <c r="M30" s="1282"/>
      <c r="N30" s="1283"/>
      <c r="O30" s="1282"/>
      <c r="P30" s="1283"/>
      <c r="Q30" s="1282"/>
      <c r="R30" s="1283"/>
      <c r="S30" s="1282"/>
      <c r="T30" s="1283"/>
      <c r="U30" s="1282"/>
      <c r="V30" s="1283"/>
      <c r="W30" s="1282"/>
      <c r="X30" s="1283"/>
      <c r="Y30" s="1282"/>
      <c r="Z30" s="1283"/>
      <c r="AA30" s="1282"/>
      <c r="AB30" s="1283"/>
      <c r="AC30" s="1282"/>
      <c r="AD30" s="1283"/>
      <c r="AE30" s="1282"/>
      <c r="AF30" s="1283"/>
      <c r="AG30" s="1286"/>
      <c r="AH30" s="1287"/>
      <c r="AI30" s="1286"/>
      <c r="AJ30" s="1287"/>
      <c r="AK30" s="1282"/>
      <c r="AL30" s="1283"/>
      <c r="AM30" s="1290"/>
      <c r="AN30" s="1290"/>
      <c r="AO30" s="1286"/>
      <c r="AP30" s="1287"/>
      <c r="AQ30" s="1286"/>
      <c r="AR30" s="1287"/>
      <c r="AS30" s="1286"/>
      <c r="AT30" s="1287"/>
      <c r="AU30" s="1286"/>
      <c r="AV30" s="1287"/>
      <c r="AW30" s="1286"/>
      <c r="AX30" s="1287"/>
      <c r="AY30" s="1286"/>
      <c r="AZ30" s="1287"/>
      <c r="BA30" s="1286"/>
      <c r="BB30" s="1287"/>
      <c r="BC30" s="1286"/>
      <c r="BD30" s="1287"/>
      <c r="BE30" s="1286"/>
      <c r="BF30" s="1287"/>
      <c r="BG30" s="1286"/>
      <c r="BH30" s="1287"/>
      <c r="BI30" s="1286"/>
      <c r="BJ30" s="1287"/>
      <c r="BK30" s="1293"/>
      <c r="BL30" s="1294"/>
      <c r="BM30" s="625"/>
      <c r="BN30" s="23"/>
      <c r="BO30" s="23"/>
      <c r="BP30" s="23"/>
      <c r="BQ30" s="23"/>
      <c r="BR30" s="23"/>
      <c r="BS30" s="23"/>
      <c r="BV30" s="168"/>
      <c r="BW30" s="169"/>
      <c r="CA30" s="1278" t="s">
        <v>217</v>
      </c>
      <c r="CB30" s="1279"/>
    </row>
    <row r="31" spans="1:80" ht="42" customHeight="1" thickTop="1" thickBot="1">
      <c r="A31" s="69"/>
      <c r="B31" s="1102"/>
      <c r="C31" s="912"/>
      <c r="D31" s="913"/>
      <c r="E31" s="912"/>
      <c r="F31" s="913"/>
      <c r="G31" s="1103"/>
      <c r="H31" s="1104"/>
      <c r="I31" s="1103"/>
      <c r="J31" s="913"/>
      <c r="K31" s="1214"/>
      <c r="L31" s="1215"/>
      <c r="M31" s="912"/>
      <c r="N31" s="1104"/>
      <c r="O31" s="1103"/>
      <c r="P31" s="1104"/>
      <c r="Q31" s="1103"/>
      <c r="R31" s="1104"/>
      <c r="S31" s="1103"/>
      <c r="T31" s="1104"/>
      <c r="U31" s="1103"/>
      <c r="V31" s="1104"/>
      <c r="W31" s="1103"/>
      <c r="X31" s="1104"/>
      <c r="Y31" s="1200"/>
      <c r="Z31" s="1201"/>
      <c r="AA31" s="1103"/>
      <c r="AB31" s="1104"/>
      <c r="AC31" s="1103"/>
      <c r="AD31" s="1104"/>
      <c r="AE31" s="1103"/>
      <c r="AF31" s="1104"/>
      <c r="AG31" s="1103"/>
      <c r="AH31" s="1104"/>
      <c r="AI31" s="1103"/>
      <c r="AJ31" s="1104"/>
      <c r="AK31" s="1103"/>
      <c r="AL31" s="1104"/>
      <c r="AM31" s="1200"/>
      <c r="AN31" s="1201"/>
      <c r="AO31" s="1103"/>
      <c r="AP31" s="1104"/>
      <c r="AQ31" s="1103"/>
      <c r="AR31" s="1104"/>
      <c r="AS31" s="1103"/>
      <c r="AT31" s="1104"/>
      <c r="AU31" s="1103"/>
      <c r="AV31" s="1104"/>
      <c r="AW31" s="1103"/>
      <c r="AX31" s="1104"/>
      <c r="AY31" s="1103"/>
      <c r="AZ31" s="1104"/>
      <c r="BA31" s="1200"/>
      <c r="BB31" s="1201"/>
      <c r="BC31" s="1103"/>
      <c r="BD31" s="1104"/>
      <c r="BE31" s="1103"/>
      <c r="BF31" s="1104"/>
      <c r="BG31" s="1103"/>
      <c r="BH31" s="1104"/>
      <c r="BI31" s="1103"/>
      <c r="BJ31" s="1104"/>
      <c r="BK31" s="1103"/>
      <c r="BL31" s="1104"/>
      <c r="BM31" s="495"/>
      <c r="BN31" s="495"/>
      <c r="BO31" s="496"/>
      <c r="BP31" s="496"/>
      <c r="BQ31" s="496"/>
      <c r="BR31" s="496"/>
      <c r="BS31" s="496"/>
      <c r="BU31" s="71"/>
      <c r="BV31" s="170"/>
      <c r="BW31" s="171"/>
      <c r="BX31" s="171"/>
      <c r="BY31" s="70"/>
      <c r="BZ31" s="70"/>
      <c r="CA31" s="681" t="s">
        <v>27</v>
      </c>
      <c r="CB31" s="682">
        <v>1</v>
      </c>
    </row>
    <row r="32" spans="1:80" ht="30" customHeight="1" thickTop="1" thickBot="1">
      <c r="A32" s="69"/>
      <c r="B32" s="1105"/>
      <c r="C32" s="912"/>
      <c r="D32" s="913"/>
      <c r="E32" s="912"/>
      <c r="F32" s="913"/>
      <c r="G32" s="1103"/>
      <c r="H32" s="1104"/>
      <c r="I32" s="1103"/>
      <c r="J32" s="913"/>
      <c r="K32" s="1214"/>
      <c r="L32" s="1215"/>
      <c r="M32" s="912"/>
      <c r="N32" s="1104"/>
      <c r="O32" s="1103"/>
      <c r="P32" s="1104"/>
      <c r="Q32" s="1103"/>
      <c r="R32" s="1104"/>
      <c r="S32" s="1103"/>
      <c r="T32" s="1104"/>
      <c r="U32" s="1103"/>
      <c r="V32" s="1104"/>
      <c r="W32" s="1103"/>
      <c r="X32" s="1104"/>
      <c r="Y32" s="1200"/>
      <c r="Z32" s="1201"/>
      <c r="AA32" s="1103"/>
      <c r="AB32" s="1104"/>
      <c r="AC32" s="1103"/>
      <c r="AD32" s="1104"/>
      <c r="AE32" s="1103"/>
      <c r="AF32" s="1104"/>
      <c r="AG32" s="1103"/>
      <c r="AH32" s="1104"/>
      <c r="AI32" s="1103"/>
      <c r="AJ32" s="1104"/>
      <c r="AK32" s="1103"/>
      <c r="AL32" s="1104"/>
      <c r="AM32" s="1200"/>
      <c r="AN32" s="1201"/>
      <c r="AO32" s="1103"/>
      <c r="AP32" s="1104"/>
      <c r="AQ32" s="1103"/>
      <c r="AR32" s="1104"/>
      <c r="AS32" s="1103"/>
      <c r="AT32" s="1104"/>
      <c r="AU32" s="1103"/>
      <c r="AV32" s="1104"/>
      <c r="AW32" s="1103"/>
      <c r="AX32" s="1104"/>
      <c r="AY32" s="1103"/>
      <c r="AZ32" s="1104"/>
      <c r="BA32" s="1200"/>
      <c r="BB32" s="1201"/>
      <c r="BC32" s="1103"/>
      <c r="BD32" s="1104"/>
      <c r="BE32" s="1103"/>
      <c r="BF32" s="1104"/>
      <c r="BG32" s="1103"/>
      <c r="BH32" s="1104"/>
      <c r="BI32" s="1103"/>
      <c r="BJ32" s="1104"/>
      <c r="BK32" s="1103"/>
      <c r="BL32" s="1104"/>
      <c r="BM32" s="1106"/>
      <c r="BN32" s="1106"/>
      <c r="BO32" s="1107"/>
      <c r="BP32" s="1107"/>
      <c r="BQ32" s="1107"/>
      <c r="BR32" s="1107"/>
      <c r="BS32" s="1107"/>
      <c r="BV32" s="172"/>
      <c r="BW32" s="173"/>
      <c r="CA32" s="1264" t="s">
        <v>111</v>
      </c>
      <c r="CB32" s="683" t="str">
        <f>VLOOKUP(CB31,A8:BS28,2,FALSE)</f>
        <v xml:space="preserve">JAWAID </v>
      </c>
    </row>
    <row r="33" spans="1:86" s="1124" customFormat="1" ht="21.95" customHeight="1" thickTop="1" thickBot="1">
      <c r="A33" s="1113"/>
      <c r="B33" s="1114"/>
      <c r="C33" s="1115"/>
      <c r="D33" s="1116"/>
      <c r="E33" s="1115"/>
      <c r="F33" s="1116"/>
      <c r="G33" s="1115"/>
      <c r="H33" s="1117"/>
      <c r="I33" s="1115"/>
      <c r="J33" s="1116"/>
      <c r="K33" s="1202"/>
      <c r="L33" s="1216"/>
      <c r="M33" s="1115"/>
      <c r="N33" s="1117"/>
      <c r="O33" s="1115"/>
      <c r="P33" s="1117"/>
      <c r="Q33" s="1115"/>
      <c r="R33" s="1117"/>
      <c r="S33" s="1115"/>
      <c r="T33" s="1117"/>
      <c r="U33" s="1115"/>
      <c r="V33" s="1117"/>
      <c r="W33" s="1115"/>
      <c r="X33" s="1117"/>
      <c r="Y33" s="1202"/>
      <c r="Z33" s="1114"/>
      <c r="AA33" s="1115"/>
      <c r="AB33" s="1117"/>
      <c r="AC33" s="1115"/>
      <c r="AD33" s="1117"/>
      <c r="AE33" s="1115"/>
      <c r="AF33" s="1117"/>
      <c r="AG33" s="1115"/>
      <c r="AH33" s="1117"/>
      <c r="AI33" s="1115"/>
      <c r="AJ33" s="1117"/>
      <c r="AK33" s="1115"/>
      <c r="AL33" s="1117"/>
      <c r="AM33" s="1202"/>
      <c r="AN33" s="1114"/>
      <c r="AO33" s="1115"/>
      <c r="AP33" s="1117"/>
      <c r="AQ33" s="1115"/>
      <c r="AR33" s="1117"/>
      <c r="AS33" s="1115"/>
      <c r="AT33" s="1117"/>
      <c r="AU33" s="1115"/>
      <c r="AV33" s="1117"/>
      <c r="AW33" s="1115"/>
      <c r="AX33" s="1117"/>
      <c r="AY33" s="1115"/>
      <c r="AZ33" s="1117"/>
      <c r="BA33" s="1202"/>
      <c r="BB33" s="1114"/>
      <c r="BC33" s="1115"/>
      <c r="BD33" s="1117"/>
      <c r="BE33" s="1115"/>
      <c r="BF33" s="1117"/>
      <c r="BG33" s="1115"/>
      <c r="BH33" s="1117"/>
      <c r="BI33" s="1115"/>
      <c r="BJ33" s="1117"/>
      <c r="BK33" s="1115"/>
      <c r="BL33" s="1117"/>
      <c r="BM33" s="1118"/>
      <c r="BN33" s="1119"/>
      <c r="BO33" s="1120"/>
      <c r="BP33" s="1121"/>
      <c r="BQ33" s="1122"/>
      <c r="BR33" s="1122"/>
      <c r="BS33" s="1123"/>
      <c r="BV33" s="1125"/>
      <c r="BW33" s="1126"/>
      <c r="BY33" s="1124" t="s">
        <v>1</v>
      </c>
      <c r="CA33" s="1262" t="s">
        <v>504</v>
      </c>
      <c r="CB33" s="1127">
        <f>VLOOKUP(CB31,A8:BS28,66,FALSE)</f>
        <v>30</v>
      </c>
      <c r="CH33" s="1124" t="s">
        <v>1</v>
      </c>
    </row>
    <row r="34" spans="1:86" s="1124" customFormat="1" ht="21.95" customHeight="1" thickTop="1" thickBot="1">
      <c r="A34" s="1113"/>
      <c r="B34" s="1128"/>
      <c r="C34" s="1115"/>
      <c r="D34" s="1116"/>
      <c r="E34" s="1115"/>
      <c r="F34" s="1116"/>
      <c r="G34" s="1115"/>
      <c r="H34" s="1117"/>
      <c r="I34" s="1115"/>
      <c r="J34" s="1116"/>
      <c r="K34" s="1202"/>
      <c r="L34" s="1216"/>
      <c r="M34" s="1115"/>
      <c r="N34" s="1117"/>
      <c r="O34" s="1115"/>
      <c r="P34" s="1117"/>
      <c r="Q34" s="1115"/>
      <c r="R34" s="1117"/>
      <c r="S34" s="1115"/>
      <c r="T34" s="1117"/>
      <c r="U34" s="1115"/>
      <c r="V34" s="1117"/>
      <c r="W34" s="1115"/>
      <c r="X34" s="1117"/>
      <c r="Y34" s="1202"/>
      <c r="Z34" s="1114"/>
      <c r="AA34" s="1115"/>
      <c r="AB34" s="1117"/>
      <c r="AC34" s="1115"/>
      <c r="AD34" s="1117"/>
      <c r="AE34" s="1115"/>
      <c r="AF34" s="1117"/>
      <c r="AG34" s="1115"/>
      <c r="AH34" s="1117"/>
      <c r="AI34" s="1115"/>
      <c r="AJ34" s="1117"/>
      <c r="AK34" s="1115"/>
      <c r="AL34" s="1117"/>
      <c r="AM34" s="1202"/>
      <c r="AN34" s="1114"/>
      <c r="AO34" s="1115"/>
      <c r="AP34" s="1117"/>
      <c r="AQ34" s="1115"/>
      <c r="AR34" s="1117"/>
      <c r="AS34" s="1115"/>
      <c r="AT34" s="1117"/>
      <c r="AU34" s="1115"/>
      <c r="AV34" s="1117"/>
      <c r="AW34" s="1115"/>
      <c r="AX34" s="1117"/>
      <c r="AY34" s="1115"/>
      <c r="AZ34" s="1117"/>
      <c r="BA34" s="1202"/>
      <c r="BB34" s="1114"/>
      <c r="BC34" s="1115"/>
      <c r="BD34" s="1117"/>
      <c r="BE34" s="1115"/>
      <c r="BF34" s="1117"/>
      <c r="BG34" s="1115"/>
      <c r="BH34" s="1117"/>
      <c r="BI34" s="1115"/>
      <c r="BJ34" s="1117"/>
      <c r="BK34" s="1115"/>
      <c r="BL34" s="1117"/>
      <c r="BM34" s="1118"/>
      <c r="BN34" s="1119"/>
      <c r="BO34" s="1120"/>
      <c r="BP34" s="1121"/>
      <c r="BQ34" s="1122"/>
      <c r="BR34" s="1122"/>
      <c r="BS34" s="1123"/>
      <c r="BV34" s="1125"/>
      <c r="BW34" s="1126"/>
      <c r="CA34" s="1262" t="s">
        <v>196</v>
      </c>
      <c r="CB34" s="1127">
        <f>VLOOKUP(CB31,A8:BS28,67,FALSE)</f>
        <v>28000</v>
      </c>
    </row>
    <row r="35" spans="1:86" s="1124" customFormat="1" ht="21.95" customHeight="1" thickTop="1" thickBot="1">
      <c r="A35" s="1113"/>
      <c r="B35" s="1128"/>
      <c r="C35" s="1115"/>
      <c r="D35" s="1116"/>
      <c r="E35" s="1115"/>
      <c r="F35" s="1116"/>
      <c r="G35" s="1115"/>
      <c r="H35" s="1117"/>
      <c r="I35" s="1115"/>
      <c r="J35" s="1116"/>
      <c r="K35" s="1202"/>
      <c r="L35" s="1216"/>
      <c r="M35" s="1115"/>
      <c r="N35" s="1117"/>
      <c r="O35" s="1115"/>
      <c r="P35" s="1117"/>
      <c r="Q35" s="1115"/>
      <c r="R35" s="1117"/>
      <c r="S35" s="1115"/>
      <c r="T35" s="1117"/>
      <c r="U35" s="1115"/>
      <c r="V35" s="1117"/>
      <c r="W35" s="1115"/>
      <c r="X35" s="1117"/>
      <c r="Y35" s="1202"/>
      <c r="Z35" s="1114"/>
      <c r="AA35" s="1115"/>
      <c r="AB35" s="1117"/>
      <c r="AC35" s="1115"/>
      <c r="AD35" s="1117"/>
      <c r="AE35" s="1115"/>
      <c r="AF35" s="1117"/>
      <c r="AG35" s="1115"/>
      <c r="AH35" s="1117"/>
      <c r="AI35" s="1115"/>
      <c r="AJ35" s="1117"/>
      <c r="AK35" s="1115"/>
      <c r="AL35" s="1117"/>
      <c r="AM35" s="1202"/>
      <c r="AN35" s="1114"/>
      <c r="AO35" s="1115"/>
      <c r="AP35" s="1117"/>
      <c r="AQ35" s="1115"/>
      <c r="AR35" s="1117"/>
      <c r="AS35" s="1115"/>
      <c r="AT35" s="1117"/>
      <c r="AU35" s="1115"/>
      <c r="AV35" s="1117"/>
      <c r="AW35" s="1115"/>
      <c r="AX35" s="1117"/>
      <c r="AY35" s="1115"/>
      <c r="AZ35" s="1117"/>
      <c r="BA35" s="1202"/>
      <c r="BB35" s="1114"/>
      <c r="BC35" s="1115"/>
      <c r="BD35" s="1117"/>
      <c r="BE35" s="1115"/>
      <c r="BF35" s="1117"/>
      <c r="BG35" s="1115"/>
      <c r="BH35" s="1117"/>
      <c r="BI35" s="1115"/>
      <c r="BJ35" s="1117"/>
      <c r="BK35" s="1115"/>
      <c r="BL35" s="1117"/>
      <c r="BM35" s="1118"/>
      <c r="BN35" s="1119"/>
      <c r="BO35" s="1120"/>
      <c r="BP35" s="1121"/>
      <c r="BQ35" s="1122"/>
      <c r="BR35" s="1122"/>
      <c r="BS35" s="1123"/>
      <c r="BV35" s="1129"/>
      <c r="BW35" s="1130"/>
      <c r="CA35" s="1262" t="s">
        <v>197</v>
      </c>
      <c r="CB35" s="1127">
        <f>VLOOKUP(CB31,A8:BS28,68,FALSE)</f>
        <v>28000</v>
      </c>
    </row>
    <row r="36" spans="1:86" s="1163" customFormat="1" ht="21.95" customHeight="1" thickTop="1" thickBot="1">
      <c r="A36" s="69"/>
      <c r="B36" s="1108"/>
      <c r="C36" s="1153"/>
      <c r="D36" s="1154"/>
      <c r="E36" s="1153"/>
      <c r="F36" s="1154"/>
      <c r="G36" s="1153"/>
      <c r="H36" s="1155"/>
      <c r="I36" s="1153"/>
      <c r="J36" s="1154"/>
      <c r="K36" s="1203"/>
      <c r="L36" s="1217"/>
      <c r="M36" s="1153"/>
      <c r="N36" s="1155"/>
      <c r="O36" s="1153"/>
      <c r="P36" s="1155"/>
      <c r="Q36" s="1153"/>
      <c r="R36" s="1155"/>
      <c r="S36" s="1153"/>
      <c r="T36" s="1155"/>
      <c r="U36" s="1153"/>
      <c r="V36" s="1155"/>
      <c r="W36" s="1153"/>
      <c r="X36" s="1155"/>
      <c r="Y36" s="1203"/>
      <c r="Z36" s="1204"/>
      <c r="AA36" s="1153"/>
      <c r="AB36" s="1155"/>
      <c r="AC36" s="1153"/>
      <c r="AD36" s="1155"/>
      <c r="AE36" s="1153"/>
      <c r="AF36" s="1155"/>
      <c r="AG36" s="1153"/>
      <c r="AH36" s="1155"/>
      <c r="AI36" s="1153"/>
      <c r="AJ36" s="1155"/>
      <c r="AK36" s="1153"/>
      <c r="AL36" s="1155"/>
      <c r="AM36" s="1203"/>
      <c r="AN36" s="1204"/>
      <c r="AO36" s="1153"/>
      <c r="AP36" s="1155"/>
      <c r="AQ36" s="1153"/>
      <c r="AR36" s="1155"/>
      <c r="AS36" s="1153"/>
      <c r="AT36" s="1155"/>
      <c r="AU36" s="1153"/>
      <c r="AV36" s="1155"/>
      <c r="AW36" s="1153"/>
      <c r="AX36" s="1155"/>
      <c r="AY36" s="1153"/>
      <c r="AZ36" s="1155"/>
      <c r="BA36" s="1203"/>
      <c r="BB36" s="1204"/>
      <c r="BC36" s="1153"/>
      <c r="BD36" s="1155"/>
      <c r="BE36" s="1153"/>
      <c r="BF36" s="1155"/>
      <c r="BG36" s="1153"/>
      <c r="BH36" s="1155"/>
      <c r="BI36" s="1153"/>
      <c r="BJ36" s="1155"/>
      <c r="BK36" s="1153"/>
      <c r="BL36" s="1156"/>
      <c r="BM36" s="1157"/>
      <c r="BN36" s="1158"/>
      <c r="BO36" s="1159"/>
      <c r="BP36" s="1160"/>
      <c r="BQ36" s="1161"/>
      <c r="BR36" s="1161"/>
      <c r="BS36" s="1162"/>
      <c r="BV36" s="1164"/>
      <c r="BW36" s="1100"/>
      <c r="CA36" s="1263" t="s">
        <v>39</v>
      </c>
      <c r="CB36" s="1165">
        <f>VLOOKUP(CB31,A8:BS28,69,FALSE)</f>
        <v>28000</v>
      </c>
    </row>
    <row r="37" spans="1:86" s="1124" customFormat="1" ht="21.95" customHeight="1" thickTop="1" thickBot="1">
      <c r="A37" s="1113"/>
      <c r="B37" s="1135"/>
      <c r="C37" s="1115"/>
      <c r="D37" s="1131"/>
      <c r="E37" s="1115"/>
      <c r="F37" s="1131"/>
      <c r="G37" s="1115"/>
      <c r="H37" s="1132"/>
      <c r="I37" s="1115"/>
      <c r="J37" s="1131"/>
      <c r="K37" s="1202"/>
      <c r="L37" s="1218"/>
      <c r="M37" s="1115"/>
      <c r="N37" s="1133"/>
      <c r="O37" s="1115"/>
      <c r="P37" s="1117"/>
      <c r="Q37" s="1115"/>
      <c r="R37" s="1117"/>
      <c r="S37" s="1115"/>
      <c r="T37" s="1117"/>
      <c r="U37" s="1115"/>
      <c r="V37" s="1117"/>
      <c r="W37" s="1115"/>
      <c r="X37" s="1117"/>
      <c r="Y37" s="1202"/>
      <c r="Z37" s="1114"/>
      <c r="AA37" s="1115"/>
      <c r="AB37" s="1117"/>
      <c r="AC37" s="1115"/>
      <c r="AD37" s="1117"/>
      <c r="AE37" s="1115"/>
      <c r="AF37" s="1117"/>
      <c r="AG37" s="1115"/>
      <c r="AH37" s="1117"/>
      <c r="AI37" s="1115"/>
      <c r="AJ37" s="1117"/>
      <c r="AK37" s="1115"/>
      <c r="AL37" s="1117"/>
      <c r="AM37" s="1202"/>
      <c r="AN37" s="1114"/>
      <c r="AO37" s="1115"/>
      <c r="AP37" s="1117"/>
      <c r="AQ37" s="1115"/>
      <c r="AR37" s="1117"/>
      <c r="AS37" s="1115"/>
      <c r="AT37" s="1117"/>
      <c r="AU37" s="1115"/>
      <c r="AV37" s="1117"/>
      <c r="AW37" s="1115"/>
      <c r="AX37" s="1117"/>
      <c r="AY37" s="1115"/>
      <c r="AZ37" s="1117"/>
      <c r="BA37" s="1202"/>
      <c r="BB37" s="1114"/>
      <c r="BC37" s="1115"/>
      <c r="BD37" s="1117"/>
      <c r="BE37" s="1115"/>
      <c r="BF37" s="1117"/>
      <c r="BG37" s="1115"/>
      <c r="BH37" s="1117"/>
      <c r="BI37" s="1115"/>
      <c r="BJ37" s="1117"/>
      <c r="BK37" s="1115"/>
      <c r="BL37" s="1117"/>
      <c r="BM37" s="1118"/>
      <c r="BN37" s="1119"/>
      <c r="BO37" s="1120"/>
      <c r="BP37" s="1121"/>
      <c r="BQ37" s="1122"/>
      <c r="BR37" s="1122"/>
      <c r="BS37" s="1123"/>
      <c r="BV37" s="1129"/>
      <c r="BW37" s="1130"/>
      <c r="CA37" s="1265" t="s">
        <v>51</v>
      </c>
      <c r="CB37" s="1136">
        <f>VLOOKUP(CB31,A8:BS28,71,FALSE)</f>
        <v>0</v>
      </c>
    </row>
    <row r="38" spans="1:86" s="1124" customFormat="1" ht="21.95" customHeight="1" thickTop="1" thickBot="1">
      <c r="A38" s="1113"/>
      <c r="B38" s="1128"/>
      <c r="C38" s="1115"/>
      <c r="D38" s="1131"/>
      <c r="E38" s="1115"/>
      <c r="F38" s="1131"/>
      <c r="G38" s="1115"/>
      <c r="H38" s="1132"/>
      <c r="I38" s="1115"/>
      <c r="J38" s="1131"/>
      <c r="K38" s="1202"/>
      <c r="L38" s="1218"/>
      <c r="M38" s="1115"/>
      <c r="N38" s="1133"/>
      <c r="O38" s="1115"/>
      <c r="P38" s="1117"/>
      <c r="Q38" s="1115"/>
      <c r="R38" s="1117"/>
      <c r="S38" s="1115"/>
      <c r="T38" s="1117"/>
      <c r="U38" s="1115"/>
      <c r="V38" s="1117"/>
      <c r="W38" s="1115"/>
      <c r="X38" s="1117"/>
      <c r="Y38" s="1202"/>
      <c r="Z38" s="1114"/>
      <c r="AA38" s="1115"/>
      <c r="AB38" s="1117"/>
      <c r="AC38" s="1115"/>
      <c r="AD38" s="1117"/>
      <c r="AE38" s="1115"/>
      <c r="AF38" s="1117"/>
      <c r="AG38" s="1115"/>
      <c r="AH38" s="1117"/>
      <c r="AI38" s="1115"/>
      <c r="AJ38" s="1117"/>
      <c r="AK38" s="1115"/>
      <c r="AL38" s="1117"/>
      <c r="AM38" s="1202"/>
      <c r="AN38" s="1114"/>
      <c r="AO38" s="1115"/>
      <c r="AP38" s="1117"/>
      <c r="AQ38" s="1115"/>
      <c r="AR38" s="1117"/>
      <c r="AS38" s="1115"/>
      <c r="AT38" s="1117"/>
      <c r="AU38" s="1115"/>
      <c r="AV38" s="1117"/>
      <c r="AW38" s="1115"/>
      <c r="AX38" s="1117"/>
      <c r="AY38" s="1115"/>
      <c r="AZ38" s="1117"/>
      <c r="BA38" s="1202"/>
      <c r="BB38" s="1114"/>
      <c r="BC38" s="1115"/>
      <c r="BD38" s="1117"/>
      <c r="BE38" s="1115"/>
      <c r="BF38" s="1117"/>
      <c r="BG38" s="1115"/>
      <c r="BH38" s="1117"/>
      <c r="BI38" s="1115"/>
      <c r="BJ38" s="1117"/>
      <c r="BK38" s="1115"/>
      <c r="BL38" s="1117"/>
      <c r="BM38" s="1118"/>
      <c r="BN38" s="1119"/>
      <c r="BO38" s="1120"/>
      <c r="BP38" s="1121"/>
      <c r="BQ38" s="1122"/>
      <c r="BR38" s="1122"/>
      <c r="BS38" s="1123"/>
      <c r="BV38" s="1129"/>
      <c r="BW38" s="1130"/>
      <c r="CA38" s="1266" t="s">
        <v>206</v>
      </c>
      <c r="CB38" s="1137"/>
    </row>
    <row r="39" spans="1:86" s="1124" customFormat="1" ht="21.95" customHeight="1" thickTop="1" thickBot="1">
      <c r="A39" s="1113"/>
      <c r="B39" s="1128"/>
      <c r="C39" s="1115"/>
      <c r="D39" s="1131"/>
      <c r="E39" s="1115"/>
      <c r="F39" s="1131"/>
      <c r="G39" s="1115"/>
      <c r="H39" s="1132"/>
      <c r="I39" s="1115"/>
      <c r="J39" s="1131"/>
      <c r="K39" s="1202"/>
      <c r="L39" s="1218"/>
      <c r="M39" s="1115"/>
      <c r="N39" s="1133"/>
      <c r="O39" s="1115"/>
      <c r="P39" s="1117"/>
      <c r="Q39" s="1115"/>
      <c r="R39" s="1117"/>
      <c r="S39" s="1115"/>
      <c r="T39" s="1117"/>
      <c r="U39" s="1115"/>
      <c r="V39" s="1117"/>
      <c r="W39" s="1115"/>
      <c r="X39" s="1117"/>
      <c r="Y39" s="1202"/>
      <c r="Z39" s="1114"/>
      <c r="AA39" s="1115"/>
      <c r="AB39" s="1117"/>
      <c r="AC39" s="1115"/>
      <c r="AD39" s="1117"/>
      <c r="AE39" s="1115"/>
      <c r="AF39" s="1117"/>
      <c r="AG39" s="1115"/>
      <c r="AH39" s="1117"/>
      <c r="AI39" s="1115"/>
      <c r="AJ39" s="1117"/>
      <c r="AK39" s="1115"/>
      <c r="AL39" s="1117"/>
      <c r="AM39" s="1202"/>
      <c r="AN39" s="1114"/>
      <c r="AO39" s="1115"/>
      <c r="AP39" s="1117"/>
      <c r="AQ39" s="1115"/>
      <c r="AR39" s="1117"/>
      <c r="AS39" s="1115"/>
      <c r="AT39" s="1117"/>
      <c r="AU39" s="1115"/>
      <c r="AV39" s="1117"/>
      <c r="AW39" s="1115"/>
      <c r="AX39" s="1117"/>
      <c r="AY39" s="1115"/>
      <c r="AZ39" s="1117"/>
      <c r="BA39" s="1202"/>
      <c r="BB39" s="1114"/>
      <c r="BC39" s="1115"/>
      <c r="BD39" s="1117"/>
      <c r="BE39" s="1115"/>
      <c r="BF39" s="1117"/>
      <c r="BG39" s="1115"/>
      <c r="BH39" s="1117"/>
      <c r="BI39" s="1115"/>
      <c r="BJ39" s="1117"/>
      <c r="BK39" s="1115"/>
      <c r="BL39" s="1117"/>
      <c r="BM39" s="1118"/>
      <c r="BN39" s="1119"/>
      <c r="BO39" s="1120"/>
      <c r="BP39" s="1121"/>
      <c r="BQ39" s="1122"/>
      <c r="BR39" s="1122"/>
      <c r="BS39" s="1123"/>
      <c r="BV39" s="1129"/>
      <c r="BW39" s="1130"/>
      <c r="CA39" s="1266" t="s">
        <v>114</v>
      </c>
      <c r="CB39" s="1136"/>
    </row>
    <row r="40" spans="1:86" s="1124" customFormat="1" ht="21.95" customHeight="1" thickTop="1" thickBot="1">
      <c r="A40" s="1113"/>
      <c r="B40" s="1128"/>
      <c r="C40" s="1115"/>
      <c r="D40" s="1131"/>
      <c r="E40" s="1115"/>
      <c r="F40" s="1131"/>
      <c r="G40" s="1115"/>
      <c r="H40" s="1132"/>
      <c r="I40" s="1115"/>
      <c r="J40" s="1131"/>
      <c r="K40" s="1202"/>
      <c r="L40" s="1218"/>
      <c r="M40" s="1115"/>
      <c r="N40" s="1132"/>
      <c r="O40" s="1115"/>
      <c r="P40" s="1132"/>
      <c r="Q40" s="1115"/>
      <c r="R40" s="1132"/>
      <c r="S40" s="1115"/>
      <c r="T40" s="1132"/>
      <c r="U40" s="1115"/>
      <c r="V40" s="1132"/>
      <c r="W40" s="1115"/>
      <c r="X40" s="1132"/>
      <c r="Y40" s="1202"/>
      <c r="Z40" s="1205"/>
      <c r="AA40" s="1115"/>
      <c r="AB40" s="1132"/>
      <c r="AC40" s="1115"/>
      <c r="AD40" s="1132"/>
      <c r="AE40" s="1115"/>
      <c r="AF40" s="1132"/>
      <c r="AG40" s="1115"/>
      <c r="AH40" s="1132"/>
      <c r="AI40" s="1115"/>
      <c r="AJ40" s="1132"/>
      <c r="AK40" s="1115"/>
      <c r="AL40" s="1132"/>
      <c r="AM40" s="1202"/>
      <c r="AN40" s="1205"/>
      <c r="AO40" s="1115"/>
      <c r="AP40" s="1132"/>
      <c r="AQ40" s="1115"/>
      <c r="AR40" s="1132"/>
      <c r="AS40" s="1115"/>
      <c r="AT40" s="1132"/>
      <c r="AU40" s="1115"/>
      <c r="AV40" s="1132"/>
      <c r="AW40" s="1115"/>
      <c r="AX40" s="1132"/>
      <c r="AY40" s="1115"/>
      <c r="AZ40" s="1132"/>
      <c r="BA40" s="1202"/>
      <c r="BB40" s="1205"/>
      <c r="BC40" s="1115"/>
      <c r="BD40" s="1132"/>
      <c r="BE40" s="1115"/>
      <c r="BF40" s="1132"/>
      <c r="BG40" s="1115"/>
      <c r="BH40" s="1132"/>
      <c r="BI40" s="1115"/>
      <c r="BJ40" s="1132"/>
      <c r="BK40" s="1115"/>
      <c r="BL40" s="1133"/>
      <c r="BM40" s="1118"/>
      <c r="BN40" s="1134"/>
      <c r="BO40" s="1120"/>
      <c r="BP40" s="1121"/>
      <c r="BQ40" s="1122"/>
      <c r="BR40" s="1122"/>
      <c r="BS40" s="1123"/>
      <c r="BV40" s="1138"/>
      <c r="BW40" s="1139" t="s">
        <v>1</v>
      </c>
      <c r="CA40" s="1275" t="s">
        <v>207</v>
      </c>
      <c r="CB40" s="1140"/>
    </row>
    <row r="41" spans="1:86" s="1124" customFormat="1" ht="21.95" customHeight="1" thickTop="1" thickBot="1">
      <c r="A41" s="1113"/>
      <c r="B41" s="1128"/>
      <c r="C41" s="1115"/>
      <c r="D41" s="1116"/>
      <c r="E41" s="1115"/>
      <c r="F41" s="1116"/>
      <c r="G41" s="1115"/>
      <c r="H41" s="1117"/>
      <c r="I41" s="1115"/>
      <c r="J41" s="1116"/>
      <c r="K41" s="1202"/>
      <c r="L41" s="1216"/>
      <c r="M41" s="1115"/>
      <c r="N41" s="1117"/>
      <c r="O41" s="1115"/>
      <c r="P41" s="1117"/>
      <c r="Q41" s="1115"/>
      <c r="R41" s="1117"/>
      <c r="S41" s="1115"/>
      <c r="T41" s="1141"/>
      <c r="U41" s="1115"/>
      <c r="V41" s="1133"/>
      <c r="W41" s="1115"/>
      <c r="X41" s="1117"/>
      <c r="Y41" s="1202"/>
      <c r="Z41" s="1114"/>
      <c r="AA41" s="1115"/>
      <c r="AB41" s="1117"/>
      <c r="AC41" s="1115"/>
      <c r="AD41" s="1117"/>
      <c r="AE41" s="1115"/>
      <c r="AF41" s="1117"/>
      <c r="AG41" s="1115"/>
      <c r="AH41" s="1117"/>
      <c r="AI41" s="1115"/>
      <c r="AJ41" s="1117"/>
      <c r="AK41" s="1115"/>
      <c r="AL41" s="1117"/>
      <c r="AM41" s="1202"/>
      <c r="AN41" s="1114"/>
      <c r="AO41" s="1115"/>
      <c r="AP41" s="1117"/>
      <c r="AQ41" s="1115"/>
      <c r="AR41" s="1141"/>
      <c r="AS41" s="1115"/>
      <c r="AT41" s="1133"/>
      <c r="AU41" s="1115"/>
      <c r="AV41" s="1117"/>
      <c r="AW41" s="1115"/>
      <c r="AX41" s="1117"/>
      <c r="AY41" s="1115"/>
      <c r="AZ41" s="1117"/>
      <c r="BA41" s="1202"/>
      <c r="BB41" s="1114"/>
      <c r="BC41" s="1115"/>
      <c r="BD41" s="1117"/>
      <c r="BE41" s="1115"/>
      <c r="BF41" s="1117"/>
      <c r="BG41" s="1115"/>
      <c r="BH41" s="1117"/>
      <c r="BI41" s="1115"/>
      <c r="BJ41" s="1117"/>
      <c r="BK41" s="1115"/>
      <c r="BL41" s="1117"/>
      <c r="BM41" s="1118"/>
      <c r="BN41" s="1119"/>
      <c r="BO41" s="1120"/>
      <c r="BP41" s="1121"/>
      <c r="BQ41" s="1122"/>
      <c r="BR41" s="1122"/>
      <c r="BS41" s="1123"/>
      <c r="BV41" s="1138"/>
      <c r="BW41" s="1139"/>
      <c r="CA41" s="1276"/>
      <c r="CB41" s="1142"/>
    </row>
    <row r="42" spans="1:86" s="1124" customFormat="1" ht="21.95" customHeight="1" thickTop="1" thickBot="1">
      <c r="A42" s="1113"/>
      <c r="B42" s="1128"/>
      <c r="C42" s="1115"/>
      <c r="D42" s="1131"/>
      <c r="E42" s="1115"/>
      <c r="F42" s="1131"/>
      <c r="G42" s="1115"/>
      <c r="H42" s="1132"/>
      <c r="I42" s="1115"/>
      <c r="J42" s="1131"/>
      <c r="K42" s="1202"/>
      <c r="L42" s="1218"/>
      <c r="M42" s="1115"/>
      <c r="N42" s="1132"/>
      <c r="O42" s="1115"/>
      <c r="P42" s="1132"/>
      <c r="Q42" s="1115"/>
      <c r="R42" s="1132"/>
      <c r="S42" s="1115"/>
      <c r="T42" s="1132"/>
      <c r="U42" s="1115"/>
      <c r="V42" s="1132"/>
      <c r="W42" s="1115"/>
      <c r="X42" s="1132"/>
      <c r="Y42" s="1202"/>
      <c r="Z42" s="1205"/>
      <c r="AA42" s="1115"/>
      <c r="AB42" s="1132"/>
      <c r="AC42" s="1115"/>
      <c r="AD42" s="1132"/>
      <c r="AE42" s="1115"/>
      <c r="AF42" s="1132"/>
      <c r="AG42" s="1115"/>
      <c r="AH42" s="1132"/>
      <c r="AI42" s="1115"/>
      <c r="AJ42" s="1132"/>
      <c r="AK42" s="1115"/>
      <c r="AL42" s="1132"/>
      <c r="AM42" s="1202"/>
      <c r="AN42" s="1205"/>
      <c r="AO42" s="1115"/>
      <c r="AP42" s="1132"/>
      <c r="AQ42" s="1115"/>
      <c r="AR42" s="1132"/>
      <c r="AS42" s="1115"/>
      <c r="AT42" s="1132"/>
      <c r="AU42" s="1115"/>
      <c r="AV42" s="1132"/>
      <c r="AW42" s="1115"/>
      <c r="AX42" s="1132"/>
      <c r="AY42" s="1115"/>
      <c r="AZ42" s="1132"/>
      <c r="BA42" s="1202"/>
      <c r="BB42" s="1205"/>
      <c r="BC42" s="1115"/>
      <c r="BD42" s="1132"/>
      <c r="BE42" s="1115"/>
      <c r="BF42" s="1132"/>
      <c r="BG42" s="1115"/>
      <c r="BH42" s="1132"/>
      <c r="BI42" s="1115"/>
      <c r="BJ42" s="1132"/>
      <c r="BK42" s="1115"/>
      <c r="BL42" s="1133"/>
      <c r="BM42" s="1118"/>
      <c r="BN42" s="1119"/>
      <c r="BO42" s="1120"/>
      <c r="BP42" s="1121"/>
      <c r="BQ42" s="1122"/>
      <c r="BR42" s="1122"/>
      <c r="BS42" s="1123"/>
      <c r="BV42" s="1138"/>
      <c r="BW42" s="1139"/>
      <c r="CA42" s="1276"/>
      <c r="CB42" s="1142"/>
    </row>
    <row r="43" spans="1:86" s="1124" customFormat="1" ht="21.95" customHeight="1" thickTop="1" thickBot="1">
      <c r="A43" s="1113"/>
      <c r="B43" s="1128"/>
      <c r="C43" s="1115"/>
      <c r="D43" s="1131"/>
      <c r="E43" s="1115"/>
      <c r="F43" s="1131"/>
      <c r="G43" s="1115"/>
      <c r="H43" s="1132"/>
      <c r="I43" s="1115"/>
      <c r="J43" s="1131"/>
      <c r="K43" s="1202"/>
      <c r="L43" s="1218"/>
      <c r="M43" s="1115"/>
      <c r="N43" s="1132"/>
      <c r="O43" s="1115"/>
      <c r="P43" s="1132"/>
      <c r="Q43" s="1115"/>
      <c r="R43" s="1132"/>
      <c r="S43" s="1115"/>
      <c r="T43" s="1132"/>
      <c r="U43" s="1115"/>
      <c r="V43" s="1132"/>
      <c r="W43" s="1115"/>
      <c r="X43" s="1132"/>
      <c r="Y43" s="1202"/>
      <c r="Z43" s="1205"/>
      <c r="AA43" s="1115"/>
      <c r="AB43" s="1132"/>
      <c r="AC43" s="1115"/>
      <c r="AD43" s="1132"/>
      <c r="AE43" s="1115"/>
      <c r="AF43" s="1132"/>
      <c r="AG43" s="1115"/>
      <c r="AH43" s="1132"/>
      <c r="AI43" s="1115"/>
      <c r="AJ43" s="1132"/>
      <c r="AK43" s="1115"/>
      <c r="AL43" s="1132"/>
      <c r="AM43" s="1202"/>
      <c r="AN43" s="1205"/>
      <c r="AO43" s="1115"/>
      <c r="AP43" s="1132"/>
      <c r="AQ43" s="1115"/>
      <c r="AR43" s="1132"/>
      <c r="AS43" s="1115"/>
      <c r="AT43" s="1132"/>
      <c r="AU43" s="1115"/>
      <c r="AV43" s="1132"/>
      <c r="AW43" s="1115"/>
      <c r="AX43" s="1132"/>
      <c r="AY43" s="1115"/>
      <c r="AZ43" s="1132"/>
      <c r="BA43" s="1202"/>
      <c r="BB43" s="1205"/>
      <c r="BC43" s="1115"/>
      <c r="BD43" s="1132"/>
      <c r="BE43" s="1115"/>
      <c r="BF43" s="1132"/>
      <c r="BG43" s="1115"/>
      <c r="BH43" s="1132"/>
      <c r="BI43" s="1115"/>
      <c r="BJ43" s="1132"/>
      <c r="BK43" s="1115"/>
      <c r="BL43" s="1133"/>
      <c r="BM43" s="1118"/>
      <c r="BN43" s="1119"/>
      <c r="BO43" s="1120"/>
      <c r="BP43" s="1121"/>
      <c r="BQ43" s="1122"/>
      <c r="BR43" s="1122"/>
      <c r="BS43" s="1123"/>
      <c r="BV43" s="1138"/>
      <c r="BW43" s="1139"/>
      <c r="CA43" s="1277"/>
      <c r="CB43" s="1143"/>
    </row>
    <row r="44" spans="1:86" s="1124" customFormat="1" ht="21.95" customHeight="1" thickTop="1" thickBot="1">
      <c r="A44" s="1113"/>
      <c r="B44" s="1128"/>
      <c r="C44" s="1115"/>
      <c r="D44" s="1131"/>
      <c r="E44" s="1115"/>
      <c r="F44" s="1131"/>
      <c r="G44" s="1115"/>
      <c r="H44" s="1132"/>
      <c r="I44" s="1115"/>
      <c r="J44" s="1131"/>
      <c r="K44" s="1202"/>
      <c r="L44" s="1218"/>
      <c r="M44" s="1115"/>
      <c r="N44" s="1132"/>
      <c r="O44" s="1115"/>
      <c r="P44" s="1132"/>
      <c r="Q44" s="1115"/>
      <c r="R44" s="1132"/>
      <c r="S44" s="1115"/>
      <c r="T44" s="1132"/>
      <c r="U44" s="1115"/>
      <c r="V44" s="1132"/>
      <c r="W44" s="1115"/>
      <c r="X44" s="1132"/>
      <c r="Y44" s="1202"/>
      <c r="Z44" s="1205"/>
      <c r="AA44" s="1115"/>
      <c r="AB44" s="1132"/>
      <c r="AC44" s="1115"/>
      <c r="AD44" s="1132"/>
      <c r="AE44" s="1115"/>
      <c r="AF44" s="1132"/>
      <c r="AG44" s="1115"/>
      <c r="AH44" s="1132"/>
      <c r="AI44" s="1115"/>
      <c r="AJ44" s="1132"/>
      <c r="AK44" s="1115"/>
      <c r="AL44" s="1132"/>
      <c r="AM44" s="1202"/>
      <c r="AN44" s="1205"/>
      <c r="AO44" s="1115"/>
      <c r="AP44" s="1132"/>
      <c r="AQ44" s="1115"/>
      <c r="AR44" s="1132"/>
      <c r="AS44" s="1115"/>
      <c r="AT44" s="1132"/>
      <c r="AU44" s="1115"/>
      <c r="AV44" s="1132"/>
      <c r="AW44" s="1115"/>
      <c r="AX44" s="1132"/>
      <c r="AY44" s="1115"/>
      <c r="AZ44" s="1132"/>
      <c r="BA44" s="1202"/>
      <c r="BB44" s="1205"/>
      <c r="BC44" s="1115"/>
      <c r="BD44" s="1132"/>
      <c r="BE44" s="1115"/>
      <c r="BF44" s="1132"/>
      <c r="BG44" s="1115"/>
      <c r="BH44" s="1132"/>
      <c r="BI44" s="1115"/>
      <c r="BJ44" s="1132"/>
      <c r="BK44" s="1115"/>
      <c r="BL44" s="1133"/>
      <c r="BM44" s="1118"/>
      <c r="BN44" s="1119"/>
      <c r="BO44" s="1120"/>
      <c r="BP44" s="1121"/>
      <c r="BQ44" s="1122"/>
      <c r="BR44" s="1122"/>
      <c r="BS44" s="1123"/>
      <c r="CA44" s="1139"/>
      <c r="CB44" s="1139"/>
    </row>
    <row r="45" spans="1:86" s="1124" customFormat="1" ht="21.95" customHeight="1" thickTop="1" thickBot="1">
      <c r="A45" s="1113"/>
      <c r="B45" s="1144"/>
      <c r="C45" s="1115"/>
      <c r="D45" s="1131"/>
      <c r="E45" s="1115"/>
      <c r="F45" s="1131"/>
      <c r="G45" s="1115"/>
      <c r="H45" s="1132"/>
      <c r="I45" s="1115"/>
      <c r="J45" s="1131"/>
      <c r="K45" s="1202"/>
      <c r="L45" s="1218"/>
      <c r="M45" s="1115"/>
      <c r="N45" s="1132"/>
      <c r="O45" s="1115"/>
      <c r="P45" s="1132"/>
      <c r="Q45" s="1115"/>
      <c r="R45" s="1132"/>
      <c r="S45" s="1115"/>
      <c r="T45" s="1132"/>
      <c r="U45" s="1115"/>
      <c r="V45" s="1132"/>
      <c r="W45" s="1115"/>
      <c r="X45" s="1132"/>
      <c r="Y45" s="1202"/>
      <c r="Z45" s="1205"/>
      <c r="AA45" s="1115"/>
      <c r="AB45" s="1132"/>
      <c r="AC45" s="1115"/>
      <c r="AD45" s="1132"/>
      <c r="AE45" s="1115"/>
      <c r="AF45" s="1132"/>
      <c r="AG45" s="1115"/>
      <c r="AH45" s="1132"/>
      <c r="AI45" s="1115"/>
      <c r="AJ45" s="1132"/>
      <c r="AK45" s="1115"/>
      <c r="AL45" s="1132"/>
      <c r="AM45" s="1202"/>
      <c r="AN45" s="1205"/>
      <c r="AO45" s="1115"/>
      <c r="AP45" s="1132"/>
      <c r="AQ45" s="1115"/>
      <c r="AR45" s="1132"/>
      <c r="AS45" s="1115"/>
      <c r="AT45" s="1132"/>
      <c r="AU45" s="1115"/>
      <c r="AV45" s="1132"/>
      <c r="AW45" s="1115"/>
      <c r="AX45" s="1132"/>
      <c r="AY45" s="1115"/>
      <c r="AZ45" s="1132"/>
      <c r="BA45" s="1202"/>
      <c r="BB45" s="1205"/>
      <c r="BC45" s="1115"/>
      <c r="BD45" s="1132"/>
      <c r="BE45" s="1115"/>
      <c r="BF45" s="1132"/>
      <c r="BG45" s="1115"/>
      <c r="BH45" s="1132"/>
      <c r="BI45" s="1115"/>
      <c r="BJ45" s="1132"/>
      <c r="BK45" s="1115"/>
      <c r="BL45" s="1133"/>
      <c r="BM45" s="1118"/>
      <c r="BN45" s="1134"/>
      <c r="BO45" s="1120"/>
      <c r="BP45" s="1121"/>
      <c r="BQ45" s="1122"/>
      <c r="BR45" s="1122"/>
      <c r="BS45" s="1123"/>
      <c r="CA45" s="1145"/>
      <c r="CB45" s="1145"/>
    </row>
    <row r="46" spans="1:86" s="1124" customFormat="1" ht="21.95" customHeight="1" thickTop="1" thickBot="1">
      <c r="A46" s="1113"/>
      <c r="B46" s="1135"/>
      <c r="C46" s="1115"/>
      <c r="D46" s="1146"/>
      <c r="E46" s="1115"/>
      <c r="F46" s="1146"/>
      <c r="G46" s="1115"/>
      <c r="H46" s="1147"/>
      <c r="I46" s="1115"/>
      <c r="J46" s="1146"/>
      <c r="K46" s="1202"/>
      <c r="L46" s="1219"/>
      <c r="M46" s="1115"/>
      <c r="N46" s="1147"/>
      <c r="O46" s="1115"/>
      <c r="P46" s="1147"/>
      <c r="Q46" s="1115"/>
      <c r="R46" s="1147"/>
      <c r="S46" s="1115"/>
      <c r="T46" s="1147"/>
      <c r="U46" s="1115"/>
      <c r="V46" s="1147"/>
      <c r="W46" s="1115"/>
      <c r="X46" s="1147"/>
      <c r="Y46" s="1202"/>
      <c r="Z46" s="1206"/>
      <c r="AA46" s="1115"/>
      <c r="AB46" s="1147"/>
      <c r="AC46" s="1115"/>
      <c r="AD46" s="1147"/>
      <c r="AE46" s="1115"/>
      <c r="AF46" s="1147"/>
      <c r="AG46" s="1115"/>
      <c r="AH46" s="1147"/>
      <c r="AI46" s="1115"/>
      <c r="AJ46" s="1147"/>
      <c r="AK46" s="1115"/>
      <c r="AL46" s="1147"/>
      <c r="AM46" s="1202"/>
      <c r="AN46" s="1206"/>
      <c r="AO46" s="1115"/>
      <c r="AP46" s="1147"/>
      <c r="AQ46" s="1115"/>
      <c r="AR46" s="1147"/>
      <c r="AS46" s="1115"/>
      <c r="AT46" s="1147"/>
      <c r="AU46" s="1115"/>
      <c r="AV46" s="1147"/>
      <c r="AW46" s="1115"/>
      <c r="AX46" s="1147"/>
      <c r="AY46" s="1115"/>
      <c r="AZ46" s="1147"/>
      <c r="BA46" s="1202"/>
      <c r="BB46" s="1206"/>
      <c r="BC46" s="1115"/>
      <c r="BD46" s="1147"/>
      <c r="BE46" s="1115"/>
      <c r="BF46" s="1147"/>
      <c r="BG46" s="1115"/>
      <c r="BH46" s="1147"/>
      <c r="BI46" s="1115"/>
      <c r="BJ46" s="1147"/>
      <c r="BK46" s="1115"/>
      <c r="BL46" s="1148"/>
      <c r="BM46" s="1118"/>
      <c r="BN46" s="1149"/>
      <c r="BO46" s="1150"/>
      <c r="BP46" s="1121"/>
      <c r="BQ46" s="1151"/>
      <c r="BR46" s="1151"/>
      <c r="BS46" s="1123"/>
    </row>
    <row r="47" spans="1:86" s="1124" customFormat="1" ht="21.95" customHeight="1" thickTop="1" thickBot="1">
      <c r="A47" s="1113"/>
      <c r="B47" s="1135"/>
      <c r="C47" s="1115"/>
      <c r="D47" s="1131"/>
      <c r="E47" s="1115"/>
      <c r="F47" s="1131"/>
      <c r="G47" s="1115"/>
      <c r="H47" s="1132"/>
      <c r="I47" s="1115"/>
      <c r="J47" s="1131"/>
      <c r="K47" s="1202"/>
      <c r="L47" s="1218"/>
      <c r="M47" s="1115"/>
      <c r="N47" s="1132"/>
      <c r="O47" s="1115"/>
      <c r="P47" s="1132"/>
      <c r="Q47" s="1115"/>
      <c r="R47" s="1132"/>
      <c r="S47" s="1115"/>
      <c r="T47" s="1132"/>
      <c r="U47" s="1115"/>
      <c r="V47" s="1132"/>
      <c r="W47" s="1115"/>
      <c r="X47" s="1132"/>
      <c r="Y47" s="1202"/>
      <c r="Z47" s="1205"/>
      <c r="AA47" s="1115"/>
      <c r="AB47" s="1132"/>
      <c r="AC47" s="1115"/>
      <c r="AD47" s="1132"/>
      <c r="AE47" s="1115"/>
      <c r="AF47" s="1132"/>
      <c r="AG47" s="1115"/>
      <c r="AH47" s="1132"/>
      <c r="AI47" s="1115"/>
      <c r="AJ47" s="1132"/>
      <c r="AK47" s="1115"/>
      <c r="AL47" s="1132"/>
      <c r="AM47" s="1202"/>
      <c r="AN47" s="1205"/>
      <c r="AO47" s="1115"/>
      <c r="AP47" s="1132"/>
      <c r="AQ47" s="1115"/>
      <c r="AR47" s="1132"/>
      <c r="AS47" s="1115"/>
      <c r="AT47" s="1132"/>
      <c r="AU47" s="1115"/>
      <c r="AV47" s="1132"/>
      <c r="AW47" s="1115"/>
      <c r="AX47" s="1132"/>
      <c r="AY47" s="1115"/>
      <c r="AZ47" s="1132"/>
      <c r="BA47" s="1202"/>
      <c r="BB47" s="1205"/>
      <c r="BC47" s="1115"/>
      <c r="BD47" s="1132"/>
      <c r="BE47" s="1115"/>
      <c r="BF47" s="1132"/>
      <c r="BG47" s="1115"/>
      <c r="BH47" s="1132"/>
      <c r="BI47" s="1115"/>
      <c r="BJ47" s="1132"/>
      <c r="BK47" s="1115"/>
      <c r="BL47" s="1133"/>
      <c r="BM47" s="1118"/>
      <c r="BN47" s="1134"/>
      <c r="BO47" s="1120"/>
      <c r="BP47" s="1121"/>
      <c r="BQ47" s="1122"/>
      <c r="BR47" s="1122"/>
      <c r="BS47" s="1123"/>
    </row>
    <row r="48" spans="1:86" s="1124" customFormat="1" ht="21.95" customHeight="1" thickTop="1" thickBot="1">
      <c r="A48" s="1113"/>
      <c r="B48" s="1128"/>
      <c r="C48" s="1115"/>
      <c r="D48" s="1116"/>
      <c r="E48" s="1115"/>
      <c r="F48" s="1116"/>
      <c r="G48" s="1115"/>
      <c r="H48" s="1117"/>
      <c r="I48" s="1115"/>
      <c r="J48" s="1116"/>
      <c r="K48" s="1202"/>
      <c r="L48" s="1216"/>
      <c r="M48" s="1115"/>
      <c r="N48" s="1117"/>
      <c r="O48" s="1115"/>
      <c r="P48" s="1117"/>
      <c r="Q48" s="1115"/>
      <c r="R48" s="1117"/>
      <c r="S48" s="1115"/>
      <c r="T48" s="1117"/>
      <c r="U48" s="1115"/>
      <c r="V48" s="1117"/>
      <c r="W48" s="1115"/>
      <c r="X48" s="1117"/>
      <c r="Y48" s="1202"/>
      <c r="Z48" s="1114"/>
      <c r="AA48" s="1115"/>
      <c r="AB48" s="1117"/>
      <c r="AC48" s="1115"/>
      <c r="AD48" s="1117"/>
      <c r="AE48" s="1115"/>
      <c r="AF48" s="1117"/>
      <c r="AG48" s="1115"/>
      <c r="AH48" s="1117"/>
      <c r="AI48" s="1115"/>
      <c r="AJ48" s="1117"/>
      <c r="AK48" s="1115"/>
      <c r="AL48" s="1117"/>
      <c r="AM48" s="1202"/>
      <c r="AN48" s="1114"/>
      <c r="AO48" s="1115"/>
      <c r="AP48" s="1117"/>
      <c r="AQ48" s="1115"/>
      <c r="AR48" s="1117"/>
      <c r="AS48" s="1115"/>
      <c r="AT48" s="1117"/>
      <c r="AU48" s="1115"/>
      <c r="AV48" s="1117"/>
      <c r="AW48" s="1115"/>
      <c r="AX48" s="1117"/>
      <c r="AY48" s="1115"/>
      <c r="AZ48" s="1117"/>
      <c r="BA48" s="1202"/>
      <c r="BB48" s="1114"/>
      <c r="BC48" s="1115"/>
      <c r="BD48" s="1117"/>
      <c r="BE48" s="1115"/>
      <c r="BF48" s="1117"/>
      <c r="BG48" s="1115"/>
      <c r="BH48" s="1117"/>
      <c r="BI48" s="1115"/>
      <c r="BJ48" s="1117"/>
      <c r="BK48" s="1115"/>
      <c r="BL48" s="1117"/>
      <c r="BM48" s="1118"/>
      <c r="BN48" s="1119"/>
      <c r="BO48" s="1120"/>
      <c r="BP48" s="1121"/>
      <c r="BQ48" s="1122"/>
      <c r="BR48" s="1122"/>
      <c r="BS48" s="1123"/>
    </row>
    <row r="49" spans="1:71" s="1124" customFormat="1" ht="21.95" customHeight="1" thickTop="1" thickBot="1">
      <c r="A49" s="1113"/>
      <c r="B49" s="1128"/>
      <c r="C49" s="1115"/>
      <c r="D49" s="1131"/>
      <c r="E49" s="1115"/>
      <c r="F49" s="1131"/>
      <c r="G49" s="1115"/>
      <c r="H49" s="1132"/>
      <c r="I49" s="1115"/>
      <c r="J49" s="1131"/>
      <c r="K49" s="1202"/>
      <c r="L49" s="1218"/>
      <c r="M49" s="1115"/>
      <c r="N49" s="1132"/>
      <c r="O49" s="1115"/>
      <c r="P49" s="1132"/>
      <c r="Q49" s="1115"/>
      <c r="R49" s="1132"/>
      <c r="S49" s="1115"/>
      <c r="T49" s="1132"/>
      <c r="U49" s="1115"/>
      <c r="V49" s="1132"/>
      <c r="W49" s="1115"/>
      <c r="X49" s="1132"/>
      <c r="Y49" s="1202"/>
      <c r="Z49" s="1205"/>
      <c r="AA49" s="1115"/>
      <c r="AB49" s="1132"/>
      <c r="AC49" s="1115"/>
      <c r="AD49" s="1132"/>
      <c r="AE49" s="1115"/>
      <c r="AF49" s="1132"/>
      <c r="AG49" s="1115"/>
      <c r="AH49" s="1132"/>
      <c r="AI49" s="1115"/>
      <c r="AJ49" s="1132"/>
      <c r="AK49" s="1115"/>
      <c r="AL49" s="1132"/>
      <c r="AM49" s="1202"/>
      <c r="AN49" s="1205"/>
      <c r="AO49" s="1115"/>
      <c r="AP49" s="1132"/>
      <c r="AQ49" s="1115"/>
      <c r="AR49" s="1132"/>
      <c r="AS49" s="1115"/>
      <c r="AT49" s="1132"/>
      <c r="AU49" s="1115"/>
      <c r="AV49" s="1132"/>
      <c r="AW49" s="1115"/>
      <c r="AX49" s="1132"/>
      <c r="AY49" s="1115"/>
      <c r="AZ49" s="1132"/>
      <c r="BA49" s="1202"/>
      <c r="BB49" s="1205"/>
      <c r="BC49" s="1115"/>
      <c r="BD49" s="1132"/>
      <c r="BE49" s="1115"/>
      <c r="BF49" s="1132"/>
      <c r="BG49" s="1115"/>
      <c r="BH49" s="1132"/>
      <c r="BI49" s="1115"/>
      <c r="BJ49" s="1132"/>
      <c r="BK49" s="1115"/>
      <c r="BL49" s="1133"/>
      <c r="BM49" s="1118"/>
      <c r="BN49" s="1119"/>
      <c r="BO49" s="1120"/>
      <c r="BP49" s="1121"/>
      <c r="BQ49" s="1122"/>
      <c r="BR49" s="1122"/>
      <c r="BS49" s="1123"/>
    </row>
    <row r="50" spans="1:71" s="1124" customFormat="1" ht="21.95" customHeight="1" thickTop="1" thickBot="1">
      <c r="A50" s="1113"/>
      <c r="B50" s="1128"/>
      <c r="C50" s="1115"/>
      <c r="D50" s="1131"/>
      <c r="E50" s="1115"/>
      <c r="F50" s="1131"/>
      <c r="G50" s="1115"/>
      <c r="H50" s="1132"/>
      <c r="I50" s="1115"/>
      <c r="J50" s="1152"/>
      <c r="K50" s="1202"/>
      <c r="L50" s="1218"/>
      <c r="M50" s="1115"/>
      <c r="N50" s="1132"/>
      <c r="O50" s="1115"/>
      <c r="P50" s="1132"/>
      <c r="Q50" s="1115"/>
      <c r="R50" s="1132"/>
      <c r="S50" s="1115"/>
      <c r="T50" s="1132"/>
      <c r="U50" s="1115"/>
      <c r="V50" s="1132"/>
      <c r="W50" s="1115"/>
      <c r="X50" s="1132"/>
      <c r="Y50" s="1202"/>
      <c r="Z50" s="1205"/>
      <c r="AA50" s="1115"/>
      <c r="AB50" s="1132"/>
      <c r="AC50" s="1115"/>
      <c r="AD50" s="1132"/>
      <c r="AE50" s="1115"/>
      <c r="AF50" s="1132"/>
      <c r="AG50" s="1115"/>
      <c r="AH50" s="1132"/>
      <c r="AI50" s="1115"/>
      <c r="AJ50" s="1132"/>
      <c r="AK50" s="1115"/>
      <c r="AL50" s="1132"/>
      <c r="AM50" s="1202"/>
      <c r="AN50" s="1205"/>
      <c r="AO50" s="1115"/>
      <c r="AP50" s="1132"/>
      <c r="AQ50" s="1115"/>
      <c r="AR50" s="1132"/>
      <c r="AS50" s="1115"/>
      <c r="AT50" s="1132"/>
      <c r="AU50" s="1115"/>
      <c r="AV50" s="1132"/>
      <c r="AW50" s="1115"/>
      <c r="AX50" s="1132"/>
      <c r="AY50" s="1115"/>
      <c r="AZ50" s="1132"/>
      <c r="BA50" s="1202"/>
      <c r="BB50" s="1205"/>
      <c r="BC50" s="1115"/>
      <c r="BD50" s="1132"/>
      <c r="BE50" s="1115"/>
      <c r="BF50" s="1132"/>
      <c r="BG50" s="1115"/>
      <c r="BH50" s="1132"/>
      <c r="BI50" s="1115"/>
      <c r="BJ50" s="1132"/>
      <c r="BK50" s="1115"/>
      <c r="BL50" s="1133"/>
      <c r="BM50" s="1118"/>
      <c r="BN50" s="1119"/>
      <c r="BO50" s="1120"/>
      <c r="BP50" s="1121"/>
      <c r="BQ50" s="1122"/>
      <c r="BR50" s="1122"/>
      <c r="BS50" s="1123"/>
    </row>
    <row r="51" spans="1:71" s="1124" customFormat="1" ht="21.95" customHeight="1" thickTop="1" thickBot="1">
      <c r="A51" s="1113"/>
      <c r="B51" s="1128"/>
      <c r="C51" s="1115"/>
      <c r="D51" s="1131"/>
      <c r="E51" s="1115"/>
      <c r="F51" s="1152"/>
      <c r="G51" s="1115"/>
      <c r="H51" s="1132"/>
      <c r="I51" s="1115"/>
      <c r="J51" s="1131"/>
      <c r="K51" s="1202"/>
      <c r="L51" s="1218"/>
      <c r="M51" s="1115"/>
      <c r="N51" s="1132"/>
      <c r="O51" s="1115"/>
      <c r="P51" s="1132"/>
      <c r="Q51" s="1115"/>
      <c r="R51" s="1132"/>
      <c r="S51" s="1115"/>
      <c r="T51" s="1132"/>
      <c r="U51" s="1115"/>
      <c r="V51" s="1132"/>
      <c r="W51" s="1115"/>
      <c r="X51" s="1132"/>
      <c r="Y51" s="1202"/>
      <c r="Z51" s="1205"/>
      <c r="AA51" s="1115"/>
      <c r="AB51" s="1132"/>
      <c r="AC51" s="1115"/>
      <c r="AD51" s="1132"/>
      <c r="AE51" s="1115"/>
      <c r="AF51" s="1132"/>
      <c r="AG51" s="1115"/>
      <c r="AH51" s="1132"/>
      <c r="AI51" s="1115"/>
      <c r="AJ51" s="1132"/>
      <c r="AK51" s="1115"/>
      <c r="AL51" s="1132"/>
      <c r="AM51" s="1202"/>
      <c r="AN51" s="1205"/>
      <c r="AO51" s="1115"/>
      <c r="AP51" s="1132"/>
      <c r="AQ51" s="1115"/>
      <c r="AR51" s="1132"/>
      <c r="AS51" s="1115"/>
      <c r="AT51" s="1132"/>
      <c r="AU51" s="1115"/>
      <c r="AV51" s="1132"/>
      <c r="AW51" s="1115"/>
      <c r="AX51" s="1132"/>
      <c r="AY51" s="1115"/>
      <c r="AZ51" s="1132"/>
      <c r="BA51" s="1202"/>
      <c r="BB51" s="1205"/>
      <c r="BC51" s="1115"/>
      <c r="BD51" s="1132"/>
      <c r="BE51" s="1115"/>
      <c r="BF51" s="1132"/>
      <c r="BG51" s="1115"/>
      <c r="BH51" s="1132"/>
      <c r="BI51" s="1115"/>
      <c r="BJ51" s="1132"/>
      <c r="BK51" s="1115"/>
      <c r="BL51" s="1133"/>
      <c r="BM51" s="1118"/>
      <c r="BN51" s="1119"/>
      <c r="BO51" s="1120"/>
      <c r="BP51" s="1121"/>
      <c r="BQ51" s="1122"/>
      <c r="BR51" s="1122"/>
      <c r="BS51" s="1123"/>
    </row>
    <row r="52" spans="1:71" s="1124" customFormat="1" ht="21.95" customHeight="1" thickTop="1" thickBot="1">
      <c r="A52" s="1113"/>
      <c r="B52" s="1144"/>
      <c r="C52" s="1115"/>
      <c r="D52" s="1131"/>
      <c r="E52" s="1115"/>
      <c r="F52" s="1152"/>
      <c r="G52" s="1115"/>
      <c r="H52" s="1132"/>
      <c r="I52" s="1115"/>
      <c r="J52" s="1131"/>
      <c r="K52" s="1202"/>
      <c r="L52" s="1218"/>
      <c r="M52" s="1115"/>
      <c r="N52" s="1132"/>
      <c r="O52" s="1115"/>
      <c r="P52" s="1132"/>
      <c r="Q52" s="1115"/>
      <c r="R52" s="1132"/>
      <c r="S52" s="1115"/>
      <c r="T52" s="1132"/>
      <c r="U52" s="1115"/>
      <c r="V52" s="1132"/>
      <c r="W52" s="1115"/>
      <c r="X52" s="1132"/>
      <c r="Y52" s="1202"/>
      <c r="Z52" s="1205"/>
      <c r="AA52" s="1115"/>
      <c r="AB52" s="1132"/>
      <c r="AC52" s="1115"/>
      <c r="AD52" s="1132"/>
      <c r="AE52" s="1115"/>
      <c r="AF52" s="1132"/>
      <c r="AG52" s="1115"/>
      <c r="AH52" s="1132"/>
      <c r="AI52" s="1115"/>
      <c r="AJ52" s="1132"/>
      <c r="AK52" s="1115"/>
      <c r="AL52" s="1132"/>
      <c r="AM52" s="1202"/>
      <c r="AN52" s="1205"/>
      <c r="AO52" s="1115"/>
      <c r="AP52" s="1132"/>
      <c r="AQ52" s="1115"/>
      <c r="AR52" s="1132"/>
      <c r="AS52" s="1115"/>
      <c r="AT52" s="1132"/>
      <c r="AU52" s="1115"/>
      <c r="AV52" s="1132"/>
      <c r="AW52" s="1115"/>
      <c r="AX52" s="1132"/>
      <c r="AY52" s="1115"/>
      <c r="AZ52" s="1132"/>
      <c r="BA52" s="1202"/>
      <c r="BB52" s="1205"/>
      <c r="BC52" s="1115"/>
      <c r="BD52" s="1132"/>
      <c r="BE52" s="1115"/>
      <c r="BF52" s="1132"/>
      <c r="BG52" s="1115"/>
      <c r="BH52" s="1132"/>
      <c r="BI52" s="1115"/>
      <c r="BJ52" s="1132"/>
      <c r="BK52" s="1115"/>
      <c r="BL52" s="1133"/>
      <c r="BM52" s="1118"/>
      <c r="BN52" s="1119"/>
      <c r="BO52" s="1120"/>
      <c r="BP52" s="1121"/>
      <c r="BQ52" s="1122"/>
      <c r="BR52" s="1122"/>
      <c r="BS52" s="1123"/>
    </row>
    <row r="53" spans="1:71" s="1124" customFormat="1" ht="21.95" customHeight="1" thickTop="1" thickBot="1">
      <c r="A53" s="1113"/>
      <c r="B53" s="1128"/>
      <c r="C53" s="1115"/>
      <c r="D53" s="1131"/>
      <c r="E53" s="1115"/>
      <c r="F53" s="1152"/>
      <c r="G53" s="1115"/>
      <c r="H53" s="1132"/>
      <c r="I53" s="1115"/>
      <c r="J53" s="1131"/>
      <c r="K53" s="1202"/>
      <c r="L53" s="1218"/>
      <c r="M53" s="1115"/>
      <c r="N53" s="1132"/>
      <c r="O53" s="1115"/>
      <c r="P53" s="1132"/>
      <c r="Q53" s="1115"/>
      <c r="R53" s="1132"/>
      <c r="S53" s="1115"/>
      <c r="T53" s="1132"/>
      <c r="U53" s="1115"/>
      <c r="V53" s="1132"/>
      <c r="W53" s="1115"/>
      <c r="X53" s="1132"/>
      <c r="Y53" s="1202"/>
      <c r="Z53" s="1205"/>
      <c r="AA53" s="1115"/>
      <c r="AB53" s="1132"/>
      <c r="AC53" s="1115"/>
      <c r="AD53" s="1132"/>
      <c r="AE53" s="1115"/>
      <c r="AF53" s="1132"/>
      <c r="AG53" s="1115"/>
      <c r="AH53" s="1132"/>
      <c r="AI53" s="1115"/>
      <c r="AJ53" s="1132"/>
      <c r="AK53" s="1115"/>
      <c r="AL53" s="1132"/>
      <c r="AM53" s="1202"/>
      <c r="AN53" s="1205"/>
      <c r="AO53" s="1115"/>
      <c r="AP53" s="1132"/>
      <c r="AQ53" s="1115"/>
      <c r="AR53" s="1132"/>
      <c r="AS53" s="1115"/>
      <c r="AT53" s="1132"/>
      <c r="AU53" s="1115"/>
      <c r="AV53" s="1132"/>
      <c r="AW53" s="1115"/>
      <c r="AX53" s="1132"/>
      <c r="AY53" s="1115"/>
      <c r="AZ53" s="1132"/>
      <c r="BA53" s="1202"/>
      <c r="BB53" s="1205"/>
      <c r="BC53" s="1115"/>
      <c r="BD53" s="1132"/>
      <c r="BE53" s="1115"/>
      <c r="BF53" s="1132"/>
      <c r="BG53" s="1115"/>
      <c r="BH53" s="1132"/>
      <c r="BI53" s="1115"/>
      <c r="BJ53" s="1132"/>
      <c r="BK53" s="1115"/>
      <c r="BL53" s="1133"/>
      <c r="BM53" s="1118"/>
      <c r="BN53" s="1119"/>
      <c r="BO53" s="1120"/>
      <c r="BP53" s="1121"/>
      <c r="BQ53" s="1122"/>
      <c r="BR53" s="1122"/>
      <c r="BS53" s="1123"/>
    </row>
    <row r="54" spans="1:71" s="1124" customFormat="1" ht="21.95" customHeight="1" thickTop="1" thickBot="1">
      <c r="A54" s="1113"/>
      <c r="B54" s="1128"/>
      <c r="C54" s="1115"/>
      <c r="D54" s="1131"/>
      <c r="E54" s="1115"/>
      <c r="F54" s="1131"/>
      <c r="G54" s="1115"/>
      <c r="H54" s="1132"/>
      <c r="I54" s="1115"/>
      <c r="J54" s="1131"/>
      <c r="K54" s="1202"/>
      <c r="L54" s="1218"/>
      <c r="M54" s="1115"/>
      <c r="N54" s="1132"/>
      <c r="O54" s="1115"/>
      <c r="P54" s="1132"/>
      <c r="Q54" s="1115"/>
      <c r="R54" s="1132"/>
      <c r="S54" s="1115"/>
      <c r="T54" s="1132"/>
      <c r="U54" s="1115"/>
      <c r="V54" s="1132"/>
      <c r="W54" s="1115"/>
      <c r="X54" s="1132"/>
      <c r="Y54" s="1202"/>
      <c r="Z54" s="1205"/>
      <c r="AA54" s="1115"/>
      <c r="AB54" s="1132"/>
      <c r="AC54" s="1115"/>
      <c r="AD54" s="1132"/>
      <c r="AE54" s="1115"/>
      <c r="AF54" s="1132"/>
      <c r="AG54" s="1115"/>
      <c r="AH54" s="1132"/>
      <c r="AI54" s="1115"/>
      <c r="AJ54" s="1132"/>
      <c r="AK54" s="1115"/>
      <c r="AL54" s="1132"/>
      <c r="AM54" s="1202"/>
      <c r="AN54" s="1205"/>
      <c r="AO54" s="1115"/>
      <c r="AP54" s="1132"/>
      <c r="AQ54" s="1115"/>
      <c r="AR54" s="1132"/>
      <c r="AS54" s="1115"/>
      <c r="AT54" s="1132"/>
      <c r="AU54" s="1115"/>
      <c r="AV54" s="1132"/>
      <c r="AW54" s="1115"/>
      <c r="AX54" s="1132"/>
      <c r="AY54" s="1115"/>
      <c r="AZ54" s="1132"/>
      <c r="BA54" s="1202"/>
      <c r="BB54" s="1205"/>
      <c r="BC54" s="1115"/>
      <c r="BD54" s="1132"/>
      <c r="BE54" s="1115"/>
      <c r="BF54" s="1132"/>
      <c r="BG54" s="1115"/>
      <c r="BH54" s="1132"/>
      <c r="BI54" s="1115"/>
      <c r="BJ54" s="1132"/>
      <c r="BK54" s="1115"/>
      <c r="BL54" s="1133"/>
      <c r="BM54" s="1118"/>
      <c r="BN54" s="1119"/>
      <c r="BO54" s="1120"/>
      <c r="BP54" s="1121"/>
      <c r="BQ54" s="1122"/>
      <c r="BR54" s="1122"/>
      <c r="BS54" s="1123"/>
    </row>
    <row r="55" spans="1:71" s="1124" customFormat="1" ht="21.95" customHeight="1" thickTop="1" thickBot="1">
      <c r="A55" s="1113"/>
      <c r="B55" s="1128"/>
      <c r="C55" s="1115"/>
      <c r="D55" s="1131"/>
      <c r="E55" s="1115"/>
      <c r="F55" s="1131"/>
      <c r="G55" s="1115"/>
      <c r="H55" s="1132"/>
      <c r="I55" s="1115"/>
      <c r="J55" s="1131"/>
      <c r="K55" s="1202"/>
      <c r="L55" s="1218"/>
      <c r="M55" s="1115"/>
      <c r="N55" s="1132"/>
      <c r="O55" s="1115"/>
      <c r="P55" s="1132"/>
      <c r="Q55" s="1115"/>
      <c r="R55" s="1132"/>
      <c r="S55" s="1115"/>
      <c r="T55" s="1132"/>
      <c r="U55" s="1115"/>
      <c r="V55" s="1132"/>
      <c r="W55" s="1115"/>
      <c r="X55" s="1132"/>
      <c r="Y55" s="1202"/>
      <c r="Z55" s="1205"/>
      <c r="AA55" s="1115"/>
      <c r="AB55" s="1132"/>
      <c r="AC55" s="1115"/>
      <c r="AD55" s="1132"/>
      <c r="AE55" s="1115"/>
      <c r="AF55" s="1132"/>
      <c r="AG55" s="1115"/>
      <c r="AH55" s="1132"/>
      <c r="AI55" s="1115"/>
      <c r="AJ55" s="1132"/>
      <c r="AK55" s="1115"/>
      <c r="AL55" s="1132"/>
      <c r="AM55" s="1202"/>
      <c r="AN55" s="1205"/>
      <c r="AO55" s="1115"/>
      <c r="AP55" s="1132"/>
      <c r="AQ55" s="1115"/>
      <c r="AR55" s="1132"/>
      <c r="AS55" s="1115"/>
      <c r="AT55" s="1132"/>
      <c r="AU55" s="1115"/>
      <c r="AV55" s="1132"/>
      <c r="AW55" s="1115"/>
      <c r="AX55" s="1132"/>
      <c r="AY55" s="1115"/>
      <c r="AZ55" s="1132"/>
      <c r="BA55" s="1202"/>
      <c r="BB55" s="1205"/>
      <c r="BC55" s="1115"/>
      <c r="BD55" s="1132"/>
      <c r="BE55" s="1115"/>
      <c r="BF55" s="1132"/>
      <c r="BG55" s="1115"/>
      <c r="BH55" s="1132"/>
      <c r="BI55" s="1115"/>
      <c r="BJ55" s="1132"/>
      <c r="BK55" s="1115"/>
      <c r="BL55" s="1133"/>
      <c r="BM55" s="1118"/>
      <c r="BN55" s="1119"/>
      <c r="BO55" s="1120"/>
      <c r="BP55" s="1121"/>
      <c r="BQ55" s="1122"/>
      <c r="BR55" s="1122"/>
      <c r="BS55" s="1123"/>
    </row>
    <row r="56" spans="1:71" s="1124" customFormat="1" ht="21.95" customHeight="1" thickTop="1" thickBot="1">
      <c r="A56" s="1113"/>
      <c r="B56" s="1128"/>
      <c r="C56" s="1115"/>
      <c r="D56" s="1131"/>
      <c r="E56" s="1115"/>
      <c r="F56" s="1152"/>
      <c r="G56" s="1115"/>
      <c r="H56" s="1132"/>
      <c r="I56" s="1115"/>
      <c r="J56" s="1131"/>
      <c r="K56" s="1202"/>
      <c r="L56" s="1218"/>
      <c r="M56" s="1115"/>
      <c r="N56" s="1132"/>
      <c r="O56" s="1115"/>
      <c r="P56" s="1132"/>
      <c r="Q56" s="1115"/>
      <c r="R56" s="1132"/>
      <c r="S56" s="1115"/>
      <c r="T56" s="1132"/>
      <c r="U56" s="1115"/>
      <c r="V56" s="1132"/>
      <c r="W56" s="1115"/>
      <c r="X56" s="1132"/>
      <c r="Y56" s="1202"/>
      <c r="Z56" s="1205"/>
      <c r="AA56" s="1115"/>
      <c r="AB56" s="1132"/>
      <c r="AC56" s="1115"/>
      <c r="AD56" s="1132"/>
      <c r="AE56" s="1115"/>
      <c r="AF56" s="1132"/>
      <c r="AG56" s="1115"/>
      <c r="AH56" s="1132"/>
      <c r="AI56" s="1115"/>
      <c r="AJ56" s="1132"/>
      <c r="AK56" s="1115"/>
      <c r="AL56" s="1132"/>
      <c r="AM56" s="1202"/>
      <c r="AN56" s="1205"/>
      <c r="AO56" s="1115"/>
      <c r="AP56" s="1132"/>
      <c r="AQ56" s="1115"/>
      <c r="AR56" s="1132"/>
      <c r="AS56" s="1115"/>
      <c r="AT56" s="1132"/>
      <c r="AU56" s="1115"/>
      <c r="AV56" s="1132"/>
      <c r="AW56" s="1115"/>
      <c r="AX56" s="1132"/>
      <c r="AY56" s="1115"/>
      <c r="AZ56" s="1132"/>
      <c r="BA56" s="1202"/>
      <c r="BB56" s="1205"/>
      <c r="BC56" s="1115"/>
      <c r="BD56" s="1132"/>
      <c r="BE56" s="1115"/>
      <c r="BF56" s="1132"/>
      <c r="BG56" s="1115"/>
      <c r="BH56" s="1132"/>
      <c r="BI56" s="1115"/>
      <c r="BJ56" s="1132"/>
      <c r="BK56" s="1115"/>
      <c r="BL56" s="1133"/>
      <c r="BM56" s="1118"/>
      <c r="BN56" s="1119"/>
      <c r="BO56" s="1120"/>
      <c r="BP56" s="1121"/>
      <c r="BQ56" s="1122"/>
      <c r="BR56" s="1122"/>
      <c r="BS56" s="1123"/>
    </row>
    <row r="57" spans="1:71" s="1124" customFormat="1" ht="21.95" customHeight="1" thickTop="1" thickBot="1">
      <c r="A57" s="1113"/>
      <c r="B57" s="1144"/>
      <c r="C57" s="1115"/>
      <c r="D57" s="1131"/>
      <c r="E57" s="1115"/>
      <c r="F57" s="1152"/>
      <c r="G57" s="1115"/>
      <c r="H57" s="1132"/>
      <c r="I57" s="1115"/>
      <c r="J57" s="1131"/>
      <c r="K57" s="1202"/>
      <c r="L57" s="1218"/>
      <c r="M57" s="1115"/>
      <c r="N57" s="1132"/>
      <c r="O57" s="1115"/>
      <c r="P57" s="1132"/>
      <c r="Q57" s="1115"/>
      <c r="R57" s="1132"/>
      <c r="S57" s="1115"/>
      <c r="T57" s="1132"/>
      <c r="U57" s="1115"/>
      <c r="V57" s="1132"/>
      <c r="W57" s="1115"/>
      <c r="X57" s="1132"/>
      <c r="Y57" s="1202"/>
      <c r="Z57" s="1205"/>
      <c r="AA57" s="1115"/>
      <c r="AB57" s="1132"/>
      <c r="AC57" s="1115"/>
      <c r="AD57" s="1132"/>
      <c r="AE57" s="1115"/>
      <c r="AF57" s="1132"/>
      <c r="AG57" s="1115"/>
      <c r="AH57" s="1132"/>
      <c r="AI57" s="1115"/>
      <c r="AJ57" s="1132"/>
      <c r="AK57" s="1115"/>
      <c r="AL57" s="1132"/>
      <c r="AM57" s="1202"/>
      <c r="AN57" s="1205"/>
      <c r="AO57" s="1115"/>
      <c r="AP57" s="1132"/>
      <c r="AQ57" s="1115"/>
      <c r="AR57" s="1132"/>
      <c r="AS57" s="1115"/>
      <c r="AT57" s="1132"/>
      <c r="AU57" s="1115"/>
      <c r="AV57" s="1132"/>
      <c r="AW57" s="1115"/>
      <c r="AX57" s="1132"/>
      <c r="AY57" s="1115"/>
      <c r="AZ57" s="1132"/>
      <c r="BA57" s="1202"/>
      <c r="BB57" s="1205"/>
      <c r="BC57" s="1115"/>
      <c r="BD57" s="1132"/>
      <c r="BE57" s="1115"/>
      <c r="BF57" s="1132"/>
      <c r="BG57" s="1115"/>
      <c r="BH57" s="1132"/>
      <c r="BI57" s="1115"/>
      <c r="BJ57" s="1132"/>
      <c r="BK57" s="1115"/>
      <c r="BL57" s="1133"/>
      <c r="BM57" s="1118"/>
      <c r="BN57" s="1119"/>
      <c r="BO57" s="1120"/>
      <c r="BP57" s="1121"/>
      <c r="BQ57" s="1122"/>
      <c r="BR57" s="1122"/>
      <c r="BS57" s="1123"/>
    </row>
    <row r="58" spans="1:71" s="1124" customFormat="1" ht="21.95" customHeight="1" thickTop="1" thickBot="1">
      <c r="A58" s="1113"/>
      <c r="B58" s="1128"/>
      <c r="C58" s="1115"/>
      <c r="D58" s="1131"/>
      <c r="E58" s="1115"/>
      <c r="F58" s="1152"/>
      <c r="G58" s="1115"/>
      <c r="H58" s="1132"/>
      <c r="I58" s="1115"/>
      <c r="J58" s="1152"/>
      <c r="K58" s="1202"/>
      <c r="L58" s="1218"/>
      <c r="M58" s="1115"/>
      <c r="N58" s="1132"/>
      <c r="O58" s="1115"/>
      <c r="P58" s="1132"/>
      <c r="Q58" s="1115"/>
      <c r="R58" s="1132"/>
      <c r="S58" s="1115"/>
      <c r="T58" s="1132"/>
      <c r="U58" s="1115"/>
      <c r="V58" s="1132"/>
      <c r="W58" s="1115"/>
      <c r="X58" s="1132"/>
      <c r="Y58" s="1202"/>
      <c r="Z58" s="1205"/>
      <c r="AA58" s="1115"/>
      <c r="AB58" s="1132"/>
      <c r="AC58" s="1115"/>
      <c r="AD58" s="1132"/>
      <c r="AE58" s="1115"/>
      <c r="AF58" s="1132"/>
      <c r="AG58" s="1115"/>
      <c r="AH58" s="1132"/>
      <c r="AI58" s="1115"/>
      <c r="AJ58" s="1132"/>
      <c r="AK58" s="1115"/>
      <c r="AL58" s="1132"/>
      <c r="AM58" s="1202"/>
      <c r="AN58" s="1205"/>
      <c r="AO58" s="1115"/>
      <c r="AP58" s="1132"/>
      <c r="AQ58" s="1115"/>
      <c r="AR58" s="1132"/>
      <c r="AS58" s="1115"/>
      <c r="AT58" s="1132"/>
      <c r="AU58" s="1115"/>
      <c r="AV58" s="1132"/>
      <c r="AW58" s="1115"/>
      <c r="AX58" s="1132"/>
      <c r="AY58" s="1115"/>
      <c r="AZ58" s="1132"/>
      <c r="BA58" s="1202"/>
      <c r="BB58" s="1205"/>
      <c r="BC58" s="1115"/>
      <c r="BD58" s="1132"/>
      <c r="BE58" s="1115"/>
      <c r="BF58" s="1132"/>
      <c r="BG58" s="1115"/>
      <c r="BH58" s="1132"/>
      <c r="BI58" s="1115"/>
      <c r="BJ58" s="1132"/>
      <c r="BK58" s="1115"/>
      <c r="BL58" s="1133"/>
      <c r="BM58" s="1118"/>
      <c r="BN58" s="1119"/>
      <c r="BO58" s="1120"/>
      <c r="BP58" s="1121"/>
      <c r="BQ58" s="1122"/>
      <c r="BR58" s="1122"/>
      <c r="BS58" s="1123"/>
    </row>
    <row r="59" spans="1:71" s="1124" customFormat="1" ht="21.95" customHeight="1" thickTop="1" thickBot="1">
      <c r="A59" s="1113"/>
      <c r="B59" s="1128"/>
      <c r="C59" s="1115"/>
      <c r="D59" s="1131"/>
      <c r="E59" s="1115"/>
      <c r="F59" s="1152"/>
      <c r="G59" s="1115"/>
      <c r="H59" s="1132"/>
      <c r="I59" s="1115"/>
      <c r="J59" s="1152"/>
      <c r="K59" s="1202"/>
      <c r="L59" s="1218"/>
      <c r="M59" s="1115"/>
      <c r="N59" s="1132"/>
      <c r="O59" s="1115"/>
      <c r="P59" s="1132"/>
      <c r="Q59" s="1115"/>
      <c r="R59" s="1132"/>
      <c r="S59" s="1115"/>
      <c r="T59" s="1132"/>
      <c r="U59" s="1115"/>
      <c r="V59" s="1132"/>
      <c r="W59" s="1115"/>
      <c r="X59" s="1132"/>
      <c r="Y59" s="1202"/>
      <c r="Z59" s="1205"/>
      <c r="AA59" s="1115"/>
      <c r="AB59" s="1132"/>
      <c r="AC59" s="1115"/>
      <c r="AD59" s="1132"/>
      <c r="AE59" s="1115"/>
      <c r="AF59" s="1132"/>
      <c r="AG59" s="1115"/>
      <c r="AH59" s="1132"/>
      <c r="AI59" s="1115"/>
      <c r="AJ59" s="1132"/>
      <c r="AK59" s="1115"/>
      <c r="AL59" s="1132"/>
      <c r="AM59" s="1202"/>
      <c r="AN59" s="1205"/>
      <c r="AO59" s="1115"/>
      <c r="AP59" s="1132"/>
      <c r="AQ59" s="1115"/>
      <c r="AR59" s="1132"/>
      <c r="AS59" s="1115"/>
      <c r="AT59" s="1132"/>
      <c r="AU59" s="1115"/>
      <c r="AV59" s="1132"/>
      <c r="AW59" s="1115"/>
      <c r="AX59" s="1132"/>
      <c r="AY59" s="1115"/>
      <c r="AZ59" s="1132"/>
      <c r="BA59" s="1202"/>
      <c r="BB59" s="1205"/>
      <c r="BC59" s="1115"/>
      <c r="BD59" s="1132"/>
      <c r="BE59" s="1115"/>
      <c r="BF59" s="1132"/>
      <c r="BG59" s="1115"/>
      <c r="BH59" s="1132"/>
      <c r="BI59" s="1115"/>
      <c r="BJ59" s="1132"/>
      <c r="BK59" s="1115"/>
      <c r="BL59" s="1133"/>
      <c r="BM59" s="1118"/>
      <c r="BN59" s="1119"/>
      <c r="BO59" s="1120"/>
      <c r="BP59" s="1121"/>
      <c r="BQ59" s="1122"/>
      <c r="BR59" s="1122"/>
      <c r="BS59" s="1123"/>
    </row>
    <row r="60" spans="1:71" s="1124" customFormat="1" ht="21.95" customHeight="1" thickTop="1" thickBot="1">
      <c r="A60" s="1113"/>
      <c r="B60" s="1128"/>
      <c r="C60" s="1115"/>
      <c r="D60" s="1131"/>
      <c r="E60" s="1115"/>
      <c r="F60" s="1152"/>
      <c r="G60" s="1115"/>
      <c r="H60" s="1132"/>
      <c r="I60" s="1115"/>
      <c r="J60" s="1152"/>
      <c r="K60" s="1202"/>
      <c r="L60" s="1218"/>
      <c r="M60" s="1115"/>
      <c r="N60" s="1132"/>
      <c r="O60" s="1115"/>
      <c r="P60" s="1132"/>
      <c r="Q60" s="1115"/>
      <c r="R60" s="1132"/>
      <c r="S60" s="1115"/>
      <c r="T60" s="1132"/>
      <c r="U60" s="1115"/>
      <c r="V60" s="1132"/>
      <c r="W60" s="1115"/>
      <c r="X60" s="1132"/>
      <c r="Y60" s="1202"/>
      <c r="Z60" s="1205"/>
      <c r="AA60" s="1115"/>
      <c r="AB60" s="1132"/>
      <c r="AC60" s="1115"/>
      <c r="AD60" s="1132"/>
      <c r="AE60" s="1115"/>
      <c r="AF60" s="1132"/>
      <c r="AG60" s="1115"/>
      <c r="AH60" s="1132"/>
      <c r="AI60" s="1115"/>
      <c r="AJ60" s="1132"/>
      <c r="AK60" s="1115"/>
      <c r="AL60" s="1132"/>
      <c r="AM60" s="1202"/>
      <c r="AN60" s="1205"/>
      <c r="AO60" s="1115"/>
      <c r="AP60" s="1132"/>
      <c r="AQ60" s="1115"/>
      <c r="AR60" s="1132"/>
      <c r="AS60" s="1115"/>
      <c r="AT60" s="1132"/>
      <c r="AU60" s="1115"/>
      <c r="AV60" s="1132"/>
      <c r="AW60" s="1115"/>
      <c r="AX60" s="1132"/>
      <c r="AY60" s="1115"/>
      <c r="AZ60" s="1132"/>
      <c r="BA60" s="1202"/>
      <c r="BB60" s="1205"/>
      <c r="BC60" s="1115"/>
      <c r="BD60" s="1132"/>
      <c r="BE60" s="1115"/>
      <c r="BF60" s="1132"/>
      <c r="BG60" s="1115"/>
      <c r="BH60" s="1132"/>
      <c r="BI60" s="1115"/>
      <c r="BJ60" s="1132"/>
      <c r="BK60" s="1115"/>
      <c r="BL60" s="1133"/>
      <c r="BM60" s="1118"/>
      <c r="BN60" s="1119"/>
      <c r="BO60" s="1120"/>
      <c r="BP60" s="1121"/>
      <c r="BQ60" s="1122"/>
      <c r="BR60" s="1122"/>
      <c r="BS60" s="1123"/>
    </row>
    <row r="61" spans="1:71" s="1124" customFormat="1" ht="21.95" customHeight="1" thickTop="1" thickBot="1">
      <c r="A61" s="1113"/>
      <c r="B61" s="1128"/>
      <c r="C61" s="1115"/>
      <c r="D61" s="1131"/>
      <c r="E61" s="1115"/>
      <c r="F61" s="1152"/>
      <c r="G61" s="1115"/>
      <c r="H61" s="1132"/>
      <c r="I61" s="1115"/>
      <c r="J61" s="1152"/>
      <c r="K61" s="1202"/>
      <c r="L61" s="1218"/>
      <c r="M61" s="1115"/>
      <c r="N61" s="1132"/>
      <c r="O61" s="1115"/>
      <c r="P61" s="1132"/>
      <c r="Q61" s="1115"/>
      <c r="R61" s="1132"/>
      <c r="S61" s="1115"/>
      <c r="T61" s="1132"/>
      <c r="U61" s="1115"/>
      <c r="V61" s="1132"/>
      <c r="W61" s="1115"/>
      <c r="X61" s="1132"/>
      <c r="Y61" s="1202"/>
      <c r="Z61" s="1205"/>
      <c r="AA61" s="1115"/>
      <c r="AB61" s="1132"/>
      <c r="AC61" s="1115"/>
      <c r="AD61" s="1132"/>
      <c r="AE61" s="1115"/>
      <c r="AF61" s="1132"/>
      <c r="AG61" s="1115"/>
      <c r="AH61" s="1132"/>
      <c r="AI61" s="1115"/>
      <c r="AJ61" s="1132"/>
      <c r="AK61" s="1115"/>
      <c r="AL61" s="1132"/>
      <c r="AM61" s="1202"/>
      <c r="AN61" s="1205"/>
      <c r="AO61" s="1115"/>
      <c r="AP61" s="1132"/>
      <c r="AQ61" s="1115"/>
      <c r="AR61" s="1132"/>
      <c r="AS61" s="1115"/>
      <c r="AT61" s="1132"/>
      <c r="AU61" s="1115"/>
      <c r="AV61" s="1132"/>
      <c r="AW61" s="1115"/>
      <c r="AX61" s="1132"/>
      <c r="AY61" s="1115"/>
      <c r="AZ61" s="1132"/>
      <c r="BA61" s="1202"/>
      <c r="BB61" s="1205"/>
      <c r="BC61" s="1115"/>
      <c r="BD61" s="1132"/>
      <c r="BE61" s="1115"/>
      <c r="BF61" s="1132"/>
      <c r="BG61" s="1115"/>
      <c r="BH61" s="1132"/>
      <c r="BI61" s="1115"/>
      <c r="BJ61" s="1132"/>
      <c r="BK61" s="1115"/>
      <c r="BL61" s="1133"/>
      <c r="BM61" s="1118"/>
      <c r="BN61" s="1119"/>
      <c r="BO61" s="1120"/>
      <c r="BP61" s="1121"/>
      <c r="BQ61" s="1122"/>
      <c r="BR61" s="1122"/>
      <c r="BS61" s="1123"/>
    </row>
    <row r="62" spans="1:71" s="1124" customFormat="1" ht="21.95" customHeight="1" thickTop="1" thickBot="1">
      <c r="A62" s="1113"/>
      <c r="B62" s="1128"/>
      <c r="C62" s="1115"/>
      <c r="D62" s="1131"/>
      <c r="E62" s="1115"/>
      <c r="F62" s="1152"/>
      <c r="G62" s="1115"/>
      <c r="H62" s="1132"/>
      <c r="I62" s="1115"/>
      <c r="J62" s="1152"/>
      <c r="K62" s="1202"/>
      <c r="L62" s="1218"/>
      <c r="M62" s="1115"/>
      <c r="N62" s="1132"/>
      <c r="O62" s="1115"/>
      <c r="P62" s="1132"/>
      <c r="Q62" s="1115"/>
      <c r="R62" s="1132"/>
      <c r="S62" s="1115"/>
      <c r="T62" s="1132"/>
      <c r="U62" s="1115"/>
      <c r="V62" s="1132"/>
      <c r="W62" s="1115"/>
      <c r="X62" s="1132"/>
      <c r="Y62" s="1202"/>
      <c r="Z62" s="1205"/>
      <c r="AA62" s="1115"/>
      <c r="AB62" s="1132"/>
      <c r="AC62" s="1115"/>
      <c r="AD62" s="1132"/>
      <c r="AE62" s="1115"/>
      <c r="AF62" s="1132"/>
      <c r="AG62" s="1115"/>
      <c r="AH62" s="1132"/>
      <c r="AI62" s="1115"/>
      <c r="AJ62" s="1132"/>
      <c r="AK62" s="1115"/>
      <c r="AL62" s="1132"/>
      <c r="AM62" s="1202"/>
      <c r="AN62" s="1205"/>
      <c r="AO62" s="1115"/>
      <c r="AP62" s="1132"/>
      <c r="AQ62" s="1115"/>
      <c r="AR62" s="1132"/>
      <c r="AS62" s="1115"/>
      <c r="AT62" s="1132"/>
      <c r="AU62" s="1115"/>
      <c r="AV62" s="1132"/>
      <c r="AW62" s="1115"/>
      <c r="AX62" s="1132"/>
      <c r="AY62" s="1115"/>
      <c r="AZ62" s="1132"/>
      <c r="BA62" s="1202"/>
      <c r="BB62" s="1205"/>
      <c r="BC62" s="1115"/>
      <c r="BD62" s="1132"/>
      <c r="BE62" s="1115"/>
      <c r="BF62" s="1132"/>
      <c r="BG62" s="1115"/>
      <c r="BH62" s="1132"/>
      <c r="BI62" s="1115"/>
      <c r="BJ62" s="1132"/>
      <c r="BK62" s="1115"/>
      <c r="BL62" s="1133"/>
      <c r="BM62" s="1118"/>
      <c r="BN62" s="1119"/>
      <c r="BO62" s="1120"/>
      <c r="BP62" s="1121"/>
      <c r="BQ62" s="1122"/>
      <c r="BR62" s="1122"/>
      <c r="BS62" s="1123"/>
    </row>
    <row r="63" spans="1:71" s="1124" customFormat="1" ht="21.95" customHeight="1" thickTop="1" thickBot="1">
      <c r="A63" s="1113"/>
      <c r="B63" s="1128"/>
      <c r="C63" s="1115"/>
      <c r="D63" s="1131"/>
      <c r="E63" s="1115"/>
      <c r="F63" s="1152"/>
      <c r="G63" s="1115"/>
      <c r="H63" s="1132"/>
      <c r="I63" s="1115"/>
      <c r="J63" s="1152"/>
      <c r="K63" s="1202"/>
      <c r="L63" s="1218"/>
      <c r="M63" s="1115"/>
      <c r="N63" s="1132"/>
      <c r="O63" s="1115"/>
      <c r="P63" s="1132"/>
      <c r="Q63" s="1115"/>
      <c r="R63" s="1132"/>
      <c r="S63" s="1115"/>
      <c r="T63" s="1132"/>
      <c r="U63" s="1115"/>
      <c r="V63" s="1132"/>
      <c r="W63" s="1115"/>
      <c r="X63" s="1132"/>
      <c r="Y63" s="1202"/>
      <c r="Z63" s="1205"/>
      <c r="AA63" s="1115"/>
      <c r="AB63" s="1132"/>
      <c r="AC63" s="1115"/>
      <c r="AD63" s="1132"/>
      <c r="AE63" s="1115"/>
      <c r="AF63" s="1132"/>
      <c r="AG63" s="1115"/>
      <c r="AH63" s="1132"/>
      <c r="AI63" s="1115"/>
      <c r="AJ63" s="1132"/>
      <c r="AK63" s="1115"/>
      <c r="AL63" s="1132"/>
      <c r="AM63" s="1202"/>
      <c r="AN63" s="1205"/>
      <c r="AO63" s="1115"/>
      <c r="AP63" s="1132"/>
      <c r="AQ63" s="1115"/>
      <c r="AR63" s="1132"/>
      <c r="AS63" s="1115"/>
      <c r="AT63" s="1132"/>
      <c r="AU63" s="1115"/>
      <c r="AV63" s="1132"/>
      <c r="AW63" s="1115"/>
      <c r="AX63" s="1132"/>
      <c r="AY63" s="1115"/>
      <c r="AZ63" s="1132"/>
      <c r="BA63" s="1202"/>
      <c r="BB63" s="1205"/>
      <c r="BC63" s="1115"/>
      <c r="BD63" s="1132"/>
      <c r="BE63" s="1115"/>
      <c r="BF63" s="1132"/>
      <c r="BG63" s="1115"/>
      <c r="BH63" s="1132"/>
      <c r="BI63" s="1115"/>
      <c r="BJ63" s="1132"/>
      <c r="BK63" s="1115"/>
      <c r="BL63" s="1133"/>
      <c r="BM63" s="1118"/>
      <c r="BN63" s="1119"/>
      <c r="BO63" s="1120"/>
      <c r="BP63" s="1121"/>
      <c r="BQ63" s="1122"/>
      <c r="BR63" s="1122"/>
      <c r="BS63" s="1123"/>
    </row>
    <row r="64" spans="1:71" s="1124" customFormat="1" ht="21.95" customHeight="1" thickTop="1" thickBot="1">
      <c r="A64" s="1113"/>
      <c r="B64" s="1128"/>
      <c r="C64" s="1115"/>
      <c r="D64" s="1131"/>
      <c r="E64" s="1115"/>
      <c r="F64" s="1152"/>
      <c r="G64" s="1115"/>
      <c r="H64" s="1132"/>
      <c r="I64" s="1115"/>
      <c r="J64" s="1152"/>
      <c r="K64" s="1202"/>
      <c r="L64" s="1218"/>
      <c r="M64" s="1115"/>
      <c r="N64" s="1132"/>
      <c r="O64" s="1115"/>
      <c r="P64" s="1132"/>
      <c r="Q64" s="1115"/>
      <c r="R64" s="1132"/>
      <c r="S64" s="1115"/>
      <c r="T64" s="1132"/>
      <c r="U64" s="1115"/>
      <c r="V64" s="1132"/>
      <c r="W64" s="1115"/>
      <c r="X64" s="1132"/>
      <c r="Y64" s="1202"/>
      <c r="Z64" s="1205"/>
      <c r="AA64" s="1115"/>
      <c r="AB64" s="1132"/>
      <c r="AC64" s="1115"/>
      <c r="AD64" s="1132"/>
      <c r="AE64" s="1115"/>
      <c r="AF64" s="1132"/>
      <c r="AG64" s="1115"/>
      <c r="AH64" s="1132"/>
      <c r="AI64" s="1115"/>
      <c r="AJ64" s="1132"/>
      <c r="AK64" s="1115"/>
      <c r="AL64" s="1132"/>
      <c r="AM64" s="1202"/>
      <c r="AN64" s="1205"/>
      <c r="AO64" s="1115"/>
      <c r="AP64" s="1132"/>
      <c r="AQ64" s="1115"/>
      <c r="AR64" s="1132"/>
      <c r="AS64" s="1115"/>
      <c r="AT64" s="1132"/>
      <c r="AU64" s="1115"/>
      <c r="AV64" s="1132"/>
      <c r="AW64" s="1115"/>
      <c r="AX64" s="1132"/>
      <c r="AY64" s="1115"/>
      <c r="AZ64" s="1132"/>
      <c r="BA64" s="1202"/>
      <c r="BB64" s="1205"/>
      <c r="BC64" s="1115"/>
      <c r="BD64" s="1132"/>
      <c r="BE64" s="1115"/>
      <c r="BF64" s="1132"/>
      <c r="BG64" s="1115"/>
      <c r="BH64" s="1132"/>
      <c r="BI64" s="1115"/>
      <c r="BJ64" s="1132"/>
      <c r="BK64" s="1115"/>
      <c r="BL64" s="1133"/>
      <c r="BM64" s="1118"/>
      <c r="BN64" s="1119"/>
      <c r="BO64" s="1120"/>
      <c r="BP64" s="1121"/>
      <c r="BQ64" s="1122"/>
      <c r="BR64" s="1122"/>
      <c r="BS64" s="1123"/>
    </row>
    <row r="65" spans="1:71" s="1124" customFormat="1" ht="21.95" customHeight="1" thickTop="1" thickBot="1">
      <c r="A65" s="1113"/>
      <c r="B65" s="1144"/>
      <c r="C65" s="1115"/>
      <c r="D65" s="1131"/>
      <c r="E65" s="1115"/>
      <c r="F65" s="1152"/>
      <c r="G65" s="1115"/>
      <c r="H65" s="1132"/>
      <c r="I65" s="1115"/>
      <c r="J65" s="1152"/>
      <c r="K65" s="1202"/>
      <c r="L65" s="1218"/>
      <c r="M65" s="1115"/>
      <c r="N65" s="1132"/>
      <c r="O65" s="1115"/>
      <c r="P65" s="1132"/>
      <c r="Q65" s="1115"/>
      <c r="R65" s="1132"/>
      <c r="S65" s="1115"/>
      <c r="T65" s="1132"/>
      <c r="U65" s="1115"/>
      <c r="V65" s="1132"/>
      <c r="W65" s="1115"/>
      <c r="X65" s="1132"/>
      <c r="Y65" s="1202"/>
      <c r="Z65" s="1205"/>
      <c r="AA65" s="1115"/>
      <c r="AB65" s="1132"/>
      <c r="AC65" s="1115"/>
      <c r="AD65" s="1132"/>
      <c r="AE65" s="1115"/>
      <c r="AF65" s="1132"/>
      <c r="AG65" s="1115"/>
      <c r="AH65" s="1132"/>
      <c r="AI65" s="1115"/>
      <c r="AJ65" s="1132"/>
      <c r="AK65" s="1115"/>
      <c r="AL65" s="1132"/>
      <c r="AM65" s="1202"/>
      <c r="AN65" s="1205"/>
      <c r="AO65" s="1115"/>
      <c r="AP65" s="1132"/>
      <c r="AQ65" s="1115"/>
      <c r="AR65" s="1132"/>
      <c r="AS65" s="1115"/>
      <c r="AT65" s="1132"/>
      <c r="AU65" s="1115"/>
      <c r="AV65" s="1132"/>
      <c r="AW65" s="1115"/>
      <c r="AX65" s="1132"/>
      <c r="AY65" s="1115"/>
      <c r="AZ65" s="1132"/>
      <c r="BA65" s="1202"/>
      <c r="BB65" s="1205"/>
      <c r="BC65" s="1115"/>
      <c r="BD65" s="1132"/>
      <c r="BE65" s="1115"/>
      <c r="BF65" s="1132"/>
      <c r="BG65" s="1115"/>
      <c r="BH65" s="1132"/>
      <c r="BI65" s="1115"/>
      <c r="BJ65" s="1132"/>
      <c r="BK65" s="1115"/>
      <c r="BL65" s="1133"/>
      <c r="BM65" s="1118"/>
      <c r="BN65" s="1119"/>
      <c r="BO65" s="1120"/>
      <c r="BP65" s="1121"/>
      <c r="BQ65" s="1122"/>
      <c r="BR65" s="1122"/>
      <c r="BS65" s="1123"/>
    </row>
    <row r="66" spans="1:71" s="1124" customFormat="1" ht="21.95" customHeight="1" thickTop="1" thickBot="1">
      <c r="A66" s="1113"/>
      <c r="B66" s="1128"/>
      <c r="C66" s="1115"/>
      <c r="D66" s="1131"/>
      <c r="E66" s="1115"/>
      <c r="F66" s="1152"/>
      <c r="G66" s="1115"/>
      <c r="H66" s="1132"/>
      <c r="I66" s="1115"/>
      <c r="J66" s="1152"/>
      <c r="K66" s="1202"/>
      <c r="L66" s="1218"/>
      <c r="M66" s="1115"/>
      <c r="N66" s="1132"/>
      <c r="O66" s="1115"/>
      <c r="P66" s="1132"/>
      <c r="Q66" s="1115"/>
      <c r="R66" s="1132"/>
      <c r="S66" s="1115"/>
      <c r="T66" s="1132"/>
      <c r="U66" s="1115"/>
      <c r="V66" s="1132"/>
      <c r="W66" s="1115"/>
      <c r="X66" s="1132"/>
      <c r="Y66" s="1202"/>
      <c r="Z66" s="1205"/>
      <c r="AA66" s="1115"/>
      <c r="AB66" s="1132"/>
      <c r="AC66" s="1115"/>
      <c r="AD66" s="1132"/>
      <c r="AE66" s="1115"/>
      <c r="AF66" s="1132"/>
      <c r="AG66" s="1115"/>
      <c r="AH66" s="1132"/>
      <c r="AI66" s="1115"/>
      <c r="AJ66" s="1132"/>
      <c r="AK66" s="1115"/>
      <c r="AL66" s="1132"/>
      <c r="AM66" s="1202"/>
      <c r="AN66" s="1205"/>
      <c r="AO66" s="1115"/>
      <c r="AP66" s="1132"/>
      <c r="AQ66" s="1115"/>
      <c r="AR66" s="1132"/>
      <c r="AS66" s="1115"/>
      <c r="AT66" s="1132"/>
      <c r="AU66" s="1115"/>
      <c r="AV66" s="1132"/>
      <c r="AW66" s="1115"/>
      <c r="AX66" s="1132"/>
      <c r="AY66" s="1115"/>
      <c r="AZ66" s="1132"/>
      <c r="BA66" s="1202"/>
      <c r="BB66" s="1205"/>
      <c r="BC66" s="1115"/>
      <c r="BD66" s="1132"/>
      <c r="BE66" s="1115"/>
      <c r="BF66" s="1132"/>
      <c r="BG66" s="1115"/>
      <c r="BH66" s="1132"/>
      <c r="BI66" s="1115"/>
      <c r="BJ66" s="1132"/>
      <c r="BK66" s="1115"/>
      <c r="BL66" s="1133"/>
      <c r="BM66" s="1118"/>
      <c r="BN66" s="1119"/>
      <c r="BO66" s="1120"/>
      <c r="BP66" s="1121"/>
      <c r="BQ66" s="1122"/>
      <c r="BR66" s="1122"/>
      <c r="BS66" s="1123"/>
    </row>
    <row r="67" spans="1:71" s="1124" customFormat="1" ht="21.95" customHeight="1" thickTop="1" thickBot="1">
      <c r="A67" s="1113"/>
      <c r="B67" s="1128"/>
      <c r="C67" s="1115"/>
      <c r="D67" s="1131"/>
      <c r="E67" s="1115"/>
      <c r="F67" s="1152"/>
      <c r="G67" s="1115"/>
      <c r="H67" s="1132"/>
      <c r="I67" s="1115"/>
      <c r="J67" s="1152"/>
      <c r="K67" s="1202"/>
      <c r="L67" s="1218"/>
      <c r="M67" s="1115"/>
      <c r="N67" s="1132"/>
      <c r="O67" s="1115"/>
      <c r="P67" s="1132"/>
      <c r="Q67" s="1115"/>
      <c r="R67" s="1132"/>
      <c r="S67" s="1115"/>
      <c r="T67" s="1132"/>
      <c r="U67" s="1115"/>
      <c r="V67" s="1132"/>
      <c r="W67" s="1115"/>
      <c r="X67" s="1132"/>
      <c r="Y67" s="1202"/>
      <c r="Z67" s="1205"/>
      <c r="AA67" s="1115"/>
      <c r="AB67" s="1132"/>
      <c r="AC67" s="1115"/>
      <c r="AD67" s="1132"/>
      <c r="AE67" s="1115"/>
      <c r="AF67" s="1132"/>
      <c r="AG67" s="1115"/>
      <c r="AH67" s="1132"/>
      <c r="AI67" s="1115"/>
      <c r="AJ67" s="1132"/>
      <c r="AK67" s="1115"/>
      <c r="AL67" s="1132"/>
      <c r="AM67" s="1202"/>
      <c r="AN67" s="1205"/>
      <c r="AO67" s="1115"/>
      <c r="AP67" s="1132"/>
      <c r="AQ67" s="1115"/>
      <c r="AR67" s="1132"/>
      <c r="AS67" s="1115"/>
      <c r="AT67" s="1132"/>
      <c r="AU67" s="1115"/>
      <c r="AV67" s="1132"/>
      <c r="AW67" s="1115"/>
      <c r="AX67" s="1132"/>
      <c r="AY67" s="1115"/>
      <c r="AZ67" s="1132"/>
      <c r="BA67" s="1202"/>
      <c r="BB67" s="1205"/>
      <c r="BC67" s="1115"/>
      <c r="BD67" s="1132"/>
      <c r="BE67" s="1115"/>
      <c r="BF67" s="1132"/>
      <c r="BG67" s="1115"/>
      <c r="BH67" s="1132"/>
      <c r="BI67" s="1115"/>
      <c r="BJ67" s="1132"/>
      <c r="BK67" s="1115"/>
      <c r="BL67" s="1133"/>
      <c r="BM67" s="1118"/>
      <c r="BN67" s="1119"/>
      <c r="BO67" s="1120"/>
      <c r="BP67" s="1121"/>
      <c r="BQ67" s="1122"/>
      <c r="BR67" s="1122"/>
      <c r="BS67" s="1123"/>
    </row>
    <row r="68" spans="1:71" s="1124" customFormat="1" ht="21.95" customHeight="1" thickTop="1" thickBot="1">
      <c r="A68" s="1113"/>
      <c r="B68" s="1128"/>
      <c r="C68" s="1115"/>
      <c r="D68" s="1131"/>
      <c r="E68" s="1115"/>
      <c r="F68" s="1152"/>
      <c r="G68" s="1115"/>
      <c r="H68" s="1132"/>
      <c r="I68" s="1115"/>
      <c r="J68" s="1152"/>
      <c r="K68" s="1202"/>
      <c r="L68" s="1218"/>
      <c r="M68" s="1115"/>
      <c r="N68" s="1132"/>
      <c r="O68" s="1115"/>
      <c r="P68" s="1132"/>
      <c r="Q68" s="1115"/>
      <c r="R68" s="1132"/>
      <c r="S68" s="1115"/>
      <c r="T68" s="1132"/>
      <c r="U68" s="1115"/>
      <c r="V68" s="1132"/>
      <c r="W68" s="1115"/>
      <c r="X68" s="1132"/>
      <c r="Y68" s="1202"/>
      <c r="Z68" s="1205"/>
      <c r="AA68" s="1115"/>
      <c r="AB68" s="1132"/>
      <c r="AC68" s="1115"/>
      <c r="AD68" s="1132"/>
      <c r="AE68" s="1115"/>
      <c r="AF68" s="1132"/>
      <c r="AG68" s="1115"/>
      <c r="AH68" s="1132"/>
      <c r="AI68" s="1115"/>
      <c r="AJ68" s="1132"/>
      <c r="AK68" s="1115"/>
      <c r="AL68" s="1132"/>
      <c r="AM68" s="1202"/>
      <c r="AN68" s="1205"/>
      <c r="AO68" s="1115"/>
      <c r="AP68" s="1132"/>
      <c r="AQ68" s="1115"/>
      <c r="AR68" s="1132"/>
      <c r="AS68" s="1115"/>
      <c r="AT68" s="1132"/>
      <c r="AU68" s="1115"/>
      <c r="AV68" s="1132"/>
      <c r="AW68" s="1115"/>
      <c r="AX68" s="1132"/>
      <c r="AY68" s="1115"/>
      <c r="AZ68" s="1132"/>
      <c r="BA68" s="1202"/>
      <c r="BB68" s="1205"/>
      <c r="BC68" s="1115"/>
      <c r="BD68" s="1132"/>
      <c r="BE68" s="1115"/>
      <c r="BF68" s="1132"/>
      <c r="BG68" s="1115"/>
      <c r="BH68" s="1132"/>
      <c r="BI68" s="1115"/>
      <c r="BJ68" s="1132"/>
      <c r="BK68" s="1115"/>
      <c r="BL68" s="1133"/>
      <c r="BM68" s="1118"/>
      <c r="BN68" s="1119"/>
      <c r="BO68" s="1120"/>
      <c r="BP68" s="1121"/>
      <c r="BQ68" s="1122"/>
      <c r="BR68" s="1122"/>
      <c r="BS68" s="1123"/>
    </row>
    <row r="69" spans="1:71" s="1124" customFormat="1" ht="21.95" customHeight="1" thickTop="1" thickBot="1">
      <c r="A69" s="1113"/>
      <c r="B69" s="1128"/>
      <c r="C69" s="1115"/>
      <c r="D69" s="1131"/>
      <c r="E69" s="1115"/>
      <c r="F69" s="1152"/>
      <c r="G69" s="1115"/>
      <c r="H69" s="1132"/>
      <c r="I69" s="1115"/>
      <c r="J69" s="1152"/>
      <c r="K69" s="1202"/>
      <c r="L69" s="1218"/>
      <c r="M69" s="1115"/>
      <c r="N69" s="1132"/>
      <c r="O69" s="1115"/>
      <c r="P69" s="1132"/>
      <c r="Q69" s="1115"/>
      <c r="R69" s="1132"/>
      <c r="S69" s="1115"/>
      <c r="T69" s="1132"/>
      <c r="U69" s="1115"/>
      <c r="V69" s="1132"/>
      <c r="W69" s="1115"/>
      <c r="X69" s="1132"/>
      <c r="Y69" s="1202"/>
      <c r="Z69" s="1205"/>
      <c r="AA69" s="1115"/>
      <c r="AB69" s="1132"/>
      <c r="AC69" s="1115"/>
      <c r="AD69" s="1132"/>
      <c r="AE69" s="1115"/>
      <c r="AF69" s="1132"/>
      <c r="AG69" s="1115"/>
      <c r="AH69" s="1132"/>
      <c r="AI69" s="1115"/>
      <c r="AJ69" s="1132"/>
      <c r="AK69" s="1115"/>
      <c r="AL69" s="1132"/>
      <c r="AM69" s="1202"/>
      <c r="AN69" s="1205"/>
      <c r="AO69" s="1115"/>
      <c r="AP69" s="1132"/>
      <c r="AQ69" s="1115"/>
      <c r="AR69" s="1132"/>
      <c r="AS69" s="1115"/>
      <c r="AT69" s="1132"/>
      <c r="AU69" s="1115"/>
      <c r="AV69" s="1132"/>
      <c r="AW69" s="1115"/>
      <c r="AX69" s="1132"/>
      <c r="AY69" s="1115"/>
      <c r="AZ69" s="1132"/>
      <c r="BA69" s="1202"/>
      <c r="BB69" s="1205"/>
      <c r="BC69" s="1115"/>
      <c r="BD69" s="1132"/>
      <c r="BE69" s="1115"/>
      <c r="BF69" s="1132"/>
      <c r="BG69" s="1115"/>
      <c r="BH69" s="1132"/>
      <c r="BI69" s="1115"/>
      <c r="BJ69" s="1132"/>
      <c r="BK69" s="1115"/>
      <c r="BL69" s="1133"/>
      <c r="BM69" s="1118"/>
      <c r="BN69" s="1119"/>
      <c r="BO69" s="1120"/>
      <c r="BP69" s="1121"/>
      <c r="BQ69" s="1122"/>
      <c r="BR69" s="1122"/>
      <c r="BS69" s="1123"/>
    </row>
    <row r="70" spans="1:71" s="1124" customFormat="1" ht="21.95" customHeight="1" thickTop="1" thickBot="1">
      <c r="A70" s="1113"/>
      <c r="B70" s="1128"/>
      <c r="C70" s="1115"/>
      <c r="D70" s="1131"/>
      <c r="E70" s="1115"/>
      <c r="F70" s="1152"/>
      <c r="G70" s="1115"/>
      <c r="H70" s="1132"/>
      <c r="I70" s="1115"/>
      <c r="J70" s="1152"/>
      <c r="K70" s="1202"/>
      <c r="L70" s="1218"/>
      <c r="M70" s="1115"/>
      <c r="N70" s="1132"/>
      <c r="O70" s="1115"/>
      <c r="P70" s="1132"/>
      <c r="Q70" s="1115"/>
      <c r="R70" s="1132"/>
      <c r="S70" s="1115"/>
      <c r="T70" s="1132"/>
      <c r="U70" s="1115"/>
      <c r="V70" s="1132"/>
      <c r="W70" s="1115"/>
      <c r="X70" s="1132"/>
      <c r="Y70" s="1202"/>
      <c r="Z70" s="1205"/>
      <c r="AA70" s="1115"/>
      <c r="AB70" s="1132"/>
      <c r="AC70" s="1115"/>
      <c r="AD70" s="1132"/>
      <c r="AE70" s="1115"/>
      <c r="AF70" s="1132"/>
      <c r="AG70" s="1115"/>
      <c r="AH70" s="1132"/>
      <c r="AI70" s="1115"/>
      <c r="AJ70" s="1132"/>
      <c r="AK70" s="1115"/>
      <c r="AL70" s="1132"/>
      <c r="AM70" s="1202"/>
      <c r="AN70" s="1205"/>
      <c r="AO70" s="1115"/>
      <c r="AP70" s="1132"/>
      <c r="AQ70" s="1115"/>
      <c r="AR70" s="1132"/>
      <c r="AS70" s="1115"/>
      <c r="AT70" s="1132"/>
      <c r="AU70" s="1115"/>
      <c r="AV70" s="1132"/>
      <c r="AW70" s="1115"/>
      <c r="AX70" s="1132"/>
      <c r="AY70" s="1115"/>
      <c r="AZ70" s="1132"/>
      <c r="BA70" s="1202"/>
      <c r="BB70" s="1205"/>
      <c r="BC70" s="1115"/>
      <c r="BD70" s="1132"/>
      <c r="BE70" s="1115"/>
      <c r="BF70" s="1132"/>
      <c r="BG70" s="1115"/>
      <c r="BH70" s="1132"/>
      <c r="BI70" s="1115"/>
      <c r="BJ70" s="1132"/>
      <c r="BK70" s="1115"/>
      <c r="BL70" s="1133"/>
      <c r="BM70" s="1118"/>
      <c r="BN70" s="1119"/>
      <c r="BO70" s="1120"/>
      <c r="BP70" s="1121"/>
      <c r="BQ70" s="1122"/>
      <c r="BR70" s="1122"/>
      <c r="BS70" s="1123"/>
    </row>
    <row r="71" spans="1:71" s="1124" customFormat="1" ht="21.95" customHeight="1" thickTop="1" thickBot="1">
      <c r="A71" s="1113"/>
      <c r="B71" s="1128"/>
      <c r="C71" s="1115"/>
      <c r="D71" s="1131"/>
      <c r="E71" s="1115"/>
      <c r="F71" s="1152"/>
      <c r="G71" s="1115"/>
      <c r="H71" s="1132"/>
      <c r="I71" s="1115"/>
      <c r="J71" s="1152"/>
      <c r="K71" s="1202"/>
      <c r="L71" s="1218"/>
      <c r="M71" s="1115"/>
      <c r="N71" s="1132"/>
      <c r="O71" s="1115"/>
      <c r="P71" s="1132"/>
      <c r="Q71" s="1115"/>
      <c r="R71" s="1132"/>
      <c r="S71" s="1115"/>
      <c r="T71" s="1132"/>
      <c r="U71" s="1115"/>
      <c r="V71" s="1132"/>
      <c r="W71" s="1115"/>
      <c r="X71" s="1132"/>
      <c r="Y71" s="1202"/>
      <c r="Z71" s="1205"/>
      <c r="AA71" s="1115"/>
      <c r="AB71" s="1132"/>
      <c r="AC71" s="1115"/>
      <c r="AD71" s="1132"/>
      <c r="AE71" s="1115"/>
      <c r="AF71" s="1132"/>
      <c r="AG71" s="1115"/>
      <c r="AH71" s="1132"/>
      <c r="AI71" s="1115"/>
      <c r="AJ71" s="1132"/>
      <c r="AK71" s="1115"/>
      <c r="AL71" s="1132"/>
      <c r="AM71" s="1202"/>
      <c r="AN71" s="1205"/>
      <c r="AO71" s="1115"/>
      <c r="AP71" s="1132"/>
      <c r="AQ71" s="1115"/>
      <c r="AR71" s="1132"/>
      <c r="AS71" s="1115"/>
      <c r="AT71" s="1132"/>
      <c r="AU71" s="1115"/>
      <c r="AV71" s="1132"/>
      <c r="AW71" s="1115"/>
      <c r="AX71" s="1132"/>
      <c r="AY71" s="1115"/>
      <c r="AZ71" s="1132"/>
      <c r="BA71" s="1202"/>
      <c r="BB71" s="1205"/>
      <c r="BC71" s="1115"/>
      <c r="BD71" s="1132"/>
      <c r="BE71" s="1115"/>
      <c r="BF71" s="1132"/>
      <c r="BG71" s="1115"/>
      <c r="BH71" s="1132"/>
      <c r="BI71" s="1115"/>
      <c r="BJ71" s="1132"/>
      <c r="BK71" s="1115"/>
      <c r="BL71" s="1133"/>
      <c r="BM71" s="1118"/>
      <c r="BN71" s="1119"/>
      <c r="BO71" s="1120"/>
      <c r="BP71" s="1121"/>
      <c r="BQ71" s="1122"/>
      <c r="BR71" s="1122"/>
      <c r="BS71" s="1123"/>
    </row>
    <row r="72" spans="1:71" s="1124" customFormat="1" ht="21.95" customHeight="1" thickTop="1" thickBot="1">
      <c r="A72" s="1113"/>
      <c r="B72" s="1128"/>
      <c r="C72" s="1115"/>
      <c r="D72" s="1131"/>
      <c r="E72" s="1115"/>
      <c r="F72" s="1152"/>
      <c r="G72" s="1115"/>
      <c r="H72" s="1132"/>
      <c r="I72" s="1115"/>
      <c r="J72" s="1152"/>
      <c r="K72" s="1202"/>
      <c r="L72" s="1218"/>
      <c r="M72" s="1115"/>
      <c r="N72" s="1132"/>
      <c r="O72" s="1115"/>
      <c r="P72" s="1132"/>
      <c r="Q72" s="1115"/>
      <c r="R72" s="1132"/>
      <c r="S72" s="1115"/>
      <c r="T72" s="1132"/>
      <c r="U72" s="1115"/>
      <c r="V72" s="1132"/>
      <c r="W72" s="1115"/>
      <c r="X72" s="1132"/>
      <c r="Y72" s="1202"/>
      <c r="Z72" s="1205"/>
      <c r="AA72" s="1115"/>
      <c r="AB72" s="1132"/>
      <c r="AC72" s="1115"/>
      <c r="AD72" s="1132"/>
      <c r="AE72" s="1115"/>
      <c r="AF72" s="1132"/>
      <c r="AG72" s="1115"/>
      <c r="AH72" s="1132"/>
      <c r="AI72" s="1115"/>
      <c r="AJ72" s="1132"/>
      <c r="AK72" s="1115"/>
      <c r="AL72" s="1132"/>
      <c r="AM72" s="1202"/>
      <c r="AN72" s="1205"/>
      <c r="AO72" s="1115"/>
      <c r="AP72" s="1132"/>
      <c r="AQ72" s="1115"/>
      <c r="AR72" s="1132"/>
      <c r="AS72" s="1115"/>
      <c r="AT72" s="1132"/>
      <c r="AU72" s="1115"/>
      <c r="AV72" s="1132"/>
      <c r="AW72" s="1115"/>
      <c r="AX72" s="1132"/>
      <c r="AY72" s="1115"/>
      <c r="AZ72" s="1132"/>
      <c r="BA72" s="1202"/>
      <c r="BB72" s="1205"/>
      <c r="BC72" s="1115"/>
      <c r="BD72" s="1132"/>
      <c r="BE72" s="1115"/>
      <c r="BF72" s="1132"/>
      <c r="BG72" s="1115"/>
      <c r="BH72" s="1132"/>
      <c r="BI72" s="1115"/>
      <c r="BJ72" s="1132"/>
      <c r="BK72" s="1115"/>
      <c r="BL72" s="1133"/>
      <c r="BM72" s="1118"/>
      <c r="BN72" s="1119"/>
      <c r="BO72" s="1120"/>
      <c r="BP72" s="1121"/>
      <c r="BQ72" s="1122"/>
      <c r="BR72" s="1122"/>
      <c r="BS72" s="1123"/>
    </row>
    <row r="73" spans="1:71" s="1124" customFormat="1" ht="21.95" customHeight="1" thickTop="1" thickBot="1">
      <c r="A73" s="1113"/>
      <c r="B73" s="1144"/>
      <c r="C73" s="1115"/>
      <c r="D73" s="1131"/>
      <c r="E73" s="1115"/>
      <c r="F73" s="1152"/>
      <c r="G73" s="1115"/>
      <c r="H73" s="1132"/>
      <c r="I73" s="1115"/>
      <c r="J73" s="1152"/>
      <c r="K73" s="1202"/>
      <c r="L73" s="1218"/>
      <c r="M73" s="1115"/>
      <c r="N73" s="1132"/>
      <c r="O73" s="1115"/>
      <c r="P73" s="1132"/>
      <c r="Q73" s="1115"/>
      <c r="R73" s="1132"/>
      <c r="S73" s="1115"/>
      <c r="T73" s="1132"/>
      <c r="U73" s="1115"/>
      <c r="V73" s="1132"/>
      <c r="W73" s="1115"/>
      <c r="X73" s="1132"/>
      <c r="Y73" s="1202"/>
      <c r="Z73" s="1205"/>
      <c r="AA73" s="1115"/>
      <c r="AB73" s="1132"/>
      <c r="AC73" s="1115"/>
      <c r="AD73" s="1132"/>
      <c r="AE73" s="1115"/>
      <c r="AF73" s="1132"/>
      <c r="AG73" s="1115"/>
      <c r="AH73" s="1132"/>
      <c r="AI73" s="1115"/>
      <c r="AJ73" s="1132"/>
      <c r="AK73" s="1115"/>
      <c r="AL73" s="1132"/>
      <c r="AM73" s="1202"/>
      <c r="AN73" s="1205"/>
      <c r="AO73" s="1115"/>
      <c r="AP73" s="1132"/>
      <c r="AQ73" s="1115"/>
      <c r="AR73" s="1132"/>
      <c r="AS73" s="1115"/>
      <c r="AT73" s="1132"/>
      <c r="AU73" s="1115"/>
      <c r="AV73" s="1132"/>
      <c r="AW73" s="1115"/>
      <c r="AX73" s="1132"/>
      <c r="AY73" s="1115"/>
      <c r="AZ73" s="1132"/>
      <c r="BA73" s="1202"/>
      <c r="BB73" s="1205"/>
      <c r="BC73" s="1115"/>
      <c r="BD73" s="1132"/>
      <c r="BE73" s="1115"/>
      <c r="BF73" s="1132"/>
      <c r="BG73" s="1115"/>
      <c r="BH73" s="1132"/>
      <c r="BI73" s="1115"/>
      <c r="BJ73" s="1132"/>
      <c r="BK73" s="1115"/>
      <c r="BL73" s="1133"/>
      <c r="BM73" s="1118"/>
      <c r="BN73" s="1119"/>
      <c r="BO73" s="1120"/>
      <c r="BP73" s="1121"/>
      <c r="BQ73" s="1122"/>
      <c r="BR73" s="1122"/>
      <c r="BS73" s="1123"/>
    </row>
    <row r="74" spans="1:71" s="1124" customFormat="1" ht="21.95" customHeight="1" thickTop="1" thickBot="1">
      <c r="A74" s="1113"/>
      <c r="B74" s="1128"/>
      <c r="C74" s="1115"/>
      <c r="D74" s="1131"/>
      <c r="E74" s="1115"/>
      <c r="F74" s="1152"/>
      <c r="G74" s="1115"/>
      <c r="H74" s="1132"/>
      <c r="I74" s="1115"/>
      <c r="J74" s="1132"/>
      <c r="K74" s="1202"/>
      <c r="L74" s="1218"/>
      <c r="M74" s="1115"/>
      <c r="N74" s="1132"/>
      <c r="O74" s="1115"/>
      <c r="P74" s="1132"/>
      <c r="Q74" s="1115"/>
      <c r="R74" s="1132"/>
      <c r="S74" s="1115"/>
      <c r="T74" s="1132"/>
      <c r="U74" s="1115"/>
      <c r="V74" s="1132"/>
      <c r="W74" s="1115"/>
      <c r="X74" s="1132"/>
      <c r="Y74" s="1202"/>
      <c r="Z74" s="1205"/>
      <c r="AA74" s="1115"/>
      <c r="AB74" s="1132"/>
      <c r="AC74" s="1115"/>
      <c r="AD74" s="1132"/>
      <c r="AE74" s="1115"/>
      <c r="AF74" s="1132"/>
      <c r="AG74" s="1115"/>
      <c r="AH74" s="1132"/>
      <c r="AI74" s="1115"/>
      <c r="AJ74" s="1132"/>
      <c r="AK74" s="1115"/>
      <c r="AL74" s="1132"/>
      <c r="AM74" s="1202"/>
      <c r="AN74" s="1205"/>
      <c r="AO74" s="1115"/>
      <c r="AP74" s="1132"/>
      <c r="AQ74" s="1115"/>
      <c r="AR74" s="1132"/>
      <c r="AS74" s="1115"/>
      <c r="AT74" s="1132"/>
      <c r="AU74" s="1115"/>
      <c r="AV74" s="1132"/>
      <c r="AW74" s="1115"/>
      <c r="AX74" s="1132"/>
      <c r="AY74" s="1115"/>
      <c r="AZ74" s="1132"/>
      <c r="BA74" s="1202"/>
      <c r="BB74" s="1205"/>
      <c r="BC74" s="1115"/>
      <c r="BD74" s="1132"/>
      <c r="BE74" s="1115"/>
      <c r="BF74" s="1132"/>
      <c r="BG74" s="1115"/>
      <c r="BH74" s="1132"/>
      <c r="BI74" s="1115"/>
      <c r="BJ74" s="1132"/>
      <c r="BK74" s="1115"/>
      <c r="BL74" s="1133"/>
      <c r="BM74" s="1118"/>
      <c r="BN74" s="1119"/>
      <c r="BO74" s="1120"/>
      <c r="BP74" s="1121"/>
      <c r="BQ74" s="1122"/>
      <c r="BR74" s="1122"/>
      <c r="BS74" s="1123"/>
    </row>
    <row r="75" spans="1:71" s="1124" customFormat="1" ht="21.95" customHeight="1" thickTop="1" thickBot="1">
      <c r="A75" s="1113"/>
      <c r="B75" s="1128"/>
      <c r="C75" s="1115"/>
      <c r="D75" s="1131"/>
      <c r="E75" s="1115"/>
      <c r="F75" s="1152"/>
      <c r="G75" s="1115"/>
      <c r="H75" s="1132"/>
      <c r="I75" s="1115"/>
      <c r="J75" s="1132"/>
      <c r="K75" s="1202"/>
      <c r="L75" s="1218"/>
      <c r="M75" s="1115"/>
      <c r="N75" s="1132"/>
      <c r="O75" s="1115"/>
      <c r="P75" s="1132"/>
      <c r="Q75" s="1115"/>
      <c r="R75" s="1132"/>
      <c r="S75" s="1115"/>
      <c r="T75" s="1132"/>
      <c r="U75" s="1115"/>
      <c r="V75" s="1132"/>
      <c r="W75" s="1115"/>
      <c r="X75" s="1132"/>
      <c r="Y75" s="1202"/>
      <c r="Z75" s="1205"/>
      <c r="AA75" s="1115"/>
      <c r="AB75" s="1132"/>
      <c r="AC75" s="1115"/>
      <c r="AD75" s="1132"/>
      <c r="AE75" s="1115"/>
      <c r="AF75" s="1132"/>
      <c r="AG75" s="1115"/>
      <c r="AH75" s="1132"/>
      <c r="AI75" s="1115"/>
      <c r="AJ75" s="1132"/>
      <c r="AK75" s="1115"/>
      <c r="AL75" s="1132"/>
      <c r="AM75" s="1202"/>
      <c r="AN75" s="1205"/>
      <c r="AO75" s="1115"/>
      <c r="AP75" s="1132"/>
      <c r="AQ75" s="1115"/>
      <c r="AR75" s="1132"/>
      <c r="AS75" s="1115"/>
      <c r="AT75" s="1132"/>
      <c r="AU75" s="1115"/>
      <c r="AV75" s="1132"/>
      <c r="AW75" s="1115"/>
      <c r="AX75" s="1132"/>
      <c r="AY75" s="1115"/>
      <c r="AZ75" s="1132"/>
      <c r="BA75" s="1202"/>
      <c r="BB75" s="1205"/>
      <c r="BC75" s="1115"/>
      <c r="BD75" s="1132"/>
      <c r="BE75" s="1115"/>
      <c r="BF75" s="1132"/>
      <c r="BG75" s="1115"/>
      <c r="BH75" s="1132"/>
      <c r="BI75" s="1115"/>
      <c r="BJ75" s="1132"/>
      <c r="BK75" s="1115"/>
      <c r="BL75" s="1133"/>
      <c r="BM75" s="1118"/>
      <c r="BN75" s="1119"/>
      <c r="BO75" s="1120"/>
      <c r="BP75" s="1121"/>
      <c r="BQ75" s="1122"/>
      <c r="BR75" s="1122"/>
      <c r="BS75" s="1123"/>
    </row>
    <row r="76" spans="1:71" s="1124" customFormat="1" ht="21.95" customHeight="1" thickTop="1" thickBot="1">
      <c r="A76" s="1113"/>
      <c r="B76" s="1128"/>
      <c r="C76" s="1115"/>
      <c r="D76" s="1131"/>
      <c r="E76" s="1115"/>
      <c r="F76" s="1131"/>
      <c r="G76" s="1115"/>
      <c r="H76" s="1132"/>
      <c r="I76" s="1115"/>
      <c r="J76" s="1132"/>
      <c r="K76" s="1202"/>
      <c r="L76" s="1218"/>
      <c r="M76" s="1115"/>
      <c r="N76" s="1132"/>
      <c r="O76" s="1115"/>
      <c r="P76" s="1132"/>
      <c r="Q76" s="1115"/>
      <c r="R76" s="1132"/>
      <c r="S76" s="1115"/>
      <c r="T76" s="1132"/>
      <c r="U76" s="1115"/>
      <c r="V76" s="1132"/>
      <c r="W76" s="1115"/>
      <c r="X76" s="1132"/>
      <c r="Y76" s="1202"/>
      <c r="Z76" s="1205"/>
      <c r="AA76" s="1115"/>
      <c r="AB76" s="1132"/>
      <c r="AC76" s="1115"/>
      <c r="AD76" s="1132"/>
      <c r="AE76" s="1115"/>
      <c r="AF76" s="1132"/>
      <c r="AG76" s="1115"/>
      <c r="AH76" s="1132"/>
      <c r="AI76" s="1115"/>
      <c r="AJ76" s="1132"/>
      <c r="AK76" s="1115"/>
      <c r="AL76" s="1132"/>
      <c r="AM76" s="1202"/>
      <c r="AN76" s="1205"/>
      <c r="AO76" s="1115"/>
      <c r="AP76" s="1132"/>
      <c r="AQ76" s="1115"/>
      <c r="AR76" s="1132"/>
      <c r="AS76" s="1115"/>
      <c r="AT76" s="1132"/>
      <c r="AU76" s="1115"/>
      <c r="AV76" s="1132"/>
      <c r="AW76" s="1115"/>
      <c r="AX76" s="1132"/>
      <c r="AY76" s="1115"/>
      <c r="AZ76" s="1132"/>
      <c r="BA76" s="1202"/>
      <c r="BB76" s="1205"/>
      <c r="BC76" s="1115"/>
      <c r="BD76" s="1132"/>
      <c r="BE76" s="1115"/>
      <c r="BF76" s="1132"/>
      <c r="BG76" s="1115"/>
      <c r="BH76" s="1132"/>
      <c r="BI76" s="1115"/>
      <c r="BJ76" s="1132"/>
      <c r="BK76" s="1115"/>
      <c r="BL76" s="1133"/>
      <c r="BM76" s="1118"/>
      <c r="BN76" s="1119"/>
      <c r="BO76" s="1120"/>
      <c r="BP76" s="1121"/>
      <c r="BQ76" s="1122"/>
      <c r="BR76" s="1122"/>
      <c r="BS76" s="1123"/>
    </row>
    <row r="77" spans="1:71" s="1124" customFormat="1" ht="21.95" customHeight="1" thickTop="1" thickBot="1">
      <c r="A77" s="1113"/>
      <c r="B77" s="1128"/>
      <c r="C77" s="1115"/>
      <c r="D77" s="1131"/>
      <c r="E77" s="1115"/>
      <c r="F77" s="1131"/>
      <c r="G77" s="1115"/>
      <c r="H77" s="1132"/>
      <c r="I77" s="1115"/>
      <c r="J77" s="1132"/>
      <c r="K77" s="1202"/>
      <c r="L77" s="1218"/>
      <c r="M77" s="1115"/>
      <c r="N77" s="1132"/>
      <c r="O77" s="1115"/>
      <c r="P77" s="1132"/>
      <c r="Q77" s="1115"/>
      <c r="R77" s="1132"/>
      <c r="S77" s="1115"/>
      <c r="T77" s="1132"/>
      <c r="U77" s="1115"/>
      <c r="V77" s="1132"/>
      <c r="W77" s="1115"/>
      <c r="X77" s="1132"/>
      <c r="Y77" s="1202"/>
      <c r="Z77" s="1205"/>
      <c r="AA77" s="1115"/>
      <c r="AB77" s="1132"/>
      <c r="AC77" s="1115"/>
      <c r="AD77" s="1132"/>
      <c r="AE77" s="1115"/>
      <c r="AF77" s="1132"/>
      <c r="AG77" s="1115"/>
      <c r="AH77" s="1132"/>
      <c r="AI77" s="1115"/>
      <c r="AJ77" s="1132"/>
      <c r="AK77" s="1115"/>
      <c r="AL77" s="1132"/>
      <c r="AM77" s="1202"/>
      <c r="AN77" s="1205"/>
      <c r="AO77" s="1115"/>
      <c r="AP77" s="1132"/>
      <c r="AQ77" s="1115"/>
      <c r="AR77" s="1132"/>
      <c r="AS77" s="1115"/>
      <c r="AT77" s="1132"/>
      <c r="AU77" s="1115"/>
      <c r="AV77" s="1132"/>
      <c r="AW77" s="1115"/>
      <c r="AX77" s="1132"/>
      <c r="AY77" s="1115"/>
      <c r="AZ77" s="1132"/>
      <c r="BA77" s="1202"/>
      <c r="BB77" s="1205"/>
      <c r="BC77" s="1115"/>
      <c r="BD77" s="1132"/>
      <c r="BE77" s="1115"/>
      <c r="BF77" s="1132"/>
      <c r="BG77" s="1115"/>
      <c r="BH77" s="1132"/>
      <c r="BI77" s="1115"/>
      <c r="BJ77" s="1132"/>
      <c r="BK77" s="1115"/>
      <c r="BL77" s="1133"/>
      <c r="BM77" s="1118"/>
      <c r="BN77" s="1119"/>
      <c r="BO77" s="1120"/>
      <c r="BP77" s="1121"/>
      <c r="BQ77" s="1122"/>
      <c r="BR77" s="1122"/>
      <c r="BS77" s="1123"/>
    </row>
    <row r="78" spans="1:71" s="1124" customFormat="1" ht="21.95" customHeight="1" thickTop="1" thickBot="1">
      <c r="A78" s="1113"/>
      <c r="B78" s="1128"/>
      <c r="C78" s="1115"/>
      <c r="D78" s="1131"/>
      <c r="E78" s="1115"/>
      <c r="F78" s="1131"/>
      <c r="G78" s="1115"/>
      <c r="H78" s="1132"/>
      <c r="I78" s="1115"/>
      <c r="J78" s="1132"/>
      <c r="K78" s="1202"/>
      <c r="L78" s="1218"/>
      <c r="M78" s="1115"/>
      <c r="N78" s="1132"/>
      <c r="O78" s="1115"/>
      <c r="P78" s="1132"/>
      <c r="Q78" s="1115"/>
      <c r="R78" s="1132"/>
      <c r="S78" s="1115"/>
      <c r="T78" s="1132"/>
      <c r="U78" s="1115"/>
      <c r="V78" s="1132"/>
      <c r="W78" s="1115"/>
      <c r="X78" s="1132"/>
      <c r="Y78" s="1202"/>
      <c r="Z78" s="1205"/>
      <c r="AA78" s="1115"/>
      <c r="AB78" s="1132"/>
      <c r="AC78" s="1115"/>
      <c r="AD78" s="1132"/>
      <c r="AE78" s="1115"/>
      <c r="AF78" s="1132"/>
      <c r="AG78" s="1115"/>
      <c r="AH78" s="1132"/>
      <c r="AI78" s="1115"/>
      <c r="AJ78" s="1132"/>
      <c r="AK78" s="1115"/>
      <c r="AL78" s="1132"/>
      <c r="AM78" s="1202"/>
      <c r="AN78" s="1205"/>
      <c r="AO78" s="1115"/>
      <c r="AP78" s="1132"/>
      <c r="AQ78" s="1115"/>
      <c r="AR78" s="1132"/>
      <c r="AS78" s="1115"/>
      <c r="AT78" s="1132"/>
      <c r="AU78" s="1115"/>
      <c r="AV78" s="1132"/>
      <c r="AW78" s="1115"/>
      <c r="AX78" s="1132"/>
      <c r="AY78" s="1115"/>
      <c r="AZ78" s="1132"/>
      <c r="BA78" s="1202"/>
      <c r="BB78" s="1205"/>
      <c r="BC78" s="1115"/>
      <c r="BD78" s="1132"/>
      <c r="BE78" s="1115"/>
      <c r="BF78" s="1132"/>
      <c r="BG78" s="1115"/>
      <c r="BH78" s="1132"/>
      <c r="BI78" s="1115"/>
      <c r="BJ78" s="1132"/>
      <c r="BK78" s="1115"/>
      <c r="BL78" s="1133"/>
      <c r="BM78" s="1118"/>
      <c r="BN78" s="1119"/>
      <c r="BO78" s="1120"/>
      <c r="BP78" s="1121"/>
      <c r="BQ78" s="1122"/>
      <c r="BR78" s="1122"/>
      <c r="BS78" s="1123"/>
    </row>
    <row r="79" spans="1:71" s="1124" customFormat="1" ht="21.95" customHeight="1" thickTop="1" thickBot="1">
      <c r="A79" s="1113"/>
      <c r="B79" s="1128"/>
      <c r="C79" s="1115"/>
      <c r="D79" s="1131"/>
      <c r="E79" s="1115"/>
      <c r="F79" s="1131"/>
      <c r="G79" s="1115"/>
      <c r="H79" s="1132"/>
      <c r="I79" s="1115"/>
      <c r="J79" s="1132"/>
      <c r="K79" s="1202"/>
      <c r="L79" s="1218"/>
      <c r="M79" s="1115"/>
      <c r="N79" s="1132"/>
      <c r="O79" s="1115"/>
      <c r="P79" s="1132"/>
      <c r="Q79" s="1115"/>
      <c r="R79" s="1132"/>
      <c r="S79" s="1115"/>
      <c r="T79" s="1132"/>
      <c r="U79" s="1115"/>
      <c r="V79" s="1132"/>
      <c r="W79" s="1115"/>
      <c r="X79" s="1132"/>
      <c r="Y79" s="1202"/>
      <c r="Z79" s="1205"/>
      <c r="AA79" s="1115"/>
      <c r="AB79" s="1132"/>
      <c r="AC79" s="1115"/>
      <c r="AD79" s="1132"/>
      <c r="AE79" s="1115"/>
      <c r="AF79" s="1132"/>
      <c r="AG79" s="1115"/>
      <c r="AH79" s="1132"/>
      <c r="AI79" s="1115"/>
      <c r="AJ79" s="1132"/>
      <c r="AK79" s="1115"/>
      <c r="AL79" s="1132"/>
      <c r="AM79" s="1202"/>
      <c r="AN79" s="1205"/>
      <c r="AO79" s="1115"/>
      <c r="AP79" s="1132"/>
      <c r="AQ79" s="1115"/>
      <c r="AR79" s="1132"/>
      <c r="AS79" s="1115"/>
      <c r="AT79" s="1132"/>
      <c r="AU79" s="1115"/>
      <c r="AV79" s="1132"/>
      <c r="AW79" s="1115"/>
      <c r="AX79" s="1132"/>
      <c r="AY79" s="1115"/>
      <c r="AZ79" s="1132"/>
      <c r="BA79" s="1202"/>
      <c r="BB79" s="1205"/>
      <c r="BC79" s="1115"/>
      <c r="BD79" s="1132"/>
      <c r="BE79" s="1115"/>
      <c r="BF79" s="1132"/>
      <c r="BG79" s="1115"/>
      <c r="BH79" s="1132"/>
      <c r="BI79" s="1115"/>
      <c r="BJ79" s="1132"/>
      <c r="BK79" s="1115"/>
      <c r="BL79" s="1133"/>
      <c r="BM79" s="1118"/>
      <c r="BN79" s="1119"/>
      <c r="BO79" s="1120"/>
      <c r="BP79" s="1121"/>
      <c r="BQ79" s="1122"/>
      <c r="BR79" s="1122"/>
      <c r="BS79" s="1123"/>
    </row>
    <row r="80" spans="1:71" s="1124" customFormat="1" ht="21.95" customHeight="1" thickTop="1" thickBot="1">
      <c r="A80" s="1113"/>
      <c r="B80" s="1128"/>
      <c r="C80" s="1115"/>
      <c r="D80" s="1152"/>
      <c r="E80" s="1115"/>
      <c r="F80" s="1131"/>
      <c r="G80" s="1115"/>
      <c r="H80" s="1132"/>
      <c r="I80" s="1115"/>
      <c r="J80" s="1132"/>
      <c r="K80" s="1202"/>
      <c r="L80" s="1218"/>
      <c r="M80" s="1115"/>
      <c r="N80" s="1132"/>
      <c r="O80" s="1115"/>
      <c r="P80" s="1132"/>
      <c r="Q80" s="1115"/>
      <c r="R80" s="1132"/>
      <c r="S80" s="1115"/>
      <c r="T80" s="1132"/>
      <c r="U80" s="1115"/>
      <c r="V80" s="1132"/>
      <c r="W80" s="1115"/>
      <c r="X80" s="1132"/>
      <c r="Y80" s="1202"/>
      <c r="Z80" s="1205"/>
      <c r="AA80" s="1115"/>
      <c r="AB80" s="1132"/>
      <c r="AC80" s="1115"/>
      <c r="AD80" s="1132"/>
      <c r="AE80" s="1115"/>
      <c r="AF80" s="1132"/>
      <c r="AG80" s="1115"/>
      <c r="AH80" s="1132"/>
      <c r="AI80" s="1115"/>
      <c r="AJ80" s="1132"/>
      <c r="AK80" s="1115"/>
      <c r="AL80" s="1132"/>
      <c r="AM80" s="1202"/>
      <c r="AN80" s="1205"/>
      <c r="AO80" s="1115"/>
      <c r="AP80" s="1132"/>
      <c r="AQ80" s="1115"/>
      <c r="AR80" s="1132"/>
      <c r="AS80" s="1115"/>
      <c r="AT80" s="1132"/>
      <c r="AU80" s="1115"/>
      <c r="AV80" s="1132"/>
      <c r="AW80" s="1115"/>
      <c r="AX80" s="1132"/>
      <c r="AY80" s="1115"/>
      <c r="AZ80" s="1132"/>
      <c r="BA80" s="1202"/>
      <c r="BB80" s="1205"/>
      <c r="BC80" s="1115"/>
      <c r="BD80" s="1132"/>
      <c r="BE80" s="1115"/>
      <c r="BF80" s="1132"/>
      <c r="BG80" s="1115"/>
      <c r="BH80" s="1132"/>
      <c r="BI80" s="1115"/>
      <c r="BJ80" s="1132"/>
      <c r="BK80" s="1115"/>
      <c r="BL80" s="1133"/>
      <c r="BM80" s="1118"/>
      <c r="BN80" s="1119"/>
      <c r="BO80" s="1120"/>
      <c r="BP80" s="1121"/>
      <c r="BQ80" s="1122"/>
      <c r="BR80" s="1122"/>
      <c r="BS80" s="1123"/>
    </row>
    <row r="81" spans="1:71" s="1124" customFormat="1" ht="21.95" customHeight="1" thickTop="1" thickBot="1">
      <c r="A81" s="1113"/>
      <c r="B81" s="1128"/>
      <c r="C81" s="1115"/>
      <c r="D81" s="1152"/>
      <c r="E81" s="1115"/>
      <c r="F81" s="1131"/>
      <c r="G81" s="1115"/>
      <c r="H81" s="1132"/>
      <c r="I81" s="1115"/>
      <c r="J81" s="1132"/>
      <c r="K81" s="1202"/>
      <c r="L81" s="1218"/>
      <c r="M81" s="1115"/>
      <c r="N81" s="1132"/>
      <c r="O81" s="1115"/>
      <c r="P81" s="1132"/>
      <c r="Q81" s="1115"/>
      <c r="R81" s="1132"/>
      <c r="S81" s="1115"/>
      <c r="T81" s="1132"/>
      <c r="U81" s="1115"/>
      <c r="V81" s="1132"/>
      <c r="W81" s="1115"/>
      <c r="X81" s="1132"/>
      <c r="Y81" s="1202"/>
      <c r="Z81" s="1205"/>
      <c r="AA81" s="1115"/>
      <c r="AB81" s="1132"/>
      <c r="AC81" s="1115"/>
      <c r="AD81" s="1132"/>
      <c r="AE81" s="1115"/>
      <c r="AF81" s="1132"/>
      <c r="AG81" s="1115"/>
      <c r="AH81" s="1132"/>
      <c r="AI81" s="1115"/>
      <c r="AJ81" s="1132"/>
      <c r="AK81" s="1115"/>
      <c r="AL81" s="1132"/>
      <c r="AM81" s="1202"/>
      <c r="AN81" s="1205"/>
      <c r="AO81" s="1115"/>
      <c r="AP81" s="1132"/>
      <c r="AQ81" s="1115"/>
      <c r="AR81" s="1132"/>
      <c r="AS81" s="1115"/>
      <c r="AT81" s="1132"/>
      <c r="AU81" s="1115"/>
      <c r="AV81" s="1132"/>
      <c r="AW81" s="1115"/>
      <c r="AX81" s="1132"/>
      <c r="AY81" s="1115"/>
      <c r="AZ81" s="1132"/>
      <c r="BA81" s="1202"/>
      <c r="BB81" s="1205"/>
      <c r="BC81" s="1115"/>
      <c r="BD81" s="1132"/>
      <c r="BE81" s="1115"/>
      <c r="BF81" s="1132"/>
      <c r="BG81" s="1115"/>
      <c r="BH81" s="1132"/>
      <c r="BI81" s="1115"/>
      <c r="BJ81" s="1132"/>
      <c r="BK81" s="1115"/>
      <c r="BL81" s="1133"/>
      <c r="BM81" s="1118"/>
      <c r="BN81" s="1119"/>
      <c r="BO81" s="1120"/>
      <c r="BP81" s="1121"/>
      <c r="BQ81" s="1122"/>
      <c r="BR81" s="1122"/>
      <c r="BS81" s="1123"/>
    </row>
    <row r="82" spans="1:71" s="1124" customFormat="1" ht="21.95" customHeight="1" thickTop="1" thickBot="1">
      <c r="A82" s="1113"/>
      <c r="B82" s="1128"/>
      <c r="C82" s="1115"/>
      <c r="D82" s="1131"/>
      <c r="E82" s="1115"/>
      <c r="F82" s="1131"/>
      <c r="G82" s="1115"/>
      <c r="H82" s="1132"/>
      <c r="I82" s="1115"/>
      <c r="J82" s="1132"/>
      <c r="K82" s="1202"/>
      <c r="L82" s="1218"/>
      <c r="M82" s="1115"/>
      <c r="N82" s="1132"/>
      <c r="O82" s="1115"/>
      <c r="P82" s="1132"/>
      <c r="Q82" s="1115"/>
      <c r="R82" s="1132"/>
      <c r="S82" s="1115"/>
      <c r="T82" s="1132"/>
      <c r="U82" s="1115"/>
      <c r="V82" s="1132"/>
      <c r="W82" s="1115"/>
      <c r="X82" s="1132"/>
      <c r="Y82" s="1202"/>
      <c r="Z82" s="1205"/>
      <c r="AA82" s="1115"/>
      <c r="AB82" s="1132"/>
      <c r="AC82" s="1115"/>
      <c r="AD82" s="1132"/>
      <c r="AE82" s="1115"/>
      <c r="AF82" s="1132"/>
      <c r="AG82" s="1115"/>
      <c r="AH82" s="1132"/>
      <c r="AI82" s="1115"/>
      <c r="AJ82" s="1132"/>
      <c r="AK82" s="1115"/>
      <c r="AL82" s="1132"/>
      <c r="AM82" s="1202"/>
      <c r="AN82" s="1205"/>
      <c r="AO82" s="1115"/>
      <c r="AP82" s="1132"/>
      <c r="AQ82" s="1115"/>
      <c r="AR82" s="1132"/>
      <c r="AS82" s="1115"/>
      <c r="AT82" s="1132"/>
      <c r="AU82" s="1115"/>
      <c r="AV82" s="1132"/>
      <c r="AW82" s="1115"/>
      <c r="AX82" s="1132"/>
      <c r="AY82" s="1115"/>
      <c r="AZ82" s="1132"/>
      <c r="BA82" s="1202"/>
      <c r="BB82" s="1205"/>
      <c r="BC82" s="1115"/>
      <c r="BD82" s="1132"/>
      <c r="BE82" s="1115"/>
      <c r="BF82" s="1132"/>
      <c r="BG82" s="1115"/>
      <c r="BH82" s="1132"/>
      <c r="BI82" s="1115"/>
      <c r="BJ82" s="1132"/>
      <c r="BK82" s="1115"/>
      <c r="BL82" s="1133"/>
      <c r="BM82" s="1118"/>
      <c r="BN82" s="1119"/>
      <c r="BO82" s="1120"/>
      <c r="BP82" s="1121"/>
      <c r="BQ82" s="1122"/>
      <c r="BR82" s="1122"/>
      <c r="BS82" s="1123"/>
    </row>
    <row r="83" spans="1:71" s="1124" customFormat="1" ht="21.95" customHeight="1" thickTop="1" thickBot="1">
      <c r="A83" s="1113"/>
      <c r="B83" s="1128"/>
      <c r="C83" s="1115"/>
      <c r="D83" s="1131"/>
      <c r="E83" s="1115"/>
      <c r="F83" s="1131"/>
      <c r="G83" s="1115"/>
      <c r="H83" s="1132"/>
      <c r="I83" s="1115"/>
      <c r="J83" s="1132"/>
      <c r="K83" s="1202"/>
      <c r="L83" s="1218"/>
      <c r="M83" s="1115"/>
      <c r="N83" s="1132"/>
      <c r="O83" s="1115"/>
      <c r="P83" s="1132"/>
      <c r="Q83" s="1115"/>
      <c r="R83" s="1132"/>
      <c r="S83" s="1115"/>
      <c r="T83" s="1132"/>
      <c r="U83" s="1115"/>
      <c r="V83" s="1132"/>
      <c r="W83" s="1115"/>
      <c r="X83" s="1132"/>
      <c r="Y83" s="1202"/>
      <c r="Z83" s="1205"/>
      <c r="AA83" s="1115"/>
      <c r="AB83" s="1132"/>
      <c r="AC83" s="1115"/>
      <c r="AD83" s="1132"/>
      <c r="AE83" s="1115"/>
      <c r="AF83" s="1132"/>
      <c r="AG83" s="1115"/>
      <c r="AH83" s="1132"/>
      <c r="AI83" s="1115"/>
      <c r="AJ83" s="1132"/>
      <c r="AK83" s="1115"/>
      <c r="AL83" s="1132"/>
      <c r="AM83" s="1202"/>
      <c r="AN83" s="1205"/>
      <c r="AO83" s="1115"/>
      <c r="AP83" s="1132"/>
      <c r="AQ83" s="1115"/>
      <c r="AR83" s="1132"/>
      <c r="AS83" s="1115"/>
      <c r="AT83" s="1132"/>
      <c r="AU83" s="1115"/>
      <c r="AV83" s="1132"/>
      <c r="AW83" s="1115"/>
      <c r="AX83" s="1132"/>
      <c r="AY83" s="1115"/>
      <c r="AZ83" s="1132"/>
      <c r="BA83" s="1202"/>
      <c r="BB83" s="1205"/>
      <c r="BC83" s="1115"/>
      <c r="BD83" s="1132"/>
      <c r="BE83" s="1115"/>
      <c r="BF83" s="1132"/>
      <c r="BG83" s="1115"/>
      <c r="BH83" s="1132"/>
      <c r="BI83" s="1115"/>
      <c r="BJ83" s="1132"/>
      <c r="BK83" s="1115"/>
      <c r="BL83" s="1133"/>
      <c r="BM83" s="1118"/>
      <c r="BN83" s="1119"/>
      <c r="BO83" s="1120"/>
      <c r="BP83" s="1121"/>
      <c r="BQ83" s="1122"/>
      <c r="BR83" s="1122"/>
      <c r="BS83" s="1123"/>
    </row>
    <row r="84" spans="1:71" s="1124" customFormat="1" ht="21.95" customHeight="1" thickTop="1" thickBot="1">
      <c r="A84" s="1113"/>
      <c r="B84" s="1128"/>
      <c r="C84" s="1115"/>
      <c r="D84" s="1131"/>
      <c r="E84" s="1115"/>
      <c r="F84" s="1131"/>
      <c r="G84" s="1115"/>
      <c r="H84" s="1132"/>
      <c r="I84" s="1115"/>
      <c r="J84" s="1132"/>
      <c r="K84" s="1202"/>
      <c r="L84" s="1218"/>
      <c r="M84" s="1115"/>
      <c r="N84" s="1132"/>
      <c r="O84" s="1115"/>
      <c r="P84" s="1132"/>
      <c r="Q84" s="1115"/>
      <c r="R84" s="1132"/>
      <c r="S84" s="1115"/>
      <c r="T84" s="1132"/>
      <c r="U84" s="1115"/>
      <c r="V84" s="1132"/>
      <c r="W84" s="1115"/>
      <c r="X84" s="1132"/>
      <c r="Y84" s="1202"/>
      <c r="Z84" s="1205"/>
      <c r="AA84" s="1115"/>
      <c r="AB84" s="1132"/>
      <c r="AC84" s="1115"/>
      <c r="AD84" s="1132"/>
      <c r="AE84" s="1115"/>
      <c r="AF84" s="1132"/>
      <c r="AG84" s="1115"/>
      <c r="AH84" s="1132"/>
      <c r="AI84" s="1115"/>
      <c r="AJ84" s="1132"/>
      <c r="AK84" s="1115"/>
      <c r="AL84" s="1132"/>
      <c r="AM84" s="1202"/>
      <c r="AN84" s="1205"/>
      <c r="AO84" s="1115"/>
      <c r="AP84" s="1132"/>
      <c r="AQ84" s="1115"/>
      <c r="AR84" s="1132"/>
      <c r="AS84" s="1115"/>
      <c r="AT84" s="1132"/>
      <c r="AU84" s="1115"/>
      <c r="AV84" s="1132"/>
      <c r="AW84" s="1115"/>
      <c r="AX84" s="1132"/>
      <c r="AY84" s="1115"/>
      <c r="AZ84" s="1132"/>
      <c r="BA84" s="1202"/>
      <c r="BB84" s="1205"/>
      <c r="BC84" s="1115"/>
      <c r="BD84" s="1132"/>
      <c r="BE84" s="1115"/>
      <c r="BF84" s="1132"/>
      <c r="BG84" s="1115"/>
      <c r="BH84" s="1132"/>
      <c r="BI84" s="1115"/>
      <c r="BJ84" s="1132"/>
      <c r="BK84" s="1115"/>
      <c r="BL84" s="1133"/>
      <c r="BM84" s="1118"/>
      <c r="BN84" s="1119"/>
      <c r="BO84" s="1120"/>
      <c r="BP84" s="1121"/>
      <c r="BQ84" s="1122"/>
      <c r="BR84" s="1122"/>
      <c r="BS84" s="1123"/>
    </row>
    <row r="85" spans="1:71" s="1124" customFormat="1" ht="21.95" customHeight="1" thickTop="1" thickBot="1">
      <c r="A85" s="1113"/>
      <c r="B85" s="1128"/>
      <c r="C85" s="1115"/>
      <c r="D85" s="1131"/>
      <c r="E85" s="1115"/>
      <c r="F85" s="1131"/>
      <c r="G85" s="1115"/>
      <c r="H85" s="1132"/>
      <c r="I85" s="1115"/>
      <c r="J85" s="1132"/>
      <c r="K85" s="1202"/>
      <c r="L85" s="1218"/>
      <c r="M85" s="1115"/>
      <c r="N85" s="1132"/>
      <c r="O85" s="1115"/>
      <c r="P85" s="1132"/>
      <c r="Q85" s="1115"/>
      <c r="R85" s="1132"/>
      <c r="S85" s="1115"/>
      <c r="T85" s="1132"/>
      <c r="U85" s="1115"/>
      <c r="V85" s="1132"/>
      <c r="W85" s="1115"/>
      <c r="X85" s="1132"/>
      <c r="Y85" s="1202"/>
      <c r="Z85" s="1205"/>
      <c r="AA85" s="1115"/>
      <c r="AB85" s="1132"/>
      <c r="AC85" s="1115"/>
      <c r="AD85" s="1132"/>
      <c r="AE85" s="1115"/>
      <c r="AF85" s="1132"/>
      <c r="AG85" s="1115"/>
      <c r="AH85" s="1132"/>
      <c r="AI85" s="1115"/>
      <c r="AJ85" s="1132"/>
      <c r="AK85" s="1115"/>
      <c r="AL85" s="1132"/>
      <c r="AM85" s="1202"/>
      <c r="AN85" s="1205"/>
      <c r="AO85" s="1115"/>
      <c r="AP85" s="1132"/>
      <c r="AQ85" s="1115"/>
      <c r="AR85" s="1132"/>
      <c r="AS85" s="1115"/>
      <c r="AT85" s="1132"/>
      <c r="AU85" s="1115"/>
      <c r="AV85" s="1132"/>
      <c r="AW85" s="1115"/>
      <c r="AX85" s="1132"/>
      <c r="AY85" s="1115"/>
      <c r="AZ85" s="1132"/>
      <c r="BA85" s="1202"/>
      <c r="BB85" s="1205"/>
      <c r="BC85" s="1115"/>
      <c r="BD85" s="1132"/>
      <c r="BE85" s="1115"/>
      <c r="BF85" s="1132"/>
      <c r="BG85" s="1115"/>
      <c r="BH85" s="1132"/>
      <c r="BI85" s="1115"/>
      <c r="BJ85" s="1132"/>
      <c r="BK85" s="1115"/>
      <c r="BL85" s="1133"/>
      <c r="BM85" s="1118"/>
      <c r="BN85" s="1119"/>
      <c r="BO85" s="1120"/>
      <c r="BP85" s="1121"/>
      <c r="BQ85" s="1122"/>
      <c r="BR85" s="1122"/>
      <c r="BS85" s="1123"/>
    </row>
    <row r="86" spans="1:71" s="1124" customFormat="1" ht="21.95" customHeight="1" thickTop="1" thickBot="1">
      <c r="A86" s="1113"/>
      <c r="B86" s="1128"/>
      <c r="C86" s="1115"/>
      <c r="D86" s="1131"/>
      <c r="E86" s="1115"/>
      <c r="F86" s="1131"/>
      <c r="G86" s="1115"/>
      <c r="H86" s="1132"/>
      <c r="I86" s="1115"/>
      <c r="J86" s="1131"/>
      <c r="K86" s="1202"/>
      <c r="L86" s="1218"/>
      <c r="M86" s="1115"/>
      <c r="N86" s="1132"/>
      <c r="O86" s="1115"/>
      <c r="P86" s="1132"/>
      <c r="Q86" s="1115"/>
      <c r="R86" s="1132"/>
      <c r="S86" s="1115"/>
      <c r="T86" s="1132"/>
      <c r="U86" s="1115"/>
      <c r="V86" s="1132"/>
      <c r="W86" s="1115"/>
      <c r="X86" s="1132"/>
      <c r="Y86" s="1202"/>
      <c r="Z86" s="1205"/>
      <c r="AA86" s="1115"/>
      <c r="AB86" s="1132"/>
      <c r="AC86" s="1115"/>
      <c r="AD86" s="1132"/>
      <c r="AE86" s="1115"/>
      <c r="AF86" s="1132"/>
      <c r="AG86" s="1115"/>
      <c r="AH86" s="1132"/>
      <c r="AI86" s="1115"/>
      <c r="AJ86" s="1132"/>
      <c r="AK86" s="1115"/>
      <c r="AL86" s="1132"/>
      <c r="AM86" s="1202"/>
      <c r="AN86" s="1205"/>
      <c r="AO86" s="1115"/>
      <c r="AP86" s="1132"/>
      <c r="AQ86" s="1115"/>
      <c r="AR86" s="1132"/>
      <c r="AS86" s="1115"/>
      <c r="AT86" s="1132"/>
      <c r="AU86" s="1115"/>
      <c r="AV86" s="1132"/>
      <c r="AW86" s="1115"/>
      <c r="AX86" s="1132"/>
      <c r="AY86" s="1115"/>
      <c r="AZ86" s="1132"/>
      <c r="BA86" s="1202"/>
      <c r="BB86" s="1205"/>
      <c r="BC86" s="1115"/>
      <c r="BD86" s="1132"/>
      <c r="BE86" s="1115"/>
      <c r="BF86" s="1132"/>
      <c r="BG86" s="1115"/>
      <c r="BH86" s="1132"/>
      <c r="BI86" s="1115"/>
      <c r="BJ86" s="1132"/>
      <c r="BK86" s="1115"/>
      <c r="BL86" s="1133"/>
      <c r="BM86" s="1118"/>
      <c r="BN86" s="1119"/>
      <c r="BO86" s="1120"/>
      <c r="BP86" s="1121"/>
      <c r="BQ86" s="1122"/>
      <c r="BR86" s="1122"/>
      <c r="BS86" s="1123"/>
    </row>
    <row r="87" spans="1:71" s="1124" customFormat="1" ht="21.95" customHeight="1" thickTop="1" thickBot="1">
      <c r="A87" s="1113"/>
      <c r="B87" s="1128"/>
      <c r="C87" s="1115"/>
      <c r="D87" s="1131"/>
      <c r="E87" s="1115"/>
      <c r="F87" s="1152"/>
      <c r="G87" s="1115"/>
      <c r="H87" s="1132"/>
      <c r="I87" s="1115"/>
      <c r="J87" s="1131"/>
      <c r="K87" s="1202"/>
      <c r="L87" s="1218"/>
      <c r="M87" s="1115"/>
      <c r="N87" s="1132"/>
      <c r="O87" s="1115"/>
      <c r="P87" s="1132"/>
      <c r="Q87" s="1115"/>
      <c r="R87" s="1132"/>
      <c r="S87" s="1115"/>
      <c r="T87" s="1132"/>
      <c r="U87" s="1115"/>
      <c r="V87" s="1132"/>
      <c r="W87" s="1115"/>
      <c r="X87" s="1132"/>
      <c r="Y87" s="1202"/>
      <c r="Z87" s="1205"/>
      <c r="AA87" s="1115"/>
      <c r="AB87" s="1132"/>
      <c r="AC87" s="1115"/>
      <c r="AD87" s="1132"/>
      <c r="AE87" s="1115"/>
      <c r="AF87" s="1132"/>
      <c r="AG87" s="1115"/>
      <c r="AH87" s="1132"/>
      <c r="AI87" s="1115"/>
      <c r="AJ87" s="1132"/>
      <c r="AK87" s="1115"/>
      <c r="AL87" s="1132"/>
      <c r="AM87" s="1202"/>
      <c r="AN87" s="1205"/>
      <c r="AO87" s="1115"/>
      <c r="AP87" s="1132"/>
      <c r="AQ87" s="1115"/>
      <c r="AR87" s="1132"/>
      <c r="AS87" s="1115"/>
      <c r="AT87" s="1132"/>
      <c r="AU87" s="1115"/>
      <c r="AV87" s="1132"/>
      <c r="AW87" s="1115"/>
      <c r="AX87" s="1132"/>
      <c r="AY87" s="1115"/>
      <c r="AZ87" s="1132"/>
      <c r="BA87" s="1202"/>
      <c r="BB87" s="1205"/>
      <c r="BC87" s="1115"/>
      <c r="BD87" s="1132"/>
      <c r="BE87" s="1115"/>
      <c r="BF87" s="1132"/>
      <c r="BG87" s="1115"/>
      <c r="BH87" s="1132"/>
      <c r="BI87" s="1115"/>
      <c r="BJ87" s="1132"/>
      <c r="BK87" s="1115"/>
      <c r="BL87" s="1133"/>
      <c r="BM87" s="1118"/>
      <c r="BN87" s="1119"/>
      <c r="BO87" s="1120"/>
      <c r="BP87" s="1121"/>
      <c r="BQ87" s="1122"/>
      <c r="BR87" s="1122"/>
      <c r="BS87" s="1123"/>
    </row>
    <row r="88" spans="1:71" s="1124" customFormat="1" ht="21.95" customHeight="1" thickTop="1" thickBot="1">
      <c r="A88" s="1113"/>
      <c r="B88" s="1128"/>
      <c r="C88" s="1115"/>
      <c r="D88" s="1131"/>
      <c r="E88" s="1115"/>
      <c r="F88" s="1152"/>
      <c r="G88" s="1115"/>
      <c r="H88" s="1132"/>
      <c r="I88" s="1115"/>
      <c r="J88" s="1131"/>
      <c r="K88" s="1202"/>
      <c r="L88" s="1218"/>
      <c r="M88" s="1115"/>
      <c r="N88" s="1132"/>
      <c r="O88" s="1115"/>
      <c r="P88" s="1132"/>
      <c r="Q88" s="1115"/>
      <c r="R88" s="1132"/>
      <c r="S88" s="1115"/>
      <c r="T88" s="1132"/>
      <c r="U88" s="1115"/>
      <c r="V88" s="1132"/>
      <c r="W88" s="1115"/>
      <c r="X88" s="1132"/>
      <c r="Y88" s="1202"/>
      <c r="Z88" s="1205"/>
      <c r="AA88" s="1115"/>
      <c r="AB88" s="1132"/>
      <c r="AC88" s="1115"/>
      <c r="AD88" s="1132"/>
      <c r="AE88" s="1115"/>
      <c r="AF88" s="1132"/>
      <c r="AG88" s="1115"/>
      <c r="AH88" s="1132"/>
      <c r="AI88" s="1115"/>
      <c r="AJ88" s="1132"/>
      <c r="AK88" s="1115"/>
      <c r="AL88" s="1132"/>
      <c r="AM88" s="1202"/>
      <c r="AN88" s="1205"/>
      <c r="AO88" s="1115"/>
      <c r="AP88" s="1132"/>
      <c r="AQ88" s="1115"/>
      <c r="AR88" s="1132"/>
      <c r="AS88" s="1115"/>
      <c r="AT88" s="1132"/>
      <c r="AU88" s="1115"/>
      <c r="AV88" s="1132"/>
      <c r="AW88" s="1115"/>
      <c r="AX88" s="1132"/>
      <c r="AY88" s="1115"/>
      <c r="AZ88" s="1132"/>
      <c r="BA88" s="1202"/>
      <c r="BB88" s="1205"/>
      <c r="BC88" s="1115"/>
      <c r="BD88" s="1132"/>
      <c r="BE88" s="1115"/>
      <c r="BF88" s="1132"/>
      <c r="BG88" s="1115"/>
      <c r="BH88" s="1132"/>
      <c r="BI88" s="1115"/>
      <c r="BJ88" s="1132"/>
      <c r="BK88" s="1115"/>
      <c r="BL88" s="1133"/>
      <c r="BM88" s="1118"/>
      <c r="BN88" s="1119"/>
      <c r="BO88" s="1120"/>
      <c r="BP88" s="1121"/>
      <c r="BQ88" s="1122"/>
      <c r="BR88" s="1122"/>
      <c r="BS88" s="1123"/>
    </row>
    <row r="89" spans="1:71" s="1124" customFormat="1" ht="21.95" customHeight="1" thickTop="1" thickBot="1">
      <c r="A89" s="1113"/>
      <c r="B89" s="1128"/>
      <c r="C89" s="1115"/>
      <c r="D89" s="1131"/>
      <c r="E89" s="1115"/>
      <c r="F89" s="1152"/>
      <c r="G89" s="1115"/>
      <c r="H89" s="1132"/>
      <c r="I89" s="1115"/>
      <c r="J89" s="1131"/>
      <c r="K89" s="1202"/>
      <c r="L89" s="1218"/>
      <c r="M89" s="1115"/>
      <c r="N89" s="1132"/>
      <c r="O89" s="1115"/>
      <c r="P89" s="1132"/>
      <c r="Q89" s="1115"/>
      <c r="R89" s="1132"/>
      <c r="S89" s="1115"/>
      <c r="T89" s="1132"/>
      <c r="U89" s="1115"/>
      <c r="V89" s="1132"/>
      <c r="W89" s="1115"/>
      <c r="X89" s="1132"/>
      <c r="Y89" s="1202"/>
      <c r="Z89" s="1205"/>
      <c r="AA89" s="1115"/>
      <c r="AB89" s="1132"/>
      <c r="AC89" s="1115"/>
      <c r="AD89" s="1132"/>
      <c r="AE89" s="1115"/>
      <c r="AF89" s="1132"/>
      <c r="AG89" s="1115"/>
      <c r="AH89" s="1132"/>
      <c r="AI89" s="1115"/>
      <c r="AJ89" s="1132"/>
      <c r="AK89" s="1115"/>
      <c r="AL89" s="1132"/>
      <c r="AM89" s="1202"/>
      <c r="AN89" s="1205"/>
      <c r="AO89" s="1115"/>
      <c r="AP89" s="1132"/>
      <c r="AQ89" s="1115"/>
      <c r="AR89" s="1132"/>
      <c r="AS89" s="1115"/>
      <c r="AT89" s="1132"/>
      <c r="AU89" s="1115"/>
      <c r="AV89" s="1132"/>
      <c r="AW89" s="1115"/>
      <c r="AX89" s="1132"/>
      <c r="AY89" s="1115"/>
      <c r="AZ89" s="1132"/>
      <c r="BA89" s="1202"/>
      <c r="BB89" s="1205"/>
      <c r="BC89" s="1115"/>
      <c r="BD89" s="1132"/>
      <c r="BE89" s="1115"/>
      <c r="BF89" s="1132"/>
      <c r="BG89" s="1115"/>
      <c r="BH89" s="1132"/>
      <c r="BI89" s="1115"/>
      <c r="BJ89" s="1132"/>
      <c r="BK89" s="1115"/>
      <c r="BL89" s="1133"/>
      <c r="BM89" s="1118"/>
      <c r="BN89" s="1119"/>
      <c r="BO89" s="1120"/>
      <c r="BP89" s="1121"/>
      <c r="BQ89" s="1122"/>
      <c r="BR89" s="1122"/>
      <c r="BS89" s="1123"/>
    </row>
    <row r="90" spans="1:71" s="1124" customFormat="1" ht="21.95" customHeight="1" thickTop="1" thickBot="1">
      <c r="A90" s="1113"/>
      <c r="B90" s="1128"/>
      <c r="C90" s="1115"/>
      <c r="D90" s="1131"/>
      <c r="E90" s="1115"/>
      <c r="F90" s="1152"/>
      <c r="G90" s="1115"/>
      <c r="H90" s="1132"/>
      <c r="I90" s="1115"/>
      <c r="J90" s="1131"/>
      <c r="K90" s="1202"/>
      <c r="L90" s="1218"/>
      <c r="M90" s="1115"/>
      <c r="N90" s="1132"/>
      <c r="O90" s="1115"/>
      <c r="P90" s="1132"/>
      <c r="Q90" s="1115"/>
      <c r="R90" s="1132"/>
      <c r="S90" s="1115"/>
      <c r="T90" s="1132"/>
      <c r="U90" s="1115"/>
      <c r="V90" s="1132"/>
      <c r="W90" s="1115"/>
      <c r="X90" s="1132"/>
      <c r="Y90" s="1202"/>
      <c r="Z90" s="1205"/>
      <c r="AA90" s="1115"/>
      <c r="AB90" s="1132"/>
      <c r="AC90" s="1115"/>
      <c r="AD90" s="1132"/>
      <c r="AE90" s="1115"/>
      <c r="AF90" s="1132"/>
      <c r="AG90" s="1115"/>
      <c r="AH90" s="1132"/>
      <c r="AI90" s="1115"/>
      <c r="AJ90" s="1132"/>
      <c r="AK90" s="1115"/>
      <c r="AL90" s="1132"/>
      <c r="AM90" s="1202"/>
      <c r="AN90" s="1205"/>
      <c r="AO90" s="1115"/>
      <c r="AP90" s="1132"/>
      <c r="AQ90" s="1115"/>
      <c r="AR90" s="1132"/>
      <c r="AS90" s="1115"/>
      <c r="AT90" s="1132"/>
      <c r="AU90" s="1115"/>
      <c r="AV90" s="1132"/>
      <c r="AW90" s="1115"/>
      <c r="AX90" s="1132"/>
      <c r="AY90" s="1115"/>
      <c r="AZ90" s="1132"/>
      <c r="BA90" s="1202"/>
      <c r="BB90" s="1205"/>
      <c r="BC90" s="1115"/>
      <c r="BD90" s="1132"/>
      <c r="BE90" s="1115"/>
      <c r="BF90" s="1132"/>
      <c r="BG90" s="1115"/>
      <c r="BH90" s="1132"/>
      <c r="BI90" s="1115"/>
      <c r="BJ90" s="1132"/>
      <c r="BK90" s="1115"/>
      <c r="BL90" s="1133"/>
      <c r="BM90" s="1118"/>
      <c r="BN90" s="1119"/>
      <c r="BO90" s="1120"/>
      <c r="BP90" s="1121"/>
      <c r="BQ90" s="1122"/>
      <c r="BR90" s="1122"/>
      <c r="BS90" s="1123"/>
    </row>
    <row r="91" spans="1:71" s="1124" customFormat="1" ht="21.95" customHeight="1" thickTop="1" thickBot="1">
      <c r="A91" s="1113"/>
      <c r="B91" s="1128"/>
      <c r="C91" s="1115"/>
      <c r="D91" s="1152"/>
      <c r="E91" s="1115"/>
      <c r="F91" s="1152"/>
      <c r="G91" s="1115"/>
      <c r="H91" s="1132"/>
      <c r="I91" s="1115"/>
      <c r="J91" s="1152"/>
      <c r="K91" s="1202"/>
      <c r="L91" s="1220"/>
      <c r="M91" s="1115"/>
      <c r="N91" s="1132"/>
      <c r="O91" s="1115"/>
      <c r="P91" s="1132"/>
      <c r="Q91" s="1115"/>
      <c r="R91" s="1132"/>
      <c r="S91" s="1115"/>
      <c r="T91" s="1132"/>
      <c r="U91" s="1115"/>
      <c r="V91" s="1132"/>
      <c r="W91" s="1115"/>
      <c r="X91" s="1132"/>
      <c r="Y91" s="1202"/>
      <c r="Z91" s="1205"/>
      <c r="AA91" s="1115"/>
      <c r="AB91" s="1132"/>
      <c r="AC91" s="1115"/>
      <c r="AD91" s="1132"/>
      <c r="AE91" s="1115"/>
      <c r="AF91" s="1132"/>
      <c r="AG91" s="1115"/>
      <c r="AH91" s="1132"/>
      <c r="AI91" s="1115"/>
      <c r="AJ91" s="1132"/>
      <c r="AK91" s="1115"/>
      <c r="AL91" s="1132"/>
      <c r="AM91" s="1202"/>
      <c r="AN91" s="1205"/>
      <c r="AO91" s="1115"/>
      <c r="AP91" s="1132"/>
      <c r="AQ91" s="1115"/>
      <c r="AR91" s="1132"/>
      <c r="AS91" s="1115"/>
      <c r="AT91" s="1132"/>
      <c r="AU91" s="1115"/>
      <c r="AV91" s="1132"/>
      <c r="AW91" s="1115"/>
      <c r="AX91" s="1132"/>
      <c r="AY91" s="1115"/>
      <c r="AZ91" s="1132"/>
      <c r="BA91" s="1202"/>
      <c r="BB91" s="1205"/>
      <c r="BC91" s="1115"/>
      <c r="BD91" s="1132"/>
      <c r="BE91" s="1115"/>
      <c r="BF91" s="1132"/>
      <c r="BG91" s="1115"/>
      <c r="BH91" s="1132"/>
      <c r="BI91" s="1115"/>
      <c r="BJ91" s="1132"/>
      <c r="BK91" s="1115"/>
      <c r="BL91" s="1133"/>
      <c r="BM91" s="1118"/>
      <c r="BN91" s="1134"/>
      <c r="BO91" s="1120"/>
      <c r="BP91" s="1121"/>
      <c r="BQ91" s="1122"/>
      <c r="BR91" s="1122"/>
      <c r="BS91" s="1123"/>
    </row>
    <row r="92" spans="1:71" ht="27.75" thickTop="1" thickBot="1">
      <c r="B92" s="1109"/>
      <c r="C92" s="1299"/>
      <c r="D92" s="1299"/>
      <c r="E92" s="1299"/>
      <c r="F92" s="1299"/>
      <c r="G92" s="1299"/>
      <c r="H92" s="1299"/>
      <c r="I92" s="1299"/>
      <c r="J92" s="1299"/>
      <c r="K92" s="1299"/>
      <c r="L92" s="1299"/>
      <c r="M92" s="1299"/>
      <c r="N92" s="1299"/>
      <c r="O92" s="1299"/>
      <c r="P92" s="1299"/>
      <c r="Q92" s="1299"/>
      <c r="R92" s="1299"/>
      <c r="S92" s="1299"/>
      <c r="T92" s="1299"/>
      <c r="U92" s="1299"/>
      <c r="V92" s="1299"/>
      <c r="W92" s="1299"/>
      <c r="X92" s="1299"/>
      <c r="Y92" s="1299"/>
      <c r="Z92" s="1299"/>
      <c r="AA92" s="1299"/>
      <c r="AB92" s="1299"/>
      <c r="AC92" s="1299"/>
      <c r="AD92" s="1299"/>
      <c r="AE92" s="1299"/>
      <c r="AF92" s="1299"/>
      <c r="AG92" s="1299"/>
      <c r="AH92" s="1299"/>
      <c r="AI92" s="1299"/>
      <c r="AJ92" s="1299"/>
      <c r="AK92" s="1299"/>
      <c r="AL92" s="1299"/>
      <c r="AM92" s="1299"/>
      <c r="AN92" s="1299"/>
      <c r="AO92" s="1299"/>
      <c r="AP92" s="1299"/>
      <c r="AQ92" s="1299"/>
      <c r="AR92" s="1299"/>
      <c r="AS92" s="1299"/>
      <c r="AT92" s="1299"/>
      <c r="AU92" s="1299"/>
      <c r="AV92" s="1299"/>
      <c r="AW92" s="1299"/>
      <c r="AX92" s="1299"/>
      <c r="AY92" s="1299"/>
      <c r="AZ92" s="1299"/>
      <c r="BA92" s="1299"/>
      <c r="BB92" s="1299"/>
      <c r="BC92" s="1299"/>
      <c r="BD92" s="1299"/>
      <c r="BE92" s="1299"/>
      <c r="BF92" s="1299"/>
      <c r="BG92" s="1299"/>
      <c r="BH92" s="1299"/>
      <c r="BI92" s="1299"/>
      <c r="BJ92" s="1299"/>
      <c r="BK92" s="1300"/>
      <c r="BL92" s="1300"/>
      <c r="BM92" s="1110"/>
      <c r="BN92" s="1111"/>
      <c r="BO92" s="1112"/>
      <c r="BP92" s="1112"/>
      <c r="BQ92" s="1112"/>
      <c r="BR92" s="1112"/>
      <c r="BS92" s="1112"/>
    </row>
    <row r="93" spans="1:71" ht="15.75" thickTop="1"/>
  </sheetData>
  <mergeCells count="190">
    <mergeCell ref="BI92:BJ92"/>
    <mergeCell ref="BK92:BL92"/>
    <mergeCell ref="AY92:AZ92"/>
    <mergeCell ref="BA92:BB92"/>
    <mergeCell ref="BC92:BD92"/>
    <mergeCell ref="BE92:BF92"/>
    <mergeCell ref="BG92:BH92"/>
    <mergeCell ref="AO92:AP92"/>
    <mergeCell ref="AQ92:AR92"/>
    <mergeCell ref="AS92:AT92"/>
    <mergeCell ref="AU92:AV92"/>
    <mergeCell ref="AW92:AX92"/>
    <mergeCell ref="AE92:AF92"/>
    <mergeCell ref="AG92:AH92"/>
    <mergeCell ref="AI92:AJ92"/>
    <mergeCell ref="AK92:AL92"/>
    <mergeCell ref="AM92:AN92"/>
    <mergeCell ref="BI30:BJ30"/>
    <mergeCell ref="BK30:BL30"/>
    <mergeCell ref="C92:D92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Y30:AZ30"/>
    <mergeCell ref="BA30:BB30"/>
    <mergeCell ref="BC30:BD30"/>
    <mergeCell ref="BE30:BF30"/>
    <mergeCell ref="BG30:BH30"/>
    <mergeCell ref="AO30:AP30"/>
    <mergeCell ref="AQ30:AR30"/>
    <mergeCell ref="AS30:AT30"/>
    <mergeCell ref="AU30:AV30"/>
    <mergeCell ref="AW30:AX30"/>
    <mergeCell ref="AE30:AF30"/>
    <mergeCell ref="AG30:AH30"/>
    <mergeCell ref="AI30:AJ30"/>
    <mergeCell ref="AK30:AL30"/>
    <mergeCell ref="AM30:AN30"/>
    <mergeCell ref="BI29:BJ29"/>
    <mergeCell ref="BK29:BL29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V30"/>
    <mergeCell ref="W30:X30"/>
    <mergeCell ref="Y30:Z30"/>
    <mergeCell ref="AA30:AB30"/>
    <mergeCell ref="AC30:AD30"/>
    <mergeCell ref="AY29:AZ29"/>
    <mergeCell ref="BA29:BB29"/>
    <mergeCell ref="BC29:BD29"/>
    <mergeCell ref="BE29:BF29"/>
    <mergeCell ref="BG29:BH29"/>
    <mergeCell ref="AO29:AP29"/>
    <mergeCell ref="AQ29:AR29"/>
    <mergeCell ref="AS29:AT29"/>
    <mergeCell ref="AU29:AV29"/>
    <mergeCell ref="AW29:AX29"/>
    <mergeCell ref="AE29:AF29"/>
    <mergeCell ref="AG29:AH29"/>
    <mergeCell ref="AI29:AJ29"/>
    <mergeCell ref="AK29:AL29"/>
    <mergeCell ref="AM29:AN29"/>
    <mergeCell ref="U29:V29"/>
    <mergeCell ref="W29:X29"/>
    <mergeCell ref="Y29:Z29"/>
    <mergeCell ref="AA29:AB29"/>
    <mergeCell ref="AC29:AD29"/>
    <mergeCell ref="I5:J5"/>
    <mergeCell ref="G5:H5"/>
    <mergeCell ref="K29:L29"/>
    <mergeCell ref="M29:N29"/>
    <mergeCell ref="O29:P29"/>
    <mergeCell ref="Q29:R29"/>
    <mergeCell ref="S29:T29"/>
    <mergeCell ref="A29:A30"/>
    <mergeCell ref="C29:D29"/>
    <mergeCell ref="E29:F29"/>
    <mergeCell ref="G29:H29"/>
    <mergeCell ref="I29:J29"/>
    <mergeCell ref="AE6:AF6"/>
    <mergeCell ref="AG6:AH6"/>
    <mergeCell ref="A5:A6"/>
    <mergeCell ref="Q5:R5"/>
    <mergeCell ref="AS5:AT5"/>
    <mergeCell ref="AQ5:AR5"/>
    <mergeCell ref="AO5:AP5"/>
    <mergeCell ref="AM5:AN5"/>
    <mergeCell ref="AK5:AL5"/>
    <mergeCell ref="AI5:AJ5"/>
    <mergeCell ref="AG5:AH5"/>
    <mergeCell ref="AE5:AF5"/>
    <mergeCell ref="AC5:AD5"/>
    <mergeCell ref="AA5:AB5"/>
    <mergeCell ref="U5:V5"/>
    <mergeCell ref="S5:T5"/>
    <mergeCell ref="C5:D5"/>
    <mergeCell ref="O5:P5"/>
    <mergeCell ref="E5:F5"/>
    <mergeCell ref="M6:N6"/>
    <mergeCell ref="O6:P6"/>
    <mergeCell ref="Q6:R6"/>
    <mergeCell ref="M5:N5"/>
    <mergeCell ref="K5:L5"/>
    <mergeCell ref="BC28:BD28"/>
    <mergeCell ref="BE28:BF28"/>
    <mergeCell ref="S6:T6"/>
    <mergeCell ref="I6:J6"/>
    <mergeCell ref="K6:L6"/>
    <mergeCell ref="C6:D6"/>
    <mergeCell ref="E6:F6"/>
    <mergeCell ref="G6:H6"/>
    <mergeCell ref="BK5:BL5"/>
    <mergeCell ref="BI5:BJ5"/>
    <mergeCell ref="BG5:BH5"/>
    <mergeCell ref="BE5:BF5"/>
    <mergeCell ref="BC5:BD5"/>
    <mergeCell ref="AO6:AP6"/>
    <mergeCell ref="Y5:Z5"/>
    <mergeCell ref="W5:X5"/>
    <mergeCell ref="BA5:BB5"/>
    <mergeCell ref="AY5:AZ5"/>
    <mergeCell ref="AW5:AX5"/>
    <mergeCell ref="AU5:AV5"/>
    <mergeCell ref="BK6:BL6"/>
    <mergeCell ref="BA6:BB6"/>
    <mergeCell ref="BC6:BD6"/>
    <mergeCell ref="AY6:AZ6"/>
    <mergeCell ref="AI6:AJ6"/>
    <mergeCell ref="AK6:AL6"/>
    <mergeCell ref="AS6:AT6"/>
    <mergeCell ref="AU6:AV6"/>
    <mergeCell ref="BE6:BF6"/>
    <mergeCell ref="BG6:BH6"/>
    <mergeCell ref="BI6:BJ6"/>
    <mergeCell ref="AW6:AX6"/>
    <mergeCell ref="AQ6:AR6"/>
    <mergeCell ref="AM6:AN6"/>
    <mergeCell ref="U6:V6"/>
    <mergeCell ref="W6:X6"/>
    <mergeCell ref="Y6:Z6"/>
    <mergeCell ref="AA6:AB6"/>
    <mergeCell ref="AC6:AD6"/>
    <mergeCell ref="C28:D28"/>
    <mergeCell ref="E28:F28"/>
    <mergeCell ref="G28:H28"/>
    <mergeCell ref="I28:J28"/>
    <mergeCell ref="K28:L28"/>
    <mergeCell ref="AC28:AD28"/>
    <mergeCell ref="Y28:Z28"/>
    <mergeCell ref="CA40:CA43"/>
    <mergeCell ref="CA30:CB30"/>
    <mergeCell ref="W28:X28"/>
    <mergeCell ref="AA28:AB28"/>
    <mergeCell ref="M28:N28"/>
    <mergeCell ref="O28:P28"/>
    <mergeCell ref="Q28:R28"/>
    <mergeCell ref="S28:T28"/>
    <mergeCell ref="U28:V28"/>
    <mergeCell ref="BK28:BL28"/>
    <mergeCell ref="AO28:AP28"/>
    <mergeCell ref="BG28:BH28"/>
    <mergeCell ref="AQ28:AR28"/>
    <mergeCell ref="AS28:AT28"/>
    <mergeCell ref="AU28:AV28"/>
    <mergeCell ref="AW28:AX28"/>
    <mergeCell ref="AM28:AN28"/>
    <mergeCell ref="AI28:AJ28"/>
    <mergeCell ref="AK28:AL28"/>
    <mergeCell ref="AE28:AF28"/>
    <mergeCell ref="AG28:AH28"/>
    <mergeCell ref="AY28:AZ28"/>
    <mergeCell ref="BI28:BJ28"/>
    <mergeCell ref="BA28:BB28"/>
  </mergeCells>
  <conditionalFormatting sqref="C7:BL7 C8:D8 D11:D19 C27:D27 P11:P19 D9 R11:R19 T11:T19 V11:V19 V8:V9 X8:X9 X11:X19 Z11:Z19 Z8:Z9 AB8:AB9 AB11:AB19 AD11:AD19 AD8:AD9 F11:F19 H11:H19 J11:J19 N11:N19 D21:D26 F8:F9 H8:H9 J8:J9 L8:L9 L11:L19 N8:N9 P8:P9 R8:R9 T8:T9 T21:T27 V21:V27 X21:X27 Z21:Z27 AB21:AB27 AD21:AD27 AF8:AF27 AH8:AH27 AJ8:AJ27 AL8:AL27 AN8:AN27 AP8:AP27 AR8:AR27 AT8:AT27 AV8:AV27 AX8:AX27 AZ8:AZ27 BB8:BB27 BD8:BD27 BF8:BF27 BH8:BH27 BL8:BM27 F21:F27 H21:H27 J21:J27 L21:L27 N21:N27 P21:P27 R21:R27 C9:C27 BJ8:BJ27">
    <cfRule type="cellIs" dxfId="1291" priority="1523" operator="equal">
      <formula>0</formula>
    </cfRule>
  </conditionalFormatting>
  <conditionalFormatting sqref="C7:BL7 C8:D8 D11:D19 C27:D27 P11:P19 D9 R11:R19 T11:T19 V11:V19 V8:V9 X8:X9 X11:X19 Z11:Z19 Z8:Z9 AB8:AB9 AB11:AB19 AD11:AD19 AD8:AD9 F11:F19 H11:H19 J11:J19 N11:N19 D21:D26 F8:F9 H8:H9 J8:J9 L8:L9 L11:L19 N8:N9 P8:P9 R8:R9 T8:T9 T21:T27 V21:V27 X21:X27 Z21:Z27 AB21:AB27 AD21:AD27 AF8:AF27 AH8:AH27 AJ8:AJ27 AL8:AL27 AN8:AN27 AP8:AP27 AR8:AR27 AT8:AT27 AV8:AV27 AX8:AX27 AZ8:AZ27 BB8:BB27 BD8:BD27 BF8:BF27 BH8:BH27 BL8:BM27 F21:F27 H21:H27 J21:J27 L21:L27 N21:N27 P21:P27 R21:R27 C9:C27 BJ8:BJ27">
    <cfRule type="cellIs" dxfId="1290" priority="1522" operator="lessThan">
      <formula>0</formula>
    </cfRule>
  </conditionalFormatting>
  <conditionalFormatting sqref="BS8:BS27">
    <cfRule type="cellIs" dxfId="1289" priority="1476" operator="lessThan">
      <formula>1</formula>
    </cfRule>
    <cfRule type="cellIs" dxfId="1288" priority="1520" operator="greaterThan">
      <formula>"-"</formula>
    </cfRule>
    <cfRule type="cellIs" dxfId="1287" priority="1521" operator="equal">
      <formula>"-"</formula>
    </cfRule>
  </conditionalFormatting>
  <conditionalFormatting sqref="D10 N10 P10 R10 T10 V10 X10 Z10 AB10 AD10 F10 H10 J10">
    <cfRule type="cellIs" dxfId="1286" priority="1517" operator="equal">
      <formula>0</formula>
    </cfRule>
  </conditionalFormatting>
  <conditionalFormatting sqref="D10 N10 P10 R10 T10 V10 X10 Z10 AB10 AD10 F10 H10 J10">
    <cfRule type="cellIs" dxfId="1285" priority="1516" operator="lessThan">
      <formula>0</formula>
    </cfRule>
  </conditionalFormatting>
  <conditionalFormatting sqref="D20 N20 P20 R20 T20 V20 X20 Z20 AB20 AD20 F20 H20 J20">
    <cfRule type="cellIs" dxfId="1284" priority="1515" operator="equal">
      <formula>0</formula>
    </cfRule>
  </conditionalFormatting>
  <conditionalFormatting sqref="D20 N20 P20 R20 T20 V20 X20 Z20 AB20 AD20 F20 H20 J20">
    <cfRule type="cellIs" dxfId="1283" priority="1514" operator="lessThan">
      <formula>0</formula>
    </cfRule>
  </conditionalFormatting>
  <conditionalFormatting sqref="L10">
    <cfRule type="cellIs" dxfId="1282" priority="1501" operator="equal">
      <formula>0</formula>
    </cfRule>
  </conditionalFormatting>
  <conditionalFormatting sqref="L10">
    <cfRule type="cellIs" dxfId="1281" priority="1500" operator="lessThan">
      <formula>0</formula>
    </cfRule>
  </conditionalFormatting>
  <conditionalFormatting sqref="L20">
    <cfRule type="cellIs" dxfId="1280" priority="1499" operator="equal">
      <formula>0</formula>
    </cfRule>
  </conditionalFormatting>
  <conditionalFormatting sqref="L20">
    <cfRule type="cellIs" dxfId="1279" priority="1498" operator="lessThan">
      <formula>0</formula>
    </cfRule>
  </conditionalFormatting>
  <conditionalFormatting sqref="BS22 BS24:BS27 BS8:BS20">
    <cfRule type="cellIs" dxfId="1278" priority="1485" operator="lessThan">
      <formula>0</formula>
    </cfRule>
    <cfRule type="cellIs" dxfId="1277" priority="1489" operator="lessThan">
      <formula>0</formula>
    </cfRule>
  </conditionalFormatting>
  <conditionalFormatting sqref="BS21 BS23">
    <cfRule type="cellIs" dxfId="1276" priority="1488" operator="lessThan">
      <formula>0</formula>
    </cfRule>
  </conditionalFormatting>
  <conditionalFormatting sqref="C28:BM28">
    <cfRule type="cellIs" dxfId="1275" priority="1483" operator="lessThan">
      <formula>1</formula>
    </cfRule>
  </conditionalFormatting>
  <conditionalFormatting sqref="T8:T27 V8:V27 X8:X27 Z8:Z27 AB8:AB27 AD8:AD27 AF8:AF27 AH8:AH27 AJ8:AJ27 AL8:AL27 AN8:AN27 AP8:AP27 AR8:AR27 AT8:AT27 AV8:AV27 AX8:AX27 AZ8:AZ27 BB8:BB27 BD8:BD27 BF8:BF27 BH8:BH27 BL8:BM27 F8:F27 H8:H27 J8:J27 L8:L27 N8:N27 P8:P27 R8:R27 C8:D27 BJ8:BJ27">
    <cfRule type="cellIs" dxfId="1274" priority="1475" operator="equal">
      <formula>1</formula>
    </cfRule>
    <cfRule type="cellIs" dxfId="1273" priority="1477" operator="lessThan">
      <formula>1</formula>
    </cfRule>
  </conditionalFormatting>
  <conditionalFormatting sqref="T8:T27 V8:V27 X8:X27 Z8:Z27 AB8:AB27 AD8:AD27 AF8:AF27 AH8:AH27 AJ8:AJ27 AL8:AL27 AN8:AN27 AP8:AP27 AR8:AR27 AT8:AT27 AV8:AV27 AX8:AX27 AZ8:AZ27 BB8:BB27 BD8:BD27 BF8:BF27 BH8:BH27 BL11:BM27 F8:F27 H8:H27 J8:J27 L8:L27 N8:N27 P8:P27 R8:R27 C8:D27 BJ8:BJ27">
    <cfRule type="cellIs" dxfId="1272" priority="1474" operator="equal">
      <formula>1</formula>
    </cfRule>
  </conditionalFormatting>
  <conditionalFormatting sqref="BV8:BV27">
    <cfRule type="cellIs" dxfId="1271" priority="1466" operator="lessThan">
      <formula>1</formula>
    </cfRule>
    <cfRule type="cellIs" dxfId="1270" priority="1470" operator="greaterThan">
      <formula>"-"</formula>
    </cfRule>
    <cfRule type="cellIs" dxfId="1269" priority="1471" operator="equal">
      <formula>"-"</formula>
    </cfRule>
  </conditionalFormatting>
  <conditionalFormatting sqref="BV8:BV20 BV22 BV24:BV27">
    <cfRule type="cellIs" dxfId="1268" priority="1467" operator="lessThan">
      <formula>0</formula>
    </cfRule>
    <cfRule type="cellIs" dxfId="1267" priority="1469" operator="lessThan">
      <formula>0</formula>
    </cfRule>
  </conditionalFormatting>
  <conditionalFormatting sqref="BV21 BV23">
    <cfRule type="cellIs" dxfId="1266" priority="1468" operator="lessThan">
      <formula>0</formula>
    </cfRule>
  </conditionalFormatting>
  <conditionalFormatting sqref="BW8:BW27">
    <cfRule type="cellIs" dxfId="1265" priority="1460" operator="lessThan">
      <formula>1</formula>
    </cfRule>
    <cfRule type="cellIs" dxfId="1264" priority="1464" operator="greaterThan">
      <formula>"-"</formula>
    </cfRule>
    <cfRule type="cellIs" dxfId="1263" priority="1465" operator="equal">
      <formula>"-"</formula>
    </cfRule>
  </conditionalFormatting>
  <conditionalFormatting sqref="BW8:BW27">
    <cfRule type="cellIs" dxfId="1262" priority="1461" operator="lessThan">
      <formula>0</formula>
    </cfRule>
    <cfRule type="cellIs" dxfId="1261" priority="1463" operator="lessThan">
      <formula>0</formula>
    </cfRule>
  </conditionalFormatting>
  <conditionalFormatting sqref="BW21:BW27">
    <cfRule type="cellIs" dxfId="1260" priority="1462" operator="lessThan">
      <formula>0</formula>
    </cfRule>
  </conditionalFormatting>
  <conditionalFormatting sqref="BW8:BW28">
    <cfRule type="cellIs" dxfId="1259" priority="1459" operator="lessThan">
      <formula>1</formula>
    </cfRule>
  </conditionalFormatting>
  <conditionalFormatting sqref="D8:D27">
    <cfRule type="cellIs" dxfId="1258" priority="1458" operator="greaterThan">
      <formula>0</formula>
    </cfRule>
  </conditionalFormatting>
  <conditionalFormatting sqref="F8:F27 H8:H27 J8:J27 L8:L27 N8:N27 P8:P27 R8:R27 T8:T27 V8:V27 X8:X27">
    <cfRule type="cellIs" dxfId="1257" priority="1457" operator="greaterThan">
      <formula>0</formula>
    </cfRule>
  </conditionalFormatting>
  <conditionalFormatting sqref="Z8:Z27 AB8:AB27 AD8:AD27 AF8:AF27 AH8:AH27 AJ8:AJ27 AL8:AL27 AN8:AN27 AP8:AP27 AR8:AR27 AT8:AT27 AV8:AV27 AX8:AX27 AZ8:AZ27 BB8:BB27">
    <cfRule type="cellIs" dxfId="1256" priority="1456" operator="greaterThan">
      <formula>0</formula>
    </cfRule>
  </conditionalFormatting>
  <conditionalFormatting sqref="BD8:BD27 BF8:BF27 BH8:BH27 BL8:BL27 BJ8:BJ27">
    <cfRule type="cellIs" dxfId="1255" priority="1455" operator="greaterThan">
      <formula>0</formula>
    </cfRule>
  </conditionalFormatting>
  <conditionalFormatting sqref="S25:S27">
    <cfRule type="cellIs" dxfId="1254" priority="669" operator="equal">
      <formula>0</formula>
    </cfRule>
  </conditionalFormatting>
  <conditionalFormatting sqref="S25:S27">
    <cfRule type="cellIs" dxfId="1253" priority="668" operator="lessThan">
      <formula>0</formula>
    </cfRule>
  </conditionalFormatting>
  <conditionalFormatting sqref="S25:S27">
    <cfRule type="cellIs" dxfId="1252" priority="666" operator="equal">
      <formula>1</formula>
    </cfRule>
    <cfRule type="cellIs" dxfId="1251" priority="667" operator="lessThan">
      <formula>1</formula>
    </cfRule>
  </conditionalFormatting>
  <conditionalFormatting sqref="S25:S27">
    <cfRule type="cellIs" dxfId="1250" priority="665" operator="equal">
      <formula>1</formula>
    </cfRule>
  </conditionalFormatting>
  <conditionalFormatting sqref="E25:E27">
    <cfRule type="cellIs" dxfId="1249" priority="554" operator="equal">
      <formula>0</formula>
    </cfRule>
  </conditionalFormatting>
  <conditionalFormatting sqref="E25:E27">
    <cfRule type="cellIs" dxfId="1248" priority="553" operator="lessThan">
      <formula>0</formula>
    </cfRule>
  </conditionalFormatting>
  <conditionalFormatting sqref="E25:E27">
    <cfRule type="cellIs" dxfId="1247" priority="551" operator="equal">
      <formula>1</formula>
    </cfRule>
    <cfRule type="cellIs" dxfId="1246" priority="552" operator="lessThan">
      <formula>1</formula>
    </cfRule>
  </conditionalFormatting>
  <conditionalFormatting sqref="E25:E27">
    <cfRule type="cellIs" dxfId="1245" priority="550" operator="equal">
      <formula>1</formula>
    </cfRule>
  </conditionalFormatting>
  <conditionalFormatting sqref="G25:G27">
    <cfRule type="cellIs" dxfId="1244" priority="549" operator="equal">
      <formula>0</formula>
    </cfRule>
  </conditionalFormatting>
  <conditionalFormatting sqref="G25:G27">
    <cfRule type="cellIs" dxfId="1243" priority="548" operator="lessThan">
      <formula>0</formula>
    </cfRule>
  </conditionalFormatting>
  <conditionalFormatting sqref="G25:G27">
    <cfRule type="cellIs" dxfId="1242" priority="546" operator="equal">
      <formula>1</formula>
    </cfRule>
    <cfRule type="cellIs" dxfId="1241" priority="547" operator="lessThan">
      <formula>1</formula>
    </cfRule>
  </conditionalFormatting>
  <conditionalFormatting sqref="G25:G27">
    <cfRule type="cellIs" dxfId="1240" priority="545" operator="equal">
      <formula>1</formula>
    </cfRule>
  </conditionalFormatting>
  <conditionalFormatting sqref="I25:I27">
    <cfRule type="cellIs" dxfId="1239" priority="544" operator="equal">
      <formula>0</formula>
    </cfRule>
  </conditionalFormatting>
  <conditionalFormatting sqref="I25:I27">
    <cfRule type="cellIs" dxfId="1238" priority="543" operator="lessThan">
      <formula>0</formula>
    </cfRule>
  </conditionalFormatting>
  <conditionalFormatting sqref="I25:I27">
    <cfRule type="cellIs" dxfId="1237" priority="541" operator="equal">
      <formula>1</formula>
    </cfRule>
    <cfRule type="cellIs" dxfId="1236" priority="542" operator="lessThan">
      <formula>1</formula>
    </cfRule>
  </conditionalFormatting>
  <conditionalFormatting sqref="I25:I27">
    <cfRule type="cellIs" dxfId="1235" priority="540" operator="equal">
      <formula>1</formula>
    </cfRule>
  </conditionalFormatting>
  <conditionalFormatting sqref="K25:K27">
    <cfRule type="cellIs" dxfId="1234" priority="539" operator="equal">
      <formula>0</formula>
    </cfRule>
  </conditionalFormatting>
  <conditionalFormatting sqref="K25:K27">
    <cfRule type="cellIs" dxfId="1233" priority="538" operator="lessThan">
      <formula>0</formula>
    </cfRule>
  </conditionalFormatting>
  <conditionalFormatting sqref="K25:K27">
    <cfRule type="cellIs" dxfId="1232" priority="536" operator="equal">
      <formula>1</formula>
    </cfRule>
    <cfRule type="cellIs" dxfId="1231" priority="537" operator="lessThan">
      <formula>1</formula>
    </cfRule>
  </conditionalFormatting>
  <conditionalFormatting sqref="K25:K27">
    <cfRule type="cellIs" dxfId="1230" priority="535" operator="equal">
      <formula>1</formula>
    </cfRule>
  </conditionalFormatting>
  <conditionalFormatting sqref="M25:M27">
    <cfRule type="cellIs" dxfId="1229" priority="534" operator="equal">
      <formula>0</formula>
    </cfRule>
  </conditionalFormatting>
  <conditionalFormatting sqref="M25:M27">
    <cfRule type="cellIs" dxfId="1228" priority="533" operator="lessThan">
      <formula>0</formula>
    </cfRule>
  </conditionalFormatting>
  <conditionalFormatting sqref="M25:M27">
    <cfRule type="cellIs" dxfId="1227" priority="531" operator="equal">
      <formula>1</formula>
    </cfRule>
    <cfRule type="cellIs" dxfId="1226" priority="532" operator="lessThan">
      <formula>1</formula>
    </cfRule>
  </conditionalFormatting>
  <conditionalFormatting sqref="M25:M27">
    <cfRule type="cellIs" dxfId="1225" priority="530" operator="equal">
      <formula>1</formula>
    </cfRule>
  </conditionalFormatting>
  <conditionalFormatting sqref="O25:O27">
    <cfRule type="cellIs" dxfId="1224" priority="529" operator="equal">
      <formula>0</formula>
    </cfRule>
  </conditionalFormatting>
  <conditionalFormatting sqref="O25:O27">
    <cfRule type="cellIs" dxfId="1223" priority="528" operator="lessThan">
      <formula>0</formula>
    </cfRule>
  </conditionalFormatting>
  <conditionalFormatting sqref="O25:O27">
    <cfRule type="cellIs" dxfId="1222" priority="526" operator="equal">
      <formula>1</formula>
    </cfRule>
    <cfRule type="cellIs" dxfId="1221" priority="527" operator="lessThan">
      <formula>1</formula>
    </cfRule>
  </conditionalFormatting>
  <conditionalFormatting sqref="O25:O27">
    <cfRule type="cellIs" dxfId="1220" priority="525" operator="equal">
      <formula>1</formula>
    </cfRule>
  </conditionalFormatting>
  <conditionalFormatting sqref="Q25:Q27">
    <cfRule type="cellIs" dxfId="1219" priority="524" operator="equal">
      <formula>0</formula>
    </cfRule>
  </conditionalFormatting>
  <conditionalFormatting sqref="Q25:Q27">
    <cfRule type="cellIs" dxfId="1218" priority="523" operator="lessThan">
      <formula>0</formula>
    </cfRule>
  </conditionalFormatting>
  <conditionalFormatting sqref="Q25:Q27">
    <cfRule type="cellIs" dxfId="1217" priority="521" operator="equal">
      <formula>1</formula>
    </cfRule>
    <cfRule type="cellIs" dxfId="1216" priority="522" operator="lessThan">
      <formula>1</formula>
    </cfRule>
  </conditionalFormatting>
  <conditionalFormatting sqref="Q25:Q27">
    <cfRule type="cellIs" dxfId="1215" priority="520" operator="equal">
      <formula>1</formula>
    </cfRule>
  </conditionalFormatting>
  <conditionalFormatting sqref="U25:U27">
    <cfRule type="cellIs" dxfId="1214" priority="519" operator="equal">
      <formula>0</formula>
    </cfRule>
  </conditionalFormatting>
  <conditionalFormatting sqref="U25:U27">
    <cfRule type="cellIs" dxfId="1213" priority="518" operator="lessThan">
      <formula>0</formula>
    </cfRule>
  </conditionalFormatting>
  <conditionalFormatting sqref="U25:U27">
    <cfRule type="cellIs" dxfId="1212" priority="516" operator="equal">
      <formula>1</formula>
    </cfRule>
    <cfRule type="cellIs" dxfId="1211" priority="517" operator="lessThan">
      <formula>1</formula>
    </cfRule>
  </conditionalFormatting>
  <conditionalFormatting sqref="U25:U27">
    <cfRule type="cellIs" dxfId="1210" priority="515" operator="equal">
      <formula>1</formula>
    </cfRule>
  </conditionalFormatting>
  <conditionalFormatting sqref="W25:W27">
    <cfRule type="cellIs" dxfId="1209" priority="514" operator="equal">
      <formula>0</formula>
    </cfRule>
  </conditionalFormatting>
  <conditionalFormatting sqref="W25:W27">
    <cfRule type="cellIs" dxfId="1208" priority="513" operator="lessThan">
      <formula>0</formula>
    </cfRule>
  </conditionalFormatting>
  <conditionalFormatting sqref="W25:W27">
    <cfRule type="cellIs" dxfId="1207" priority="511" operator="equal">
      <formula>1</formula>
    </cfRule>
    <cfRule type="cellIs" dxfId="1206" priority="512" operator="lessThan">
      <formula>1</formula>
    </cfRule>
  </conditionalFormatting>
  <conditionalFormatting sqref="W25:W27">
    <cfRule type="cellIs" dxfId="1205" priority="510" operator="equal">
      <formula>1</formula>
    </cfRule>
  </conditionalFormatting>
  <conditionalFormatting sqref="Y25:Y27">
    <cfRule type="cellIs" dxfId="1204" priority="509" operator="equal">
      <formula>0</formula>
    </cfRule>
  </conditionalFormatting>
  <conditionalFormatting sqref="Y25:Y27">
    <cfRule type="cellIs" dxfId="1203" priority="508" operator="lessThan">
      <formula>0</formula>
    </cfRule>
  </conditionalFormatting>
  <conditionalFormatting sqref="Y25:Y27">
    <cfRule type="cellIs" dxfId="1202" priority="506" operator="equal">
      <formula>1</formula>
    </cfRule>
    <cfRule type="cellIs" dxfId="1201" priority="507" operator="lessThan">
      <formula>1</formula>
    </cfRule>
  </conditionalFormatting>
  <conditionalFormatting sqref="Y25:Y27">
    <cfRule type="cellIs" dxfId="1200" priority="505" operator="equal">
      <formula>1</formula>
    </cfRule>
  </conditionalFormatting>
  <conditionalFormatting sqref="AA25:AA27">
    <cfRule type="cellIs" dxfId="1199" priority="504" operator="equal">
      <formula>0</formula>
    </cfRule>
  </conditionalFormatting>
  <conditionalFormatting sqref="AA25:AA27">
    <cfRule type="cellIs" dxfId="1198" priority="503" operator="lessThan">
      <formula>0</formula>
    </cfRule>
  </conditionalFormatting>
  <conditionalFormatting sqref="AA25:AA27">
    <cfRule type="cellIs" dxfId="1197" priority="501" operator="equal">
      <formula>1</formula>
    </cfRule>
    <cfRule type="cellIs" dxfId="1196" priority="502" operator="lessThan">
      <formula>1</formula>
    </cfRule>
  </conditionalFormatting>
  <conditionalFormatting sqref="AA25:AA27">
    <cfRule type="cellIs" dxfId="1195" priority="500" operator="equal">
      <formula>1</formula>
    </cfRule>
  </conditionalFormatting>
  <conditionalFormatting sqref="AC25:AC27">
    <cfRule type="cellIs" dxfId="1194" priority="499" operator="equal">
      <formula>0</formula>
    </cfRule>
  </conditionalFormatting>
  <conditionalFormatting sqref="AC25:AC27">
    <cfRule type="cellIs" dxfId="1193" priority="498" operator="lessThan">
      <formula>0</formula>
    </cfRule>
  </conditionalFormatting>
  <conditionalFormatting sqref="AC25:AC27">
    <cfRule type="cellIs" dxfId="1192" priority="496" operator="equal">
      <formula>1</formula>
    </cfRule>
    <cfRule type="cellIs" dxfId="1191" priority="497" operator="lessThan">
      <formula>1</formula>
    </cfRule>
  </conditionalFormatting>
  <conditionalFormatting sqref="AC25:AC27">
    <cfRule type="cellIs" dxfId="1190" priority="495" operator="equal">
      <formula>1</formula>
    </cfRule>
  </conditionalFormatting>
  <conditionalFormatting sqref="AE25:AE27">
    <cfRule type="cellIs" dxfId="1189" priority="494" operator="equal">
      <formula>0</formula>
    </cfRule>
  </conditionalFormatting>
  <conditionalFormatting sqref="AE25:AE27">
    <cfRule type="cellIs" dxfId="1188" priority="493" operator="lessThan">
      <formula>0</formula>
    </cfRule>
  </conditionalFormatting>
  <conditionalFormatting sqref="AE25:AE27">
    <cfRule type="cellIs" dxfId="1187" priority="491" operator="equal">
      <formula>1</formula>
    </cfRule>
    <cfRule type="cellIs" dxfId="1186" priority="492" operator="lessThan">
      <formula>1</formula>
    </cfRule>
  </conditionalFormatting>
  <conditionalFormatting sqref="AE25:AE27">
    <cfRule type="cellIs" dxfId="1185" priority="490" operator="equal">
      <formula>1</formula>
    </cfRule>
  </conditionalFormatting>
  <conditionalFormatting sqref="AG25:AG27">
    <cfRule type="cellIs" dxfId="1184" priority="489" operator="equal">
      <formula>0</formula>
    </cfRule>
  </conditionalFormatting>
  <conditionalFormatting sqref="AG25:AG27">
    <cfRule type="cellIs" dxfId="1183" priority="488" operator="lessThan">
      <formula>0</formula>
    </cfRule>
  </conditionalFormatting>
  <conditionalFormatting sqref="AG25:AG27">
    <cfRule type="cellIs" dxfId="1182" priority="486" operator="equal">
      <formula>1</formula>
    </cfRule>
    <cfRule type="cellIs" dxfId="1181" priority="487" operator="lessThan">
      <formula>1</formula>
    </cfRule>
  </conditionalFormatting>
  <conditionalFormatting sqref="AG25:AG27">
    <cfRule type="cellIs" dxfId="1180" priority="485" operator="equal">
      <formula>1</formula>
    </cfRule>
  </conditionalFormatting>
  <conditionalFormatting sqref="AI25:AI27">
    <cfRule type="cellIs" dxfId="1179" priority="484" operator="equal">
      <formula>0</formula>
    </cfRule>
  </conditionalFormatting>
  <conditionalFormatting sqref="AI25:AI27">
    <cfRule type="cellIs" dxfId="1178" priority="483" operator="lessThan">
      <formula>0</formula>
    </cfRule>
  </conditionalFormatting>
  <conditionalFormatting sqref="AI25:AI27">
    <cfRule type="cellIs" dxfId="1177" priority="481" operator="equal">
      <formula>1</formula>
    </cfRule>
    <cfRule type="cellIs" dxfId="1176" priority="482" operator="lessThan">
      <formula>1</formula>
    </cfRule>
  </conditionalFormatting>
  <conditionalFormatting sqref="AI25:AI27">
    <cfRule type="cellIs" dxfId="1175" priority="480" operator="equal">
      <formula>1</formula>
    </cfRule>
  </conditionalFormatting>
  <conditionalFormatting sqref="AK25:AK27">
    <cfRule type="cellIs" dxfId="1174" priority="479" operator="equal">
      <formula>0</formula>
    </cfRule>
  </conditionalFormatting>
  <conditionalFormatting sqref="AK25:AK27">
    <cfRule type="cellIs" dxfId="1173" priority="478" operator="lessThan">
      <formula>0</formula>
    </cfRule>
  </conditionalFormatting>
  <conditionalFormatting sqref="AK25:AK27">
    <cfRule type="cellIs" dxfId="1172" priority="476" operator="equal">
      <formula>1</formula>
    </cfRule>
    <cfRule type="cellIs" dxfId="1171" priority="477" operator="lessThan">
      <formula>1</formula>
    </cfRule>
  </conditionalFormatting>
  <conditionalFormatting sqref="AK25:AK27">
    <cfRule type="cellIs" dxfId="1170" priority="475" operator="equal">
      <formula>1</formula>
    </cfRule>
  </conditionalFormatting>
  <conditionalFormatting sqref="AM25:AM27">
    <cfRule type="cellIs" dxfId="1169" priority="474" operator="equal">
      <formula>0</formula>
    </cfRule>
  </conditionalFormatting>
  <conditionalFormatting sqref="AM25:AM27">
    <cfRule type="cellIs" dxfId="1168" priority="473" operator="lessThan">
      <formula>0</formula>
    </cfRule>
  </conditionalFormatting>
  <conditionalFormatting sqref="AM25:AM27">
    <cfRule type="cellIs" dxfId="1167" priority="471" operator="equal">
      <formula>1</formula>
    </cfRule>
    <cfRule type="cellIs" dxfId="1166" priority="472" operator="lessThan">
      <formula>1</formula>
    </cfRule>
  </conditionalFormatting>
  <conditionalFormatting sqref="AM25:AM27">
    <cfRule type="cellIs" dxfId="1165" priority="470" operator="equal">
      <formula>1</formula>
    </cfRule>
  </conditionalFormatting>
  <conditionalFormatting sqref="AO25:AO27">
    <cfRule type="cellIs" dxfId="1164" priority="469" operator="equal">
      <formula>0</formula>
    </cfRule>
  </conditionalFormatting>
  <conditionalFormatting sqref="AO25:AO27">
    <cfRule type="cellIs" dxfId="1163" priority="468" operator="lessThan">
      <formula>0</formula>
    </cfRule>
  </conditionalFormatting>
  <conditionalFormatting sqref="AO25:AO27">
    <cfRule type="cellIs" dxfId="1162" priority="466" operator="equal">
      <formula>1</formula>
    </cfRule>
    <cfRule type="cellIs" dxfId="1161" priority="467" operator="lessThan">
      <formula>1</formula>
    </cfRule>
  </conditionalFormatting>
  <conditionalFormatting sqref="AO25:AO27">
    <cfRule type="cellIs" dxfId="1160" priority="465" operator="equal">
      <formula>1</formula>
    </cfRule>
  </conditionalFormatting>
  <conditionalFormatting sqref="AQ25:AQ27">
    <cfRule type="cellIs" dxfId="1159" priority="464" operator="equal">
      <formula>0</formula>
    </cfRule>
  </conditionalFormatting>
  <conditionalFormatting sqref="AQ25:AQ27">
    <cfRule type="cellIs" dxfId="1158" priority="463" operator="lessThan">
      <formula>0</formula>
    </cfRule>
  </conditionalFormatting>
  <conditionalFormatting sqref="AQ25:AQ27">
    <cfRule type="cellIs" dxfId="1157" priority="461" operator="equal">
      <formula>1</formula>
    </cfRule>
    <cfRule type="cellIs" dxfId="1156" priority="462" operator="lessThan">
      <formula>1</formula>
    </cfRule>
  </conditionalFormatting>
  <conditionalFormatting sqref="AQ25:AQ27">
    <cfRule type="cellIs" dxfId="1155" priority="460" operator="equal">
      <formula>1</formula>
    </cfRule>
  </conditionalFormatting>
  <conditionalFormatting sqref="AS25:AS27">
    <cfRule type="cellIs" dxfId="1154" priority="459" operator="equal">
      <formula>0</formula>
    </cfRule>
  </conditionalFormatting>
  <conditionalFormatting sqref="AS25:AS27">
    <cfRule type="cellIs" dxfId="1153" priority="458" operator="lessThan">
      <formula>0</formula>
    </cfRule>
  </conditionalFormatting>
  <conditionalFormatting sqref="AS25:AS27">
    <cfRule type="cellIs" dxfId="1152" priority="456" operator="equal">
      <formula>1</formula>
    </cfRule>
    <cfRule type="cellIs" dxfId="1151" priority="457" operator="lessThan">
      <formula>1</formula>
    </cfRule>
  </conditionalFormatting>
  <conditionalFormatting sqref="AS25:AS27">
    <cfRule type="cellIs" dxfId="1150" priority="455" operator="equal">
      <formula>1</formula>
    </cfRule>
  </conditionalFormatting>
  <conditionalFormatting sqref="AU25:AU27">
    <cfRule type="cellIs" dxfId="1149" priority="454" operator="equal">
      <formula>0</formula>
    </cfRule>
  </conditionalFormatting>
  <conditionalFormatting sqref="AU25:AU27">
    <cfRule type="cellIs" dxfId="1148" priority="453" operator="lessThan">
      <formula>0</formula>
    </cfRule>
  </conditionalFormatting>
  <conditionalFormatting sqref="AU25:AU27">
    <cfRule type="cellIs" dxfId="1147" priority="451" operator="equal">
      <formula>1</formula>
    </cfRule>
    <cfRule type="cellIs" dxfId="1146" priority="452" operator="lessThan">
      <formula>1</formula>
    </cfRule>
  </conditionalFormatting>
  <conditionalFormatting sqref="AU25:AU27">
    <cfRule type="cellIs" dxfId="1145" priority="450" operator="equal">
      <formula>1</formula>
    </cfRule>
  </conditionalFormatting>
  <conditionalFormatting sqref="AW25:AW27">
    <cfRule type="cellIs" dxfId="1144" priority="449" operator="equal">
      <formula>0</formula>
    </cfRule>
  </conditionalFormatting>
  <conditionalFormatting sqref="AW25:AW27">
    <cfRule type="cellIs" dxfId="1143" priority="448" operator="lessThan">
      <formula>0</formula>
    </cfRule>
  </conditionalFormatting>
  <conditionalFormatting sqref="AW25:AW27">
    <cfRule type="cellIs" dxfId="1142" priority="446" operator="equal">
      <formula>1</formula>
    </cfRule>
    <cfRule type="cellIs" dxfId="1141" priority="447" operator="lessThan">
      <formula>1</formula>
    </cfRule>
  </conditionalFormatting>
  <conditionalFormatting sqref="AW25:AW27">
    <cfRule type="cellIs" dxfId="1140" priority="445" operator="equal">
      <formula>1</formula>
    </cfRule>
  </conditionalFormatting>
  <conditionalFormatting sqref="AY25:AY27">
    <cfRule type="cellIs" dxfId="1139" priority="444" operator="equal">
      <formula>0</formula>
    </cfRule>
  </conditionalFormatting>
  <conditionalFormatting sqref="AY25:AY27">
    <cfRule type="cellIs" dxfId="1138" priority="443" operator="lessThan">
      <formula>0</formula>
    </cfRule>
  </conditionalFormatting>
  <conditionalFormatting sqref="AY25:AY27">
    <cfRule type="cellIs" dxfId="1137" priority="441" operator="equal">
      <formula>1</formula>
    </cfRule>
    <cfRule type="cellIs" dxfId="1136" priority="442" operator="lessThan">
      <formula>1</formula>
    </cfRule>
  </conditionalFormatting>
  <conditionalFormatting sqref="AY25:AY27">
    <cfRule type="cellIs" dxfId="1135" priority="440" operator="equal">
      <formula>1</formula>
    </cfRule>
  </conditionalFormatting>
  <conditionalFormatting sqref="BA25:BA27">
    <cfRule type="cellIs" dxfId="1134" priority="439" operator="equal">
      <formula>0</formula>
    </cfRule>
  </conditionalFormatting>
  <conditionalFormatting sqref="BA25:BA27">
    <cfRule type="cellIs" dxfId="1133" priority="438" operator="lessThan">
      <formula>0</formula>
    </cfRule>
  </conditionalFormatting>
  <conditionalFormatting sqref="BA25:BA27">
    <cfRule type="cellIs" dxfId="1132" priority="436" operator="equal">
      <formula>1</formula>
    </cfRule>
    <cfRule type="cellIs" dxfId="1131" priority="437" operator="lessThan">
      <formula>1</formula>
    </cfRule>
  </conditionalFormatting>
  <conditionalFormatting sqref="BA25:BA27">
    <cfRule type="cellIs" dxfId="1130" priority="435" operator="equal">
      <formula>1</formula>
    </cfRule>
  </conditionalFormatting>
  <conditionalFormatting sqref="BC25:BC27">
    <cfRule type="cellIs" dxfId="1129" priority="434" operator="equal">
      <formula>0</formula>
    </cfRule>
  </conditionalFormatting>
  <conditionalFormatting sqref="BC25:BC27">
    <cfRule type="cellIs" dxfId="1128" priority="433" operator="lessThan">
      <formula>0</formula>
    </cfRule>
  </conditionalFormatting>
  <conditionalFormatting sqref="BC25:BC27">
    <cfRule type="cellIs" dxfId="1127" priority="431" operator="equal">
      <formula>1</formula>
    </cfRule>
    <cfRule type="cellIs" dxfId="1126" priority="432" operator="lessThan">
      <formula>1</formula>
    </cfRule>
  </conditionalFormatting>
  <conditionalFormatting sqref="BC25:BC27">
    <cfRule type="cellIs" dxfId="1125" priority="430" operator="equal">
      <formula>1</formula>
    </cfRule>
  </conditionalFormatting>
  <conditionalFormatting sqref="BE25:BE27">
    <cfRule type="cellIs" dxfId="1124" priority="429" operator="equal">
      <formula>0</formula>
    </cfRule>
  </conditionalFormatting>
  <conditionalFormatting sqref="BE25:BE27">
    <cfRule type="cellIs" dxfId="1123" priority="428" operator="lessThan">
      <formula>0</formula>
    </cfRule>
  </conditionalFormatting>
  <conditionalFormatting sqref="BE25:BE27">
    <cfRule type="cellIs" dxfId="1122" priority="426" operator="equal">
      <formula>1</formula>
    </cfRule>
    <cfRule type="cellIs" dxfId="1121" priority="427" operator="lessThan">
      <formula>1</formula>
    </cfRule>
  </conditionalFormatting>
  <conditionalFormatting sqref="BE25:BE27">
    <cfRule type="cellIs" dxfId="1120" priority="425" operator="equal">
      <formula>1</formula>
    </cfRule>
  </conditionalFormatting>
  <conditionalFormatting sqref="BG25:BG27">
    <cfRule type="cellIs" dxfId="1119" priority="424" operator="equal">
      <formula>0</formula>
    </cfRule>
  </conditionalFormatting>
  <conditionalFormatting sqref="BG25:BG27">
    <cfRule type="cellIs" dxfId="1118" priority="423" operator="lessThan">
      <formula>0</formula>
    </cfRule>
  </conditionalFormatting>
  <conditionalFormatting sqref="BG25:BG27">
    <cfRule type="cellIs" dxfId="1117" priority="421" operator="equal">
      <formula>1</formula>
    </cfRule>
    <cfRule type="cellIs" dxfId="1116" priority="422" operator="lessThan">
      <formula>1</formula>
    </cfRule>
  </conditionalFormatting>
  <conditionalFormatting sqref="BG25:BG27">
    <cfRule type="cellIs" dxfId="1115" priority="420" operator="equal">
      <formula>1</formula>
    </cfRule>
  </conditionalFormatting>
  <conditionalFormatting sqref="BI25:BI27">
    <cfRule type="cellIs" dxfId="1114" priority="419" operator="equal">
      <formula>0</formula>
    </cfRule>
  </conditionalFormatting>
  <conditionalFormatting sqref="BI25:BI27">
    <cfRule type="cellIs" dxfId="1113" priority="418" operator="lessThan">
      <formula>0</formula>
    </cfRule>
  </conditionalFormatting>
  <conditionalFormatting sqref="BI25:BI27">
    <cfRule type="cellIs" dxfId="1112" priority="416" operator="equal">
      <formula>1</formula>
    </cfRule>
    <cfRule type="cellIs" dxfId="1111" priority="417" operator="lessThan">
      <formula>1</formula>
    </cfRule>
  </conditionalFormatting>
  <conditionalFormatting sqref="BI25:BI27">
    <cfRule type="cellIs" dxfId="1110" priority="415" operator="equal">
      <formula>1</formula>
    </cfRule>
  </conditionalFormatting>
  <conditionalFormatting sqref="BK27">
    <cfRule type="cellIs" dxfId="1109" priority="414" operator="equal">
      <formula>0</formula>
    </cfRule>
  </conditionalFormatting>
  <conditionalFormatting sqref="BK27">
    <cfRule type="cellIs" dxfId="1108" priority="413" operator="lessThan">
      <formula>0</formula>
    </cfRule>
  </conditionalFormatting>
  <conditionalFormatting sqref="BK27">
    <cfRule type="cellIs" dxfId="1107" priority="411" operator="equal">
      <formula>1</formula>
    </cfRule>
    <cfRule type="cellIs" dxfId="1106" priority="412" operator="lessThan">
      <formula>1</formula>
    </cfRule>
  </conditionalFormatting>
  <conditionalFormatting sqref="BK27">
    <cfRule type="cellIs" dxfId="1105" priority="410" operator="equal">
      <formula>1</formula>
    </cfRule>
  </conditionalFormatting>
  <conditionalFormatting sqref="E8:E24">
    <cfRule type="cellIs" dxfId="1104" priority="284" operator="equal">
      <formula>0</formula>
    </cfRule>
  </conditionalFormatting>
  <conditionalFormatting sqref="E8:E24">
    <cfRule type="cellIs" dxfId="1103" priority="283" operator="lessThan">
      <formula>0</formula>
    </cfRule>
  </conditionalFormatting>
  <conditionalFormatting sqref="E8:E24">
    <cfRule type="cellIs" dxfId="1102" priority="281" operator="equal">
      <formula>1</formula>
    </cfRule>
    <cfRule type="cellIs" dxfId="1101" priority="282" operator="lessThan">
      <formula>1</formula>
    </cfRule>
  </conditionalFormatting>
  <conditionalFormatting sqref="E8:E24">
    <cfRule type="cellIs" dxfId="1100" priority="280" operator="equal">
      <formula>1</formula>
    </cfRule>
  </conditionalFormatting>
  <conditionalFormatting sqref="G8:G24">
    <cfRule type="cellIs" dxfId="1099" priority="279" operator="equal">
      <formula>0</formula>
    </cfRule>
  </conditionalFormatting>
  <conditionalFormatting sqref="G8:G24">
    <cfRule type="cellIs" dxfId="1098" priority="278" operator="lessThan">
      <formula>0</formula>
    </cfRule>
  </conditionalFormatting>
  <conditionalFormatting sqref="G8:G24">
    <cfRule type="cellIs" dxfId="1097" priority="276" operator="equal">
      <formula>1</formula>
    </cfRule>
    <cfRule type="cellIs" dxfId="1096" priority="277" operator="lessThan">
      <formula>1</formula>
    </cfRule>
  </conditionalFormatting>
  <conditionalFormatting sqref="G8:G24">
    <cfRule type="cellIs" dxfId="1095" priority="275" operator="equal">
      <formula>1</formula>
    </cfRule>
  </conditionalFormatting>
  <conditionalFormatting sqref="I8:I24">
    <cfRule type="cellIs" dxfId="1094" priority="274" operator="equal">
      <formula>0</formula>
    </cfRule>
  </conditionalFormatting>
  <conditionalFormatting sqref="I8:I24">
    <cfRule type="cellIs" dxfId="1093" priority="273" operator="lessThan">
      <formula>0</formula>
    </cfRule>
  </conditionalFormatting>
  <conditionalFormatting sqref="I8:I24">
    <cfRule type="cellIs" dxfId="1092" priority="271" operator="equal">
      <formula>1</formula>
    </cfRule>
    <cfRule type="cellIs" dxfId="1091" priority="272" operator="lessThan">
      <formula>1</formula>
    </cfRule>
  </conditionalFormatting>
  <conditionalFormatting sqref="I8:I24">
    <cfRule type="cellIs" dxfId="1090" priority="270" operator="equal">
      <formula>1</formula>
    </cfRule>
  </conditionalFormatting>
  <conditionalFormatting sqref="K8:K24">
    <cfRule type="cellIs" dxfId="1089" priority="269" operator="equal">
      <formula>0</formula>
    </cfRule>
  </conditionalFormatting>
  <conditionalFormatting sqref="K8:K24">
    <cfRule type="cellIs" dxfId="1088" priority="268" operator="lessThan">
      <formula>0</formula>
    </cfRule>
  </conditionalFormatting>
  <conditionalFormatting sqref="K8:K24">
    <cfRule type="cellIs" dxfId="1087" priority="266" operator="equal">
      <formula>1</formula>
    </cfRule>
    <cfRule type="cellIs" dxfId="1086" priority="267" operator="lessThan">
      <formula>1</formula>
    </cfRule>
  </conditionalFormatting>
  <conditionalFormatting sqref="K8:K24">
    <cfRule type="cellIs" dxfId="1085" priority="265" operator="equal">
      <formula>1</formula>
    </cfRule>
  </conditionalFormatting>
  <conditionalFormatting sqref="M8:M24">
    <cfRule type="cellIs" dxfId="1084" priority="264" operator="equal">
      <formula>0</formula>
    </cfRule>
  </conditionalFormatting>
  <conditionalFormatting sqref="M8:M24">
    <cfRule type="cellIs" dxfId="1083" priority="263" operator="lessThan">
      <formula>0</formula>
    </cfRule>
  </conditionalFormatting>
  <conditionalFormatting sqref="M8:M24">
    <cfRule type="cellIs" dxfId="1082" priority="261" operator="equal">
      <formula>1</formula>
    </cfRule>
    <cfRule type="cellIs" dxfId="1081" priority="262" operator="lessThan">
      <formula>1</formula>
    </cfRule>
  </conditionalFormatting>
  <conditionalFormatting sqref="M8:M24">
    <cfRule type="cellIs" dxfId="1080" priority="260" operator="equal">
      <formula>1</formula>
    </cfRule>
  </conditionalFormatting>
  <conditionalFormatting sqref="O8:O24">
    <cfRule type="cellIs" dxfId="1079" priority="259" operator="equal">
      <formula>0</formula>
    </cfRule>
  </conditionalFormatting>
  <conditionalFormatting sqref="O8:O24">
    <cfRule type="cellIs" dxfId="1078" priority="258" operator="lessThan">
      <formula>0</formula>
    </cfRule>
  </conditionalFormatting>
  <conditionalFormatting sqref="O8:O24">
    <cfRule type="cellIs" dxfId="1077" priority="256" operator="equal">
      <formula>1</formula>
    </cfRule>
    <cfRule type="cellIs" dxfId="1076" priority="257" operator="lessThan">
      <formula>1</formula>
    </cfRule>
  </conditionalFormatting>
  <conditionalFormatting sqref="O8:O24">
    <cfRule type="cellIs" dxfId="1075" priority="255" operator="equal">
      <formula>1</formula>
    </cfRule>
  </conditionalFormatting>
  <conditionalFormatting sqref="Q8:Q24">
    <cfRule type="cellIs" dxfId="1074" priority="254" operator="equal">
      <formula>0</formula>
    </cfRule>
  </conditionalFormatting>
  <conditionalFormatting sqref="Q8:Q24">
    <cfRule type="cellIs" dxfId="1073" priority="253" operator="lessThan">
      <formula>0</formula>
    </cfRule>
  </conditionalFormatting>
  <conditionalFormatting sqref="Q8:Q24">
    <cfRule type="cellIs" dxfId="1072" priority="251" operator="equal">
      <formula>1</formula>
    </cfRule>
    <cfRule type="cellIs" dxfId="1071" priority="252" operator="lessThan">
      <formula>1</formula>
    </cfRule>
  </conditionalFormatting>
  <conditionalFormatting sqref="Q8:Q24">
    <cfRule type="cellIs" dxfId="1070" priority="250" operator="equal">
      <formula>1</formula>
    </cfRule>
  </conditionalFormatting>
  <conditionalFormatting sqref="S8:S24">
    <cfRule type="cellIs" dxfId="1069" priority="249" operator="equal">
      <formula>0</formula>
    </cfRule>
  </conditionalFormatting>
  <conditionalFormatting sqref="S8:S24">
    <cfRule type="cellIs" dxfId="1068" priority="248" operator="lessThan">
      <formula>0</formula>
    </cfRule>
  </conditionalFormatting>
  <conditionalFormatting sqref="S8:S24">
    <cfRule type="cellIs" dxfId="1067" priority="246" operator="equal">
      <formula>1</formula>
    </cfRule>
    <cfRule type="cellIs" dxfId="1066" priority="247" operator="lessThan">
      <formula>1</formula>
    </cfRule>
  </conditionalFormatting>
  <conditionalFormatting sqref="S8:S24">
    <cfRule type="cellIs" dxfId="1065" priority="245" operator="equal">
      <formula>1</formula>
    </cfRule>
  </conditionalFormatting>
  <conditionalFormatting sqref="U8:U24">
    <cfRule type="cellIs" dxfId="1064" priority="244" operator="equal">
      <formula>0</formula>
    </cfRule>
  </conditionalFormatting>
  <conditionalFormatting sqref="U8:U24">
    <cfRule type="cellIs" dxfId="1063" priority="243" operator="lessThan">
      <formula>0</formula>
    </cfRule>
  </conditionalFormatting>
  <conditionalFormatting sqref="U8:U24">
    <cfRule type="cellIs" dxfId="1062" priority="241" operator="equal">
      <formula>1</formula>
    </cfRule>
    <cfRule type="cellIs" dxfId="1061" priority="242" operator="lessThan">
      <formula>1</formula>
    </cfRule>
  </conditionalFormatting>
  <conditionalFormatting sqref="U8:U24">
    <cfRule type="cellIs" dxfId="1060" priority="240" operator="equal">
      <formula>1</formula>
    </cfRule>
  </conditionalFormatting>
  <conditionalFormatting sqref="W8:W24">
    <cfRule type="cellIs" dxfId="1059" priority="239" operator="equal">
      <formula>0</formula>
    </cfRule>
  </conditionalFormatting>
  <conditionalFormatting sqref="W8:W24">
    <cfRule type="cellIs" dxfId="1058" priority="238" operator="lessThan">
      <formula>0</formula>
    </cfRule>
  </conditionalFormatting>
  <conditionalFormatting sqref="W8:W24">
    <cfRule type="cellIs" dxfId="1057" priority="236" operator="equal">
      <formula>1</formula>
    </cfRule>
    <cfRule type="cellIs" dxfId="1056" priority="237" operator="lessThan">
      <formula>1</formula>
    </cfRule>
  </conditionalFormatting>
  <conditionalFormatting sqref="W8:W24">
    <cfRule type="cellIs" dxfId="1055" priority="235" operator="equal">
      <formula>1</formula>
    </cfRule>
  </conditionalFormatting>
  <conditionalFormatting sqref="Y8:Y24">
    <cfRule type="cellIs" dxfId="1054" priority="234" operator="equal">
      <formula>0</formula>
    </cfRule>
  </conditionalFormatting>
  <conditionalFormatting sqref="Y8:Y24">
    <cfRule type="cellIs" dxfId="1053" priority="233" operator="lessThan">
      <formula>0</formula>
    </cfRule>
  </conditionalFormatting>
  <conditionalFormatting sqref="Y8:Y24">
    <cfRule type="cellIs" dxfId="1052" priority="231" operator="equal">
      <formula>1</formula>
    </cfRule>
    <cfRule type="cellIs" dxfId="1051" priority="232" operator="lessThan">
      <formula>1</formula>
    </cfRule>
  </conditionalFormatting>
  <conditionalFormatting sqref="Y8:Y24">
    <cfRule type="cellIs" dxfId="1050" priority="230" operator="equal">
      <formula>1</formula>
    </cfRule>
  </conditionalFormatting>
  <conditionalFormatting sqref="AA8:AA24">
    <cfRule type="cellIs" dxfId="1049" priority="229" operator="equal">
      <formula>0</formula>
    </cfRule>
  </conditionalFormatting>
  <conditionalFormatting sqref="AA8:AA24">
    <cfRule type="cellIs" dxfId="1048" priority="228" operator="lessThan">
      <formula>0</formula>
    </cfRule>
  </conditionalFormatting>
  <conditionalFormatting sqref="AA8:AA24">
    <cfRule type="cellIs" dxfId="1047" priority="226" operator="equal">
      <formula>1</formula>
    </cfRule>
    <cfRule type="cellIs" dxfId="1046" priority="227" operator="lessThan">
      <formula>1</formula>
    </cfRule>
  </conditionalFormatting>
  <conditionalFormatting sqref="AA8:AA24">
    <cfRule type="cellIs" dxfId="1045" priority="225" operator="equal">
      <formula>1</formula>
    </cfRule>
  </conditionalFormatting>
  <conditionalFormatting sqref="AC8:AC24">
    <cfRule type="cellIs" dxfId="1044" priority="224" operator="equal">
      <formula>0</formula>
    </cfRule>
  </conditionalFormatting>
  <conditionalFormatting sqref="AC8:AC24">
    <cfRule type="cellIs" dxfId="1043" priority="223" operator="lessThan">
      <formula>0</formula>
    </cfRule>
  </conditionalFormatting>
  <conditionalFormatting sqref="AC8:AC24">
    <cfRule type="cellIs" dxfId="1042" priority="221" operator="equal">
      <formula>1</formula>
    </cfRule>
    <cfRule type="cellIs" dxfId="1041" priority="222" operator="lessThan">
      <formula>1</formula>
    </cfRule>
  </conditionalFormatting>
  <conditionalFormatting sqref="AC8:AC24">
    <cfRule type="cellIs" dxfId="1040" priority="220" operator="equal">
      <formula>1</formula>
    </cfRule>
  </conditionalFormatting>
  <conditionalFormatting sqref="AE8:AE24">
    <cfRule type="cellIs" dxfId="1039" priority="219" operator="equal">
      <formula>0</formula>
    </cfRule>
  </conditionalFormatting>
  <conditionalFormatting sqref="AE8:AE24">
    <cfRule type="cellIs" dxfId="1038" priority="218" operator="lessThan">
      <formula>0</formula>
    </cfRule>
  </conditionalFormatting>
  <conditionalFormatting sqref="AE8:AE24">
    <cfRule type="cellIs" dxfId="1037" priority="216" operator="equal">
      <formula>1</formula>
    </cfRule>
    <cfRule type="cellIs" dxfId="1036" priority="217" operator="lessThan">
      <formula>1</formula>
    </cfRule>
  </conditionalFormatting>
  <conditionalFormatting sqref="AE8:AE24">
    <cfRule type="cellIs" dxfId="1035" priority="215" operator="equal">
      <formula>1</formula>
    </cfRule>
  </conditionalFormatting>
  <conditionalFormatting sqref="AG8:AG24">
    <cfRule type="cellIs" dxfId="1034" priority="214" operator="equal">
      <formula>0</formula>
    </cfRule>
  </conditionalFormatting>
  <conditionalFormatting sqref="AG8:AG24">
    <cfRule type="cellIs" dxfId="1033" priority="213" operator="lessThan">
      <formula>0</formula>
    </cfRule>
  </conditionalFormatting>
  <conditionalFormatting sqref="AG8:AG24">
    <cfRule type="cellIs" dxfId="1032" priority="211" operator="equal">
      <formula>1</formula>
    </cfRule>
    <cfRule type="cellIs" dxfId="1031" priority="212" operator="lessThan">
      <formula>1</formula>
    </cfRule>
  </conditionalFormatting>
  <conditionalFormatting sqref="AG8:AG24">
    <cfRule type="cellIs" dxfId="1030" priority="210" operator="equal">
      <formula>1</formula>
    </cfRule>
  </conditionalFormatting>
  <conditionalFormatting sqref="AI8:AI24">
    <cfRule type="cellIs" dxfId="1029" priority="209" operator="equal">
      <formula>0</formula>
    </cfRule>
  </conditionalFormatting>
  <conditionalFormatting sqref="AI8:AI24">
    <cfRule type="cellIs" dxfId="1028" priority="208" operator="lessThan">
      <formula>0</formula>
    </cfRule>
  </conditionalFormatting>
  <conditionalFormatting sqref="AI8:AI24">
    <cfRule type="cellIs" dxfId="1027" priority="206" operator="equal">
      <formula>1</formula>
    </cfRule>
    <cfRule type="cellIs" dxfId="1026" priority="207" operator="lessThan">
      <formula>1</formula>
    </cfRule>
  </conditionalFormatting>
  <conditionalFormatting sqref="AI8:AI24">
    <cfRule type="cellIs" dxfId="1025" priority="205" operator="equal">
      <formula>1</formula>
    </cfRule>
  </conditionalFormatting>
  <conditionalFormatting sqref="AK8:AK24">
    <cfRule type="cellIs" dxfId="1024" priority="204" operator="equal">
      <formula>0</formula>
    </cfRule>
  </conditionalFormatting>
  <conditionalFormatting sqref="AK8:AK24">
    <cfRule type="cellIs" dxfId="1023" priority="203" operator="lessThan">
      <formula>0</formula>
    </cfRule>
  </conditionalFormatting>
  <conditionalFormatting sqref="AK8:AK24">
    <cfRule type="cellIs" dxfId="1022" priority="201" operator="equal">
      <formula>1</formula>
    </cfRule>
    <cfRule type="cellIs" dxfId="1021" priority="202" operator="lessThan">
      <formula>1</formula>
    </cfRule>
  </conditionalFormatting>
  <conditionalFormatting sqref="AK8:AK24">
    <cfRule type="cellIs" dxfId="1020" priority="200" operator="equal">
      <formula>1</formula>
    </cfRule>
  </conditionalFormatting>
  <conditionalFormatting sqref="AM8:AM24">
    <cfRule type="cellIs" dxfId="1019" priority="199" operator="equal">
      <formula>0</formula>
    </cfRule>
  </conditionalFormatting>
  <conditionalFormatting sqref="AM8:AM24">
    <cfRule type="cellIs" dxfId="1018" priority="198" operator="lessThan">
      <formula>0</formula>
    </cfRule>
  </conditionalFormatting>
  <conditionalFormatting sqref="AM8:AM24">
    <cfRule type="cellIs" dxfId="1017" priority="196" operator="equal">
      <formula>1</formula>
    </cfRule>
    <cfRule type="cellIs" dxfId="1016" priority="197" operator="lessThan">
      <formula>1</formula>
    </cfRule>
  </conditionalFormatting>
  <conditionalFormatting sqref="AM8:AM24">
    <cfRule type="cellIs" dxfId="1015" priority="195" operator="equal">
      <formula>1</formula>
    </cfRule>
  </conditionalFormatting>
  <conditionalFormatting sqref="AO8:AO24">
    <cfRule type="cellIs" dxfId="1014" priority="194" operator="equal">
      <formula>0</formula>
    </cfRule>
  </conditionalFormatting>
  <conditionalFormatting sqref="AO8:AO24">
    <cfRule type="cellIs" dxfId="1013" priority="193" operator="lessThan">
      <formula>0</formula>
    </cfRule>
  </conditionalFormatting>
  <conditionalFormatting sqref="AO8:AO24">
    <cfRule type="cellIs" dxfId="1012" priority="191" operator="equal">
      <formula>1</formula>
    </cfRule>
    <cfRule type="cellIs" dxfId="1011" priority="192" operator="lessThan">
      <formula>1</formula>
    </cfRule>
  </conditionalFormatting>
  <conditionalFormatting sqref="AO8:AO24">
    <cfRule type="cellIs" dxfId="1010" priority="190" operator="equal">
      <formula>1</formula>
    </cfRule>
  </conditionalFormatting>
  <conditionalFormatting sqref="AQ8:AQ24">
    <cfRule type="cellIs" dxfId="1009" priority="189" operator="equal">
      <formula>0</formula>
    </cfRule>
  </conditionalFormatting>
  <conditionalFormatting sqref="AQ8:AQ24">
    <cfRule type="cellIs" dxfId="1008" priority="188" operator="lessThan">
      <formula>0</formula>
    </cfRule>
  </conditionalFormatting>
  <conditionalFormatting sqref="AQ8:AQ24">
    <cfRule type="cellIs" dxfId="1007" priority="186" operator="equal">
      <formula>1</formula>
    </cfRule>
    <cfRule type="cellIs" dxfId="1006" priority="187" operator="lessThan">
      <formula>1</formula>
    </cfRule>
  </conditionalFormatting>
  <conditionalFormatting sqref="AQ8:AQ24">
    <cfRule type="cellIs" dxfId="1005" priority="185" operator="equal">
      <formula>1</formula>
    </cfRule>
  </conditionalFormatting>
  <conditionalFormatting sqref="AS8:AS24">
    <cfRule type="cellIs" dxfId="1004" priority="184" operator="equal">
      <formula>0</formula>
    </cfRule>
  </conditionalFormatting>
  <conditionalFormatting sqref="AS8:AS24">
    <cfRule type="cellIs" dxfId="1003" priority="183" operator="lessThan">
      <formula>0</formula>
    </cfRule>
  </conditionalFormatting>
  <conditionalFormatting sqref="AS8:AS24">
    <cfRule type="cellIs" dxfId="1002" priority="181" operator="equal">
      <formula>1</formula>
    </cfRule>
    <cfRule type="cellIs" dxfId="1001" priority="182" operator="lessThan">
      <formula>1</formula>
    </cfRule>
  </conditionalFormatting>
  <conditionalFormatting sqref="AS8:AS24">
    <cfRule type="cellIs" dxfId="1000" priority="180" operator="equal">
      <formula>1</formula>
    </cfRule>
  </conditionalFormatting>
  <conditionalFormatting sqref="AU8:AU24">
    <cfRule type="cellIs" dxfId="999" priority="179" operator="equal">
      <formula>0</formula>
    </cfRule>
  </conditionalFormatting>
  <conditionalFormatting sqref="AU8:AU24">
    <cfRule type="cellIs" dxfId="998" priority="178" operator="lessThan">
      <formula>0</formula>
    </cfRule>
  </conditionalFormatting>
  <conditionalFormatting sqref="AU8:AU24">
    <cfRule type="cellIs" dxfId="997" priority="176" operator="equal">
      <formula>1</formula>
    </cfRule>
    <cfRule type="cellIs" dxfId="996" priority="177" operator="lessThan">
      <formula>1</formula>
    </cfRule>
  </conditionalFormatting>
  <conditionalFormatting sqref="AU8:AU24">
    <cfRule type="cellIs" dxfId="995" priority="175" operator="equal">
      <formula>1</formula>
    </cfRule>
  </conditionalFormatting>
  <conditionalFormatting sqref="AW8:AW24">
    <cfRule type="cellIs" dxfId="994" priority="174" operator="equal">
      <formula>0</formula>
    </cfRule>
  </conditionalFormatting>
  <conditionalFormatting sqref="AW8:AW24">
    <cfRule type="cellIs" dxfId="993" priority="173" operator="lessThan">
      <formula>0</formula>
    </cfRule>
  </conditionalFormatting>
  <conditionalFormatting sqref="AW8:AW24">
    <cfRule type="cellIs" dxfId="992" priority="171" operator="equal">
      <formula>1</formula>
    </cfRule>
    <cfRule type="cellIs" dxfId="991" priority="172" operator="lessThan">
      <formula>1</formula>
    </cfRule>
  </conditionalFormatting>
  <conditionalFormatting sqref="AW8:AW24">
    <cfRule type="cellIs" dxfId="990" priority="170" operator="equal">
      <formula>1</formula>
    </cfRule>
  </conditionalFormatting>
  <conditionalFormatting sqref="AY8:AY24">
    <cfRule type="cellIs" dxfId="989" priority="169" operator="equal">
      <formula>0</formula>
    </cfRule>
  </conditionalFormatting>
  <conditionalFormatting sqref="AY8:AY24">
    <cfRule type="cellIs" dxfId="988" priority="168" operator="lessThan">
      <formula>0</formula>
    </cfRule>
  </conditionalFormatting>
  <conditionalFormatting sqref="AY8:AY24">
    <cfRule type="cellIs" dxfId="987" priority="166" operator="equal">
      <formula>1</formula>
    </cfRule>
    <cfRule type="cellIs" dxfId="986" priority="167" operator="lessThan">
      <formula>1</formula>
    </cfRule>
  </conditionalFormatting>
  <conditionalFormatting sqref="AY8:AY24">
    <cfRule type="cellIs" dxfId="985" priority="165" operator="equal">
      <formula>1</formula>
    </cfRule>
  </conditionalFormatting>
  <conditionalFormatting sqref="BA8:BA24">
    <cfRule type="cellIs" dxfId="984" priority="164" operator="equal">
      <formula>0</formula>
    </cfRule>
  </conditionalFormatting>
  <conditionalFormatting sqref="BA8:BA24">
    <cfRule type="cellIs" dxfId="983" priority="163" operator="lessThan">
      <formula>0</formula>
    </cfRule>
  </conditionalFormatting>
  <conditionalFormatting sqref="BA8:BA24">
    <cfRule type="cellIs" dxfId="982" priority="161" operator="equal">
      <formula>1</formula>
    </cfRule>
    <cfRule type="cellIs" dxfId="981" priority="162" operator="lessThan">
      <formula>1</formula>
    </cfRule>
  </conditionalFormatting>
  <conditionalFormatting sqref="BA8:BA24">
    <cfRule type="cellIs" dxfId="980" priority="160" operator="equal">
      <formula>1</formula>
    </cfRule>
  </conditionalFormatting>
  <conditionalFormatting sqref="BC8:BC24">
    <cfRule type="cellIs" dxfId="979" priority="159" operator="equal">
      <formula>0</formula>
    </cfRule>
  </conditionalFormatting>
  <conditionalFormatting sqref="BC8:BC24">
    <cfRule type="cellIs" dxfId="978" priority="158" operator="lessThan">
      <formula>0</formula>
    </cfRule>
  </conditionalFormatting>
  <conditionalFormatting sqref="BC8:BC24">
    <cfRule type="cellIs" dxfId="977" priority="156" operator="equal">
      <formula>1</formula>
    </cfRule>
    <cfRule type="cellIs" dxfId="976" priority="157" operator="lessThan">
      <formula>1</formula>
    </cfRule>
  </conditionalFormatting>
  <conditionalFormatting sqref="BC8:BC24">
    <cfRule type="cellIs" dxfId="975" priority="155" operator="equal">
      <formula>1</formula>
    </cfRule>
  </conditionalFormatting>
  <conditionalFormatting sqref="BE8:BE24">
    <cfRule type="cellIs" dxfId="974" priority="154" operator="equal">
      <formula>0</formula>
    </cfRule>
  </conditionalFormatting>
  <conditionalFormatting sqref="BE8:BE24">
    <cfRule type="cellIs" dxfId="973" priority="153" operator="lessThan">
      <formula>0</formula>
    </cfRule>
  </conditionalFormatting>
  <conditionalFormatting sqref="BE8:BE24">
    <cfRule type="cellIs" dxfId="972" priority="151" operator="equal">
      <formula>1</formula>
    </cfRule>
    <cfRule type="cellIs" dxfId="971" priority="152" operator="lessThan">
      <formula>1</formula>
    </cfRule>
  </conditionalFormatting>
  <conditionalFormatting sqref="BE8:BE24">
    <cfRule type="cellIs" dxfId="970" priority="150" operator="equal">
      <formula>1</formula>
    </cfRule>
  </conditionalFormatting>
  <conditionalFormatting sqref="BG8:BG24">
    <cfRule type="cellIs" dxfId="969" priority="149" operator="equal">
      <formula>0</formula>
    </cfRule>
  </conditionalFormatting>
  <conditionalFormatting sqref="BG8:BG24">
    <cfRule type="cellIs" dxfId="968" priority="148" operator="lessThan">
      <formula>0</formula>
    </cfRule>
  </conditionalFormatting>
  <conditionalFormatting sqref="BG8:BG24">
    <cfRule type="cellIs" dxfId="967" priority="146" operator="equal">
      <formula>1</formula>
    </cfRule>
    <cfRule type="cellIs" dxfId="966" priority="147" operator="lessThan">
      <formula>1</formula>
    </cfRule>
  </conditionalFormatting>
  <conditionalFormatting sqref="BG8:BG24">
    <cfRule type="cellIs" dxfId="965" priority="145" operator="equal">
      <formula>1</formula>
    </cfRule>
  </conditionalFormatting>
  <conditionalFormatting sqref="BI8:BI24">
    <cfRule type="cellIs" dxfId="964" priority="144" operator="equal">
      <formula>0</formula>
    </cfRule>
  </conditionalFormatting>
  <conditionalFormatting sqref="BI8:BI24">
    <cfRule type="cellIs" dxfId="963" priority="143" operator="lessThan">
      <formula>0</formula>
    </cfRule>
  </conditionalFormatting>
  <conditionalFormatting sqref="BI8:BI24">
    <cfRule type="cellIs" dxfId="962" priority="141" operator="equal">
      <formula>1</formula>
    </cfRule>
    <cfRule type="cellIs" dxfId="961" priority="142" operator="lessThan">
      <formula>1</formula>
    </cfRule>
  </conditionalFormatting>
  <conditionalFormatting sqref="BI8:BI24">
    <cfRule type="cellIs" dxfId="960" priority="140" operator="equal">
      <formula>1</formula>
    </cfRule>
  </conditionalFormatting>
  <conditionalFormatting sqref="BK8:BK26">
    <cfRule type="cellIs" dxfId="959" priority="139" operator="equal">
      <formula>0</formula>
    </cfRule>
  </conditionalFormatting>
  <conditionalFormatting sqref="BK8:BK26">
    <cfRule type="cellIs" dxfId="958" priority="138" operator="lessThan">
      <formula>0</formula>
    </cfRule>
  </conditionalFormatting>
  <conditionalFormatting sqref="BK8:BK26">
    <cfRule type="cellIs" dxfId="957" priority="136" operator="equal">
      <formula>1</formula>
    </cfRule>
    <cfRule type="cellIs" dxfId="956" priority="137" operator="lessThan">
      <formula>1</formula>
    </cfRule>
  </conditionalFormatting>
  <conditionalFormatting sqref="BK8:BK26">
    <cfRule type="cellIs" dxfId="955" priority="135" operator="equal">
      <formula>1</formula>
    </cfRule>
  </conditionalFormatting>
  <conditionalFormatting sqref="C31:BL32 C33:D33 D36:D44 P36:P44 D34 R36:R44 T36:T44 V36:V44 V33:V34 X33:X34 X36:X44 Z36:Z44 Z33:Z34 AB33:AB34 AB36:AB44 AD36:AD44 AD33:AD34 F36:F44 H36:H44 J36:J44 N36:N44 F33:F34 H33:H34 J33:J34 L33:L34 L36:L44 N33:N34 P33:P34 R33:R34 T33:T34 T46:T90 V46:V90 X46:X90 Z46:Z90 AB46:AB90 AD46:AD90 AF33:AF90 AH33:AH90 AJ33:AJ90 AL33:AL90 AN33:AN90 AP33:AP90 AR33:AR90 AT33:AT90 AV33:AV90 AX33:AX90 AZ33:AZ90 BB33:BB90 BD33:BD90 BF33:BF90 P46:P90 R46:R90 D46:D91 F46:F91 H46:H91 J46:J91 L46:L91 N46:N90 C34:C91 N91:BF91 E33:E91 G33:G91 I33:I91 K33:K91 M33:M91 BG33:BM91">
    <cfRule type="cellIs" dxfId="954" priority="134" operator="equal">
      <formula>0</formula>
    </cfRule>
  </conditionalFormatting>
  <conditionalFormatting sqref="C31:BL32 C33:D33 D36:D44 P36:P44 D34 R36:R44 T36:T44 V36:V44 V33:V34 X33:X34 X36:X44 Z36:Z44 Z33:Z34 AB33:AB34 AB36:AB44 AD36:AD44 AD33:AD34 F36:F44 H36:H44 J36:J44 N36:N44 F33:F34 H33:H34 J33:J34 L33:L34 L36:L44 N33:N34 P33:P34 R33:R34 T33:T34 T46:T90 V46:V90 X46:X90 Z46:Z90 AB46:AB90 AD46:AD90 AF33:AF90 AH33:AH90 AJ33:AJ90 AL33:AL90 AN33:AN90 AP33:AP90 AR33:AR90 AT33:AT90 AV33:AV90 AX33:AX90 AZ33:AZ90 BB33:BB90 BD33:BD90 BF33:BF90 P46:P90 R46:R90 D46:D91 F46:F91 H46:H91 J46:J91 L46:L91 N46:N90 C34:C91 N91:BF91 E33:E91 G33:G91 I33:I91 K33:K91 M33:M91 BG33:BM91">
    <cfRule type="cellIs" dxfId="953" priority="133" operator="lessThan">
      <formula>0</formula>
    </cfRule>
  </conditionalFormatting>
  <conditionalFormatting sqref="BS33:BS91">
    <cfRule type="cellIs" dxfId="952" priority="117" operator="lessThan">
      <formula>1</formula>
    </cfRule>
    <cfRule type="cellIs" dxfId="951" priority="131" operator="greaterThan">
      <formula>"-"</formula>
    </cfRule>
    <cfRule type="cellIs" dxfId="950" priority="132" operator="equal">
      <formula>"-"</formula>
    </cfRule>
  </conditionalFormatting>
  <conditionalFormatting sqref="D35 N35 P35 R35 T35 V35 X35 Z35 AB35 AD35 F35 H35 J35">
    <cfRule type="cellIs" dxfId="949" priority="130" operator="equal">
      <formula>0</formula>
    </cfRule>
  </conditionalFormatting>
  <conditionalFormatting sqref="D35 N35 P35 R35 T35 V35 X35 Z35 AB35 AD35 F35 H35 J35">
    <cfRule type="cellIs" dxfId="948" priority="129" operator="lessThan">
      <formula>0</formula>
    </cfRule>
  </conditionalFormatting>
  <conditionalFormatting sqref="D45 N45 P45 R45 T45 V45 X45 Z45 AB45 AD45 F45 H45 J45">
    <cfRule type="cellIs" dxfId="947" priority="128" operator="equal">
      <formula>0</formula>
    </cfRule>
  </conditionalFormatting>
  <conditionalFormatting sqref="D45 N45 P45 R45 T45 V45 X45 Z45 AB45 AD45 F45 H45 J45">
    <cfRule type="cellIs" dxfId="946" priority="127" operator="lessThan">
      <formula>0</formula>
    </cfRule>
  </conditionalFormatting>
  <conditionalFormatting sqref="L35">
    <cfRule type="cellIs" dxfId="945" priority="126" operator="equal">
      <formula>0</formula>
    </cfRule>
  </conditionalFormatting>
  <conditionalFormatting sqref="L35">
    <cfRule type="cellIs" dxfId="944" priority="125" operator="lessThan">
      <formula>0</formula>
    </cfRule>
  </conditionalFormatting>
  <conditionalFormatting sqref="L45">
    <cfRule type="cellIs" dxfId="943" priority="124" operator="equal">
      <formula>0</formula>
    </cfRule>
  </conditionalFormatting>
  <conditionalFormatting sqref="L45">
    <cfRule type="cellIs" dxfId="942" priority="123" operator="lessThan">
      <formula>0</formula>
    </cfRule>
  </conditionalFormatting>
  <conditionalFormatting sqref="BS33:BS91">
    <cfRule type="cellIs" dxfId="941" priority="120" operator="lessThan">
      <formula>0</formula>
    </cfRule>
    <cfRule type="cellIs" dxfId="940" priority="122" operator="lessThan">
      <formula>0</formula>
    </cfRule>
  </conditionalFormatting>
  <conditionalFormatting sqref="BS46 BS48:BS90">
    <cfRule type="cellIs" dxfId="939" priority="121" operator="lessThan">
      <formula>0</formula>
    </cfRule>
  </conditionalFormatting>
  <conditionalFormatting sqref="C92:BM92">
    <cfRule type="cellIs" dxfId="938" priority="119" operator="lessThan">
      <formula>1</formula>
    </cfRule>
  </conditionalFormatting>
  <conditionalFormatting sqref="T33:T90 V33:V90 X33:X90 Z33:Z90 AB33:AB90 AD33:AD90 AF33:AF90 AH33:AH90 AJ33:AJ90 AL33:AL90 AN33:AN90 AP33:AP90 AR33:AR90 AT33:AT90 AV33:AV90 AX33:AX90 AZ33:AZ90 BB33:BB90 BD33:BD90 BF33:BF90 P33:P90 R33:R90 C33:N90 C91:BF91 BG33:BM91">
    <cfRule type="cellIs" dxfId="937" priority="116" operator="equal">
      <formula>1</formula>
    </cfRule>
    <cfRule type="cellIs" dxfId="936" priority="118" operator="lessThan">
      <formula>1</formula>
    </cfRule>
  </conditionalFormatting>
  <conditionalFormatting sqref="T33:T90 V33:V90 X33:X90 Z33:Z90 AB33:AB90 AD33:AD90 AF33:AF90 AH33:AH90 AJ33:AJ90 AL33:AL90 AN33:AN90 AP33:AP90 AR33:AR90 AT33:AT90 AV33:AV90 AX33:AX90 AZ33:AZ90 BB33:BB90 BD33:BD90 P33:P90 R33:R90 BF33:BK90 C33:N90 C91:BK91 BL36:BM91">
    <cfRule type="cellIs" dxfId="935" priority="115" operator="equal">
      <formula>1</formula>
    </cfRule>
  </conditionalFormatting>
  <conditionalFormatting sqref="D33:D91 F33:F91 H33:H91 J33:J91 L33:L91 N33:N91 V91 T91 R91 P91 X91 Z91 AB91 AD91 AF91 AH91 AJ91 AL91 AN91 AP91 AR91 AT91 AV91 AX91 AZ91 BB91 BH33:BH91 BJ33:BJ91 BL33:BL91 BD91 BF91">
    <cfRule type="cellIs" dxfId="934" priority="114" operator="greaterThan">
      <formula>0</formula>
    </cfRule>
  </conditionalFormatting>
  <conditionalFormatting sqref="P33:P90 R33:R90 T33:T90 V33:V90 X33:X90">
    <cfRule type="cellIs" dxfId="933" priority="113" operator="greaterThan">
      <formula>0</formula>
    </cfRule>
  </conditionalFormatting>
  <conditionalFormatting sqref="Z33:Z90 AB33:AB90 AD33:AD90 AF33:AF90 AH33:AH90 AJ33:AJ90 AL33:AL90 AN33:AN90 AP33:AP90 AR33:AR90 AT33:AT90 AV33:AV90 AX33:AX90 AZ33:AZ90 BB33:BB90">
    <cfRule type="cellIs" dxfId="932" priority="112" operator="greaterThan">
      <formula>0</formula>
    </cfRule>
  </conditionalFormatting>
  <conditionalFormatting sqref="BD33:BD90 BF33:BF90">
    <cfRule type="cellIs" dxfId="931" priority="111" operator="greaterThan">
      <formula>0</formula>
    </cfRule>
  </conditionalFormatting>
  <conditionalFormatting sqref="O33:O90">
    <cfRule type="cellIs" dxfId="930" priority="110" operator="equal">
      <formula>0</formula>
    </cfRule>
  </conditionalFormatting>
  <conditionalFormatting sqref="O33:O90">
    <cfRule type="cellIs" dxfId="929" priority="109" operator="lessThan">
      <formula>0</formula>
    </cfRule>
  </conditionalFormatting>
  <conditionalFormatting sqref="O33:O90">
    <cfRule type="cellIs" dxfId="928" priority="107" operator="equal">
      <formula>1</formula>
    </cfRule>
    <cfRule type="cellIs" dxfId="927" priority="108" operator="lessThan">
      <formula>1</formula>
    </cfRule>
  </conditionalFormatting>
  <conditionalFormatting sqref="O33:O90">
    <cfRule type="cellIs" dxfId="926" priority="106" operator="equal">
      <formula>1</formula>
    </cfRule>
  </conditionalFormatting>
  <conditionalFormatting sqref="Q33:Q90">
    <cfRule type="cellIs" dxfId="925" priority="105" operator="equal">
      <formula>0</formula>
    </cfRule>
  </conditionalFormatting>
  <conditionalFormatting sqref="Q33:Q90">
    <cfRule type="cellIs" dxfId="924" priority="104" operator="lessThan">
      <formula>0</formula>
    </cfRule>
  </conditionalFormatting>
  <conditionalFormatting sqref="Q33:Q90">
    <cfRule type="cellIs" dxfId="923" priority="102" operator="equal">
      <formula>1</formula>
    </cfRule>
    <cfRule type="cellIs" dxfId="922" priority="103" operator="lessThan">
      <formula>1</formula>
    </cfRule>
  </conditionalFormatting>
  <conditionalFormatting sqref="Q33:Q90">
    <cfRule type="cellIs" dxfId="921" priority="101" operator="equal">
      <formula>1</formula>
    </cfRule>
  </conditionalFormatting>
  <conditionalFormatting sqref="S33:S90">
    <cfRule type="cellIs" dxfId="920" priority="100" operator="equal">
      <formula>0</formula>
    </cfRule>
  </conditionalFormatting>
  <conditionalFormatting sqref="S33:S90">
    <cfRule type="cellIs" dxfId="919" priority="99" operator="lessThan">
      <formula>0</formula>
    </cfRule>
  </conditionalFormatting>
  <conditionalFormatting sqref="S33:S90">
    <cfRule type="cellIs" dxfId="918" priority="97" operator="equal">
      <formula>1</formula>
    </cfRule>
    <cfRule type="cellIs" dxfId="917" priority="98" operator="lessThan">
      <formula>1</formula>
    </cfRule>
  </conditionalFormatting>
  <conditionalFormatting sqref="S33:S90">
    <cfRule type="cellIs" dxfId="916" priority="96" operator="equal">
      <formula>1</formula>
    </cfRule>
  </conditionalFormatting>
  <conditionalFormatting sqref="U33:U90">
    <cfRule type="cellIs" dxfId="915" priority="95" operator="equal">
      <formula>0</formula>
    </cfRule>
  </conditionalFormatting>
  <conditionalFormatting sqref="U33:U90">
    <cfRule type="cellIs" dxfId="914" priority="94" operator="lessThan">
      <formula>0</formula>
    </cfRule>
  </conditionalFormatting>
  <conditionalFormatting sqref="U33:U90">
    <cfRule type="cellIs" dxfId="913" priority="92" operator="equal">
      <formula>1</formula>
    </cfRule>
    <cfRule type="cellIs" dxfId="912" priority="93" operator="lessThan">
      <formula>1</formula>
    </cfRule>
  </conditionalFormatting>
  <conditionalFormatting sqref="U33:U90">
    <cfRule type="cellIs" dxfId="911" priority="91" operator="equal">
      <formula>1</formula>
    </cfRule>
  </conditionalFormatting>
  <conditionalFormatting sqref="W33:W90">
    <cfRule type="cellIs" dxfId="910" priority="90" operator="equal">
      <formula>0</formula>
    </cfRule>
  </conditionalFormatting>
  <conditionalFormatting sqref="W33:W90">
    <cfRule type="cellIs" dxfId="909" priority="89" operator="lessThan">
      <formula>0</formula>
    </cfRule>
  </conditionalFormatting>
  <conditionalFormatting sqref="W33:W90">
    <cfRule type="cellIs" dxfId="908" priority="87" operator="equal">
      <formula>1</formula>
    </cfRule>
    <cfRule type="cellIs" dxfId="907" priority="88" operator="lessThan">
      <formula>1</formula>
    </cfRule>
  </conditionalFormatting>
  <conditionalFormatting sqref="W33:W90">
    <cfRule type="cellIs" dxfId="906" priority="86" operator="equal">
      <formula>1</formula>
    </cfRule>
  </conditionalFormatting>
  <conditionalFormatting sqref="Y33:Y90">
    <cfRule type="cellIs" dxfId="905" priority="85" operator="equal">
      <formula>0</formula>
    </cfRule>
  </conditionalFormatting>
  <conditionalFormatting sqref="Y33:Y90">
    <cfRule type="cellIs" dxfId="904" priority="84" operator="lessThan">
      <formula>0</formula>
    </cfRule>
  </conditionalFormatting>
  <conditionalFormatting sqref="Y33:Y90">
    <cfRule type="cellIs" dxfId="903" priority="82" operator="equal">
      <formula>1</formula>
    </cfRule>
    <cfRule type="cellIs" dxfId="902" priority="83" operator="lessThan">
      <formula>1</formula>
    </cfRule>
  </conditionalFormatting>
  <conditionalFormatting sqref="Y33:Y90">
    <cfRule type="cellIs" dxfId="901" priority="81" operator="equal">
      <formula>1</formula>
    </cfRule>
  </conditionalFormatting>
  <conditionalFormatting sqref="AA33:AA90">
    <cfRule type="cellIs" dxfId="900" priority="80" operator="equal">
      <formula>0</formula>
    </cfRule>
  </conditionalFormatting>
  <conditionalFormatting sqref="AA33:AA90">
    <cfRule type="cellIs" dxfId="899" priority="79" operator="lessThan">
      <formula>0</formula>
    </cfRule>
  </conditionalFormatting>
  <conditionalFormatting sqref="AA33:AA90">
    <cfRule type="cellIs" dxfId="898" priority="77" operator="equal">
      <formula>1</formula>
    </cfRule>
    <cfRule type="cellIs" dxfId="897" priority="78" operator="lessThan">
      <formula>1</formula>
    </cfRule>
  </conditionalFormatting>
  <conditionalFormatting sqref="AA33:AA90">
    <cfRule type="cellIs" dxfId="896" priority="76" operator="equal">
      <formula>1</formula>
    </cfRule>
  </conditionalFormatting>
  <conditionalFormatting sqref="AC33:AC90">
    <cfRule type="cellIs" dxfId="895" priority="75" operator="equal">
      <formula>0</formula>
    </cfRule>
  </conditionalFormatting>
  <conditionalFormatting sqref="AC33:AC90">
    <cfRule type="cellIs" dxfId="894" priority="74" operator="lessThan">
      <formula>0</formula>
    </cfRule>
  </conditionalFormatting>
  <conditionalFormatting sqref="AC33:AC90">
    <cfRule type="cellIs" dxfId="893" priority="72" operator="equal">
      <formula>1</formula>
    </cfRule>
    <cfRule type="cellIs" dxfId="892" priority="73" operator="lessThan">
      <formula>1</formula>
    </cfRule>
  </conditionalFormatting>
  <conditionalFormatting sqref="AC33:AC90">
    <cfRule type="cellIs" dxfId="891" priority="71" operator="equal">
      <formula>1</formula>
    </cfRule>
  </conditionalFormatting>
  <conditionalFormatting sqref="AE33:AE90">
    <cfRule type="cellIs" dxfId="890" priority="70" operator="equal">
      <formula>0</formula>
    </cfRule>
  </conditionalFormatting>
  <conditionalFormatting sqref="AE33:AE90">
    <cfRule type="cellIs" dxfId="889" priority="69" operator="lessThan">
      <formula>0</formula>
    </cfRule>
  </conditionalFormatting>
  <conditionalFormatting sqref="AE33:AE90">
    <cfRule type="cellIs" dxfId="888" priority="67" operator="equal">
      <formula>1</formula>
    </cfRule>
    <cfRule type="cellIs" dxfId="887" priority="68" operator="lessThan">
      <formula>1</formula>
    </cfRule>
  </conditionalFormatting>
  <conditionalFormatting sqref="AE33:AE90">
    <cfRule type="cellIs" dxfId="886" priority="66" operator="equal">
      <formula>1</formula>
    </cfRule>
  </conditionalFormatting>
  <conditionalFormatting sqref="AG33:AG90">
    <cfRule type="cellIs" dxfId="885" priority="65" operator="equal">
      <formula>0</formula>
    </cfRule>
  </conditionalFormatting>
  <conditionalFormatting sqref="AG33:AG90">
    <cfRule type="cellIs" dxfId="884" priority="64" operator="lessThan">
      <formula>0</formula>
    </cfRule>
  </conditionalFormatting>
  <conditionalFormatting sqref="AG33:AG90">
    <cfRule type="cellIs" dxfId="883" priority="62" operator="equal">
      <formula>1</formula>
    </cfRule>
    <cfRule type="cellIs" dxfId="882" priority="63" operator="lessThan">
      <formula>1</formula>
    </cfRule>
  </conditionalFormatting>
  <conditionalFormatting sqref="AG33:AG90">
    <cfRule type="cellIs" dxfId="881" priority="61" operator="equal">
      <formula>1</formula>
    </cfRule>
  </conditionalFormatting>
  <conditionalFormatting sqref="AI33:AI90">
    <cfRule type="cellIs" dxfId="880" priority="60" operator="equal">
      <formula>0</formula>
    </cfRule>
  </conditionalFormatting>
  <conditionalFormatting sqref="AI33:AI90">
    <cfRule type="cellIs" dxfId="879" priority="59" operator="lessThan">
      <formula>0</formula>
    </cfRule>
  </conditionalFormatting>
  <conditionalFormatting sqref="AI33:AI90">
    <cfRule type="cellIs" dxfId="878" priority="57" operator="equal">
      <formula>1</formula>
    </cfRule>
    <cfRule type="cellIs" dxfId="877" priority="58" operator="lessThan">
      <formula>1</formula>
    </cfRule>
  </conditionalFormatting>
  <conditionalFormatting sqref="AI33:AI90">
    <cfRule type="cellIs" dxfId="876" priority="56" operator="equal">
      <formula>1</formula>
    </cfRule>
  </conditionalFormatting>
  <conditionalFormatting sqref="AK33:AK90">
    <cfRule type="cellIs" dxfId="875" priority="55" operator="equal">
      <formula>0</formula>
    </cfRule>
  </conditionalFormatting>
  <conditionalFormatting sqref="AK33:AK90">
    <cfRule type="cellIs" dxfId="874" priority="54" operator="lessThan">
      <formula>0</formula>
    </cfRule>
  </conditionalFormatting>
  <conditionalFormatting sqref="AK33:AK90">
    <cfRule type="cellIs" dxfId="873" priority="52" operator="equal">
      <formula>1</formula>
    </cfRule>
    <cfRule type="cellIs" dxfId="872" priority="53" operator="lessThan">
      <formula>1</formula>
    </cfRule>
  </conditionalFormatting>
  <conditionalFormatting sqref="AK33:AK90">
    <cfRule type="cellIs" dxfId="871" priority="51" operator="equal">
      <formula>1</formula>
    </cfRule>
  </conditionalFormatting>
  <conditionalFormatting sqref="AM33:AM90">
    <cfRule type="cellIs" dxfId="870" priority="50" operator="equal">
      <formula>0</formula>
    </cfRule>
  </conditionalFormatting>
  <conditionalFormatting sqref="AM33:AM90">
    <cfRule type="cellIs" dxfId="869" priority="49" operator="lessThan">
      <formula>0</formula>
    </cfRule>
  </conditionalFormatting>
  <conditionalFormatting sqref="AM33:AM90">
    <cfRule type="cellIs" dxfId="868" priority="47" operator="equal">
      <formula>1</formula>
    </cfRule>
    <cfRule type="cellIs" dxfId="867" priority="48" operator="lessThan">
      <formula>1</formula>
    </cfRule>
  </conditionalFormatting>
  <conditionalFormatting sqref="AM33:AM90">
    <cfRule type="cellIs" dxfId="866" priority="46" operator="equal">
      <formula>1</formula>
    </cfRule>
  </conditionalFormatting>
  <conditionalFormatting sqref="AO33:AO90">
    <cfRule type="cellIs" dxfId="865" priority="45" operator="equal">
      <formula>0</formula>
    </cfRule>
  </conditionalFormatting>
  <conditionalFormatting sqref="AO33:AO90">
    <cfRule type="cellIs" dxfId="864" priority="44" operator="lessThan">
      <formula>0</formula>
    </cfRule>
  </conditionalFormatting>
  <conditionalFormatting sqref="AO33:AO90">
    <cfRule type="cellIs" dxfId="863" priority="42" operator="equal">
      <formula>1</formula>
    </cfRule>
    <cfRule type="cellIs" dxfId="862" priority="43" operator="lessThan">
      <formula>1</formula>
    </cfRule>
  </conditionalFormatting>
  <conditionalFormatting sqref="AO33:AO90">
    <cfRule type="cellIs" dxfId="861" priority="41" operator="equal">
      <formula>1</formula>
    </cfRule>
  </conditionalFormatting>
  <conditionalFormatting sqref="AQ33:AQ90">
    <cfRule type="cellIs" dxfId="860" priority="40" operator="equal">
      <formula>0</formula>
    </cfRule>
  </conditionalFormatting>
  <conditionalFormatting sqref="AQ33:AQ90">
    <cfRule type="cellIs" dxfId="859" priority="39" operator="lessThan">
      <formula>0</formula>
    </cfRule>
  </conditionalFormatting>
  <conditionalFormatting sqref="AQ33:AQ90">
    <cfRule type="cellIs" dxfId="858" priority="37" operator="equal">
      <formula>1</formula>
    </cfRule>
    <cfRule type="cellIs" dxfId="857" priority="38" operator="lessThan">
      <formula>1</formula>
    </cfRule>
  </conditionalFormatting>
  <conditionalFormatting sqref="AQ33:AQ90">
    <cfRule type="cellIs" dxfId="856" priority="36" operator="equal">
      <formula>1</formula>
    </cfRule>
  </conditionalFormatting>
  <conditionalFormatting sqref="AS33:AS90">
    <cfRule type="cellIs" dxfId="855" priority="35" operator="equal">
      <formula>0</formula>
    </cfRule>
  </conditionalFormatting>
  <conditionalFormatting sqref="AS33:AS90">
    <cfRule type="cellIs" dxfId="854" priority="34" operator="lessThan">
      <formula>0</formula>
    </cfRule>
  </conditionalFormatting>
  <conditionalFormatting sqref="AS33:AS90">
    <cfRule type="cellIs" dxfId="853" priority="32" operator="equal">
      <formula>1</formula>
    </cfRule>
    <cfRule type="cellIs" dxfId="852" priority="33" operator="lessThan">
      <formula>1</formula>
    </cfRule>
  </conditionalFormatting>
  <conditionalFormatting sqref="AS33:AS90">
    <cfRule type="cellIs" dxfId="851" priority="31" operator="equal">
      <formula>1</formula>
    </cfRule>
  </conditionalFormatting>
  <conditionalFormatting sqref="AU33:AU90">
    <cfRule type="cellIs" dxfId="850" priority="30" operator="equal">
      <formula>0</formula>
    </cfRule>
  </conditionalFormatting>
  <conditionalFormatting sqref="AU33:AU90">
    <cfRule type="cellIs" dxfId="849" priority="29" operator="lessThan">
      <formula>0</formula>
    </cfRule>
  </conditionalFormatting>
  <conditionalFormatting sqref="AU33:AU90">
    <cfRule type="cellIs" dxfId="848" priority="27" operator="equal">
      <formula>1</formula>
    </cfRule>
    <cfRule type="cellIs" dxfId="847" priority="28" operator="lessThan">
      <formula>1</formula>
    </cfRule>
  </conditionalFormatting>
  <conditionalFormatting sqref="AU33:AU90">
    <cfRule type="cellIs" dxfId="846" priority="26" operator="equal">
      <formula>1</formula>
    </cfRule>
  </conditionalFormatting>
  <conditionalFormatting sqref="AW33:AW90">
    <cfRule type="cellIs" dxfId="845" priority="25" operator="equal">
      <formula>0</formula>
    </cfRule>
  </conditionalFormatting>
  <conditionalFormatting sqref="AW33:AW90">
    <cfRule type="cellIs" dxfId="844" priority="24" operator="lessThan">
      <formula>0</formula>
    </cfRule>
  </conditionalFormatting>
  <conditionalFormatting sqref="AW33:AW90">
    <cfRule type="cellIs" dxfId="843" priority="22" operator="equal">
      <formula>1</formula>
    </cfRule>
    <cfRule type="cellIs" dxfId="842" priority="23" operator="lessThan">
      <formula>1</formula>
    </cfRule>
  </conditionalFormatting>
  <conditionalFormatting sqref="AW33:AW90">
    <cfRule type="cellIs" dxfId="841" priority="21" operator="equal">
      <formula>1</formula>
    </cfRule>
  </conditionalFormatting>
  <conditionalFormatting sqref="AY33:AY90">
    <cfRule type="cellIs" dxfId="840" priority="20" operator="equal">
      <formula>0</formula>
    </cfRule>
  </conditionalFormatting>
  <conditionalFormatting sqref="AY33:AY90">
    <cfRule type="cellIs" dxfId="839" priority="19" operator="lessThan">
      <formula>0</formula>
    </cfRule>
  </conditionalFormatting>
  <conditionalFormatting sqref="AY33:AY90">
    <cfRule type="cellIs" dxfId="838" priority="17" operator="equal">
      <formula>1</formula>
    </cfRule>
    <cfRule type="cellIs" dxfId="837" priority="18" operator="lessThan">
      <formula>1</formula>
    </cfRule>
  </conditionalFormatting>
  <conditionalFormatting sqref="AY33:AY90">
    <cfRule type="cellIs" dxfId="836" priority="16" operator="equal">
      <formula>1</formula>
    </cfRule>
  </conditionalFormatting>
  <conditionalFormatting sqref="BA33:BA90">
    <cfRule type="cellIs" dxfId="835" priority="15" operator="equal">
      <formula>0</formula>
    </cfRule>
  </conditionalFormatting>
  <conditionalFormatting sqref="BA33:BA90">
    <cfRule type="cellIs" dxfId="834" priority="14" operator="lessThan">
      <formula>0</formula>
    </cfRule>
  </conditionalFormatting>
  <conditionalFormatting sqref="BA33:BA90">
    <cfRule type="cellIs" dxfId="833" priority="12" operator="equal">
      <formula>1</formula>
    </cfRule>
    <cfRule type="cellIs" dxfId="832" priority="13" operator="lessThan">
      <formula>1</formula>
    </cfRule>
  </conditionalFormatting>
  <conditionalFormatting sqref="BA33:BA90">
    <cfRule type="cellIs" dxfId="831" priority="11" operator="equal">
      <formula>1</formula>
    </cfRule>
  </conditionalFormatting>
  <conditionalFormatting sqref="BC33:BC90">
    <cfRule type="cellIs" dxfId="830" priority="10" operator="equal">
      <formula>0</formula>
    </cfRule>
  </conditionalFormatting>
  <conditionalFormatting sqref="BC33:BC90">
    <cfRule type="cellIs" dxfId="829" priority="9" operator="lessThan">
      <formula>0</formula>
    </cfRule>
  </conditionalFormatting>
  <conditionalFormatting sqref="BC33:BC90">
    <cfRule type="cellIs" dxfId="828" priority="7" operator="equal">
      <formula>1</formula>
    </cfRule>
    <cfRule type="cellIs" dxfId="827" priority="8" operator="lessThan">
      <formula>1</formula>
    </cfRule>
  </conditionalFormatting>
  <conditionalFormatting sqref="BC33:BC90">
    <cfRule type="cellIs" dxfId="826" priority="6" operator="equal">
      <formula>1</formula>
    </cfRule>
  </conditionalFormatting>
  <conditionalFormatting sqref="BE33:BE90">
    <cfRule type="cellIs" dxfId="825" priority="5" operator="equal">
      <formula>0</formula>
    </cfRule>
  </conditionalFormatting>
  <conditionalFormatting sqref="BE33:BE90">
    <cfRule type="cellIs" dxfId="824" priority="4" operator="lessThan">
      <formula>0</formula>
    </cfRule>
  </conditionalFormatting>
  <conditionalFormatting sqref="BE33:BE90">
    <cfRule type="cellIs" dxfId="823" priority="2" operator="equal">
      <formula>1</formula>
    </cfRule>
    <cfRule type="cellIs" dxfId="822" priority="3" operator="lessThan">
      <formula>1</formula>
    </cfRule>
  </conditionalFormatting>
  <conditionalFormatting sqref="BE33:BE90">
    <cfRule type="cellIs" dxfId="821" priority="1" operator="equal">
      <formula>1</formula>
    </cfRule>
  </conditionalFormatting>
  <printOptions horizontalCentered="1" verticalCentered="1"/>
  <pageMargins left="0" right="0" top="0" bottom="0" header="0" footer="0"/>
  <pageSetup paperSize="9" scale="9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CC"/>
  </sheetPr>
  <dimension ref="A5:L47"/>
  <sheetViews>
    <sheetView zoomScale="70" zoomScaleNormal="7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A9" sqref="A9"/>
    </sheetView>
  </sheetViews>
  <sheetFormatPr defaultRowHeight="15"/>
  <cols>
    <col min="1" max="1" width="16.5703125" bestFit="1" customWidth="1"/>
    <col min="2" max="2" width="19.140625" customWidth="1"/>
    <col min="3" max="3" width="7.7109375" customWidth="1"/>
    <col min="4" max="4" width="31.85546875" bestFit="1" customWidth="1"/>
    <col min="5" max="5" width="17.140625" customWidth="1"/>
    <col min="6" max="6" width="11.7109375" bestFit="1" customWidth="1"/>
    <col min="7" max="7" width="34.5703125" bestFit="1" customWidth="1"/>
  </cols>
  <sheetData>
    <row r="5" spans="1:12" ht="15.75" thickBot="1"/>
    <row r="6" spans="1:12" ht="63" thickTop="1" thickBot="1">
      <c r="A6" s="1301" t="s">
        <v>42</v>
      </c>
      <c r="B6" s="1302"/>
      <c r="C6" s="1302"/>
      <c r="D6" s="1302"/>
      <c r="E6" s="1303" t="s">
        <v>266</v>
      </c>
      <c r="F6" s="1303"/>
      <c r="G6" s="1304"/>
    </row>
    <row r="7" spans="1:12" ht="54" thickTop="1" thickBot="1">
      <c r="A7" s="514" t="s">
        <v>43</v>
      </c>
      <c r="B7" s="166" t="s">
        <v>44</v>
      </c>
      <c r="C7" s="228" t="s">
        <v>45</v>
      </c>
      <c r="D7" s="166" t="s">
        <v>46</v>
      </c>
      <c r="E7" s="166" t="s">
        <v>47</v>
      </c>
      <c r="F7" s="228" t="s">
        <v>45</v>
      </c>
      <c r="G7" s="166" t="s">
        <v>46</v>
      </c>
      <c r="K7" t="s">
        <v>1</v>
      </c>
    </row>
    <row r="8" spans="1:12" ht="29.25" thickTop="1">
      <c r="A8" s="609">
        <f>'Main Page'!E17</f>
        <v>44866</v>
      </c>
      <c r="B8" s="239"/>
      <c r="C8" s="240">
        <v>360</v>
      </c>
      <c r="D8" s="239">
        <f t="shared" ref="D8:D38" si="0">B8*C8</f>
        <v>0</v>
      </c>
      <c r="E8" s="239"/>
      <c r="F8" s="240">
        <v>360</v>
      </c>
      <c r="G8" s="239">
        <f t="shared" ref="G8:G38" si="1">E8*F8</f>
        <v>0</v>
      </c>
    </row>
    <row r="9" spans="1:12" ht="28.5">
      <c r="A9" s="610">
        <f>A8+1</f>
        <v>44867</v>
      </c>
      <c r="B9" s="241"/>
      <c r="C9" s="242">
        <v>360</v>
      </c>
      <c r="D9" s="241">
        <f t="shared" si="0"/>
        <v>0</v>
      </c>
      <c r="E9" s="241"/>
      <c r="F9" s="242">
        <v>360</v>
      </c>
      <c r="G9" s="241">
        <f t="shared" si="1"/>
        <v>0</v>
      </c>
      <c r="H9" t="s">
        <v>1</v>
      </c>
    </row>
    <row r="10" spans="1:12" ht="28.5">
      <c r="A10" s="610">
        <f t="shared" ref="A10:A38" si="2">A9+1</f>
        <v>44868</v>
      </c>
      <c r="B10" s="241"/>
      <c r="C10" s="242">
        <v>360</v>
      </c>
      <c r="D10" s="241">
        <f t="shared" si="0"/>
        <v>0</v>
      </c>
      <c r="E10" s="241"/>
      <c r="F10" s="242">
        <v>360</v>
      </c>
      <c r="G10" s="241">
        <f t="shared" si="1"/>
        <v>0</v>
      </c>
    </row>
    <row r="11" spans="1:12" ht="28.5">
      <c r="A11" s="610">
        <f t="shared" si="2"/>
        <v>44869</v>
      </c>
      <c r="B11" s="241"/>
      <c r="C11" s="242">
        <v>360</v>
      </c>
      <c r="D11" s="241">
        <f t="shared" si="0"/>
        <v>0</v>
      </c>
      <c r="E11" s="241"/>
      <c r="F11" s="242">
        <v>360</v>
      </c>
      <c r="G11" s="241">
        <f t="shared" si="1"/>
        <v>0</v>
      </c>
    </row>
    <row r="12" spans="1:12" ht="28.5">
      <c r="A12" s="610">
        <f t="shared" si="2"/>
        <v>44870</v>
      </c>
      <c r="B12" s="241"/>
      <c r="C12" s="242">
        <v>360</v>
      </c>
      <c r="D12" s="241">
        <f t="shared" si="0"/>
        <v>0</v>
      </c>
      <c r="E12" s="241"/>
      <c r="F12" s="242">
        <v>360</v>
      </c>
      <c r="G12" s="241">
        <f t="shared" si="1"/>
        <v>0</v>
      </c>
    </row>
    <row r="13" spans="1:12" ht="28.5">
      <c r="A13" s="610">
        <f t="shared" si="2"/>
        <v>44871</v>
      </c>
      <c r="B13" s="241"/>
      <c r="C13" s="242">
        <v>360</v>
      </c>
      <c r="D13" s="241">
        <f t="shared" si="0"/>
        <v>0</v>
      </c>
      <c r="E13" s="241"/>
      <c r="F13" s="242">
        <v>360</v>
      </c>
      <c r="G13" s="241">
        <f t="shared" si="1"/>
        <v>0</v>
      </c>
      <c r="J13" t="s">
        <v>1</v>
      </c>
    </row>
    <row r="14" spans="1:12" ht="28.5">
      <c r="A14" s="610">
        <f t="shared" si="2"/>
        <v>44872</v>
      </c>
      <c r="B14" s="241"/>
      <c r="C14" s="242">
        <v>360</v>
      </c>
      <c r="D14" s="241">
        <f t="shared" si="0"/>
        <v>0</v>
      </c>
      <c r="E14" s="241"/>
      <c r="F14" s="242">
        <v>360</v>
      </c>
      <c r="G14" s="241">
        <f t="shared" si="1"/>
        <v>0</v>
      </c>
    </row>
    <row r="15" spans="1:12" ht="28.5">
      <c r="A15" s="610">
        <f t="shared" si="2"/>
        <v>44873</v>
      </c>
      <c r="B15" s="241"/>
      <c r="C15" s="242">
        <v>360</v>
      </c>
      <c r="D15" s="241">
        <f t="shared" si="0"/>
        <v>0</v>
      </c>
      <c r="E15" s="241"/>
      <c r="F15" s="242">
        <v>360</v>
      </c>
      <c r="G15" s="241">
        <f t="shared" si="1"/>
        <v>0</v>
      </c>
      <c r="L15" t="s">
        <v>1</v>
      </c>
    </row>
    <row r="16" spans="1:12" ht="28.5">
      <c r="A16" s="610">
        <f t="shared" si="2"/>
        <v>44874</v>
      </c>
      <c r="B16" s="241"/>
      <c r="C16" s="242">
        <v>360</v>
      </c>
      <c r="D16" s="241">
        <f t="shared" si="0"/>
        <v>0</v>
      </c>
      <c r="E16" s="241"/>
      <c r="F16" s="242">
        <v>360</v>
      </c>
      <c r="G16" s="241">
        <f t="shared" si="1"/>
        <v>0</v>
      </c>
    </row>
    <row r="17" spans="1:7" ht="28.5">
      <c r="A17" s="610">
        <f t="shared" si="2"/>
        <v>44875</v>
      </c>
      <c r="B17" s="241"/>
      <c r="C17" s="242">
        <v>360</v>
      </c>
      <c r="D17" s="241">
        <f t="shared" si="0"/>
        <v>0</v>
      </c>
      <c r="E17" s="241"/>
      <c r="F17" s="242">
        <v>360</v>
      </c>
      <c r="G17" s="241">
        <f t="shared" si="1"/>
        <v>0</v>
      </c>
    </row>
    <row r="18" spans="1:7" ht="28.5">
      <c r="A18" s="610">
        <f t="shared" si="2"/>
        <v>44876</v>
      </c>
      <c r="B18" s="241"/>
      <c r="C18" s="242">
        <v>360</v>
      </c>
      <c r="D18" s="241">
        <f t="shared" si="0"/>
        <v>0</v>
      </c>
      <c r="E18" s="241"/>
      <c r="F18" s="242">
        <v>360</v>
      </c>
      <c r="G18" s="241">
        <f t="shared" si="1"/>
        <v>0</v>
      </c>
    </row>
    <row r="19" spans="1:7" ht="28.5">
      <c r="A19" s="610">
        <f t="shared" si="2"/>
        <v>44877</v>
      </c>
      <c r="B19" s="241"/>
      <c r="C19" s="242">
        <v>360</v>
      </c>
      <c r="D19" s="241">
        <f t="shared" si="0"/>
        <v>0</v>
      </c>
      <c r="E19" s="241"/>
      <c r="F19" s="242">
        <v>360</v>
      </c>
      <c r="G19" s="241">
        <f t="shared" si="1"/>
        <v>0</v>
      </c>
    </row>
    <row r="20" spans="1:7" ht="28.5">
      <c r="A20" s="610">
        <f t="shared" si="2"/>
        <v>44878</v>
      </c>
      <c r="B20" s="241"/>
      <c r="C20" s="242">
        <v>360</v>
      </c>
      <c r="D20" s="241">
        <f t="shared" si="0"/>
        <v>0</v>
      </c>
      <c r="E20" s="241"/>
      <c r="F20" s="242">
        <v>360</v>
      </c>
      <c r="G20" s="241">
        <f t="shared" si="1"/>
        <v>0</v>
      </c>
    </row>
    <row r="21" spans="1:7" ht="28.5">
      <c r="A21" s="610">
        <f t="shared" si="2"/>
        <v>44879</v>
      </c>
      <c r="B21" s="241"/>
      <c r="C21" s="242">
        <v>360</v>
      </c>
      <c r="D21" s="241">
        <f t="shared" si="0"/>
        <v>0</v>
      </c>
      <c r="E21" s="241"/>
      <c r="F21" s="242">
        <v>360</v>
      </c>
      <c r="G21" s="241">
        <f t="shared" si="1"/>
        <v>0</v>
      </c>
    </row>
    <row r="22" spans="1:7" ht="28.5">
      <c r="A22" s="610">
        <f t="shared" si="2"/>
        <v>44880</v>
      </c>
      <c r="B22" s="241"/>
      <c r="C22" s="242">
        <v>360</v>
      </c>
      <c r="D22" s="241">
        <f t="shared" si="0"/>
        <v>0</v>
      </c>
      <c r="E22" s="241"/>
      <c r="F22" s="242">
        <v>360</v>
      </c>
      <c r="G22" s="241">
        <f t="shared" si="1"/>
        <v>0</v>
      </c>
    </row>
    <row r="23" spans="1:7" ht="28.5">
      <c r="A23" s="610">
        <f t="shared" si="2"/>
        <v>44881</v>
      </c>
      <c r="B23" s="241"/>
      <c r="C23" s="242">
        <v>360</v>
      </c>
      <c r="D23" s="241">
        <f t="shared" si="0"/>
        <v>0</v>
      </c>
      <c r="E23" s="241"/>
      <c r="F23" s="242">
        <v>360</v>
      </c>
      <c r="G23" s="241">
        <f t="shared" si="1"/>
        <v>0</v>
      </c>
    </row>
    <row r="24" spans="1:7" ht="28.5">
      <c r="A24" s="610">
        <f t="shared" si="2"/>
        <v>44882</v>
      </c>
      <c r="B24" s="241"/>
      <c r="C24" s="242">
        <v>360</v>
      </c>
      <c r="D24" s="241">
        <f t="shared" si="0"/>
        <v>0</v>
      </c>
      <c r="E24" s="241"/>
      <c r="F24" s="242">
        <v>360</v>
      </c>
      <c r="G24" s="241">
        <f t="shared" si="1"/>
        <v>0</v>
      </c>
    </row>
    <row r="25" spans="1:7" ht="28.5">
      <c r="A25" s="610">
        <f t="shared" si="2"/>
        <v>44883</v>
      </c>
      <c r="B25" s="241"/>
      <c r="C25" s="242">
        <v>360</v>
      </c>
      <c r="D25" s="241">
        <f t="shared" si="0"/>
        <v>0</v>
      </c>
      <c r="E25" s="241"/>
      <c r="F25" s="242">
        <v>360</v>
      </c>
      <c r="G25" s="241">
        <f t="shared" si="1"/>
        <v>0</v>
      </c>
    </row>
    <row r="26" spans="1:7" ht="28.5">
      <c r="A26" s="610">
        <f t="shared" si="2"/>
        <v>44884</v>
      </c>
      <c r="B26" s="241"/>
      <c r="C26" s="242">
        <v>360</v>
      </c>
      <c r="D26" s="241">
        <f t="shared" si="0"/>
        <v>0</v>
      </c>
      <c r="E26" s="241"/>
      <c r="F26" s="242">
        <v>360</v>
      </c>
      <c r="G26" s="241">
        <f t="shared" si="1"/>
        <v>0</v>
      </c>
    </row>
    <row r="27" spans="1:7" ht="28.5">
      <c r="A27" s="610">
        <f t="shared" si="2"/>
        <v>44885</v>
      </c>
      <c r="B27" s="241"/>
      <c r="C27" s="242">
        <v>360</v>
      </c>
      <c r="D27" s="241">
        <f t="shared" si="0"/>
        <v>0</v>
      </c>
      <c r="E27" s="241"/>
      <c r="F27" s="242">
        <v>360</v>
      </c>
      <c r="G27" s="241">
        <f t="shared" si="1"/>
        <v>0</v>
      </c>
    </row>
    <row r="28" spans="1:7" ht="28.5">
      <c r="A28" s="610">
        <f t="shared" si="2"/>
        <v>44886</v>
      </c>
      <c r="B28" s="241"/>
      <c r="C28" s="242">
        <v>360</v>
      </c>
      <c r="D28" s="241">
        <f t="shared" si="0"/>
        <v>0</v>
      </c>
      <c r="E28" s="241"/>
      <c r="F28" s="242">
        <v>360</v>
      </c>
      <c r="G28" s="241">
        <f t="shared" si="1"/>
        <v>0</v>
      </c>
    </row>
    <row r="29" spans="1:7" ht="28.5">
      <c r="A29" s="610">
        <f t="shared" si="2"/>
        <v>44887</v>
      </c>
      <c r="B29" s="241"/>
      <c r="C29" s="242">
        <v>360</v>
      </c>
      <c r="D29" s="241">
        <f t="shared" si="0"/>
        <v>0</v>
      </c>
      <c r="E29" s="241"/>
      <c r="F29" s="242">
        <v>360</v>
      </c>
      <c r="G29" s="241">
        <f t="shared" si="1"/>
        <v>0</v>
      </c>
    </row>
    <row r="30" spans="1:7" ht="28.5">
      <c r="A30" s="610">
        <f t="shared" si="2"/>
        <v>44888</v>
      </c>
      <c r="B30" s="241"/>
      <c r="C30" s="242">
        <v>360</v>
      </c>
      <c r="D30" s="241">
        <f t="shared" si="0"/>
        <v>0</v>
      </c>
      <c r="E30" s="241"/>
      <c r="F30" s="242">
        <v>360</v>
      </c>
      <c r="G30" s="241">
        <f t="shared" si="1"/>
        <v>0</v>
      </c>
    </row>
    <row r="31" spans="1:7" ht="28.5">
      <c r="A31" s="610">
        <f t="shared" si="2"/>
        <v>44889</v>
      </c>
      <c r="B31" s="241"/>
      <c r="C31" s="242">
        <v>360</v>
      </c>
      <c r="D31" s="241">
        <f t="shared" si="0"/>
        <v>0</v>
      </c>
      <c r="E31" s="241"/>
      <c r="F31" s="242">
        <v>360</v>
      </c>
      <c r="G31" s="241">
        <f t="shared" si="1"/>
        <v>0</v>
      </c>
    </row>
    <row r="32" spans="1:7" ht="28.5">
      <c r="A32" s="610">
        <f t="shared" si="2"/>
        <v>44890</v>
      </c>
      <c r="B32" s="241"/>
      <c r="C32" s="242">
        <v>360</v>
      </c>
      <c r="D32" s="241">
        <f t="shared" si="0"/>
        <v>0</v>
      </c>
      <c r="E32" s="241"/>
      <c r="F32" s="242">
        <v>360</v>
      </c>
      <c r="G32" s="241">
        <f t="shared" si="1"/>
        <v>0</v>
      </c>
    </row>
    <row r="33" spans="1:7" ht="28.5">
      <c r="A33" s="610">
        <f t="shared" si="2"/>
        <v>44891</v>
      </c>
      <c r="B33" s="241"/>
      <c r="C33" s="242">
        <v>360</v>
      </c>
      <c r="D33" s="241">
        <f t="shared" si="0"/>
        <v>0</v>
      </c>
      <c r="E33" s="241"/>
      <c r="F33" s="242">
        <v>360</v>
      </c>
      <c r="G33" s="241">
        <f t="shared" si="1"/>
        <v>0</v>
      </c>
    </row>
    <row r="34" spans="1:7" ht="28.5">
      <c r="A34" s="610">
        <f t="shared" si="2"/>
        <v>44892</v>
      </c>
      <c r="B34" s="241"/>
      <c r="C34" s="242">
        <v>360</v>
      </c>
      <c r="D34" s="241">
        <f t="shared" si="0"/>
        <v>0</v>
      </c>
      <c r="E34" s="241"/>
      <c r="F34" s="242">
        <v>360</v>
      </c>
      <c r="G34" s="241">
        <f t="shared" si="1"/>
        <v>0</v>
      </c>
    </row>
    <row r="35" spans="1:7" ht="28.5">
      <c r="A35" s="610">
        <f t="shared" si="2"/>
        <v>44893</v>
      </c>
      <c r="B35" s="241"/>
      <c r="C35" s="242">
        <v>360</v>
      </c>
      <c r="D35" s="241">
        <f t="shared" si="0"/>
        <v>0</v>
      </c>
      <c r="E35" s="241"/>
      <c r="F35" s="242">
        <v>360</v>
      </c>
      <c r="G35" s="241">
        <f t="shared" si="1"/>
        <v>0</v>
      </c>
    </row>
    <row r="36" spans="1:7" ht="28.5">
      <c r="A36" s="610">
        <f t="shared" si="2"/>
        <v>44894</v>
      </c>
      <c r="B36" s="241"/>
      <c r="C36" s="242">
        <v>360</v>
      </c>
      <c r="D36" s="241">
        <f t="shared" si="0"/>
        <v>0</v>
      </c>
      <c r="E36" s="241"/>
      <c r="F36" s="242">
        <v>360</v>
      </c>
      <c r="G36" s="241">
        <f t="shared" si="1"/>
        <v>0</v>
      </c>
    </row>
    <row r="37" spans="1:7" ht="28.5">
      <c r="A37" s="610">
        <f t="shared" si="2"/>
        <v>44895</v>
      </c>
      <c r="B37" s="241"/>
      <c r="C37" s="242">
        <v>360</v>
      </c>
      <c r="D37" s="241">
        <f t="shared" si="0"/>
        <v>0</v>
      </c>
      <c r="E37" s="241"/>
      <c r="F37" s="242">
        <v>360</v>
      </c>
      <c r="G37" s="241">
        <f t="shared" si="1"/>
        <v>0</v>
      </c>
    </row>
    <row r="38" spans="1:7" ht="28.5">
      <c r="A38" s="610">
        <f t="shared" si="2"/>
        <v>44896</v>
      </c>
      <c r="B38" s="241"/>
      <c r="C38" s="242">
        <v>360</v>
      </c>
      <c r="D38" s="241">
        <f t="shared" si="0"/>
        <v>0</v>
      </c>
      <c r="E38" s="241"/>
      <c r="F38" s="242">
        <v>360</v>
      </c>
      <c r="G38" s="241">
        <f t="shared" si="1"/>
        <v>0</v>
      </c>
    </row>
    <row r="39" spans="1:7" ht="23.25">
      <c r="A39" s="200"/>
      <c r="B39" s="83"/>
      <c r="C39" s="84"/>
      <c r="D39" s="83"/>
      <c r="E39" s="83"/>
      <c r="F39" s="83"/>
      <c r="G39" s="83"/>
    </row>
    <row r="40" spans="1:7" ht="47.25" thickBot="1">
      <c r="A40" s="232"/>
      <c r="B40" s="244">
        <f>SUM(B8:B39)</f>
        <v>0</v>
      </c>
      <c r="C40" s="229"/>
      <c r="D40" s="245">
        <f>SUM(D8:D39)</f>
        <v>0</v>
      </c>
      <c r="E40" s="244">
        <f>SUM(E8:E39)</f>
        <v>0</v>
      </c>
      <c r="F40" s="230"/>
      <c r="G40" s="245">
        <f>SUM(G8:G38)</f>
        <v>0</v>
      </c>
    </row>
    <row r="41" spans="1:7" ht="48" thickTop="1" thickBot="1">
      <c r="A41" s="81"/>
      <c r="B41" s="81"/>
      <c r="C41" s="231"/>
      <c r="D41" s="243"/>
      <c r="E41" s="81"/>
      <c r="F41" s="612" t="s">
        <v>48</v>
      </c>
      <c r="G41" s="246">
        <f>D40+G40</f>
        <v>0</v>
      </c>
    </row>
    <row r="42" spans="1:7" ht="48" thickTop="1" thickBot="1">
      <c r="F42" s="611" t="s">
        <v>49</v>
      </c>
      <c r="G42" s="247"/>
    </row>
    <row r="43" spans="1:7" ht="48" thickTop="1" thickBot="1">
      <c r="F43" s="613" t="s">
        <v>50</v>
      </c>
      <c r="G43" s="248"/>
    </row>
    <row r="44" spans="1:7" ht="48" thickTop="1" thickBot="1">
      <c r="F44" s="250"/>
      <c r="G44" s="248"/>
    </row>
    <row r="45" spans="1:7" ht="48" thickTop="1" thickBot="1">
      <c r="D45" s="111"/>
      <c r="F45" s="227"/>
      <c r="G45" s="248"/>
    </row>
    <row r="46" spans="1:7" ht="48" thickTop="1" thickBot="1">
      <c r="F46" s="600" t="s">
        <v>51</v>
      </c>
      <c r="G46" s="249">
        <f>G41+G42-G43-G44+G45</f>
        <v>0</v>
      </c>
    </row>
    <row r="47" spans="1:7" ht="15.75" thickTop="1"/>
  </sheetData>
  <mergeCells count="2">
    <mergeCell ref="A6:D6"/>
    <mergeCell ref="E6:G6"/>
  </mergeCells>
  <conditionalFormatting sqref="B8:B38 D8:D38">
    <cfRule type="cellIs" dxfId="820" priority="4" operator="lessThan">
      <formula>1</formula>
    </cfRule>
  </conditionalFormatting>
  <conditionalFormatting sqref="G8:G38 E8:E38">
    <cfRule type="cellIs" dxfId="819" priority="3" operator="lessThan">
      <formula>1</formula>
    </cfRule>
  </conditionalFormatting>
  <conditionalFormatting sqref="F42:G42">
    <cfRule type="cellIs" dxfId="818" priority="2" operator="lessThan">
      <formula>1</formula>
    </cfRule>
  </conditionalFormatting>
  <conditionalFormatting sqref="G46">
    <cfRule type="cellIs" dxfId="817" priority="1" operator="lessThan">
      <formula>1</formula>
    </cfRule>
  </conditionalFormatting>
  <printOptions horizontalCentered="1" verticalCentered="1"/>
  <pageMargins left="0" right="0" top="0" bottom="0" header="0" footer="0"/>
  <pageSetup paperSize="9" scale="60" orientation="portrait" cellComments="asDisplayed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C5:AU52"/>
  <sheetViews>
    <sheetView zoomScale="70" zoomScaleNormal="70" workbookViewId="0">
      <pane xSplit="3" ySplit="7" topLeftCell="AG8" activePane="bottomRight" state="frozen"/>
      <selection pane="topRight" activeCell="D1" sqref="D1"/>
      <selection pane="bottomLeft" activeCell="A8" sqref="A8"/>
      <selection pane="bottomRight" activeCell="AQ40" sqref="AQ40"/>
    </sheetView>
  </sheetViews>
  <sheetFormatPr defaultRowHeight="15"/>
  <cols>
    <col min="1" max="1" width="3.28515625" customWidth="1"/>
    <col min="2" max="2" width="1.5703125" customWidth="1"/>
    <col min="3" max="3" width="16.5703125" bestFit="1" customWidth="1"/>
    <col min="4" max="4" width="18.5703125" bestFit="1" customWidth="1"/>
    <col min="5" max="5" width="9.7109375" bestFit="1" customWidth="1"/>
    <col min="6" max="6" width="31.85546875" bestFit="1" customWidth="1"/>
    <col min="7" max="7" width="18.7109375" customWidth="1"/>
    <col min="8" max="8" width="9.7109375" customWidth="1"/>
    <col min="9" max="9" width="28.42578125" bestFit="1" customWidth="1"/>
    <col min="10" max="10" width="18.7109375" customWidth="1"/>
    <col min="11" max="11" width="9.7109375" customWidth="1"/>
    <col min="12" max="12" width="31.85546875" bestFit="1" customWidth="1"/>
    <col min="13" max="13" width="19" bestFit="1" customWidth="1"/>
    <col min="14" max="14" width="11.7109375" bestFit="1" customWidth="1"/>
    <col min="15" max="15" width="31.85546875" bestFit="1" customWidth="1"/>
    <col min="16" max="16" width="18.5703125" hidden="1" customWidth="1"/>
    <col min="17" max="17" width="10.7109375" hidden="1" customWidth="1"/>
    <col min="18" max="18" width="25.7109375" hidden="1" customWidth="1"/>
    <col min="19" max="19" width="18.5703125" hidden="1" customWidth="1"/>
    <col min="20" max="20" width="10.7109375" hidden="1" customWidth="1"/>
    <col min="21" max="21" width="31.85546875" hidden="1" customWidth="1"/>
    <col min="22" max="22" width="18.5703125" hidden="1" customWidth="1"/>
    <col min="23" max="23" width="10.7109375" hidden="1" customWidth="1"/>
    <col min="24" max="24" width="25.7109375" hidden="1" customWidth="1"/>
    <col min="25" max="25" width="22.42578125" bestFit="1" customWidth="1"/>
    <col min="26" max="26" width="12.5703125" customWidth="1"/>
    <col min="27" max="27" width="28.42578125" bestFit="1" customWidth="1"/>
    <col min="28" max="28" width="27" bestFit="1" customWidth="1"/>
    <col min="29" max="29" width="13.42578125" customWidth="1"/>
    <col min="30" max="30" width="28.42578125" bestFit="1" customWidth="1"/>
    <col min="31" max="31" width="27" bestFit="1" customWidth="1"/>
    <col min="32" max="32" width="12.85546875" customWidth="1"/>
    <col min="33" max="33" width="17.7109375" customWidth="1"/>
    <col min="34" max="34" width="19.140625" customWidth="1"/>
    <col min="35" max="35" width="13.7109375" customWidth="1"/>
    <col min="36" max="36" width="31.85546875" bestFit="1" customWidth="1"/>
    <col min="37" max="37" width="15" bestFit="1" customWidth="1"/>
    <col min="38" max="38" width="10.7109375" customWidth="1"/>
    <col min="39" max="39" width="31.85546875" bestFit="1" customWidth="1"/>
    <col min="40" max="40" width="23.28515625" customWidth="1"/>
    <col min="41" max="41" width="10.5703125" bestFit="1" customWidth="1"/>
    <col min="46" max="46" width="10.5703125" bestFit="1" customWidth="1"/>
  </cols>
  <sheetData>
    <row r="5" spans="3:45" ht="15.75" thickBot="1">
      <c r="T5" t="s">
        <v>1</v>
      </c>
    </row>
    <row r="6" spans="3:45" ht="63" thickTop="1" thickBot="1">
      <c r="C6" s="1301" t="s">
        <v>52</v>
      </c>
      <c r="D6" s="1302"/>
      <c r="E6" s="1302"/>
      <c r="F6" s="1302"/>
      <c r="G6" s="1302"/>
      <c r="H6" s="1302"/>
      <c r="I6" s="1302"/>
      <c r="J6" s="1302"/>
      <c r="K6" s="1302"/>
      <c r="L6" s="1302"/>
      <c r="M6" s="1307"/>
      <c r="N6" s="1311" t="s">
        <v>256</v>
      </c>
      <c r="O6" s="1312"/>
      <c r="P6" s="194"/>
      <c r="Q6" s="194"/>
      <c r="R6" s="194"/>
      <c r="S6" s="194"/>
      <c r="T6" s="194"/>
      <c r="U6" s="194"/>
      <c r="V6" s="194"/>
      <c r="W6" s="194"/>
      <c r="X6" s="195"/>
      <c r="Y6" t="s">
        <v>1</v>
      </c>
    </row>
    <row r="7" spans="3:45" ht="54" thickTop="1" thickBot="1">
      <c r="C7" s="514" t="s">
        <v>43</v>
      </c>
      <c r="D7" s="782" t="s">
        <v>252</v>
      </c>
      <c r="E7" s="782" t="s">
        <v>45</v>
      </c>
      <c r="F7" s="782" t="s">
        <v>46</v>
      </c>
      <c r="G7" s="804" t="s">
        <v>253</v>
      </c>
      <c r="H7" s="804" t="s">
        <v>45</v>
      </c>
      <c r="I7" s="804" t="s">
        <v>46</v>
      </c>
      <c r="J7" s="764" t="s">
        <v>249</v>
      </c>
      <c r="K7" s="764" t="s">
        <v>45</v>
      </c>
      <c r="L7" s="764" t="s">
        <v>46</v>
      </c>
      <c r="M7" s="765" t="s">
        <v>250</v>
      </c>
      <c r="N7" s="766" t="s">
        <v>45</v>
      </c>
      <c r="O7" s="766" t="s">
        <v>46</v>
      </c>
      <c r="P7" s="166" t="s">
        <v>53</v>
      </c>
      <c r="Q7" s="166" t="s">
        <v>45</v>
      </c>
      <c r="R7" s="166" t="s">
        <v>46</v>
      </c>
      <c r="S7" s="166" t="s">
        <v>54</v>
      </c>
      <c r="T7" s="166" t="s">
        <v>45</v>
      </c>
      <c r="U7" s="166" t="s">
        <v>46</v>
      </c>
      <c r="V7" s="166" t="s">
        <v>55</v>
      </c>
      <c r="W7" s="166" t="s">
        <v>45</v>
      </c>
      <c r="X7" s="166" t="s">
        <v>46</v>
      </c>
      <c r="Y7" s="769" t="s">
        <v>271</v>
      </c>
      <c r="Z7" s="770" t="s">
        <v>45</v>
      </c>
      <c r="AA7" s="770" t="s">
        <v>46</v>
      </c>
      <c r="AB7" s="767" t="s">
        <v>268</v>
      </c>
      <c r="AC7" s="768" t="s">
        <v>45</v>
      </c>
      <c r="AD7" s="768" t="s">
        <v>46</v>
      </c>
      <c r="AE7" s="904" t="s">
        <v>251</v>
      </c>
      <c r="AF7" s="905" t="s">
        <v>45</v>
      </c>
      <c r="AG7" s="905" t="s">
        <v>46</v>
      </c>
      <c r="AH7" s="900" t="s">
        <v>270</v>
      </c>
      <c r="AI7" s="901" t="s">
        <v>45</v>
      </c>
      <c r="AJ7" s="901" t="s">
        <v>46</v>
      </c>
      <c r="AK7" s="902" t="s">
        <v>269</v>
      </c>
      <c r="AL7" s="903" t="s">
        <v>45</v>
      </c>
      <c r="AM7" s="903" t="s">
        <v>46</v>
      </c>
      <c r="AP7" t="s">
        <v>272</v>
      </c>
      <c r="AR7" t="s">
        <v>273</v>
      </c>
    </row>
    <row r="8" spans="3:45" ht="30" thickTop="1" thickBot="1">
      <c r="C8" s="771">
        <f>'Main Page'!E17</f>
        <v>44866</v>
      </c>
      <c r="D8" s="787"/>
      <c r="E8" s="788">
        <v>75</v>
      </c>
      <c r="F8" s="799">
        <f t="shared" ref="F8:F29" si="0">D8*E8</f>
        <v>0</v>
      </c>
      <c r="G8" s="805"/>
      <c r="H8" s="806">
        <v>210</v>
      </c>
      <c r="I8" s="789">
        <f t="shared" ref="I8:I38" si="1">G8*H8</f>
        <v>0</v>
      </c>
      <c r="J8" s="777">
        <f>'1'!V52</f>
        <v>0</v>
      </c>
      <c r="K8" s="201">
        <v>230</v>
      </c>
      <c r="L8" s="239">
        <f t="shared" ref="L8:L39" si="2">J8*K8</f>
        <v>0</v>
      </c>
      <c r="M8" s="607">
        <f>'1'!W52</f>
        <v>0</v>
      </c>
      <c r="N8" s="201">
        <v>90</v>
      </c>
      <c r="O8" s="239">
        <f t="shared" ref="O8:O21" si="3">M8*N8</f>
        <v>0</v>
      </c>
      <c r="P8" s="196">
        <v>0</v>
      </c>
      <c r="Q8" s="77">
        <v>180</v>
      </c>
      <c r="R8" s="79">
        <f t="shared" ref="R8:R38" si="4">P8*Q8</f>
        <v>0</v>
      </c>
      <c r="S8" s="79">
        <v>0</v>
      </c>
      <c r="T8" s="77">
        <v>90</v>
      </c>
      <c r="U8" s="79">
        <f>S8*T8</f>
        <v>0</v>
      </c>
      <c r="V8" s="79">
        <v>0</v>
      </c>
      <c r="W8" s="77">
        <v>95</v>
      </c>
      <c r="X8" s="79">
        <f>V8*W8</f>
        <v>0</v>
      </c>
      <c r="Y8" s="607">
        <f>'1'!X52</f>
        <v>0</v>
      </c>
      <c r="Z8" s="201">
        <v>90</v>
      </c>
      <c r="AA8" s="239">
        <f t="shared" ref="AA8:AA10" si="5">Y8*Z8</f>
        <v>0</v>
      </c>
      <c r="AB8" s="607">
        <f>'1'!AH52</f>
        <v>0</v>
      </c>
      <c r="AC8" s="201">
        <v>75</v>
      </c>
      <c r="AD8" s="239">
        <f t="shared" ref="AD8:AD10" si="6">AB8*AC8</f>
        <v>0</v>
      </c>
      <c r="AE8" s="607">
        <f>'1'!AB52</f>
        <v>0</v>
      </c>
      <c r="AF8" s="201">
        <v>360</v>
      </c>
      <c r="AG8" s="239">
        <f t="shared" ref="AG8:AG10" si="7">AE8*AF8</f>
        <v>0</v>
      </c>
      <c r="AH8" s="607">
        <f>'1'!AC52</f>
        <v>0</v>
      </c>
      <c r="AI8" s="201">
        <v>360</v>
      </c>
      <c r="AJ8" s="239">
        <f t="shared" ref="AJ8:AJ10" si="8">AH8*AI8</f>
        <v>0</v>
      </c>
      <c r="AK8" s="607">
        <f>'1'!AD52</f>
        <v>0</v>
      </c>
      <c r="AL8" s="201">
        <v>360</v>
      </c>
      <c r="AM8" s="239">
        <f t="shared" ref="AM8:AM10" si="9">AK8*AL8</f>
        <v>0</v>
      </c>
      <c r="AN8" s="616">
        <f t="shared" ref="AN8:AN38" si="10">F8+I8+L8+O8+AA8+AD8+AG8+AJ8+AM8</f>
        <v>0</v>
      </c>
      <c r="AO8" s="616">
        <v>8000</v>
      </c>
      <c r="AP8">
        <v>67.17</v>
      </c>
      <c r="AQ8">
        <f>AP8*530</f>
        <v>35600.1</v>
      </c>
      <c r="AR8">
        <v>20.5</v>
      </c>
      <c r="AS8">
        <f>AR8*265</f>
        <v>5432.5</v>
      </c>
    </row>
    <row r="9" spans="3:45" ht="30" thickTop="1" thickBot="1">
      <c r="C9" s="772">
        <f>C8+1</f>
        <v>44867</v>
      </c>
      <c r="D9" s="790">
        <f>'2'!T52</f>
        <v>0</v>
      </c>
      <c r="E9" s="783">
        <v>190</v>
      </c>
      <c r="F9" s="800">
        <f t="shared" si="0"/>
        <v>0</v>
      </c>
      <c r="G9" s="807">
        <f>'2'!U52</f>
        <v>0</v>
      </c>
      <c r="H9" s="129">
        <v>190</v>
      </c>
      <c r="I9" s="791">
        <f t="shared" si="1"/>
        <v>0</v>
      </c>
      <c r="J9" s="778">
        <f>'2'!V52</f>
        <v>0</v>
      </c>
      <c r="K9" s="201">
        <v>230</v>
      </c>
      <c r="L9" s="241">
        <f t="shared" si="2"/>
        <v>0</v>
      </c>
      <c r="M9" s="607">
        <f>'2'!W52</f>
        <v>0</v>
      </c>
      <c r="N9" s="201">
        <v>90</v>
      </c>
      <c r="O9" s="241">
        <f t="shared" si="3"/>
        <v>0</v>
      </c>
      <c r="P9" s="197">
        <v>0</v>
      </c>
      <c r="Q9" s="129">
        <v>180</v>
      </c>
      <c r="R9" s="78">
        <f t="shared" si="4"/>
        <v>0</v>
      </c>
      <c r="S9" s="78">
        <v>0</v>
      </c>
      <c r="T9" s="129">
        <v>90</v>
      </c>
      <c r="U9" s="78">
        <f t="shared" ref="U9:U38" si="11">S9*T9</f>
        <v>0</v>
      </c>
      <c r="V9" s="78">
        <v>0</v>
      </c>
      <c r="W9" s="129">
        <v>95</v>
      </c>
      <c r="X9" s="78">
        <f t="shared" ref="X9:X38" si="12">V9*W9</f>
        <v>0</v>
      </c>
      <c r="Y9" s="607">
        <f>'2'!X52</f>
        <v>0</v>
      </c>
      <c r="Z9" s="201">
        <v>90</v>
      </c>
      <c r="AA9" s="241">
        <f t="shared" si="5"/>
        <v>0</v>
      </c>
      <c r="AB9" s="607">
        <f>'2'!AI52</f>
        <v>0</v>
      </c>
      <c r="AC9" s="201">
        <v>75</v>
      </c>
      <c r="AD9" s="241">
        <f t="shared" si="6"/>
        <v>0</v>
      </c>
      <c r="AE9" s="607">
        <f>'2'!AC52</f>
        <v>0</v>
      </c>
      <c r="AF9" s="201">
        <v>360</v>
      </c>
      <c r="AG9" s="241">
        <f t="shared" si="7"/>
        <v>0</v>
      </c>
      <c r="AH9" s="607">
        <f>'2'!AD52</f>
        <v>0</v>
      </c>
      <c r="AI9" s="201">
        <v>360</v>
      </c>
      <c r="AJ9" s="241">
        <f t="shared" si="8"/>
        <v>0</v>
      </c>
      <c r="AK9" s="608">
        <f>'2'!AE52</f>
        <v>0</v>
      </c>
      <c r="AL9" s="201">
        <v>360</v>
      </c>
      <c r="AM9" s="241">
        <f t="shared" si="9"/>
        <v>0</v>
      </c>
      <c r="AN9" s="616">
        <f t="shared" si="10"/>
        <v>0</v>
      </c>
      <c r="AO9">
        <v>107000</v>
      </c>
      <c r="AP9">
        <v>26.2</v>
      </c>
      <c r="AQ9">
        <f t="shared" ref="AQ9:AQ39" si="13">AP9*530</f>
        <v>13886</v>
      </c>
    </row>
    <row r="10" spans="3:45" ht="30" thickTop="1" thickBot="1">
      <c r="C10" s="772">
        <f t="shared" ref="C10:C38" si="14">C9+1</f>
        <v>44868</v>
      </c>
      <c r="D10" s="790">
        <f>'3'!T52</f>
        <v>0</v>
      </c>
      <c r="E10" s="783">
        <v>190</v>
      </c>
      <c r="F10" s="800">
        <f t="shared" si="0"/>
        <v>0</v>
      </c>
      <c r="G10" s="807">
        <f>'3'!U52</f>
        <v>0</v>
      </c>
      <c r="H10" s="129">
        <v>190</v>
      </c>
      <c r="I10" s="791">
        <f t="shared" si="1"/>
        <v>0</v>
      </c>
      <c r="J10" s="778">
        <f>'3'!V52</f>
        <v>0</v>
      </c>
      <c r="K10" s="201">
        <v>230</v>
      </c>
      <c r="L10" s="241">
        <f t="shared" si="2"/>
        <v>0</v>
      </c>
      <c r="M10" s="607">
        <f>'3'!W52</f>
        <v>0</v>
      </c>
      <c r="N10" s="201">
        <v>90</v>
      </c>
      <c r="O10" s="241">
        <f t="shared" si="3"/>
        <v>0</v>
      </c>
      <c r="P10" s="197">
        <v>0</v>
      </c>
      <c r="Q10" s="129">
        <v>180</v>
      </c>
      <c r="R10" s="78">
        <f t="shared" si="4"/>
        <v>0</v>
      </c>
      <c r="S10" s="78">
        <v>0</v>
      </c>
      <c r="T10" s="129">
        <v>90</v>
      </c>
      <c r="U10" s="78">
        <f t="shared" si="11"/>
        <v>0</v>
      </c>
      <c r="V10" s="78">
        <v>0</v>
      </c>
      <c r="W10" s="129">
        <v>95</v>
      </c>
      <c r="X10" s="78">
        <f t="shared" si="12"/>
        <v>0</v>
      </c>
      <c r="Y10" s="607">
        <f>'3'!X52</f>
        <v>0</v>
      </c>
      <c r="Z10" s="201">
        <v>90</v>
      </c>
      <c r="AA10" s="241">
        <f t="shared" si="5"/>
        <v>0</v>
      </c>
      <c r="AB10" s="607">
        <f>'3'!AB52</f>
        <v>0</v>
      </c>
      <c r="AC10" s="201">
        <v>75</v>
      </c>
      <c r="AD10" s="241">
        <f t="shared" si="6"/>
        <v>0</v>
      </c>
      <c r="AE10" s="607">
        <f>'3'!AC52</f>
        <v>0</v>
      </c>
      <c r="AF10" s="201">
        <v>360</v>
      </c>
      <c r="AG10" s="241">
        <f t="shared" si="7"/>
        <v>0</v>
      </c>
      <c r="AH10" s="607">
        <f>'3'!AD52</f>
        <v>0</v>
      </c>
      <c r="AI10" s="201">
        <v>360</v>
      </c>
      <c r="AJ10" s="241">
        <f t="shared" si="8"/>
        <v>0</v>
      </c>
      <c r="AK10" s="608">
        <f>'3'!AE52</f>
        <v>0</v>
      </c>
      <c r="AL10" s="201">
        <v>375</v>
      </c>
      <c r="AM10" s="241">
        <f t="shared" si="9"/>
        <v>0</v>
      </c>
      <c r="AN10" s="616">
        <f t="shared" si="10"/>
        <v>0</v>
      </c>
      <c r="AO10">
        <f>237500+8000</f>
        <v>245500</v>
      </c>
      <c r="AP10">
        <v>43.08</v>
      </c>
      <c r="AQ10">
        <f t="shared" si="13"/>
        <v>22832.399999999998</v>
      </c>
    </row>
    <row r="11" spans="3:45" ht="30" thickTop="1" thickBot="1">
      <c r="C11" s="772">
        <f t="shared" si="14"/>
        <v>44869</v>
      </c>
      <c r="D11" s="790">
        <f>'4'!T52</f>
        <v>0</v>
      </c>
      <c r="E11" s="783">
        <v>190</v>
      </c>
      <c r="F11" s="800">
        <f t="shared" si="0"/>
        <v>0</v>
      </c>
      <c r="G11" s="807">
        <f>'4'!U52</f>
        <v>0</v>
      </c>
      <c r="H11" s="129">
        <v>190</v>
      </c>
      <c r="I11" s="791">
        <f t="shared" si="1"/>
        <v>0</v>
      </c>
      <c r="J11" s="778">
        <f>'4'!V52</f>
        <v>0</v>
      </c>
      <c r="K11" s="201">
        <v>230</v>
      </c>
      <c r="L11" s="241">
        <f t="shared" si="2"/>
        <v>0</v>
      </c>
      <c r="M11" s="607">
        <f>'4'!W52</f>
        <v>0</v>
      </c>
      <c r="N11" s="201">
        <v>90</v>
      </c>
      <c r="O11" s="241">
        <f>M11*N11</f>
        <v>0</v>
      </c>
      <c r="P11" s="197">
        <v>0</v>
      </c>
      <c r="Q11" s="129">
        <v>180</v>
      </c>
      <c r="R11" s="78">
        <f t="shared" si="4"/>
        <v>0</v>
      </c>
      <c r="S11" s="78">
        <v>0</v>
      </c>
      <c r="T11" s="129">
        <v>90</v>
      </c>
      <c r="U11" s="78">
        <f t="shared" si="11"/>
        <v>0</v>
      </c>
      <c r="V11" s="78">
        <v>0</v>
      </c>
      <c r="W11" s="129">
        <v>95</v>
      </c>
      <c r="X11" s="78">
        <f t="shared" si="12"/>
        <v>0</v>
      </c>
      <c r="Y11" s="607">
        <f>'4'!X52</f>
        <v>0</v>
      </c>
      <c r="Z11" s="201">
        <v>90</v>
      </c>
      <c r="AA11" s="241">
        <f>Y11*Z11</f>
        <v>0</v>
      </c>
      <c r="AB11" s="607">
        <f>'4'!AI52</f>
        <v>0</v>
      </c>
      <c r="AC11" s="201">
        <v>75</v>
      </c>
      <c r="AD11" s="241">
        <f>AB11*AC11</f>
        <v>0</v>
      </c>
      <c r="AE11" s="607">
        <f>'4'!AC52</f>
        <v>0</v>
      </c>
      <c r="AF11" s="201">
        <v>360</v>
      </c>
      <c r="AG11" s="241">
        <f>AE11*AF11</f>
        <v>0</v>
      </c>
      <c r="AH11" s="607">
        <f>'4'!AD52</f>
        <v>0</v>
      </c>
      <c r="AI11" s="201">
        <v>360</v>
      </c>
      <c r="AJ11" s="241">
        <f>AH11*AI11</f>
        <v>0</v>
      </c>
      <c r="AK11" s="608">
        <f>'4'!AE52</f>
        <v>0</v>
      </c>
      <c r="AL11" s="201">
        <v>360</v>
      </c>
      <c r="AM11" s="241">
        <f>AK11*AL11</f>
        <v>0</v>
      </c>
      <c r="AN11" s="616">
        <f t="shared" si="10"/>
        <v>0</v>
      </c>
      <c r="AP11">
        <f>26.72+20+32.91</f>
        <v>79.63</v>
      </c>
      <c r="AQ11">
        <f t="shared" si="13"/>
        <v>42203.899999999994</v>
      </c>
    </row>
    <row r="12" spans="3:45" ht="30" thickTop="1" thickBot="1">
      <c r="C12" s="772">
        <f t="shared" si="14"/>
        <v>44870</v>
      </c>
      <c r="D12" s="790">
        <f>'5'!T52</f>
        <v>0</v>
      </c>
      <c r="E12" s="783">
        <v>190</v>
      </c>
      <c r="F12" s="800">
        <f t="shared" si="0"/>
        <v>0</v>
      </c>
      <c r="G12" s="807">
        <f>'5'!U52</f>
        <v>0</v>
      </c>
      <c r="H12" s="129">
        <v>190</v>
      </c>
      <c r="I12" s="791">
        <f t="shared" si="1"/>
        <v>0</v>
      </c>
      <c r="J12" s="778">
        <f>'5'!V52</f>
        <v>0</v>
      </c>
      <c r="K12" s="201">
        <v>210</v>
      </c>
      <c r="L12" s="241">
        <f t="shared" si="2"/>
        <v>0</v>
      </c>
      <c r="M12" s="607">
        <f>'5'!W52</f>
        <v>0</v>
      </c>
      <c r="N12" s="201">
        <v>90</v>
      </c>
      <c r="O12" s="241">
        <f t="shared" si="3"/>
        <v>0</v>
      </c>
      <c r="P12" s="197">
        <v>0</v>
      </c>
      <c r="Q12" s="129">
        <v>180</v>
      </c>
      <c r="R12" s="78">
        <f t="shared" si="4"/>
        <v>0</v>
      </c>
      <c r="S12" s="78">
        <v>0</v>
      </c>
      <c r="T12" s="129">
        <v>90</v>
      </c>
      <c r="U12" s="78">
        <f t="shared" si="11"/>
        <v>0</v>
      </c>
      <c r="V12" s="78">
        <v>0</v>
      </c>
      <c r="W12" s="129">
        <v>95</v>
      </c>
      <c r="X12" s="78">
        <f>V12*W12</f>
        <v>0</v>
      </c>
      <c r="Y12" s="607">
        <f>'5'!X52</f>
        <v>0</v>
      </c>
      <c r="Z12" s="201">
        <v>90</v>
      </c>
      <c r="AA12" s="241">
        <f t="shared" ref="AA12:AA38" si="15">Y12*Z12</f>
        <v>0</v>
      </c>
      <c r="AB12" s="607">
        <f>'5'!AI52</f>
        <v>0</v>
      </c>
      <c r="AC12" s="201">
        <v>75</v>
      </c>
      <c r="AD12" s="241">
        <f t="shared" ref="AD12:AD38" si="16">AB12*AC12</f>
        <v>0</v>
      </c>
      <c r="AE12" s="607">
        <f>'5'!AC52</f>
        <v>0</v>
      </c>
      <c r="AF12" s="201">
        <v>360</v>
      </c>
      <c r="AG12" s="241">
        <f t="shared" ref="AG12:AG38" si="17">AE12*AF12</f>
        <v>0</v>
      </c>
      <c r="AH12" s="607">
        <f>'5'!AD52</f>
        <v>0</v>
      </c>
      <c r="AI12" s="201">
        <v>360</v>
      </c>
      <c r="AJ12" s="241">
        <f t="shared" ref="AJ12:AJ38" si="18">AH12*AI12</f>
        <v>0</v>
      </c>
      <c r="AK12" s="608">
        <f>'5'!AE52</f>
        <v>0</v>
      </c>
      <c r="AL12" s="201">
        <v>360</v>
      </c>
      <c r="AM12" s="241">
        <f t="shared" ref="AM12:AM38" si="19">AK12*AL12</f>
        <v>0</v>
      </c>
      <c r="AN12" s="616">
        <f t="shared" si="10"/>
        <v>0</v>
      </c>
      <c r="AO12">
        <f>386000+142000</f>
        <v>528000</v>
      </c>
      <c r="AP12">
        <f>54.46+32.08</f>
        <v>86.539999999999992</v>
      </c>
      <c r="AQ12">
        <f t="shared" si="13"/>
        <v>45866.2</v>
      </c>
    </row>
    <row r="13" spans="3:45" ht="30" thickTop="1" thickBot="1">
      <c r="C13" s="772">
        <f t="shared" si="14"/>
        <v>44871</v>
      </c>
      <c r="D13" s="790">
        <f>'6'!T52</f>
        <v>0</v>
      </c>
      <c r="E13" s="783">
        <v>190</v>
      </c>
      <c r="F13" s="800">
        <f t="shared" si="0"/>
        <v>0</v>
      </c>
      <c r="G13" s="807">
        <f>'6'!U52</f>
        <v>0</v>
      </c>
      <c r="H13" s="129">
        <v>190</v>
      </c>
      <c r="I13" s="791">
        <f t="shared" si="1"/>
        <v>0</v>
      </c>
      <c r="J13" s="778">
        <f>'6'!V52</f>
        <v>0</v>
      </c>
      <c r="K13" s="201">
        <v>210</v>
      </c>
      <c r="L13" s="241">
        <f t="shared" si="2"/>
        <v>0</v>
      </c>
      <c r="M13" s="607">
        <f>'6'!W52</f>
        <v>0</v>
      </c>
      <c r="N13" s="201">
        <v>90</v>
      </c>
      <c r="O13" s="241">
        <f t="shared" si="3"/>
        <v>0</v>
      </c>
      <c r="P13" s="197">
        <v>0</v>
      </c>
      <c r="Q13" s="129">
        <v>180</v>
      </c>
      <c r="R13" s="78">
        <f t="shared" si="4"/>
        <v>0</v>
      </c>
      <c r="S13" s="78">
        <v>0</v>
      </c>
      <c r="T13" s="129">
        <v>90</v>
      </c>
      <c r="U13" s="78">
        <f t="shared" si="11"/>
        <v>0</v>
      </c>
      <c r="V13" s="78">
        <v>0</v>
      </c>
      <c r="W13" s="129">
        <v>95</v>
      </c>
      <c r="X13" s="78">
        <f t="shared" si="12"/>
        <v>0</v>
      </c>
      <c r="Y13" s="607">
        <f>'6'!X52</f>
        <v>0</v>
      </c>
      <c r="Z13" s="201">
        <v>90</v>
      </c>
      <c r="AA13" s="241">
        <f t="shared" si="15"/>
        <v>0</v>
      </c>
      <c r="AB13" s="607">
        <f>'6'!AB52</f>
        <v>0</v>
      </c>
      <c r="AC13" s="201">
        <v>75</v>
      </c>
      <c r="AD13" s="241">
        <f t="shared" si="16"/>
        <v>0</v>
      </c>
      <c r="AE13" s="607">
        <f>'6'!AC52</f>
        <v>0</v>
      </c>
      <c r="AF13" s="201">
        <v>360</v>
      </c>
      <c r="AG13" s="241">
        <f t="shared" si="17"/>
        <v>0</v>
      </c>
      <c r="AH13" s="607">
        <f>'6'!AD52</f>
        <v>0</v>
      </c>
      <c r="AI13" s="201">
        <v>360</v>
      </c>
      <c r="AJ13" s="241">
        <f t="shared" si="18"/>
        <v>0</v>
      </c>
      <c r="AK13" s="608">
        <f>'6'!AE52</f>
        <v>0</v>
      </c>
      <c r="AL13" s="201">
        <v>360</v>
      </c>
      <c r="AM13" s="241">
        <f t="shared" si="19"/>
        <v>0</v>
      </c>
      <c r="AN13" s="616">
        <f t="shared" si="10"/>
        <v>0</v>
      </c>
      <c r="AQ13">
        <f t="shared" si="13"/>
        <v>0</v>
      </c>
    </row>
    <row r="14" spans="3:45" ht="30" thickTop="1" thickBot="1">
      <c r="C14" s="772">
        <f t="shared" si="14"/>
        <v>44872</v>
      </c>
      <c r="D14" s="790">
        <f>'7'!T52</f>
        <v>0</v>
      </c>
      <c r="E14" s="783">
        <v>190</v>
      </c>
      <c r="F14" s="800">
        <f t="shared" si="0"/>
        <v>0</v>
      </c>
      <c r="G14" s="807">
        <f>'7'!U52</f>
        <v>0</v>
      </c>
      <c r="H14" s="129">
        <v>190</v>
      </c>
      <c r="I14" s="791">
        <f t="shared" si="1"/>
        <v>0</v>
      </c>
      <c r="J14" s="778">
        <f>'7'!V52</f>
        <v>0</v>
      </c>
      <c r="K14" s="201">
        <v>210</v>
      </c>
      <c r="L14" s="241">
        <f t="shared" si="2"/>
        <v>0</v>
      </c>
      <c r="M14" s="607">
        <f>'7'!W52</f>
        <v>0</v>
      </c>
      <c r="N14" s="201">
        <v>90</v>
      </c>
      <c r="O14" s="241">
        <f t="shared" si="3"/>
        <v>0</v>
      </c>
      <c r="P14" s="197">
        <v>0</v>
      </c>
      <c r="Q14" s="129">
        <v>180</v>
      </c>
      <c r="R14" s="78">
        <f t="shared" si="4"/>
        <v>0</v>
      </c>
      <c r="S14" s="78">
        <v>0</v>
      </c>
      <c r="T14" s="129">
        <v>90</v>
      </c>
      <c r="U14" s="78">
        <f t="shared" si="11"/>
        <v>0</v>
      </c>
      <c r="V14" s="78">
        <v>0</v>
      </c>
      <c r="W14" s="129">
        <v>95</v>
      </c>
      <c r="X14" s="78">
        <f t="shared" si="12"/>
        <v>0</v>
      </c>
      <c r="Y14" s="607">
        <f>'7'!X52</f>
        <v>0</v>
      </c>
      <c r="Z14" s="201">
        <v>90</v>
      </c>
      <c r="AA14" s="241">
        <f t="shared" si="15"/>
        <v>0</v>
      </c>
      <c r="AB14" s="607">
        <f>'7'!AB52</f>
        <v>0</v>
      </c>
      <c r="AC14" s="201">
        <v>27</v>
      </c>
      <c r="AD14" s="241">
        <f t="shared" si="16"/>
        <v>0</v>
      </c>
      <c r="AE14" s="607">
        <f>'7'!AC52</f>
        <v>0</v>
      </c>
      <c r="AF14" s="201">
        <v>360</v>
      </c>
      <c r="AG14" s="241">
        <f t="shared" si="17"/>
        <v>0</v>
      </c>
      <c r="AH14" s="607">
        <f>'7'!AF52</f>
        <v>0</v>
      </c>
      <c r="AI14" s="201">
        <v>375</v>
      </c>
      <c r="AJ14" s="241">
        <f t="shared" si="18"/>
        <v>0</v>
      </c>
      <c r="AK14" s="608">
        <f>'7'!AE52</f>
        <v>0</v>
      </c>
      <c r="AL14" s="201">
        <v>360</v>
      </c>
      <c r="AM14" s="241">
        <f t="shared" si="19"/>
        <v>0</v>
      </c>
      <c r="AN14" s="616">
        <f t="shared" si="10"/>
        <v>0</v>
      </c>
      <c r="AP14">
        <v>61.22</v>
      </c>
      <c r="AQ14">
        <f t="shared" si="13"/>
        <v>32446.6</v>
      </c>
    </row>
    <row r="15" spans="3:45" ht="30" thickTop="1" thickBot="1">
      <c r="C15" s="772">
        <f t="shared" si="14"/>
        <v>44873</v>
      </c>
      <c r="D15" s="790">
        <f>'8'!T52</f>
        <v>0</v>
      </c>
      <c r="E15" s="783">
        <v>190</v>
      </c>
      <c r="F15" s="800">
        <f t="shared" si="0"/>
        <v>0</v>
      </c>
      <c r="G15" s="807">
        <f>'8'!U52</f>
        <v>0</v>
      </c>
      <c r="H15" s="129">
        <v>190</v>
      </c>
      <c r="I15" s="791">
        <f t="shared" si="1"/>
        <v>0</v>
      </c>
      <c r="J15" s="778">
        <f>'8'!V52</f>
        <v>0</v>
      </c>
      <c r="K15" s="201">
        <v>210</v>
      </c>
      <c r="L15" s="241">
        <f t="shared" si="2"/>
        <v>0</v>
      </c>
      <c r="M15" s="607">
        <f>'8'!W52</f>
        <v>0</v>
      </c>
      <c r="N15" s="201">
        <v>90</v>
      </c>
      <c r="O15" s="241">
        <f t="shared" si="3"/>
        <v>0</v>
      </c>
      <c r="P15" s="197">
        <v>0</v>
      </c>
      <c r="Q15" s="129">
        <v>180</v>
      </c>
      <c r="R15" s="78">
        <f t="shared" si="4"/>
        <v>0</v>
      </c>
      <c r="S15" s="78">
        <v>0</v>
      </c>
      <c r="T15" s="129">
        <v>90</v>
      </c>
      <c r="U15" s="78">
        <f t="shared" si="11"/>
        <v>0</v>
      </c>
      <c r="V15" s="78">
        <v>0</v>
      </c>
      <c r="W15" s="129">
        <v>95</v>
      </c>
      <c r="X15" s="78">
        <f t="shared" si="12"/>
        <v>0</v>
      </c>
      <c r="Y15" s="607">
        <v>355</v>
      </c>
      <c r="Z15" s="201">
        <v>75</v>
      </c>
      <c r="AA15" s="241">
        <f t="shared" si="15"/>
        <v>26625</v>
      </c>
      <c r="AB15" s="607">
        <v>2095</v>
      </c>
      <c r="AC15" s="201">
        <v>75</v>
      </c>
      <c r="AD15" s="241">
        <f t="shared" si="16"/>
        <v>157125</v>
      </c>
      <c r="AE15" s="607">
        <f>'8'!AC52</f>
        <v>0</v>
      </c>
      <c r="AF15" s="201">
        <v>360</v>
      </c>
      <c r="AG15" s="241">
        <f t="shared" si="17"/>
        <v>0</v>
      </c>
      <c r="AH15" s="607">
        <v>110</v>
      </c>
      <c r="AI15" s="201">
        <v>360</v>
      </c>
      <c r="AJ15" s="241">
        <f t="shared" si="18"/>
        <v>39600</v>
      </c>
      <c r="AK15" s="608">
        <f>'8'!AE52</f>
        <v>0</v>
      </c>
      <c r="AL15" s="201">
        <v>360</v>
      </c>
      <c r="AM15" s="241">
        <f t="shared" si="19"/>
        <v>0</v>
      </c>
      <c r="AN15" s="616">
        <f t="shared" si="10"/>
        <v>223350</v>
      </c>
      <c r="AP15">
        <v>26.32</v>
      </c>
      <c r="AQ15">
        <f t="shared" si="13"/>
        <v>13949.6</v>
      </c>
    </row>
    <row r="16" spans="3:45" ht="30" thickTop="1" thickBot="1">
      <c r="C16" s="772">
        <f t="shared" si="14"/>
        <v>44874</v>
      </c>
      <c r="D16" s="790">
        <f>'9'!T52</f>
        <v>0</v>
      </c>
      <c r="E16" s="783">
        <v>190</v>
      </c>
      <c r="F16" s="800">
        <f t="shared" si="0"/>
        <v>0</v>
      </c>
      <c r="G16" s="807">
        <f>'9'!U52</f>
        <v>0</v>
      </c>
      <c r="H16" s="129">
        <v>190</v>
      </c>
      <c r="I16" s="791">
        <f t="shared" si="1"/>
        <v>0</v>
      </c>
      <c r="J16" s="778">
        <f>'9'!V52</f>
        <v>0</v>
      </c>
      <c r="K16" s="201">
        <v>210</v>
      </c>
      <c r="L16" s="241">
        <f t="shared" si="2"/>
        <v>0</v>
      </c>
      <c r="M16" s="607">
        <f>'9'!W52</f>
        <v>0</v>
      </c>
      <c r="N16" s="201">
        <v>90</v>
      </c>
      <c r="O16" s="241">
        <f t="shared" si="3"/>
        <v>0</v>
      </c>
      <c r="P16" s="197">
        <v>0</v>
      </c>
      <c r="Q16" s="129">
        <v>180</v>
      </c>
      <c r="R16" s="78">
        <f t="shared" si="4"/>
        <v>0</v>
      </c>
      <c r="S16" s="78">
        <v>0</v>
      </c>
      <c r="T16" s="129">
        <v>90</v>
      </c>
      <c r="U16" s="78">
        <f t="shared" si="11"/>
        <v>0</v>
      </c>
      <c r="V16" s="78">
        <v>0</v>
      </c>
      <c r="W16" s="129">
        <v>95</v>
      </c>
      <c r="X16" s="78">
        <f t="shared" si="12"/>
        <v>0</v>
      </c>
      <c r="Y16" s="607">
        <f>'9'!X52</f>
        <v>0</v>
      </c>
      <c r="Z16" s="201">
        <v>90</v>
      </c>
      <c r="AA16" s="241">
        <f t="shared" si="15"/>
        <v>0</v>
      </c>
      <c r="AB16" s="607">
        <f>'9'!AB52</f>
        <v>0</v>
      </c>
      <c r="AC16" s="201">
        <v>27</v>
      </c>
      <c r="AD16" s="241">
        <f t="shared" si="16"/>
        <v>0</v>
      </c>
      <c r="AE16" s="607">
        <f>'9'!AC52</f>
        <v>0</v>
      </c>
      <c r="AF16" s="201">
        <v>360</v>
      </c>
      <c r="AG16" s="241">
        <f t="shared" si="17"/>
        <v>0</v>
      </c>
      <c r="AH16" s="607">
        <f>'9'!AD52</f>
        <v>0</v>
      </c>
      <c r="AI16" s="201">
        <v>360</v>
      </c>
      <c r="AJ16" s="241">
        <f t="shared" si="18"/>
        <v>0</v>
      </c>
      <c r="AK16" s="608">
        <f>'9'!AE52</f>
        <v>0</v>
      </c>
      <c r="AL16" s="201">
        <v>360</v>
      </c>
      <c r="AM16" s="241">
        <f t="shared" si="19"/>
        <v>0</v>
      </c>
      <c r="AN16" s="616">
        <f t="shared" si="10"/>
        <v>0</v>
      </c>
      <c r="AQ16">
        <f t="shared" si="13"/>
        <v>0</v>
      </c>
    </row>
    <row r="17" spans="3:43" ht="30" thickTop="1" thickBot="1">
      <c r="C17" s="772">
        <f t="shared" si="14"/>
        <v>44875</v>
      </c>
      <c r="D17" s="790">
        <f>'10'!T52</f>
        <v>0</v>
      </c>
      <c r="E17" s="783">
        <v>190</v>
      </c>
      <c r="F17" s="800">
        <f t="shared" si="0"/>
        <v>0</v>
      </c>
      <c r="G17" s="807">
        <f>'10'!U52</f>
        <v>0</v>
      </c>
      <c r="H17" s="129">
        <v>190</v>
      </c>
      <c r="I17" s="791">
        <f t="shared" si="1"/>
        <v>0</v>
      </c>
      <c r="J17" s="778">
        <f>'10'!V52</f>
        <v>0</v>
      </c>
      <c r="K17" s="201">
        <v>210</v>
      </c>
      <c r="L17" s="241">
        <f t="shared" si="2"/>
        <v>0</v>
      </c>
      <c r="M17" s="607">
        <f>'10'!W52</f>
        <v>0</v>
      </c>
      <c r="N17" s="201">
        <v>90</v>
      </c>
      <c r="O17" s="241">
        <f t="shared" si="3"/>
        <v>0</v>
      </c>
      <c r="P17" s="197">
        <v>0</v>
      </c>
      <c r="Q17" s="129">
        <v>180</v>
      </c>
      <c r="R17" s="78">
        <f t="shared" si="4"/>
        <v>0</v>
      </c>
      <c r="S17" s="78">
        <v>0</v>
      </c>
      <c r="T17" s="129">
        <v>90</v>
      </c>
      <c r="U17" s="78">
        <f t="shared" si="11"/>
        <v>0</v>
      </c>
      <c r="V17" s="78">
        <v>0</v>
      </c>
      <c r="W17" s="129">
        <v>95</v>
      </c>
      <c r="X17" s="78">
        <f t="shared" si="12"/>
        <v>0</v>
      </c>
      <c r="Y17" s="607">
        <f>'10'!X52</f>
        <v>0</v>
      </c>
      <c r="Z17" s="201">
        <v>90</v>
      </c>
      <c r="AA17" s="241">
        <f t="shared" si="15"/>
        <v>0</v>
      </c>
      <c r="AB17" s="607">
        <f>'10'!AB52</f>
        <v>0</v>
      </c>
      <c r="AC17" s="201">
        <v>27</v>
      </c>
      <c r="AD17" s="241">
        <f t="shared" si="16"/>
        <v>0</v>
      </c>
      <c r="AE17" s="607">
        <f>'10'!AC52</f>
        <v>0</v>
      </c>
      <c r="AF17" s="201">
        <v>360</v>
      </c>
      <c r="AG17" s="241">
        <f t="shared" si="17"/>
        <v>0</v>
      </c>
      <c r="AH17" s="607">
        <f>'10'!AD52</f>
        <v>0</v>
      </c>
      <c r="AI17" s="201">
        <v>360</v>
      </c>
      <c r="AJ17" s="241">
        <f t="shared" si="18"/>
        <v>0</v>
      </c>
      <c r="AK17" s="608">
        <f>'10'!AE52</f>
        <v>0</v>
      </c>
      <c r="AL17" s="201">
        <v>360</v>
      </c>
      <c r="AM17" s="241">
        <f t="shared" si="19"/>
        <v>0</v>
      </c>
      <c r="AN17" s="616">
        <f t="shared" si="10"/>
        <v>0</v>
      </c>
      <c r="AQ17">
        <f t="shared" si="13"/>
        <v>0</v>
      </c>
    </row>
    <row r="18" spans="3:43" ht="30" thickTop="1" thickBot="1">
      <c r="C18" s="772">
        <f t="shared" si="14"/>
        <v>44876</v>
      </c>
      <c r="D18" s="790">
        <f>'11'!T52</f>
        <v>0</v>
      </c>
      <c r="E18" s="783">
        <v>190</v>
      </c>
      <c r="F18" s="800">
        <f t="shared" si="0"/>
        <v>0</v>
      </c>
      <c r="G18" s="807">
        <f>'11'!U52</f>
        <v>0</v>
      </c>
      <c r="H18" s="129">
        <v>190</v>
      </c>
      <c r="I18" s="791">
        <f t="shared" si="1"/>
        <v>0</v>
      </c>
      <c r="J18" s="778">
        <f>'11'!V52</f>
        <v>0</v>
      </c>
      <c r="K18" s="201">
        <v>210</v>
      </c>
      <c r="L18" s="241">
        <f t="shared" si="2"/>
        <v>0</v>
      </c>
      <c r="M18" s="607">
        <f>'11'!W52</f>
        <v>0</v>
      </c>
      <c r="N18" s="201">
        <v>90</v>
      </c>
      <c r="O18" s="241">
        <f t="shared" si="3"/>
        <v>0</v>
      </c>
      <c r="P18" s="197">
        <v>0</v>
      </c>
      <c r="Q18" s="129">
        <v>180</v>
      </c>
      <c r="R18" s="78">
        <f t="shared" si="4"/>
        <v>0</v>
      </c>
      <c r="S18" s="78">
        <v>0</v>
      </c>
      <c r="T18" s="129">
        <v>90</v>
      </c>
      <c r="U18" s="78">
        <f t="shared" si="11"/>
        <v>0</v>
      </c>
      <c r="V18" s="78">
        <v>0</v>
      </c>
      <c r="W18" s="129">
        <v>95</v>
      </c>
      <c r="X18" s="78">
        <f t="shared" si="12"/>
        <v>0</v>
      </c>
      <c r="Y18" s="607">
        <f>'11'!X52</f>
        <v>0</v>
      </c>
      <c r="Z18" s="201">
        <v>90</v>
      </c>
      <c r="AA18" s="241">
        <f t="shared" si="15"/>
        <v>0</v>
      </c>
      <c r="AB18" s="607">
        <f>'11'!AB52</f>
        <v>0</v>
      </c>
      <c r="AC18" s="201">
        <v>27</v>
      </c>
      <c r="AD18" s="241">
        <f t="shared" si="16"/>
        <v>0</v>
      </c>
      <c r="AE18" s="607">
        <f>'11'!AC52</f>
        <v>0</v>
      </c>
      <c r="AF18" s="201">
        <v>360</v>
      </c>
      <c r="AG18" s="241">
        <f t="shared" si="17"/>
        <v>0</v>
      </c>
      <c r="AH18" s="607">
        <f>'11'!AD52</f>
        <v>0</v>
      </c>
      <c r="AI18" s="201">
        <v>360</v>
      </c>
      <c r="AJ18" s="241">
        <f t="shared" si="18"/>
        <v>0</v>
      </c>
      <c r="AK18" s="608">
        <f>'11'!AE52</f>
        <v>0</v>
      </c>
      <c r="AL18" s="201">
        <v>360</v>
      </c>
      <c r="AM18" s="241">
        <f t="shared" si="19"/>
        <v>0</v>
      </c>
      <c r="AN18" s="616">
        <f t="shared" si="10"/>
        <v>0</v>
      </c>
      <c r="AP18">
        <v>43.134999999999998</v>
      </c>
      <c r="AQ18">
        <f t="shared" si="13"/>
        <v>22861.55</v>
      </c>
    </row>
    <row r="19" spans="3:43" ht="30" thickTop="1" thickBot="1">
      <c r="C19" s="772">
        <f t="shared" si="14"/>
        <v>44877</v>
      </c>
      <c r="D19" s="790">
        <f>'12'!T52</f>
        <v>0</v>
      </c>
      <c r="E19" s="783">
        <v>190</v>
      </c>
      <c r="F19" s="800">
        <f t="shared" si="0"/>
        <v>0</v>
      </c>
      <c r="G19" s="807">
        <f>'12'!U52</f>
        <v>0</v>
      </c>
      <c r="H19" s="129">
        <v>190</v>
      </c>
      <c r="I19" s="791">
        <f t="shared" si="1"/>
        <v>0</v>
      </c>
      <c r="J19" s="778">
        <f>'12'!V52</f>
        <v>0</v>
      </c>
      <c r="K19" s="201">
        <v>210</v>
      </c>
      <c r="L19" s="241">
        <f t="shared" si="2"/>
        <v>0</v>
      </c>
      <c r="M19" s="607">
        <f>'12'!W52</f>
        <v>0</v>
      </c>
      <c r="N19" s="201">
        <v>90</v>
      </c>
      <c r="O19" s="241">
        <f t="shared" si="3"/>
        <v>0</v>
      </c>
      <c r="P19" s="197">
        <v>0</v>
      </c>
      <c r="Q19" s="129">
        <v>180</v>
      </c>
      <c r="R19" s="78">
        <f t="shared" si="4"/>
        <v>0</v>
      </c>
      <c r="S19" s="78">
        <v>0</v>
      </c>
      <c r="T19" s="129">
        <v>90</v>
      </c>
      <c r="U19" s="78">
        <f t="shared" si="11"/>
        <v>0</v>
      </c>
      <c r="V19" s="78">
        <v>0</v>
      </c>
      <c r="W19" s="129">
        <v>95</v>
      </c>
      <c r="X19" s="78">
        <f t="shared" si="12"/>
        <v>0</v>
      </c>
      <c r="Y19" s="607">
        <f>'12'!X52</f>
        <v>0</v>
      </c>
      <c r="Z19" s="201">
        <v>90</v>
      </c>
      <c r="AA19" s="241">
        <f t="shared" si="15"/>
        <v>0</v>
      </c>
      <c r="AB19" s="607">
        <v>2160</v>
      </c>
      <c r="AC19" s="201">
        <v>75</v>
      </c>
      <c r="AD19" s="241">
        <f t="shared" si="16"/>
        <v>162000</v>
      </c>
      <c r="AE19" s="607">
        <f>'12'!AC52</f>
        <v>0</v>
      </c>
      <c r="AF19" s="201">
        <v>360</v>
      </c>
      <c r="AG19" s="241">
        <f t="shared" si="17"/>
        <v>0</v>
      </c>
      <c r="AH19" s="607">
        <f>'12'!AD52</f>
        <v>0</v>
      </c>
      <c r="AI19" s="201">
        <v>360</v>
      </c>
      <c r="AJ19" s="241">
        <f t="shared" si="18"/>
        <v>0</v>
      </c>
      <c r="AK19" s="608">
        <f>'12'!AE52</f>
        <v>0</v>
      </c>
      <c r="AL19" s="201">
        <v>360</v>
      </c>
      <c r="AM19" s="241">
        <f t="shared" si="19"/>
        <v>0</v>
      </c>
      <c r="AN19" s="616">
        <f t="shared" si="10"/>
        <v>162000</v>
      </c>
      <c r="AO19">
        <f>68000+116000</f>
        <v>184000</v>
      </c>
      <c r="AP19">
        <v>84.64</v>
      </c>
      <c r="AQ19">
        <f t="shared" si="13"/>
        <v>44859.199999999997</v>
      </c>
    </row>
    <row r="20" spans="3:43" ht="30" thickTop="1" thickBot="1">
      <c r="C20" s="772">
        <f t="shared" si="14"/>
        <v>44878</v>
      </c>
      <c r="D20" s="790">
        <f>'13'!T52</f>
        <v>0</v>
      </c>
      <c r="E20" s="783">
        <v>190</v>
      </c>
      <c r="F20" s="800">
        <f t="shared" si="0"/>
        <v>0</v>
      </c>
      <c r="G20" s="807">
        <f>'13'!U52</f>
        <v>0</v>
      </c>
      <c r="H20" s="129">
        <v>190</v>
      </c>
      <c r="I20" s="791">
        <f t="shared" si="1"/>
        <v>0</v>
      </c>
      <c r="J20" s="778">
        <f>'13'!V52</f>
        <v>0</v>
      </c>
      <c r="K20" s="201">
        <v>210</v>
      </c>
      <c r="L20" s="241">
        <f t="shared" si="2"/>
        <v>0</v>
      </c>
      <c r="M20" s="607">
        <f>'13'!W52</f>
        <v>0</v>
      </c>
      <c r="N20" s="201">
        <v>90</v>
      </c>
      <c r="O20" s="241">
        <f t="shared" si="3"/>
        <v>0</v>
      </c>
      <c r="P20" s="197">
        <v>0</v>
      </c>
      <c r="Q20" s="129">
        <v>180</v>
      </c>
      <c r="R20" s="78">
        <f t="shared" si="4"/>
        <v>0</v>
      </c>
      <c r="S20" s="78">
        <v>0</v>
      </c>
      <c r="T20" s="129">
        <v>90</v>
      </c>
      <c r="U20" s="78">
        <f t="shared" si="11"/>
        <v>0</v>
      </c>
      <c r="V20" s="128">
        <v>0</v>
      </c>
      <c r="W20" s="129">
        <v>95</v>
      </c>
      <c r="X20" s="78">
        <f t="shared" si="12"/>
        <v>0</v>
      </c>
      <c r="Y20" s="607">
        <f>'13'!X52</f>
        <v>0</v>
      </c>
      <c r="Z20" s="201">
        <v>90</v>
      </c>
      <c r="AA20" s="241">
        <f t="shared" si="15"/>
        <v>0</v>
      </c>
      <c r="AB20" s="607"/>
      <c r="AC20" s="201">
        <v>27</v>
      </c>
      <c r="AD20" s="241">
        <f t="shared" si="16"/>
        <v>0</v>
      </c>
      <c r="AE20" s="607">
        <f>'13'!AC52</f>
        <v>0</v>
      </c>
      <c r="AF20" s="201">
        <v>360</v>
      </c>
      <c r="AG20" s="241">
        <f t="shared" si="17"/>
        <v>0</v>
      </c>
      <c r="AH20" s="607">
        <f>'13'!AD52</f>
        <v>0</v>
      </c>
      <c r="AI20" s="201">
        <v>360</v>
      </c>
      <c r="AJ20" s="241">
        <f t="shared" si="18"/>
        <v>0</v>
      </c>
      <c r="AK20" s="608">
        <f>'13'!AE52</f>
        <v>0</v>
      </c>
      <c r="AL20" s="201">
        <v>360</v>
      </c>
      <c r="AM20" s="241">
        <f t="shared" si="19"/>
        <v>0</v>
      </c>
      <c r="AN20" s="616">
        <f t="shared" si="10"/>
        <v>0</v>
      </c>
      <c r="AQ20">
        <f t="shared" si="13"/>
        <v>0</v>
      </c>
    </row>
    <row r="21" spans="3:43" ht="30" thickTop="1" thickBot="1">
      <c r="C21" s="772">
        <f t="shared" si="14"/>
        <v>44879</v>
      </c>
      <c r="D21" s="790">
        <f>'14'!T52</f>
        <v>0</v>
      </c>
      <c r="E21" s="783">
        <v>190</v>
      </c>
      <c r="F21" s="800">
        <f t="shared" si="0"/>
        <v>0</v>
      </c>
      <c r="G21" s="807">
        <f>'14'!U52</f>
        <v>0</v>
      </c>
      <c r="H21" s="129">
        <v>190</v>
      </c>
      <c r="I21" s="791">
        <f t="shared" si="1"/>
        <v>0</v>
      </c>
      <c r="J21" s="778">
        <f>'14'!V52</f>
        <v>0</v>
      </c>
      <c r="K21" s="201">
        <v>210</v>
      </c>
      <c r="L21" s="241">
        <f t="shared" si="2"/>
        <v>0</v>
      </c>
      <c r="M21" s="607">
        <f>'14'!W52</f>
        <v>0</v>
      </c>
      <c r="N21" s="201">
        <v>90</v>
      </c>
      <c r="O21" s="241">
        <f t="shared" si="3"/>
        <v>0</v>
      </c>
      <c r="P21" s="197">
        <v>0</v>
      </c>
      <c r="Q21" s="129">
        <v>180</v>
      </c>
      <c r="R21" s="78">
        <f t="shared" si="4"/>
        <v>0</v>
      </c>
      <c r="S21" s="78">
        <v>0</v>
      </c>
      <c r="T21" s="129">
        <v>90</v>
      </c>
      <c r="U21" s="78">
        <f t="shared" si="11"/>
        <v>0</v>
      </c>
      <c r="V21" s="128">
        <v>0</v>
      </c>
      <c r="W21" s="129">
        <v>95</v>
      </c>
      <c r="X21" s="78">
        <f t="shared" si="12"/>
        <v>0</v>
      </c>
      <c r="Y21" s="607">
        <f>'14'!X52</f>
        <v>0</v>
      </c>
      <c r="Z21" s="201">
        <v>90</v>
      </c>
      <c r="AA21" s="241">
        <f t="shared" si="15"/>
        <v>0</v>
      </c>
      <c r="AB21" s="607">
        <v>2300</v>
      </c>
      <c r="AC21" s="201">
        <v>75</v>
      </c>
      <c r="AD21" s="241">
        <f t="shared" si="16"/>
        <v>172500</v>
      </c>
      <c r="AE21" s="607">
        <f>'14'!AC52</f>
        <v>0</v>
      </c>
      <c r="AF21" s="201">
        <v>360</v>
      </c>
      <c r="AG21" s="241">
        <f t="shared" si="17"/>
        <v>0</v>
      </c>
      <c r="AH21" s="607">
        <f>'14'!AD52</f>
        <v>0</v>
      </c>
      <c r="AI21" s="201">
        <v>360</v>
      </c>
      <c r="AJ21" s="241">
        <f t="shared" si="18"/>
        <v>0</v>
      </c>
      <c r="AK21" s="608">
        <f>'14'!AE52</f>
        <v>0</v>
      </c>
      <c r="AL21" s="201">
        <v>360</v>
      </c>
      <c r="AM21" s="241">
        <f t="shared" si="19"/>
        <v>0</v>
      </c>
      <c r="AN21" s="616">
        <f t="shared" si="10"/>
        <v>172500</v>
      </c>
      <c r="AO21">
        <v>105200</v>
      </c>
      <c r="AP21">
        <v>67.069999999999993</v>
      </c>
      <c r="AQ21">
        <f t="shared" si="13"/>
        <v>35547.1</v>
      </c>
    </row>
    <row r="22" spans="3:43" ht="30" thickTop="1" thickBot="1">
      <c r="C22" s="772">
        <f t="shared" si="14"/>
        <v>44880</v>
      </c>
      <c r="D22" s="790">
        <f>'15'!T52</f>
        <v>0</v>
      </c>
      <c r="E22" s="783">
        <v>190</v>
      </c>
      <c r="F22" s="800">
        <f t="shared" si="0"/>
        <v>0</v>
      </c>
      <c r="G22" s="807">
        <f>'15'!U52</f>
        <v>0</v>
      </c>
      <c r="H22" s="129">
        <v>190</v>
      </c>
      <c r="I22" s="791">
        <f t="shared" si="1"/>
        <v>0</v>
      </c>
      <c r="J22" s="778">
        <f>'15'!V52</f>
        <v>0</v>
      </c>
      <c r="K22" s="201">
        <v>210</v>
      </c>
      <c r="L22" s="241">
        <f t="shared" si="2"/>
        <v>0</v>
      </c>
      <c r="M22" s="607">
        <f>'15'!W52</f>
        <v>0</v>
      </c>
      <c r="N22" s="201">
        <v>90</v>
      </c>
      <c r="O22" s="241">
        <f t="shared" ref="O22:O38" si="20">M22*N22</f>
        <v>0</v>
      </c>
      <c r="P22" s="197">
        <v>0</v>
      </c>
      <c r="Q22" s="129">
        <v>180</v>
      </c>
      <c r="R22" s="78">
        <f t="shared" si="4"/>
        <v>0</v>
      </c>
      <c r="S22" s="78">
        <v>0</v>
      </c>
      <c r="T22" s="129">
        <v>90</v>
      </c>
      <c r="U22" s="78">
        <f t="shared" si="11"/>
        <v>0</v>
      </c>
      <c r="V22" s="128">
        <v>0</v>
      </c>
      <c r="W22" s="129">
        <v>95</v>
      </c>
      <c r="X22" s="78">
        <f t="shared" si="12"/>
        <v>0</v>
      </c>
      <c r="Y22" s="607">
        <f>'15'!X52</f>
        <v>0</v>
      </c>
      <c r="Z22" s="201">
        <v>90</v>
      </c>
      <c r="AA22" s="241">
        <f t="shared" si="15"/>
        <v>0</v>
      </c>
      <c r="AB22" s="607">
        <f>'15'!AB52</f>
        <v>0</v>
      </c>
      <c r="AC22" s="201">
        <v>27</v>
      </c>
      <c r="AD22" s="241">
        <f t="shared" si="16"/>
        <v>0</v>
      </c>
      <c r="AE22" s="607">
        <f>'15'!AC52</f>
        <v>0</v>
      </c>
      <c r="AF22" s="201">
        <v>360</v>
      </c>
      <c r="AG22" s="241">
        <f t="shared" si="17"/>
        <v>0</v>
      </c>
      <c r="AH22" s="607">
        <f>'15'!AD52</f>
        <v>0</v>
      </c>
      <c r="AI22" s="201">
        <v>360</v>
      </c>
      <c r="AJ22" s="241">
        <f t="shared" si="18"/>
        <v>0</v>
      </c>
      <c r="AK22" s="608">
        <f>'15'!AE52</f>
        <v>0</v>
      </c>
      <c r="AL22" s="201">
        <v>360</v>
      </c>
      <c r="AM22" s="241">
        <f t="shared" si="19"/>
        <v>0</v>
      </c>
      <c r="AN22" s="616">
        <f t="shared" si="10"/>
        <v>0</v>
      </c>
      <c r="AO22">
        <v>5000</v>
      </c>
      <c r="AQ22">
        <f t="shared" si="13"/>
        <v>0</v>
      </c>
    </row>
    <row r="23" spans="3:43" ht="30" thickTop="1" thickBot="1">
      <c r="C23" s="773">
        <f t="shared" si="14"/>
        <v>44881</v>
      </c>
      <c r="D23" s="790">
        <f>'16'!T52</f>
        <v>0</v>
      </c>
      <c r="E23" s="783">
        <v>190</v>
      </c>
      <c r="F23" s="800">
        <f t="shared" si="0"/>
        <v>0</v>
      </c>
      <c r="G23" s="807">
        <f>'16'!U52</f>
        <v>0</v>
      </c>
      <c r="H23" s="129">
        <v>190</v>
      </c>
      <c r="I23" s="791">
        <f t="shared" si="1"/>
        <v>0</v>
      </c>
      <c r="J23" s="778">
        <f>'16'!V52</f>
        <v>0</v>
      </c>
      <c r="K23" s="201">
        <v>210</v>
      </c>
      <c r="L23" s="241">
        <f t="shared" si="2"/>
        <v>0</v>
      </c>
      <c r="M23" s="607">
        <f>'16'!W52</f>
        <v>0</v>
      </c>
      <c r="N23" s="201">
        <v>90</v>
      </c>
      <c r="O23" s="241">
        <f t="shared" si="20"/>
        <v>0</v>
      </c>
      <c r="P23" s="197">
        <v>0</v>
      </c>
      <c r="Q23" s="129">
        <v>180</v>
      </c>
      <c r="R23" s="78">
        <f t="shared" si="4"/>
        <v>0</v>
      </c>
      <c r="S23" s="78">
        <v>0</v>
      </c>
      <c r="T23" s="129">
        <v>90</v>
      </c>
      <c r="U23" s="78">
        <f t="shared" si="11"/>
        <v>0</v>
      </c>
      <c r="V23" s="128">
        <v>0</v>
      </c>
      <c r="W23" s="129">
        <v>95</v>
      </c>
      <c r="X23" s="78">
        <f t="shared" si="12"/>
        <v>0</v>
      </c>
      <c r="Y23" s="607">
        <f>'16'!X52</f>
        <v>0</v>
      </c>
      <c r="Z23" s="201">
        <v>90</v>
      </c>
      <c r="AA23" s="241">
        <f t="shared" si="15"/>
        <v>0</v>
      </c>
      <c r="AB23" s="607">
        <v>2200</v>
      </c>
      <c r="AC23" s="201">
        <v>75</v>
      </c>
      <c r="AD23" s="241">
        <f t="shared" si="16"/>
        <v>165000</v>
      </c>
      <c r="AE23" s="607">
        <f>'16'!AC52</f>
        <v>0</v>
      </c>
      <c r="AF23" s="201">
        <v>360</v>
      </c>
      <c r="AG23" s="241">
        <f t="shared" si="17"/>
        <v>0</v>
      </c>
      <c r="AH23" s="607">
        <f>'16'!AD52</f>
        <v>0</v>
      </c>
      <c r="AI23" s="201">
        <v>360</v>
      </c>
      <c r="AJ23" s="241">
        <f t="shared" si="18"/>
        <v>0</v>
      </c>
      <c r="AK23" s="608">
        <f>'16'!AE52</f>
        <v>0</v>
      </c>
      <c r="AL23" s="201">
        <v>360</v>
      </c>
      <c r="AM23" s="241">
        <f t="shared" si="19"/>
        <v>0</v>
      </c>
      <c r="AN23" s="616">
        <f t="shared" si="10"/>
        <v>165000</v>
      </c>
      <c r="AP23">
        <v>41.32</v>
      </c>
      <c r="AQ23">
        <f t="shared" si="13"/>
        <v>21899.599999999999</v>
      </c>
    </row>
    <row r="24" spans="3:43" ht="30" thickTop="1" thickBot="1">
      <c r="C24" s="773">
        <f t="shared" si="14"/>
        <v>44882</v>
      </c>
      <c r="D24" s="790">
        <f>'17'!T52</f>
        <v>0</v>
      </c>
      <c r="E24" s="783">
        <v>190</v>
      </c>
      <c r="F24" s="800">
        <f t="shared" si="0"/>
        <v>0</v>
      </c>
      <c r="G24" s="807">
        <f>'17'!U52</f>
        <v>0</v>
      </c>
      <c r="H24" s="129">
        <v>190</v>
      </c>
      <c r="I24" s="791">
        <f t="shared" si="1"/>
        <v>0</v>
      </c>
      <c r="J24" s="778">
        <f>'17'!V52</f>
        <v>0</v>
      </c>
      <c r="K24" s="201">
        <v>210</v>
      </c>
      <c r="L24" s="241">
        <f t="shared" si="2"/>
        <v>0</v>
      </c>
      <c r="M24" s="607">
        <f>'17'!W52</f>
        <v>0</v>
      </c>
      <c r="N24" s="201">
        <v>90</v>
      </c>
      <c r="O24" s="241">
        <f t="shared" si="20"/>
        <v>0</v>
      </c>
      <c r="P24" s="197">
        <v>0</v>
      </c>
      <c r="Q24" s="129">
        <v>180</v>
      </c>
      <c r="R24" s="78">
        <f t="shared" si="4"/>
        <v>0</v>
      </c>
      <c r="S24" s="78">
        <v>0</v>
      </c>
      <c r="T24" s="129">
        <v>90</v>
      </c>
      <c r="U24" s="78">
        <f t="shared" si="11"/>
        <v>0</v>
      </c>
      <c r="V24" s="130">
        <v>0</v>
      </c>
      <c r="W24" s="129">
        <v>95</v>
      </c>
      <c r="X24" s="78">
        <f t="shared" si="12"/>
        <v>0</v>
      </c>
      <c r="Y24" s="607">
        <f>'17'!X52</f>
        <v>0</v>
      </c>
      <c r="Z24" s="201">
        <v>90</v>
      </c>
      <c r="AA24" s="241">
        <f t="shared" si="15"/>
        <v>0</v>
      </c>
      <c r="AB24" s="607">
        <v>1625</v>
      </c>
      <c r="AC24" s="201">
        <v>75</v>
      </c>
      <c r="AD24" s="241">
        <f t="shared" si="16"/>
        <v>121875</v>
      </c>
      <c r="AE24" s="607">
        <f>'17'!AC52</f>
        <v>0</v>
      </c>
      <c r="AF24" s="201">
        <v>360</v>
      </c>
      <c r="AG24" s="241">
        <f t="shared" si="17"/>
        <v>0</v>
      </c>
      <c r="AH24" s="607">
        <f>'17'!AD52</f>
        <v>0</v>
      </c>
      <c r="AI24" s="201">
        <v>360</v>
      </c>
      <c r="AJ24" s="241">
        <f t="shared" si="18"/>
        <v>0</v>
      </c>
      <c r="AK24" s="608">
        <f>'17'!AE52</f>
        <v>0</v>
      </c>
      <c r="AL24" s="201">
        <v>360</v>
      </c>
      <c r="AM24" s="241">
        <f t="shared" si="19"/>
        <v>0</v>
      </c>
      <c r="AN24" s="616">
        <f t="shared" si="10"/>
        <v>121875</v>
      </c>
      <c r="AO24">
        <v>127970</v>
      </c>
      <c r="AQ24">
        <f t="shared" si="13"/>
        <v>0</v>
      </c>
    </row>
    <row r="25" spans="3:43" ht="30" thickTop="1" thickBot="1">
      <c r="C25" s="773">
        <f t="shared" si="14"/>
        <v>44883</v>
      </c>
      <c r="D25" s="790">
        <f>'18'!T52</f>
        <v>0</v>
      </c>
      <c r="E25" s="783">
        <v>190</v>
      </c>
      <c r="F25" s="800">
        <f t="shared" si="0"/>
        <v>0</v>
      </c>
      <c r="G25" s="807">
        <f>'18'!U52</f>
        <v>0</v>
      </c>
      <c r="H25" s="129">
        <v>190</v>
      </c>
      <c r="I25" s="791">
        <f t="shared" si="1"/>
        <v>0</v>
      </c>
      <c r="J25" s="778">
        <f>'18'!V52</f>
        <v>0</v>
      </c>
      <c r="K25" s="201">
        <v>210</v>
      </c>
      <c r="L25" s="241">
        <f t="shared" si="2"/>
        <v>0</v>
      </c>
      <c r="M25" s="607">
        <f>'18'!W52</f>
        <v>0</v>
      </c>
      <c r="N25" s="201">
        <v>90</v>
      </c>
      <c r="O25" s="241">
        <f t="shared" si="20"/>
        <v>0</v>
      </c>
      <c r="P25" s="197">
        <v>0</v>
      </c>
      <c r="Q25" s="129">
        <v>180</v>
      </c>
      <c r="R25" s="78">
        <f t="shared" si="4"/>
        <v>0</v>
      </c>
      <c r="S25" s="78">
        <v>0</v>
      </c>
      <c r="T25" s="129">
        <v>90</v>
      </c>
      <c r="U25" s="78">
        <f t="shared" si="11"/>
        <v>0</v>
      </c>
      <c r="V25" s="130">
        <v>0</v>
      </c>
      <c r="W25" s="129">
        <v>95</v>
      </c>
      <c r="X25" s="78">
        <f t="shared" si="12"/>
        <v>0</v>
      </c>
      <c r="Y25" s="607">
        <f>'18'!X52</f>
        <v>0</v>
      </c>
      <c r="Z25" s="201">
        <v>90</v>
      </c>
      <c r="AA25" s="241">
        <f t="shared" si="15"/>
        <v>0</v>
      </c>
      <c r="AB25" s="607">
        <v>3690</v>
      </c>
      <c r="AC25" s="201">
        <v>75</v>
      </c>
      <c r="AD25" s="241">
        <f t="shared" si="16"/>
        <v>276750</v>
      </c>
      <c r="AE25" s="607">
        <f>'18'!AC52</f>
        <v>0</v>
      </c>
      <c r="AF25" s="201">
        <v>360</v>
      </c>
      <c r="AG25" s="241">
        <f t="shared" si="17"/>
        <v>0</v>
      </c>
      <c r="AH25" s="607">
        <v>35</v>
      </c>
      <c r="AI25" s="201">
        <v>360</v>
      </c>
      <c r="AJ25" s="241">
        <f t="shared" si="18"/>
        <v>12600</v>
      </c>
      <c r="AK25" s="608">
        <f>'18'!AE52</f>
        <v>0</v>
      </c>
      <c r="AL25" s="201">
        <v>360</v>
      </c>
      <c r="AM25" s="241">
        <f t="shared" si="19"/>
        <v>0</v>
      </c>
      <c r="AN25" s="616">
        <f t="shared" si="10"/>
        <v>289350</v>
      </c>
      <c r="AO25">
        <v>14480</v>
      </c>
      <c r="AP25">
        <f>37.22+16.49</f>
        <v>53.709999999999994</v>
      </c>
      <c r="AQ25">
        <f t="shared" si="13"/>
        <v>28466.299999999996</v>
      </c>
    </row>
    <row r="26" spans="3:43" ht="30" thickTop="1" thickBot="1">
      <c r="C26" s="773">
        <f t="shared" si="14"/>
        <v>44884</v>
      </c>
      <c r="D26" s="790">
        <f>'19'!T52</f>
        <v>0</v>
      </c>
      <c r="E26" s="783">
        <v>190</v>
      </c>
      <c r="F26" s="800">
        <f t="shared" si="0"/>
        <v>0</v>
      </c>
      <c r="G26" s="807">
        <f>'19'!U52</f>
        <v>0</v>
      </c>
      <c r="H26" s="129">
        <v>190</v>
      </c>
      <c r="I26" s="791">
        <f t="shared" si="1"/>
        <v>0</v>
      </c>
      <c r="J26" s="778">
        <f>'19'!V52</f>
        <v>0</v>
      </c>
      <c r="K26" s="201"/>
      <c r="L26" s="241">
        <f t="shared" si="2"/>
        <v>0</v>
      </c>
      <c r="M26" s="607">
        <f>'19'!W52</f>
        <v>1</v>
      </c>
      <c r="N26" s="201">
        <v>90</v>
      </c>
      <c r="O26" s="241">
        <f t="shared" si="20"/>
        <v>90</v>
      </c>
      <c r="P26" s="197">
        <v>0</v>
      </c>
      <c r="Q26" s="129">
        <v>180</v>
      </c>
      <c r="R26" s="78">
        <f t="shared" si="4"/>
        <v>0</v>
      </c>
      <c r="S26" s="78">
        <v>0</v>
      </c>
      <c r="T26" s="129">
        <v>90</v>
      </c>
      <c r="U26" s="78">
        <f t="shared" si="11"/>
        <v>0</v>
      </c>
      <c r="V26" s="130">
        <v>0</v>
      </c>
      <c r="W26" s="129">
        <v>95</v>
      </c>
      <c r="X26" s="78">
        <f t="shared" si="12"/>
        <v>0</v>
      </c>
      <c r="Y26" s="607">
        <f>'19'!X52</f>
        <v>0</v>
      </c>
      <c r="Z26" s="201">
        <v>90</v>
      </c>
      <c r="AA26" s="241">
        <f t="shared" si="15"/>
        <v>0</v>
      </c>
      <c r="AB26" s="607">
        <f>'19'!AB52</f>
        <v>0</v>
      </c>
      <c r="AC26" s="201">
        <v>27</v>
      </c>
      <c r="AD26" s="241">
        <f t="shared" si="16"/>
        <v>0</v>
      </c>
      <c r="AE26" s="607">
        <f>'19'!AC52</f>
        <v>0</v>
      </c>
      <c r="AF26" s="201">
        <v>360</v>
      </c>
      <c r="AG26" s="241">
        <f t="shared" si="17"/>
        <v>0</v>
      </c>
      <c r="AH26" s="607">
        <v>10</v>
      </c>
      <c r="AI26" s="201">
        <v>360</v>
      </c>
      <c r="AJ26" s="241">
        <f t="shared" si="18"/>
        <v>3600</v>
      </c>
      <c r="AK26" s="608">
        <f>'19'!AE52</f>
        <v>0</v>
      </c>
      <c r="AL26" s="201">
        <v>360</v>
      </c>
      <c r="AM26" s="241">
        <f t="shared" si="19"/>
        <v>0</v>
      </c>
      <c r="AN26" s="616">
        <f t="shared" si="10"/>
        <v>3690</v>
      </c>
      <c r="AO26">
        <v>75000</v>
      </c>
      <c r="AP26">
        <v>86.44</v>
      </c>
      <c r="AQ26">
        <f t="shared" si="13"/>
        <v>45813.2</v>
      </c>
    </row>
    <row r="27" spans="3:43" ht="30" thickTop="1" thickBot="1">
      <c r="C27" s="773">
        <f t="shared" si="14"/>
        <v>44885</v>
      </c>
      <c r="D27" s="790">
        <f>'20'!T52</f>
        <v>0</v>
      </c>
      <c r="E27" s="783">
        <v>190</v>
      </c>
      <c r="F27" s="800">
        <f t="shared" si="0"/>
        <v>0</v>
      </c>
      <c r="G27" s="807">
        <f>'20'!U52</f>
        <v>0</v>
      </c>
      <c r="H27" s="129">
        <v>190</v>
      </c>
      <c r="I27" s="791">
        <f t="shared" si="1"/>
        <v>0</v>
      </c>
      <c r="J27" s="778">
        <f>'20'!V52</f>
        <v>0</v>
      </c>
      <c r="K27" s="201">
        <v>210</v>
      </c>
      <c r="L27" s="241">
        <f t="shared" si="2"/>
        <v>0</v>
      </c>
      <c r="M27" s="607">
        <f>'20'!W52</f>
        <v>0</v>
      </c>
      <c r="N27" s="201">
        <v>90</v>
      </c>
      <c r="O27" s="241">
        <f t="shared" si="20"/>
        <v>0</v>
      </c>
      <c r="P27" s="197">
        <v>0</v>
      </c>
      <c r="Q27" s="129">
        <v>180</v>
      </c>
      <c r="R27" s="78">
        <f t="shared" si="4"/>
        <v>0</v>
      </c>
      <c r="S27" s="78">
        <v>0</v>
      </c>
      <c r="T27" s="129">
        <v>90</v>
      </c>
      <c r="U27" s="78">
        <f t="shared" si="11"/>
        <v>0</v>
      </c>
      <c r="V27" s="128">
        <v>0</v>
      </c>
      <c r="W27" s="129">
        <v>95</v>
      </c>
      <c r="X27" s="78">
        <f t="shared" si="12"/>
        <v>0</v>
      </c>
      <c r="Y27" s="607">
        <f>'20'!X52</f>
        <v>0</v>
      </c>
      <c r="Z27" s="201">
        <v>90</v>
      </c>
      <c r="AA27" s="241">
        <f t="shared" si="15"/>
        <v>0</v>
      </c>
      <c r="AB27" s="607">
        <f>'20'!AB52</f>
        <v>0</v>
      </c>
      <c r="AC27" s="201">
        <v>27</v>
      </c>
      <c r="AD27" s="241">
        <f t="shared" si="16"/>
        <v>0</v>
      </c>
      <c r="AE27" s="607">
        <f>'20'!AC52</f>
        <v>0</v>
      </c>
      <c r="AF27" s="201">
        <v>360</v>
      </c>
      <c r="AG27" s="241">
        <f t="shared" si="17"/>
        <v>0</v>
      </c>
      <c r="AH27" s="607">
        <f>'20'!AD52</f>
        <v>0</v>
      </c>
      <c r="AI27" s="201">
        <v>360</v>
      </c>
      <c r="AJ27" s="241">
        <f t="shared" si="18"/>
        <v>0</v>
      </c>
      <c r="AK27" s="608">
        <f>'20'!AE52</f>
        <v>0</v>
      </c>
      <c r="AL27" s="201">
        <v>360</v>
      </c>
      <c r="AM27" s="241">
        <f t="shared" si="19"/>
        <v>0</v>
      </c>
      <c r="AN27" s="616">
        <f t="shared" si="10"/>
        <v>0</v>
      </c>
      <c r="AQ27">
        <f t="shared" si="13"/>
        <v>0</v>
      </c>
    </row>
    <row r="28" spans="3:43" ht="30" thickTop="1" thickBot="1">
      <c r="C28" s="773">
        <f t="shared" si="14"/>
        <v>44886</v>
      </c>
      <c r="D28" s="790">
        <f>'21'!T52</f>
        <v>0</v>
      </c>
      <c r="E28" s="783">
        <v>190</v>
      </c>
      <c r="F28" s="800">
        <f t="shared" si="0"/>
        <v>0</v>
      </c>
      <c r="G28" s="807">
        <f>'21'!U52</f>
        <v>0</v>
      </c>
      <c r="H28" s="129">
        <v>190</v>
      </c>
      <c r="I28" s="791">
        <f t="shared" si="1"/>
        <v>0</v>
      </c>
      <c r="J28" s="778">
        <f>'21'!V52</f>
        <v>0</v>
      </c>
      <c r="K28" s="201">
        <v>210</v>
      </c>
      <c r="L28" s="241">
        <f t="shared" si="2"/>
        <v>0</v>
      </c>
      <c r="M28" s="607">
        <f>'21'!W52</f>
        <v>0</v>
      </c>
      <c r="N28" s="201">
        <v>90</v>
      </c>
      <c r="O28" s="241">
        <f t="shared" si="20"/>
        <v>0</v>
      </c>
      <c r="P28" s="197">
        <v>0</v>
      </c>
      <c r="Q28" s="129">
        <v>180</v>
      </c>
      <c r="R28" s="78">
        <f t="shared" si="4"/>
        <v>0</v>
      </c>
      <c r="S28" s="78">
        <v>0</v>
      </c>
      <c r="T28" s="129">
        <v>90</v>
      </c>
      <c r="U28" s="78">
        <f t="shared" si="11"/>
        <v>0</v>
      </c>
      <c r="V28" s="128">
        <v>0</v>
      </c>
      <c r="W28" s="129">
        <v>95</v>
      </c>
      <c r="X28" s="78">
        <f t="shared" si="12"/>
        <v>0</v>
      </c>
      <c r="Y28" s="607">
        <f>'21'!X52</f>
        <v>0</v>
      </c>
      <c r="Z28" s="201">
        <v>90</v>
      </c>
      <c r="AA28" s="241">
        <f t="shared" si="15"/>
        <v>0</v>
      </c>
      <c r="AB28" s="607">
        <v>1020</v>
      </c>
      <c r="AC28" s="201">
        <v>75</v>
      </c>
      <c r="AD28" s="241">
        <f t="shared" si="16"/>
        <v>76500</v>
      </c>
      <c r="AE28" s="607">
        <f>'21'!AC52</f>
        <v>0</v>
      </c>
      <c r="AF28" s="201">
        <v>360</v>
      </c>
      <c r="AG28" s="241">
        <f t="shared" si="17"/>
        <v>0</v>
      </c>
      <c r="AH28" s="607">
        <f>'21'!AD52</f>
        <v>0</v>
      </c>
      <c r="AI28" s="201">
        <v>360</v>
      </c>
      <c r="AJ28" s="241">
        <f t="shared" si="18"/>
        <v>0</v>
      </c>
      <c r="AK28" s="608">
        <f>'21'!AE52</f>
        <v>0</v>
      </c>
      <c r="AL28" s="201">
        <v>360</v>
      </c>
      <c r="AM28" s="241">
        <f t="shared" si="19"/>
        <v>0</v>
      </c>
      <c r="AN28" s="616">
        <f t="shared" si="10"/>
        <v>76500</v>
      </c>
      <c r="AP28">
        <v>42.6</v>
      </c>
      <c r="AQ28">
        <f t="shared" si="13"/>
        <v>22578</v>
      </c>
    </row>
    <row r="29" spans="3:43" ht="30" thickTop="1" thickBot="1">
      <c r="C29" s="773">
        <f t="shared" si="14"/>
        <v>44887</v>
      </c>
      <c r="D29" s="790">
        <f>'22'!T52</f>
        <v>0</v>
      </c>
      <c r="E29" s="783">
        <v>190</v>
      </c>
      <c r="F29" s="800">
        <f t="shared" si="0"/>
        <v>0</v>
      </c>
      <c r="G29" s="807">
        <f>'22'!U52</f>
        <v>0</v>
      </c>
      <c r="H29" s="129">
        <v>190</v>
      </c>
      <c r="I29" s="791">
        <f t="shared" si="1"/>
        <v>0</v>
      </c>
      <c r="J29" s="778">
        <f>'22'!V52</f>
        <v>0</v>
      </c>
      <c r="K29" s="201">
        <v>210</v>
      </c>
      <c r="L29" s="241">
        <f t="shared" si="2"/>
        <v>0</v>
      </c>
      <c r="M29" s="607">
        <f>'22'!W52</f>
        <v>0</v>
      </c>
      <c r="N29" s="201">
        <v>90</v>
      </c>
      <c r="O29" s="241">
        <f t="shared" si="20"/>
        <v>0</v>
      </c>
      <c r="P29" s="197">
        <v>0</v>
      </c>
      <c r="Q29" s="129">
        <v>180</v>
      </c>
      <c r="R29" s="78">
        <f t="shared" si="4"/>
        <v>0</v>
      </c>
      <c r="S29" s="78">
        <v>0</v>
      </c>
      <c r="T29" s="129">
        <v>90</v>
      </c>
      <c r="U29" s="78">
        <f t="shared" si="11"/>
        <v>0</v>
      </c>
      <c r="V29" s="128">
        <v>0</v>
      </c>
      <c r="W29" s="129">
        <v>95</v>
      </c>
      <c r="X29" s="78">
        <f t="shared" si="12"/>
        <v>0</v>
      </c>
      <c r="Y29" s="607">
        <f>'22'!X52</f>
        <v>0</v>
      </c>
      <c r="Z29" s="201">
        <v>90</v>
      </c>
      <c r="AA29" s="241">
        <f t="shared" si="15"/>
        <v>0</v>
      </c>
      <c r="AB29" s="607">
        <f>'22'!AB52</f>
        <v>0</v>
      </c>
      <c r="AC29" s="201">
        <v>27</v>
      </c>
      <c r="AD29" s="241">
        <f t="shared" si="16"/>
        <v>0</v>
      </c>
      <c r="AE29" s="607">
        <f>'22'!AC52</f>
        <v>0</v>
      </c>
      <c r="AF29" s="201">
        <v>360</v>
      </c>
      <c r="AG29" s="241">
        <f t="shared" si="17"/>
        <v>0</v>
      </c>
      <c r="AH29" s="607">
        <f>'22'!AD52</f>
        <v>0</v>
      </c>
      <c r="AI29" s="201">
        <v>360</v>
      </c>
      <c r="AJ29" s="241">
        <f t="shared" si="18"/>
        <v>0</v>
      </c>
      <c r="AK29" s="608">
        <f>'22'!AE52</f>
        <v>0</v>
      </c>
      <c r="AL29" s="201">
        <v>360</v>
      </c>
      <c r="AM29" s="241">
        <f t="shared" si="19"/>
        <v>0</v>
      </c>
      <c r="AN29" s="616">
        <f t="shared" si="10"/>
        <v>0</v>
      </c>
      <c r="AO29">
        <f>18000+203000</f>
        <v>221000</v>
      </c>
      <c r="AP29">
        <f>42.49+25.62+21.9</f>
        <v>90.009999999999991</v>
      </c>
      <c r="AQ29">
        <f t="shared" si="13"/>
        <v>47705.299999999996</v>
      </c>
    </row>
    <row r="30" spans="3:43" ht="30" thickTop="1" thickBot="1">
      <c r="C30" s="773">
        <f t="shared" si="14"/>
        <v>44888</v>
      </c>
      <c r="D30" s="790">
        <f>'23'!T52</f>
        <v>0</v>
      </c>
      <c r="E30" s="783">
        <v>190</v>
      </c>
      <c r="F30" s="800">
        <f t="shared" ref="F30:F38" si="21">D30*E30</f>
        <v>0</v>
      </c>
      <c r="G30" s="807">
        <f>'23'!U52</f>
        <v>0</v>
      </c>
      <c r="H30" s="129">
        <v>190</v>
      </c>
      <c r="I30" s="791">
        <f t="shared" si="1"/>
        <v>0</v>
      </c>
      <c r="J30" s="778">
        <f>'23'!V52</f>
        <v>0</v>
      </c>
      <c r="K30" s="201">
        <v>210</v>
      </c>
      <c r="L30" s="241">
        <f t="shared" si="2"/>
        <v>0</v>
      </c>
      <c r="M30" s="607">
        <v>132</v>
      </c>
      <c r="N30" s="201">
        <v>55</v>
      </c>
      <c r="O30" s="241">
        <f t="shared" si="20"/>
        <v>7260</v>
      </c>
      <c r="P30" s="197">
        <v>0</v>
      </c>
      <c r="Q30" s="129">
        <v>180</v>
      </c>
      <c r="R30" s="78">
        <f t="shared" si="4"/>
        <v>0</v>
      </c>
      <c r="S30" s="78">
        <v>0</v>
      </c>
      <c r="T30" s="129">
        <v>90</v>
      </c>
      <c r="U30" s="78">
        <f t="shared" si="11"/>
        <v>0</v>
      </c>
      <c r="V30" s="128">
        <v>0</v>
      </c>
      <c r="W30" s="129">
        <v>95</v>
      </c>
      <c r="X30" s="78">
        <f t="shared" si="12"/>
        <v>0</v>
      </c>
      <c r="Y30" s="607">
        <f>'23'!X52</f>
        <v>0</v>
      </c>
      <c r="Z30" s="201">
        <v>90</v>
      </c>
      <c r="AA30" s="241">
        <f t="shared" si="15"/>
        <v>0</v>
      </c>
      <c r="AB30" s="607">
        <v>3305</v>
      </c>
      <c r="AC30" s="201">
        <v>75</v>
      </c>
      <c r="AD30" s="241">
        <f t="shared" si="16"/>
        <v>247875</v>
      </c>
      <c r="AE30" s="607">
        <f>'23'!AC52</f>
        <v>0</v>
      </c>
      <c r="AF30" s="201">
        <v>360</v>
      </c>
      <c r="AG30" s="241">
        <f t="shared" si="17"/>
        <v>0</v>
      </c>
      <c r="AH30" s="607">
        <v>72</v>
      </c>
      <c r="AI30" s="201">
        <v>360</v>
      </c>
      <c r="AJ30" s="241">
        <f t="shared" si="18"/>
        <v>25920</v>
      </c>
      <c r="AK30" s="608">
        <f>'23'!AE52</f>
        <v>0</v>
      </c>
      <c r="AL30" s="201">
        <v>360</v>
      </c>
      <c r="AM30" s="241">
        <f t="shared" si="19"/>
        <v>0</v>
      </c>
      <c r="AN30" s="616">
        <f t="shared" si="10"/>
        <v>281055</v>
      </c>
      <c r="AO30">
        <v>500</v>
      </c>
      <c r="AQ30">
        <f t="shared" si="13"/>
        <v>0</v>
      </c>
    </row>
    <row r="31" spans="3:43" ht="30" thickTop="1" thickBot="1">
      <c r="C31" s="773">
        <f t="shared" si="14"/>
        <v>44889</v>
      </c>
      <c r="D31" s="790">
        <f>'24'!T52</f>
        <v>0</v>
      </c>
      <c r="E31" s="783">
        <v>190</v>
      </c>
      <c r="F31" s="800">
        <f t="shared" si="21"/>
        <v>0</v>
      </c>
      <c r="G31" s="807">
        <f>'24'!U52</f>
        <v>0</v>
      </c>
      <c r="H31" s="129">
        <v>190</v>
      </c>
      <c r="I31" s="791">
        <f t="shared" si="1"/>
        <v>0</v>
      </c>
      <c r="J31" s="778">
        <f>'24'!V52</f>
        <v>0</v>
      </c>
      <c r="K31" s="201">
        <v>210</v>
      </c>
      <c r="L31" s="241">
        <f t="shared" si="2"/>
        <v>0</v>
      </c>
      <c r="M31" s="607">
        <f>'24'!W52</f>
        <v>0</v>
      </c>
      <c r="N31" s="201">
        <v>90</v>
      </c>
      <c r="O31" s="241">
        <f t="shared" si="20"/>
        <v>0</v>
      </c>
      <c r="P31" s="197">
        <v>0</v>
      </c>
      <c r="Q31" s="129">
        <v>180</v>
      </c>
      <c r="R31" s="78">
        <f t="shared" si="4"/>
        <v>0</v>
      </c>
      <c r="S31" s="78">
        <v>0</v>
      </c>
      <c r="T31" s="129">
        <v>90</v>
      </c>
      <c r="U31" s="78">
        <f t="shared" si="11"/>
        <v>0</v>
      </c>
      <c r="V31" s="128">
        <v>0</v>
      </c>
      <c r="W31" s="129">
        <v>95</v>
      </c>
      <c r="X31" s="78">
        <f t="shared" si="12"/>
        <v>0</v>
      </c>
      <c r="Y31" s="607">
        <f>'24'!X52</f>
        <v>0</v>
      </c>
      <c r="Z31" s="201">
        <v>90</v>
      </c>
      <c r="AA31" s="241">
        <f t="shared" si="15"/>
        <v>0</v>
      </c>
      <c r="AB31" s="607">
        <v>0</v>
      </c>
      <c r="AC31" s="201">
        <v>27</v>
      </c>
      <c r="AD31" s="241">
        <f t="shared" si="16"/>
        <v>0</v>
      </c>
      <c r="AE31" s="607">
        <f>'24'!AC52</f>
        <v>0</v>
      </c>
      <c r="AF31" s="201">
        <v>360</v>
      </c>
      <c r="AG31" s="241">
        <f t="shared" si="17"/>
        <v>0</v>
      </c>
      <c r="AH31" s="607">
        <f>'24'!AD52</f>
        <v>0</v>
      </c>
      <c r="AI31" s="201">
        <v>360</v>
      </c>
      <c r="AJ31" s="241">
        <f t="shared" si="18"/>
        <v>0</v>
      </c>
      <c r="AK31" s="608">
        <f>'24'!AE52</f>
        <v>0</v>
      </c>
      <c r="AL31" s="201">
        <v>360</v>
      </c>
      <c r="AM31" s="241">
        <f t="shared" si="19"/>
        <v>0</v>
      </c>
      <c r="AN31" s="616">
        <f t="shared" si="10"/>
        <v>0</v>
      </c>
      <c r="AQ31">
        <f t="shared" si="13"/>
        <v>0</v>
      </c>
    </row>
    <row r="32" spans="3:43" ht="30" thickTop="1" thickBot="1">
      <c r="C32" s="773">
        <f t="shared" si="14"/>
        <v>44890</v>
      </c>
      <c r="D32" s="790">
        <f>'25'!T52</f>
        <v>0</v>
      </c>
      <c r="E32" s="783">
        <v>190</v>
      </c>
      <c r="F32" s="800">
        <f t="shared" si="21"/>
        <v>0</v>
      </c>
      <c r="G32" s="807">
        <f>'25'!U52</f>
        <v>0</v>
      </c>
      <c r="H32" s="129">
        <v>190</v>
      </c>
      <c r="I32" s="791">
        <f t="shared" si="1"/>
        <v>0</v>
      </c>
      <c r="J32" s="778">
        <f>'25'!V52</f>
        <v>0</v>
      </c>
      <c r="K32" s="201">
        <v>210</v>
      </c>
      <c r="L32" s="241">
        <f t="shared" si="2"/>
        <v>0</v>
      </c>
      <c r="M32" s="607">
        <f>'25'!W52</f>
        <v>0</v>
      </c>
      <c r="N32" s="201">
        <v>90</v>
      </c>
      <c r="O32" s="241">
        <f t="shared" si="20"/>
        <v>0</v>
      </c>
      <c r="P32" s="197">
        <v>0</v>
      </c>
      <c r="Q32" s="129">
        <v>180</v>
      </c>
      <c r="R32" s="78">
        <f t="shared" si="4"/>
        <v>0</v>
      </c>
      <c r="S32" s="78">
        <v>0</v>
      </c>
      <c r="T32" s="129">
        <v>90</v>
      </c>
      <c r="U32" s="78">
        <f t="shared" si="11"/>
        <v>0</v>
      </c>
      <c r="V32" s="128">
        <v>0</v>
      </c>
      <c r="W32" s="129">
        <v>95</v>
      </c>
      <c r="X32" s="78">
        <f t="shared" si="12"/>
        <v>0</v>
      </c>
      <c r="Y32" s="607">
        <v>320</v>
      </c>
      <c r="Z32" s="201">
        <v>75</v>
      </c>
      <c r="AA32" s="241">
        <f t="shared" si="15"/>
        <v>24000</v>
      </c>
      <c r="AB32" s="607">
        <v>1550</v>
      </c>
      <c r="AC32" s="201">
        <v>75</v>
      </c>
      <c r="AD32" s="241">
        <f t="shared" si="16"/>
        <v>116250</v>
      </c>
      <c r="AE32" s="607" t="e">
        <f>'25'!#REF!</f>
        <v>#REF!</v>
      </c>
      <c r="AF32" s="201">
        <v>360</v>
      </c>
      <c r="AG32" s="241" t="e">
        <f t="shared" si="17"/>
        <v>#REF!</v>
      </c>
      <c r="AH32" s="607">
        <f>'25'!AC52</f>
        <v>0</v>
      </c>
      <c r="AI32" s="201">
        <v>360</v>
      </c>
      <c r="AJ32" s="241">
        <f t="shared" si="18"/>
        <v>0</v>
      </c>
      <c r="AK32" s="608">
        <f>'25'!AD52</f>
        <v>0</v>
      </c>
      <c r="AL32" s="201">
        <v>360</v>
      </c>
      <c r="AM32" s="241">
        <f t="shared" si="19"/>
        <v>0</v>
      </c>
      <c r="AN32" s="616" t="e">
        <f t="shared" si="10"/>
        <v>#REF!</v>
      </c>
      <c r="AQ32">
        <f t="shared" si="13"/>
        <v>0</v>
      </c>
    </row>
    <row r="33" spans="3:47" ht="30" thickTop="1" thickBot="1">
      <c r="C33" s="773">
        <f t="shared" si="14"/>
        <v>44891</v>
      </c>
      <c r="D33" s="790">
        <f>'26'!T52</f>
        <v>0</v>
      </c>
      <c r="E33" s="783">
        <v>190</v>
      </c>
      <c r="F33" s="800">
        <f t="shared" si="21"/>
        <v>0</v>
      </c>
      <c r="G33" s="807">
        <f>'26'!U52</f>
        <v>0</v>
      </c>
      <c r="H33" s="129">
        <v>190</v>
      </c>
      <c r="I33" s="791">
        <f t="shared" si="1"/>
        <v>0</v>
      </c>
      <c r="J33" s="778">
        <f>'26'!V52</f>
        <v>0</v>
      </c>
      <c r="K33" s="201">
        <v>210</v>
      </c>
      <c r="L33" s="241">
        <f t="shared" si="2"/>
        <v>0</v>
      </c>
      <c r="M33" s="607">
        <f>'26'!W52</f>
        <v>0</v>
      </c>
      <c r="N33" s="201">
        <v>90</v>
      </c>
      <c r="O33" s="241">
        <f t="shared" si="20"/>
        <v>0</v>
      </c>
      <c r="P33" s="197">
        <v>0</v>
      </c>
      <c r="Q33" s="129">
        <v>180</v>
      </c>
      <c r="R33" s="78">
        <f t="shared" si="4"/>
        <v>0</v>
      </c>
      <c r="S33" s="78">
        <v>0</v>
      </c>
      <c r="T33" s="129">
        <v>90</v>
      </c>
      <c r="U33" s="78">
        <f t="shared" si="11"/>
        <v>0</v>
      </c>
      <c r="V33" s="128">
        <v>0</v>
      </c>
      <c r="W33" s="129">
        <v>95</v>
      </c>
      <c r="X33" s="78">
        <f t="shared" si="12"/>
        <v>0</v>
      </c>
      <c r="Y33" s="607">
        <f>'26'!X52</f>
        <v>0</v>
      </c>
      <c r="Z33" s="201">
        <v>90</v>
      </c>
      <c r="AA33" s="241">
        <f t="shared" si="15"/>
        <v>0</v>
      </c>
      <c r="AB33" s="607">
        <v>2045</v>
      </c>
      <c r="AC33" s="201">
        <v>75</v>
      </c>
      <c r="AD33" s="241">
        <f t="shared" si="16"/>
        <v>153375</v>
      </c>
      <c r="AE33" s="607" t="e">
        <f>'26'!#REF!</f>
        <v>#REF!</v>
      </c>
      <c r="AF33" s="201">
        <v>360</v>
      </c>
      <c r="AG33" s="241" t="e">
        <f t="shared" si="17"/>
        <v>#REF!</v>
      </c>
      <c r="AH33" s="607">
        <f>'26'!AC52</f>
        <v>0</v>
      </c>
      <c r="AI33" s="201">
        <v>360</v>
      </c>
      <c r="AJ33" s="241">
        <f t="shared" si="18"/>
        <v>0</v>
      </c>
      <c r="AK33" s="608">
        <f>'26'!AD52</f>
        <v>0</v>
      </c>
      <c r="AL33" s="201">
        <v>360</v>
      </c>
      <c r="AM33" s="241">
        <f t="shared" si="19"/>
        <v>0</v>
      </c>
      <c r="AN33" s="616" t="e">
        <f t="shared" si="10"/>
        <v>#REF!</v>
      </c>
      <c r="AQ33">
        <f t="shared" si="13"/>
        <v>0</v>
      </c>
    </row>
    <row r="34" spans="3:47" ht="30" thickTop="1" thickBot="1">
      <c r="C34" s="773">
        <f t="shared" si="14"/>
        <v>44892</v>
      </c>
      <c r="D34" s="790">
        <f>'27'!T52</f>
        <v>0</v>
      </c>
      <c r="E34" s="783">
        <v>190</v>
      </c>
      <c r="F34" s="800">
        <f t="shared" si="21"/>
        <v>0</v>
      </c>
      <c r="G34" s="807">
        <f>'27'!U52</f>
        <v>0</v>
      </c>
      <c r="H34" s="129">
        <v>190</v>
      </c>
      <c r="I34" s="791">
        <f t="shared" si="1"/>
        <v>0</v>
      </c>
      <c r="J34" s="778">
        <f>'27'!V52</f>
        <v>0</v>
      </c>
      <c r="K34" s="201">
        <v>210</v>
      </c>
      <c r="L34" s="241">
        <f t="shared" si="2"/>
        <v>0</v>
      </c>
      <c r="M34" s="607">
        <f>'26'!W52</f>
        <v>0</v>
      </c>
      <c r="N34" s="201">
        <v>90</v>
      </c>
      <c r="O34" s="241">
        <f t="shared" si="20"/>
        <v>0</v>
      </c>
      <c r="P34" s="197">
        <v>0</v>
      </c>
      <c r="Q34" s="129">
        <v>180</v>
      </c>
      <c r="R34" s="78">
        <f t="shared" si="4"/>
        <v>0</v>
      </c>
      <c r="S34" s="78">
        <v>0</v>
      </c>
      <c r="T34" s="129">
        <v>90</v>
      </c>
      <c r="U34" s="78">
        <f t="shared" si="11"/>
        <v>0</v>
      </c>
      <c r="V34" s="128">
        <v>0</v>
      </c>
      <c r="W34" s="129">
        <v>95</v>
      </c>
      <c r="X34" s="78">
        <f t="shared" si="12"/>
        <v>0</v>
      </c>
      <c r="Y34" s="607">
        <f>'27'!X52</f>
        <v>0</v>
      </c>
      <c r="Z34" s="201">
        <v>90</v>
      </c>
      <c r="AA34" s="241">
        <f t="shared" si="15"/>
        <v>0</v>
      </c>
      <c r="AB34" s="607">
        <f>'27'!AB52</f>
        <v>0</v>
      </c>
      <c r="AC34" s="201">
        <v>27</v>
      </c>
      <c r="AD34" s="241">
        <f t="shared" si="16"/>
        <v>0</v>
      </c>
      <c r="AE34" s="607" t="e">
        <f>'27'!#REF!</f>
        <v>#REF!</v>
      </c>
      <c r="AF34" s="201">
        <v>360</v>
      </c>
      <c r="AG34" s="241" t="e">
        <f t="shared" si="17"/>
        <v>#REF!</v>
      </c>
      <c r="AH34" s="607">
        <f>'27'!AC52</f>
        <v>0</v>
      </c>
      <c r="AI34" s="201">
        <v>360</v>
      </c>
      <c r="AJ34" s="241">
        <f t="shared" si="18"/>
        <v>0</v>
      </c>
      <c r="AK34" s="608">
        <f>'27'!AD52</f>
        <v>0</v>
      </c>
      <c r="AL34" s="201">
        <v>360</v>
      </c>
      <c r="AM34" s="241">
        <f t="shared" si="19"/>
        <v>0</v>
      </c>
      <c r="AN34" s="616" t="e">
        <f t="shared" si="10"/>
        <v>#REF!</v>
      </c>
      <c r="AQ34">
        <f t="shared" si="13"/>
        <v>0</v>
      </c>
    </row>
    <row r="35" spans="3:47" ht="30" thickTop="1" thickBot="1">
      <c r="C35" s="773">
        <f t="shared" si="14"/>
        <v>44893</v>
      </c>
      <c r="D35" s="790">
        <f>'28'!T52</f>
        <v>0</v>
      </c>
      <c r="E35" s="783">
        <v>190</v>
      </c>
      <c r="F35" s="800">
        <f t="shared" si="21"/>
        <v>0</v>
      </c>
      <c r="G35" s="807">
        <f>'28'!U52</f>
        <v>0</v>
      </c>
      <c r="H35" s="129">
        <v>190</v>
      </c>
      <c r="I35" s="791">
        <f t="shared" si="1"/>
        <v>0</v>
      </c>
      <c r="J35" s="778">
        <f>'28'!V52</f>
        <v>0</v>
      </c>
      <c r="K35" s="201">
        <v>210</v>
      </c>
      <c r="L35" s="241">
        <f t="shared" si="2"/>
        <v>0</v>
      </c>
      <c r="M35" s="607">
        <f>'28'!W52</f>
        <v>0</v>
      </c>
      <c r="N35" s="201">
        <v>90</v>
      </c>
      <c r="O35" s="241">
        <f t="shared" si="20"/>
        <v>0</v>
      </c>
      <c r="P35" s="197">
        <v>0</v>
      </c>
      <c r="Q35" s="129">
        <v>180</v>
      </c>
      <c r="R35" s="78">
        <f t="shared" si="4"/>
        <v>0</v>
      </c>
      <c r="S35" s="78">
        <v>0</v>
      </c>
      <c r="T35" s="129">
        <v>90</v>
      </c>
      <c r="U35" s="78">
        <f t="shared" si="11"/>
        <v>0</v>
      </c>
      <c r="V35" s="128">
        <v>0</v>
      </c>
      <c r="W35" s="129">
        <v>95</v>
      </c>
      <c r="X35" s="78">
        <f t="shared" si="12"/>
        <v>0</v>
      </c>
      <c r="Y35" s="607">
        <f>'28'!X52</f>
        <v>0</v>
      </c>
      <c r="Z35" s="201">
        <v>90</v>
      </c>
      <c r="AA35" s="241">
        <f t="shared" si="15"/>
        <v>0</v>
      </c>
      <c r="AB35" s="607">
        <f>'28'!AB52</f>
        <v>0</v>
      </c>
      <c r="AC35" s="201">
        <v>27</v>
      </c>
      <c r="AD35" s="241">
        <f t="shared" si="16"/>
        <v>0</v>
      </c>
      <c r="AE35" s="607" t="e">
        <f>'28'!#REF!</f>
        <v>#REF!</v>
      </c>
      <c r="AF35" s="201">
        <v>360</v>
      </c>
      <c r="AG35" s="241" t="e">
        <f t="shared" si="17"/>
        <v>#REF!</v>
      </c>
      <c r="AH35" s="607">
        <f>'28'!AC52</f>
        <v>0</v>
      </c>
      <c r="AI35" s="201">
        <v>360</v>
      </c>
      <c r="AJ35" s="241">
        <f t="shared" si="18"/>
        <v>0</v>
      </c>
      <c r="AK35" s="608">
        <f>'28'!AD52</f>
        <v>0</v>
      </c>
      <c r="AL35" s="201">
        <v>360</v>
      </c>
      <c r="AM35" s="241">
        <f t="shared" si="19"/>
        <v>0</v>
      </c>
      <c r="AN35" s="616" t="e">
        <f t="shared" si="10"/>
        <v>#REF!</v>
      </c>
      <c r="AQ35">
        <f t="shared" si="13"/>
        <v>0</v>
      </c>
    </row>
    <row r="36" spans="3:47" ht="30" thickTop="1" thickBot="1">
      <c r="C36" s="773">
        <f t="shared" si="14"/>
        <v>44894</v>
      </c>
      <c r="D36" s="790">
        <f>'29'!T52</f>
        <v>0</v>
      </c>
      <c r="E36" s="783">
        <v>190</v>
      </c>
      <c r="F36" s="800">
        <f t="shared" si="21"/>
        <v>0</v>
      </c>
      <c r="G36" s="807">
        <f>'28'!U52</f>
        <v>0</v>
      </c>
      <c r="H36" s="129">
        <v>190</v>
      </c>
      <c r="I36" s="791">
        <f t="shared" si="1"/>
        <v>0</v>
      </c>
      <c r="J36" s="778">
        <f>'29'!V52</f>
        <v>0</v>
      </c>
      <c r="K36" s="201">
        <v>210</v>
      </c>
      <c r="L36" s="241">
        <f t="shared" si="2"/>
        <v>0</v>
      </c>
      <c r="M36" s="607">
        <f>'29'!W52</f>
        <v>0</v>
      </c>
      <c r="N36" s="201">
        <v>90</v>
      </c>
      <c r="O36" s="241">
        <f t="shared" si="20"/>
        <v>0</v>
      </c>
      <c r="P36" s="197">
        <v>0</v>
      </c>
      <c r="Q36" s="129">
        <v>180</v>
      </c>
      <c r="R36" s="78">
        <f t="shared" si="4"/>
        <v>0</v>
      </c>
      <c r="S36" s="78">
        <v>0</v>
      </c>
      <c r="T36" s="129">
        <v>90</v>
      </c>
      <c r="U36" s="78">
        <f t="shared" si="11"/>
        <v>0</v>
      </c>
      <c r="V36" s="128">
        <v>0</v>
      </c>
      <c r="W36" s="129">
        <v>95</v>
      </c>
      <c r="X36" s="78">
        <f t="shared" si="12"/>
        <v>0</v>
      </c>
      <c r="Y36" s="607">
        <f>'29'!X52</f>
        <v>0</v>
      </c>
      <c r="Z36" s="201">
        <v>90</v>
      </c>
      <c r="AA36" s="241">
        <f t="shared" si="15"/>
        <v>0</v>
      </c>
      <c r="AB36" s="607">
        <f>'29'!AB52</f>
        <v>0</v>
      </c>
      <c r="AC36" s="201">
        <v>27</v>
      </c>
      <c r="AD36" s="241">
        <f t="shared" si="16"/>
        <v>0</v>
      </c>
      <c r="AE36" s="607" t="e">
        <f>'29'!#REF!</f>
        <v>#REF!</v>
      </c>
      <c r="AF36" s="201">
        <v>360</v>
      </c>
      <c r="AG36" s="241" t="e">
        <f t="shared" si="17"/>
        <v>#REF!</v>
      </c>
      <c r="AH36" s="607">
        <f>'29'!AC52</f>
        <v>0</v>
      </c>
      <c r="AI36" s="201">
        <v>360</v>
      </c>
      <c r="AJ36" s="241">
        <f t="shared" si="18"/>
        <v>0</v>
      </c>
      <c r="AK36" s="608">
        <f>'29'!AD52</f>
        <v>0</v>
      </c>
      <c r="AL36" s="201">
        <v>360</v>
      </c>
      <c r="AM36" s="241">
        <f t="shared" si="19"/>
        <v>0</v>
      </c>
      <c r="AN36" s="616" t="e">
        <f t="shared" si="10"/>
        <v>#REF!</v>
      </c>
      <c r="AQ36">
        <f t="shared" si="13"/>
        <v>0</v>
      </c>
    </row>
    <row r="37" spans="3:47" ht="30" thickTop="1" thickBot="1">
      <c r="C37" s="773">
        <f t="shared" si="14"/>
        <v>44895</v>
      </c>
      <c r="D37" s="790">
        <f>'30'!T52</f>
        <v>0</v>
      </c>
      <c r="E37" s="783">
        <v>190</v>
      </c>
      <c r="F37" s="800">
        <f t="shared" si="21"/>
        <v>0</v>
      </c>
      <c r="G37" s="807">
        <f>'30'!U52</f>
        <v>0</v>
      </c>
      <c r="H37" s="129">
        <v>190</v>
      </c>
      <c r="I37" s="791">
        <f t="shared" si="1"/>
        <v>0</v>
      </c>
      <c r="J37" s="778">
        <f>'30'!V52</f>
        <v>0</v>
      </c>
      <c r="K37" s="201">
        <v>210</v>
      </c>
      <c r="L37" s="241">
        <f t="shared" si="2"/>
        <v>0</v>
      </c>
      <c r="M37" s="607">
        <f>'30'!W52</f>
        <v>0</v>
      </c>
      <c r="N37" s="201">
        <v>90</v>
      </c>
      <c r="O37" s="241">
        <f t="shared" si="20"/>
        <v>0</v>
      </c>
      <c r="P37" s="197">
        <v>0</v>
      </c>
      <c r="Q37" s="129">
        <v>180</v>
      </c>
      <c r="R37" s="78">
        <f t="shared" si="4"/>
        <v>0</v>
      </c>
      <c r="S37" s="78">
        <v>0</v>
      </c>
      <c r="T37" s="129">
        <v>90</v>
      </c>
      <c r="U37" s="78">
        <f t="shared" si="11"/>
        <v>0</v>
      </c>
      <c r="V37" s="128">
        <v>0</v>
      </c>
      <c r="W37" s="129">
        <v>95</v>
      </c>
      <c r="X37" s="78">
        <f t="shared" si="12"/>
        <v>0</v>
      </c>
      <c r="Y37" s="607">
        <f>'30'!X52</f>
        <v>0</v>
      </c>
      <c r="Z37" s="201">
        <v>90</v>
      </c>
      <c r="AA37" s="241">
        <f t="shared" si="15"/>
        <v>0</v>
      </c>
      <c r="AB37" s="607">
        <v>400</v>
      </c>
      <c r="AC37" s="201">
        <v>75</v>
      </c>
      <c r="AD37" s="241">
        <f t="shared" si="16"/>
        <v>30000</v>
      </c>
      <c r="AE37" s="607" t="e">
        <f>'30'!#REF!</f>
        <v>#REF!</v>
      </c>
      <c r="AF37" s="201">
        <v>360</v>
      </c>
      <c r="AG37" s="241" t="e">
        <f t="shared" si="17"/>
        <v>#REF!</v>
      </c>
      <c r="AH37" s="607">
        <f>'30'!AC52</f>
        <v>0</v>
      </c>
      <c r="AI37" s="201">
        <v>360</v>
      </c>
      <c r="AJ37" s="241">
        <f t="shared" si="18"/>
        <v>0</v>
      </c>
      <c r="AK37" s="608">
        <v>75</v>
      </c>
      <c r="AL37" s="201">
        <v>360</v>
      </c>
      <c r="AM37" s="241">
        <f t="shared" si="19"/>
        <v>27000</v>
      </c>
      <c r="AN37" s="616" t="e">
        <f t="shared" si="10"/>
        <v>#REF!</v>
      </c>
      <c r="AO37">
        <v>24350</v>
      </c>
      <c r="AQ37">
        <f t="shared" si="13"/>
        <v>0</v>
      </c>
    </row>
    <row r="38" spans="3:47" ht="29.25" thickTop="1">
      <c r="C38" s="773">
        <f t="shared" si="14"/>
        <v>44896</v>
      </c>
      <c r="D38" s="790">
        <f>'31'!T52</f>
        <v>0</v>
      </c>
      <c r="E38" s="783">
        <v>190</v>
      </c>
      <c r="F38" s="800">
        <f t="shared" si="21"/>
        <v>0</v>
      </c>
      <c r="G38" s="807">
        <f>'31'!U52</f>
        <v>0</v>
      </c>
      <c r="H38" s="129">
        <v>190</v>
      </c>
      <c r="I38" s="791">
        <f t="shared" si="1"/>
        <v>0</v>
      </c>
      <c r="J38" s="778">
        <f>'31'!V52</f>
        <v>0</v>
      </c>
      <c r="K38" s="201">
        <v>210</v>
      </c>
      <c r="L38" s="241">
        <f t="shared" si="2"/>
        <v>0</v>
      </c>
      <c r="M38" s="607">
        <f>'31'!W52</f>
        <v>0</v>
      </c>
      <c r="N38" s="201">
        <v>90</v>
      </c>
      <c r="O38" s="241">
        <f t="shared" si="20"/>
        <v>0</v>
      </c>
      <c r="P38" s="197">
        <v>0</v>
      </c>
      <c r="Q38" s="129">
        <v>180</v>
      </c>
      <c r="R38" s="78">
        <f t="shared" si="4"/>
        <v>0</v>
      </c>
      <c r="S38" s="78">
        <v>0</v>
      </c>
      <c r="T38" s="129">
        <v>90</v>
      </c>
      <c r="U38" s="78">
        <f t="shared" si="11"/>
        <v>0</v>
      </c>
      <c r="V38" s="128">
        <v>0</v>
      </c>
      <c r="W38" s="129">
        <v>95</v>
      </c>
      <c r="X38" s="78">
        <f t="shared" si="12"/>
        <v>0</v>
      </c>
      <c r="Y38" s="607">
        <f>'31'!X52</f>
        <v>0</v>
      </c>
      <c r="Z38" s="201">
        <v>90</v>
      </c>
      <c r="AA38" s="241">
        <f t="shared" si="15"/>
        <v>0</v>
      </c>
      <c r="AB38" s="607">
        <f>'31'!AB52</f>
        <v>0</v>
      </c>
      <c r="AC38" s="201">
        <v>27</v>
      </c>
      <c r="AD38" s="241">
        <f t="shared" si="16"/>
        <v>0</v>
      </c>
      <c r="AE38" s="607" t="e">
        <f>'31'!#REF!</f>
        <v>#REF!</v>
      </c>
      <c r="AF38" s="201">
        <v>360</v>
      </c>
      <c r="AG38" s="241" t="e">
        <f t="shared" si="17"/>
        <v>#REF!</v>
      </c>
      <c r="AH38" s="607">
        <f>'31'!AC52</f>
        <v>0</v>
      </c>
      <c r="AI38" s="201">
        <v>360</v>
      </c>
      <c r="AJ38" s="241">
        <f t="shared" si="18"/>
        <v>0</v>
      </c>
      <c r="AK38" s="608">
        <f>'31'!AD52</f>
        <v>0</v>
      </c>
      <c r="AL38" s="201">
        <v>360</v>
      </c>
      <c r="AM38" s="241">
        <f t="shared" si="19"/>
        <v>0</v>
      </c>
      <c r="AN38" s="616" t="e">
        <f t="shared" si="10"/>
        <v>#REF!</v>
      </c>
      <c r="AQ38">
        <f t="shared" si="13"/>
        <v>0</v>
      </c>
    </row>
    <row r="39" spans="3:47" ht="28.5">
      <c r="C39" s="774"/>
      <c r="D39" s="792"/>
      <c r="E39" s="72"/>
      <c r="F39" s="801"/>
      <c r="G39" s="808"/>
      <c r="H39" s="784"/>
      <c r="I39" s="793"/>
      <c r="J39" s="779"/>
      <c r="K39" s="254"/>
      <c r="L39" s="254">
        <f t="shared" si="2"/>
        <v>0</v>
      </c>
      <c r="M39" s="608"/>
      <c r="N39" s="83"/>
      <c r="O39" s="83"/>
      <c r="P39" s="88"/>
      <c r="Q39" s="6"/>
      <c r="R39" s="6"/>
      <c r="S39" s="6"/>
      <c r="T39" s="6"/>
      <c r="U39" s="6"/>
      <c r="V39" s="128"/>
      <c r="W39" s="6"/>
      <c r="X39" s="128"/>
      <c r="Y39" s="83"/>
      <c r="Z39" s="83"/>
      <c r="AA39" s="83"/>
      <c r="AB39" s="83"/>
      <c r="AC39" s="83"/>
      <c r="AD39" s="83"/>
      <c r="AE39" s="83"/>
      <c r="AF39" s="83"/>
      <c r="AG39" s="83"/>
      <c r="AH39" s="83"/>
      <c r="AI39" s="83"/>
      <c r="AJ39" s="83"/>
      <c r="AK39" s="83"/>
      <c r="AL39" s="83"/>
      <c r="AM39" s="83"/>
      <c r="AQ39">
        <f t="shared" si="13"/>
        <v>0</v>
      </c>
    </row>
    <row r="40" spans="3:47" ht="46.5">
      <c r="C40" s="775"/>
      <c r="D40" s="794">
        <f>SUM(D8:D39)</f>
        <v>0</v>
      </c>
      <c r="E40" s="785"/>
      <c r="F40" s="802">
        <f>SUM(F8:F39)</f>
        <v>0</v>
      </c>
      <c r="G40" s="809">
        <f>SUM(G8:G39)</f>
        <v>0</v>
      </c>
      <c r="H40" s="786"/>
      <c r="I40" s="795">
        <f>SUM(I8:I39)</f>
        <v>0</v>
      </c>
      <c r="J40" s="780">
        <f>SUM(J8:J39)</f>
        <v>0</v>
      </c>
      <c r="K40" s="605"/>
      <c r="L40" s="605">
        <f>SUM(L8:L39)</f>
        <v>0</v>
      </c>
      <c r="M40" s="604">
        <f>SUM(M8:M39)</f>
        <v>133</v>
      </c>
      <c r="N40" s="606"/>
      <c r="O40" s="605">
        <f>SUM(O8:O38)</f>
        <v>7350</v>
      </c>
      <c r="P40" s="198">
        <f>SUM(P8:P39)</f>
        <v>0</v>
      </c>
      <c r="Q40" s="6"/>
      <c r="R40" s="183">
        <f>SUM(R8:R39)</f>
        <v>0</v>
      </c>
      <c r="S40" s="82">
        <f>SUM(S8:S39)</f>
        <v>0</v>
      </c>
      <c r="T40" s="6"/>
      <c r="U40" s="183">
        <f>SUM(U8:U38)</f>
        <v>0</v>
      </c>
      <c r="V40" s="82">
        <f>SUM(V8:V39)</f>
        <v>0</v>
      </c>
      <c r="W40" s="6"/>
      <c r="X40" s="183">
        <f>SUM(X8:X38)</f>
        <v>0</v>
      </c>
      <c r="Y40" s="604">
        <f>SUM(Y8:Y39)</f>
        <v>675</v>
      </c>
      <c r="Z40" s="606"/>
      <c r="AA40" s="605">
        <f>SUM(AA8:AA38)</f>
        <v>50625</v>
      </c>
      <c r="AB40" s="604">
        <f>SUM(AB8:AB39)</f>
        <v>22390</v>
      </c>
      <c r="AC40" s="606"/>
      <c r="AD40" s="605">
        <f>SUM(AD8:AD38)</f>
        <v>1679250</v>
      </c>
      <c r="AE40" s="604" t="e">
        <f>SUM(AE8:AE39)</f>
        <v>#REF!</v>
      </c>
      <c r="AF40" s="606"/>
      <c r="AG40" s="605" t="e">
        <f>SUM(AG8:AG38)</f>
        <v>#REF!</v>
      </c>
      <c r="AH40" s="604">
        <f>SUM(AH8:AH39)</f>
        <v>227</v>
      </c>
      <c r="AI40" s="606"/>
      <c r="AJ40" s="605">
        <f>SUM(AJ8:AJ38)</f>
        <v>81720</v>
      </c>
      <c r="AK40" s="604">
        <f>SUM(AK8:AK39)</f>
        <v>75</v>
      </c>
      <c r="AL40" s="606"/>
      <c r="AM40" s="605">
        <f>SUM(AM8:AM38)</f>
        <v>27000</v>
      </c>
      <c r="AN40" s="111">
        <f>L40+O40+AA40+AD40+AJ40+AM40</f>
        <v>1845945</v>
      </c>
      <c r="AO40" s="616">
        <f>SUM(AO8:AO39)</f>
        <v>1646000</v>
      </c>
      <c r="AP40" t="s">
        <v>274</v>
      </c>
      <c r="AQ40">
        <f>SUM(AQ8:AQ39)</f>
        <v>476515.04999999993</v>
      </c>
      <c r="AR40" t="s">
        <v>274</v>
      </c>
      <c r="AS40">
        <f>SUM(AS8:AS39)</f>
        <v>5432.5</v>
      </c>
      <c r="AT40" s="616">
        <f>AO40+AQ40+AS40</f>
        <v>2127947.5499999998</v>
      </c>
      <c r="AU40" s="111">
        <f>AN40-AT40</f>
        <v>-282002.54999999981</v>
      </c>
    </row>
    <row r="41" spans="3:47" ht="62.1" customHeight="1" thickBot="1">
      <c r="C41" s="776"/>
      <c r="D41" s="796"/>
      <c r="E41" s="797"/>
      <c r="F41" s="803"/>
      <c r="G41" s="796"/>
      <c r="H41" s="797"/>
      <c r="I41" s="798"/>
      <c r="J41" s="781"/>
      <c r="K41" s="86"/>
      <c r="L41" s="86"/>
      <c r="M41" s="86"/>
      <c r="N41" s="597"/>
      <c r="O41" s="598"/>
      <c r="P41" s="199"/>
      <c r="Q41" s="127"/>
      <c r="R41" s="125"/>
      <c r="S41" s="126"/>
      <c r="T41" s="127"/>
      <c r="U41" s="125"/>
      <c r="V41" s="1309"/>
      <c r="W41" s="1310"/>
      <c r="X41" s="182"/>
      <c r="AD41" t="s">
        <v>1</v>
      </c>
      <c r="AL41" s="597" t="s">
        <v>48</v>
      </c>
      <c r="AM41" s="598"/>
      <c r="AN41" s="616">
        <v>8000</v>
      </c>
    </row>
    <row r="42" spans="3:47" ht="62.1" customHeight="1" thickTop="1" thickBot="1">
      <c r="N42" s="757"/>
      <c r="O42" s="758"/>
      <c r="R42" t="s">
        <v>1</v>
      </c>
      <c r="V42" s="1308"/>
      <c r="W42" s="1308"/>
      <c r="X42" s="182"/>
      <c r="AL42" s="601" t="s">
        <v>126</v>
      </c>
      <c r="AM42" s="202"/>
      <c r="AN42">
        <v>107000</v>
      </c>
    </row>
    <row r="43" spans="3:47" ht="62.1" customHeight="1" thickTop="1" thickBot="1">
      <c r="E43" t="s">
        <v>1</v>
      </c>
      <c r="F43" s="111"/>
      <c r="G43" s="111"/>
      <c r="H43" s="111"/>
      <c r="I43" s="111"/>
      <c r="J43" s="111"/>
      <c r="K43" s="111"/>
      <c r="L43" s="111"/>
      <c r="N43" s="759"/>
      <c r="O43" s="760"/>
      <c r="V43" s="1305"/>
      <c r="W43" s="1306"/>
      <c r="X43" s="182"/>
      <c r="AB43" t="s">
        <v>1</v>
      </c>
      <c r="AL43" s="599" t="s">
        <v>56</v>
      </c>
      <c r="AM43" s="602"/>
      <c r="AN43">
        <f>237500+8000</f>
        <v>245500</v>
      </c>
    </row>
    <row r="44" spans="3:47" ht="62.1" customHeight="1" thickTop="1" thickBot="1">
      <c r="F44" s="111"/>
      <c r="G44" s="111"/>
      <c r="H44" s="111"/>
      <c r="I44" s="111"/>
      <c r="J44" s="111"/>
      <c r="K44" s="111"/>
      <c r="L44" s="111"/>
      <c r="N44" s="761"/>
      <c r="O44" s="760"/>
      <c r="V44" s="576"/>
      <c r="W44" s="577"/>
      <c r="X44" s="182"/>
      <c r="AL44" s="227"/>
      <c r="AM44" s="602"/>
      <c r="AN44">
        <f>386000+142000</f>
        <v>528000</v>
      </c>
    </row>
    <row r="45" spans="3:47" ht="62.1" customHeight="1" thickTop="1" thickBot="1">
      <c r="F45" s="111"/>
      <c r="G45" s="111"/>
      <c r="H45" s="111"/>
      <c r="I45" s="111"/>
      <c r="J45" s="111"/>
      <c r="K45" s="111"/>
      <c r="L45" s="111"/>
      <c r="N45" s="761"/>
      <c r="O45" s="760"/>
      <c r="V45" s="576"/>
      <c r="W45" s="577"/>
      <c r="X45" s="182"/>
      <c r="AL45" s="227"/>
      <c r="AM45" s="602"/>
    </row>
    <row r="46" spans="3:47" ht="62.1" customHeight="1" thickTop="1" thickBot="1">
      <c r="N46" s="762"/>
      <c r="O46" s="763"/>
      <c r="V46" s="1305"/>
      <c r="W46" s="1306"/>
      <c r="X46" s="182"/>
      <c r="AL46" s="600" t="s">
        <v>51</v>
      </c>
      <c r="AM46" s="603">
        <f>AM41+AM42-AM43-AM44+AM45</f>
        <v>0</v>
      </c>
    </row>
    <row r="47" spans="3:47" ht="15.75" thickTop="1">
      <c r="N47" s="2"/>
      <c r="O47" s="2"/>
    </row>
    <row r="52" spans="15:15">
      <c r="O52" t="s">
        <v>1</v>
      </c>
    </row>
  </sheetData>
  <mergeCells count="6">
    <mergeCell ref="V46:W46"/>
    <mergeCell ref="V43:W43"/>
    <mergeCell ref="C6:M6"/>
    <mergeCell ref="V42:W42"/>
    <mergeCell ref="V41:W41"/>
    <mergeCell ref="N6:O6"/>
  </mergeCells>
  <conditionalFormatting sqref="O8:P38 R8:R38 D8:D38 F8:I38 M8:M39">
    <cfRule type="cellIs" dxfId="816" priority="26" operator="lessThan">
      <formula>1</formula>
    </cfRule>
  </conditionalFormatting>
  <conditionalFormatting sqref="S8:S38 U8:U38">
    <cfRule type="cellIs" dxfId="815" priority="25" operator="lessThan">
      <formula>1</formula>
    </cfRule>
  </conditionalFormatting>
  <conditionalFormatting sqref="V39:X39 V8:W19 W20:W29 V30:W38 V40:W40">
    <cfRule type="cellIs" dxfId="814" priority="24" operator="lessThan">
      <formula>1</formula>
    </cfRule>
  </conditionalFormatting>
  <conditionalFormatting sqref="V30:V40 X39 V8:W19">
    <cfRule type="cellIs" dxfId="813" priority="23" operator="lessThan">
      <formula>1</formula>
    </cfRule>
  </conditionalFormatting>
  <conditionalFormatting sqref="V8:V29">
    <cfRule type="cellIs" dxfId="812" priority="22" operator="lessThan">
      <formula>1</formula>
    </cfRule>
  </conditionalFormatting>
  <conditionalFormatting sqref="V8:V40">
    <cfRule type="cellIs" dxfId="811" priority="21" operator="lessThan">
      <formula>1</formula>
    </cfRule>
  </conditionalFormatting>
  <conditionalFormatting sqref="V8:V40 X39">
    <cfRule type="cellIs" dxfId="810" priority="20" operator="lessThan">
      <formula>1</formula>
    </cfRule>
  </conditionalFormatting>
  <conditionalFormatting sqref="X8">
    <cfRule type="cellIs" dxfId="809" priority="19" operator="lessThan">
      <formula>1</formula>
    </cfRule>
  </conditionalFormatting>
  <conditionalFormatting sqref="X9:X38">
    <cfRule type="cellIs" dxfId="808" priority="18" operator="lessThan">
      <formula>1</formula>
    </cfRule>
  </conditionalFormatting>
  <conditionalFormatting sqref="D8:I38 M9:M39 M8:O38">
    <cfRule type="cellIs" dxfId="807" priority="17" operator="lessThan">
      <formula>1</formula>
    </cfRule>
  </conditionalFormatting>
  <conditionalFormatting sqref="O42">
    <cfRule type="cellIs" dxfId="806" priority="16" operator="lessThan">
      <formula>1</formula>
    </cfRule>
  </conditionalFormatting>
  <conditionalFormatting sqref="O46">
    <cfRule type="cellIs" dxfId="805" priority="15" operator="lessThan">
      <formula>1</formula>
    </cfRule>
  </conditionalFormatting>
  <conditionalFormatting sqref="J8:L38">
    <cfRule type="cellIs" dxfId="804" priority="14" operator="lessThan">
      <formula>1</formula>
    </cfRule>
  </conditionalFormatting>
  <conditionalFormatting sqref="J8:L38">
    <cfRule type="cellIs" dxfId="803" priority="13" operator="lessThan">
      <formula>1</formula>
    </cfRule>
  </conditionalFormatting>
  <conditionalFormatting sqref="AA8:AA38 Y8:Y38">
    <cfRule type="cellIs" dxfId="802" priority="12" operator="lessThan">
      <formula>1</formula>
    </cfRule>
  </conditionalFormatting>
  <conditionalFormatting sqref="Y8:AA38">
    <cfRule type="cellIs" dxfId="801" priority="11" operator="lessThan">
      <formula>1</formula>
    </cfRule>
  </conditionalFormatting>
  <conditionalFormatting sqref="AD8:AD38 AB8:AB38">
    <cfRule type="cellIs" dxfId="800" priority="10" operator="lessThan">
      <formula>1</formula>
    </cfRule>
  </conditionalFormatting>
  <conditionalFormatting sqref="AB8:AD38">
    <cfRule type="cellIs" dxfId="799" priority="9" operator="lessThan">
      <formula>1</formula>
    </cfRule>
  </conditionalFormatting>
  <conditionalFormatting sqref="AG8:AG38 AE8:AE38">
    <cfRule type="cellIs" dxfId="798" priority="8" operator="lessThan">
      <formula>1</formula>
    </cfRule>
  </conditionalFormatting>
  <conditionalFormatting sqref="AE8:AG38">
    <cfRule type="cellIs" dxfId="797" priority="7" operator="lessThan">
      <formula>1</formula>
    </cfRule>
  </conditionalFormatting>
  <conditionalFormatting sqref="AJ8:AJ38 AH8:AH38">
    <cfRule type="cellIs" dxfId="796" priority="6" operator="lessThan">
      <formula>1</formula>
    </cfRule>
  </conditionalFormatting>
  <conditionalFormatting sqref="AH8:AJ38">
    <cfRule type="cellIs" dxfId="795" priority="5" operator="lessThan">
      <formula>1</formula>
    </cfRule>
  </conditionalFormatting>
  <conditionalFormatting sqref="AM8:AM38 AK8:AK38">
    <cfRule type="cellIs" dxfId="794" priority="4" operator="lessThan">
      <formula>1</formula>
    </cfRule>
  </conditionalFormatting>
  <conditionalFormatting sqref="AK8:AM38">
    <cfRule type="cellIs" dxfId="793" priority="3" operator="lessThan">
      <formula>1</formula>
    </cfRule>
  </conditionalFormatting>
  <conditionalFormatting sqref="AM42">
    <cfRule type="cellIs" dxfId="792" priority="2" operator="lessThan">
      <formula>1</formula>
    </cfRule>
  </conditionalFormatting>
  <conditionalFormatting sqref="AM46">
    <cfRule type="cellIs" dxfId="791" priority="1" operator="lessThan">
      <formula>1</formula>
    </cfRule>
  </conditionalFormatting>
  <printOptions horizontalCentered="1" verticalCentered="1"/>
  <pageMargins left="0" right="0.5" top="0" bottom="0" header="0" footer="0"/>
  <pageSetup paperSize="9" scale="39" orientation="portrait" cellComments="asDisplayed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2:AX110"/>
  <sheetViews>
    <sheetView topLeftCell="A24" zoomScaleNormal="100" workbookViewId="0">
      <selection activeCell="E37" sqref="E37"/>
    </sheetView>
  </sheetViews>
  <sheetFormatPr defaultRowHeight="15"/>
  <cols>
    <col min="1" max="1" width="3" customWidth="1"/>
    <col min="2" max="2" width="23.5703125" bestFit="1" customWidth="1"/>
    <col min="3" max="3" width="16.5703125" bestFit="1" customWidth="1"/>
    <col min="4" max="4" width="18.7109375" customWidth="1"/>
    <col min="5" max="5" width="25.7109375" customWidth="1"/>
    <col min="6" max="6" width="16.42578125" bestFit="1" customWidth="1"/>
    <col min="7" max="9" width="17.42578125" bestFit="1" customWidth="1"/>
    <col min="10" max="10" width="15.7109375" customWidth="1"/>
    <col min="11" max="11" width="23.5703125" bestFit="1" customWidth="1"/>
    <col min="12" max="12" width="20.85546875" bestFit="1" customWidth="1"/>
    <col min="13" max="13" width="30.7109375" bestFit="1" customWidth="1"/>
    <col min="14" max="15" width="20.7109375" customWidth="1"/>
    <col min="16" max="17" width="17.7109375" customWidth="1"/>
    <col min="18" max="18" width="25.7109375" customWidth="1"/>
    <col min="19" max="19" width="26.28515625" bestFit="1" customWidth="1"/>
    <col min="20" max="20" width="14.85546875" hidden="1" customWidth="1"/>
    <col min="21" max="21" width="12.7109375" hidden="1" customWidth="1"/>
    <col min="22" max="22" width="14.85546875" hidden="1" customWidth="1"/>
    <col min="23" max="23" width="21.5703125" hidden="1" customWidth="1"/>
    <col min="24" max="24" width="11.7109375" hidden="1" customWidth="1"/>
    <col min="26" max="26" width="24.5703125" bestFit="1" customWidth="1"/>
  </cols>
  <sheetData>
    <row r="2" spans="2:19">
      <c r="L2" t="s">
        <v>1</v>
      </c>
    </row>
    <row r="3" spans="2:19">
      <c r="L3" t="s">
        <v>1</v>
      </c>
    </row>
    <row r="4" spans="2:19">
      <c r="L4" t="s">
        <v>1</v>
      </c>
      <c r="M4" t="s">
        <v>1</v>
      </c>
    </row>
    <row r="5" spans="2:19" ht="15.75" thickBot="1">
      <c r="M5" t="s">
        <v>1</v>
      </c>
      <c r="S5" s="931" t="s">
        <v>243</v>
      </c>
    </row>
    <row r="6" spans="2:19" ht="62.25" thickTop="1" thickBot="1">
      <c r="B6" s="1376" t="s">
        <v>57</v>
      </c>
      <c r="C6" s="1377"/>
      <c r="D6" s="1377"/>
      <c r="E6" s="1377"/>
      <c r="F6" s="1377"/>
      <c r="G6" s="1377"/>
      <c r="H6" s="1377"/>
      <c r="I6" s="1377"/>
      <c r="J6" s="1377"/>
      <c r="K6" s="1377"/>
      <c r="L6" s="1377"/>
      <c r="M6" s="1377"/>
      <c r="N6" s="1372" t="s">
        <v>440</v>
      </c>
      <c r="O6" s="1373"/>
      <c r="P6" s="1373"/>
      <c r="Q6" s="1374"/>
      <c r="S6" t="s">
        <v>236</v>
      </c>
    </row>
    <row r="7" spans="2:19" ht="36" customHeight="1" thickTop="1" thickBot="1">
      <c r="B7" s="671" t="s">
        <v>58</v>
      </c>
      <c r="C7" s="671" t="s">
        <v>59</v>
      </c>
      <c r="D7" s="671" t="s">
        <v>45</v>
      </c>
      <c r="E7" s="671" t="s">
        <v>46</v>
      </c>
      <c r="F7" s="87"/>
      <c r="G7" s="1367" t="s">
        <v>60</v>
      </c>
      <c r="H7" s="1368"/>
      <c r="I7" s="672" t="s">
        <v>61</v>
      </c>
      <c r="J7" s="673" t="s">
        <v>62</v>
      </c>
      <c r="K7" s="672" t="s">
        <v>58</v>
      </c>
      <c r="L7" s="674" t="s">
        <v>63</v>
      </c>
      <c r="M7" s="671" t="s">
        <v>46</v>
      </c>
      <c r="N7" s="1378" t="s">
        <v>64</v>
      </c>
      <c r="O7" s="1379"/>
      <c r="P7" s="1380">
        <f>SUM(B43:S43)</f>
        <v>4117261</v>
      </c>
      <c r="Q7" s="1381"/>
      <c r="S7" s="754" t="s">
        <v>237</v>
      </c>
    </row>
    <row r="8" spans="2:19" ht="36" customHeight="1" thickTop="1" thickBot="1">
      <c r="B8" s="655" t="str">
        <f>'1'!S8</f>
        <v>FLOUR</v>
      </c>
      <c r="C8" s="635">
        <f>'31'!X8</f>
        <v>-60</v>
      </c>
      <c r="D8" s="651">
        <v>3475</v>
      </c>
      <c r="E8" s="636">
        <f>C8*D8</f>
        <v>-208500</v>
      </c>
      <c r="F8" s="118"/>
      <c r="G8" s="1388" t="s">
        <v>188</v>
      </c>
      <c r="H8" s="1389"/>
      <c r="I8" s="627" t="s">
        <v>65</v>
      </c>
      <c r="J8" s="628"/>
      <c r="K8" s="664" t="str">
        <f>B8</f>
        <v>FLOUR</v>
      </c>
      <c r="L8" s="633">
        <f>'1'!W8+'2'!W8+'3'!W8+'4'!W8+'5'!W8+'6'!W8+'7'!W8+'8'!W8+'9'!W8+'10'!W8+'11'!W8+'12'!W8+'13'!W8+'14'!W8+'15'!W8+'16'!W8+'17'!W8+'18'!W8+'19'!W8+'20'!W8+'21'!W8+'22'!W8+'23'!W8+'24'!W8+'25'!W8+'26'!W8+'27'!W8+'28'!W8+'29'!W8+'30'!W8+'31'!W8</f>
        <v>260</v>
      </c>
      <c r="M8" s="658">
        <f t="shared" ref="M8:M33" si="0">D8*L8</f>
        <v>903500</v>
      </c>
      <c r="N8" s="1343" t="s">
        <v>66</v>
      </c>
      <c r="O8" s="1344"/>
      <c r="P8" s="1313">
        <f>SUM(B46:S46)</f>
        <v>0</v>
      </c>
      <c r="Q8" s="1314"/>
      <c r="S8" s="616" t="s">
        <v>241</v>
      </c>
    </row>
    <row r="9" spans="2:19" ht="36" customHeight="1" thickTop="1" thickBot="1">
      <c r="B9" s="655" t="str">
        <f>'1'!S9</f>
        <v>SUGAR</v>
      </c>
      <c r="C9" s="635">
        <f>'31'!X9</f>
        <v>-935</v>
      </c>
      <c r="D9" s="652">
        <v>82</v>
      </c>
      <c r="E9" s="636">
        <f t="shared" ref="E9:E36" si="1">C9*D9</f>
        <v>-76670</v>
      </c>
      <c r="F9" s="118"/>
      <c r="G9" s="1390" t="s">
        <v>187</v>
      </c>
      <c r="H9" s="1391"/>
      <c r="I9" s="669" t="s">
        <v>67</v>
      </c>
      <c r="J9" s="629"/>
      <c r="K9" s="665" t="str">
        <f>B9</f>
        <v>SUGAR</v>
      </c>
      <c r="L9" s="633">
        <f>'1'!W9+'2'!W9+'3'!W9+'4'!W9+'5'!W9+'6'!W9+'7'!W9+'8'!W9+'9'!W9+'10'!W9+'11'!W9+'12'!W9+'13'!W9+'14'!W9+'15'!W9+'16'!W9+'17'!W9+'18'!W9+'19'!W9+'20'!W9+'21'!W9+'22'!W9+'23'!W9+'24'!W9+'25'!W9+'26'!W9+'27'!W9+'28'!W9+'29'!W9+'30'!W9+'31'!W9</f>
        <v>4435</v>
      </c>
      <c r="M9" s="659">
        <f t="shared" si="0"/>
        <v>363670</v>
      </c>
      <c r="N9" s="1355" t="s">
        <v>58</v>
      </c>
      <c r="O9" s="1356"/>
      <c r="P9" s="1326">
        <f>E37</f>
        <v>-1686915.4</v>
      </c>
      <c r="Q9" s="1327"/>
      <c r="S9" s="616" t="s">
        <v>238</v>
      </c>
    </row>
    <row r="10" spans="2:19" ht="36" customHeight="1" thickTop="1" thickBot="1">
      <c r="B10" s="655" t="str">
        <f>'1'!S10</f>
        <v>GHEE</v>
      </c>
      <c r="C10" s="635">
        <f>'31'!X10</f>
        <v>-1</v>
      </c>
      <c r="D10" s="652">
        <v>6700</v>
      </c>
      <c r="E10" s="636">
        <f t="shared" si="1"/>
        <v>-6700</v>
      </c>
      <c r="F10" s="118"/>
      <c r="G10" s="1392" t="s">
        <v>189</v>
      </c>
      <c r="H10" s="1393"/>
      <c r="I10" s="630" t="s">
        <v>68</v>
      </c>
      <c r="J10" s="629"/>
      <c r="K10" s="665" t="str">
        <f t="shared" ref="K10:K33" si="2">B10</f>
        <v>GHEE</v>
      </c>
      <c r="L10" s="633">
        <f>'1'!W10+'2'!W10+'3'!W10+'4'!W10+'5'!W10+'6'!W10+'7'!W10+'8'!W10+'9'!W10+'10'!W10+'11'!W10+'12'!W10+'13'!W10+'14'!W10+'15'!W10+'16'!W10+'17'!W18+'18'!W10+'19'!W10+'20'!W10+'21'!W10+'22'!W10+'23'!W10+'24'!W10+'25'!W10+'26'!W10+'27'!W10+'28'!W10+'29'!W10+'30'!W10+'31'!W10</f>
        <v>51</v>
      </c>
      <c r="M10" s="659">
        <f t="shared" si="0"/>
        <v>341700</v>
      </c>
      <c r="N10" s="1355" t="s">
        <v>69</v>
      </c>
      <c r="O10" s="1356"/>
      <c r="P10" s="1326">
        <f>'31'!Q32</f>
        <v>0</v>
      </c>
      <c r="Q10" s="1327"/>
      <c r="S10" s="755" t="s">
        <v>239</v>
      </c>
    </row>
    <row r="11" spans="2:19" ht="36" customHeight="1" thickTop="1" thickBot="1">
      <c r="B11" s="655" t="str">
        <f>'1'!S11</f>
        <v>YEAST</v>
      </c>
      <c r="C11" s="635">
        <f>'31'!X11</f>
        <v>-126</v>
      </c>
      <c r="D11" s="652">
        <v>390</v>
      </c>
      <c r="E11" s="636">
        <f t="shared" si="1"/>
        <v>-49140</v>
      </c>
      <c r="F11" s="118"/>
      <c r="G11" s="1390" t="s">
        <v>190</v>
      </c>
      <c r="H11" s="1391"/>
      <c r="I11" s="669" t="s">
        <v>70</v>
      </c>
      <c r="J11" s="629"/>
      <c r="K11" s="665" t="str">
        <f t="shared" si="2"/>
        <v>YEAST</v>
      </c>
      <c r="L11" s="633">
        <f>'1'!W19+'2'!W19+'3'!W19+'4'!W19+'5'!W19+'6'!W19+'7'!W19+'8'!W19+'9'!W19+'10'!W19+'11'!W19+'12'!W19+'13'!W19+'14'!W19+'15'!W19+'16'!W19+'17'!W19+'18'!W19+'19'!W19+'20'!W19+'21'!W19+'22'!W19+'23'!W19+'24'!W19+'25'!W19+'26'!W19+'27'!W19+'28'!W19+'29'!W19+'30'!W19+'31'!W19</f>
        <v>3</v>
      </c>
      <c r="M11" s="659">
        <f t="shared" si="0"/>
        <v>1170</v>
      </c>
      <c r="N11" s="1355" t="s">
        <v>71</v>
      </c>
      <c r="O11" s="1356"/>
      <c r="P11" s="1326">
        <f>'31'!Q48</f>
        <v>-4818050</v>
      </c>
      <c r="Q11" s="1327"/>
      <c r="R11" t="s">
        <v>1</v>
      </c>
      <c r="S11" s="755" t="s">
        <v>240</v>
      </c>
    </row>
    <row r="12" spans="2:19" ht="36" customHeight="1" thickTop="1" thickBot="1">
      <c r="B12" s="655" t="str">
        <f>'1'!S12</f>
        <v xml:space="preserve">EKKA </v>
      </c>
      <c r="C12" s="635">
        <f>'31'!X12</f>
        <v>-62</v>
      </c>
      <c r="D12" s="652">
        <v>480</v>
      </c>
      <c r="E12" s="636">
        <f t="shared" si="1"/>
        <v>-29760</v>
      </c>
      <c r="F12" s="118"/>
      <c r="G12" s="1361" t="s">
        <v>72</v>
      </c>
      <c r="H12" s="1362"/>
      <c r="I12" s="630" t="s">
        <v>73</v>
      </c>
      <c r="J12" s="629"/>
      <c r="K12" s="665" t="str">
        <f t="shared" si="2"/>
        <v xml:space="preserve">EKKA </v>
      </c>
      <c r="L12" s="633">
        <f>'1'!W20+'2'!W20+'3'!W20+'4'!W20+'5'!W20+'6'!W20+'7'!W20+'8'!W20+'9'!W20+'10'!W20+'11'!W20+'12'!W20+'13'!W20+'14'!W20+'15'!W20+'16'!W20+'17'!W20+'18'!W20+'19'!W20+'20'!W20+'21'!W20+'22'!W20+'23'!W20+'24'!W20+'25'!W20+'26'!W20+'27'!W20+'28'!W20+'29'!W20+'30'!W20+'31'!W20</f>
        <v>180</v>
      </c>
      <c r="M12" s="659">
        <f t="shared" si="0"/>
        <v>86400</v>
      </c>
      <c r="N12" s="1322" t="s">
        <v>74</v>
      </c>
      <c r="O12" s="1323"/>
      <c r="P12" s="1328">
        <f>P7+P8+P9+P10+P11</f>
        <v>-2387704.4</v>
      </c>
      <c r="Q12" s="1329"/>
      <c r="S12" s="616" t="s">
        <v>241</v>
      </c>
    </row>
    <row r="13" spans="2:19" ht="36" customHeight="1" thickTop="1" thickBot="1">
      <c r="B13" s="655" t="str">
        <f>'1'!S13</f>
        <v>VANILLA</v>
      </c>
      <c r="C13" s="635">
        <f>'31'!X13</f>
        <v>-9.5</v>
      </c>
      <c r="D13" s="652">
        <v>4000</v>
      </c>
      <c r="E13" s="636">
        <f t="shared" si="1"/>
        <v>-38000</v>
      </c>
      <c r="F13" s="118"/>
      <c r="G13" s="1359" t="s">
        <v>191</v>
      </c>
      <c r="H13" s="1360"/>
      <c r="I13" s="669" t="s">
        <v>67</v>
      </c>
      <c r="J13" s="629"/>
      <c r="K13" s="665" t="str">
        <f t="shared" si="2"/>
        <v>VANILLA</v>
      </c>
      <c r="L13" s="633">
        <f>'1'!W21+'2'!W21+'3'!W21+'4'!W21+'5'!W21+'6'!W21+'7'!W21+'8'!W21+'9'!W21+'10'!W21+'11'!W21+'12'!W21+'13'!W21+'14'!W21+'15'!W21+'16'!W21+'17'!W21+'18'!W21+'19'!W21+'20'!W21+'21'!W21+'22'!W21+'23'!W21+'24'!W21+'25'!W21+'26'!W21+'27'!W21+'28'!W21+'29'!W21+'30'!W21+'31'!W21</f>
        <v>20</v>
      </c>
      <c r="M13" s="659">
        <f t="shared" si="0"/>
        <v>80000</v>
      </c>
      <c r="N13" s="1324" t="s">
        <v>76</v>
      </c>
      <c r="O13" s="1325"/>
      <c r="P13" s="1313">
        <f>'31'!L46</f>
        <v>0</v>
      </c>
      <c r="Q13" s="1314"/>
      <c r="S13" s="755" t="s">
        <v>242</v>
      </c>
    </row>
    <row r="14" spans="2:19" ht="36" customHeight="1" thickTop="1" thickBot="1">
      <c r="B14" s="655" t="str">
        <f>'1'!S14</f>
        <v>COLOUR</v>
      </c>
      <c r="C14" s="635">
        <f>'31'!X14</f>
        <v>17</v>
      </c>
      <c r="D14" s="652">
        <v>780</v>
      </c>
      <c r="E14" s="636">
        <f t="shared" si="1"/>
        <v>13260</v>
      </c>
      <c r="F14" s="118"/>
      <c r="G14" s="1361" t="s">
        <v>75</v>
      </c>
      <c r="H14" s="1362"/>
      <c r="I14" s="630" t="s">
        <v>77</v>
      </c>
      <c r="J14" s="629"/>
      <c r="K14" s="665" t="str">
        <f t="shared" si="2"/>
        <v>COLOUR</v>
      </c>
      <c r="L14" s="633">
        <f>'1'!W22+'2'!W22+'3'!W22+'4'!W22+'5'!W22+'6'!W22+'7'!W22+'8'!W22+'9'!W22+'10'!W22+'11'!W22+'12'!W22+'13'!W22+'14'!W22+'15'!W22+'16'!W22+'17'!W22+'18'!W22+'19'!W22+'20'!W22+'21'!W22+'22'!W22+'23'!W22+'24'!W22+'25'!W22+'26'!W22+'27'!W22+'28'!W22+'29'!W22+'30'!W22+'31'!W22</f>
        <v>185</v>
      </c>
      <c r="M14" s="659">
        <f t="shared" si="0"/>
        <v>144300</v>
      </c>
      <c r="N14" s="1322" t="s">
        <v>74</v>
      </c>
      <c r="O14" s="1323"/>
      <c r="P14" s="1328">
        <f>P12+P13</f>
        <v>-2387704.4</v>
      </c>
      <c r="Q14" s="1329"/>
      <c r="S14" s="616"/>
    </row>
    <row r="15" spans="2:19" ht="36" customHeight="1" thickTop="1" thickBot="1">
      <c r="B15" s="655" t="str">
        <f>'1'!S15</f>
        <v>TILL</v>
      </c>
      <c r="C15" s="635">
        <f>'31'!X15</f>
        <v>-18</v>
      </c>
      <c r="D15" s="652">
        <v>350</v>
      </c>
      <c r="E15" s="636">
        <f t="shared" si="1"/>
        <v>-6300</v>
      </c>
      <c r="F15" s="118"/>
      <c r="G15" s="1398" t="s">
        <v>194</v>
      </c>
      <c r="H15" s="1399"/>
      <c r="I15" s="669" t="s">
        <v>73</v>
      </c>
      <c r="J15" s="629"/>
      <c r="K15" s="665" t="str">
        <f t="shared" si="2"/>
        <v>TILL</v>
      </c>
      <c r="L15" s="633">
        <f>'1'!W23+'2'!W23+'3'!W23+'4'!W23+'5'!W23+'6'!W23+'7'!W23+'8'!W23+'9'!W23+'10'!W23+'11'!W23+'12'!W23+'13'!W23+'14'!W23+'15'!W23+'16'!W23+'17'!W23+'18'!W23+'19'!W23+'20'!W23+'21'!W23+'22'!W23+'23'!W23+'24'!W23+'25'!W23+'26'!W23+'27'!W23+'28'!W23+'29'!W23+'30'!W23+'31'!W23</f>
        <v>0</v>
      </c>
      <c r="M15" s="659">
        <f t="shared" si="0"/>
        <v>0</v>
      </c>
      <c r="N15" s="1353" t="s">
        <v>78</v>
      </c>
      <c r="O15" s="1354"/>
      <c r="P15" s="1326">
        <f>'31'!AE43</f>
        <v>-1986350</v>
      </c>
      <c r="Q15" s="1327"/>
      <c r="S15" s="616" t="s">
        <v>244</v>
      </c>
    </row>
    <row r="16" spans="2:19" ht="36" customHeight="1" thickTop="1" thickBot="1">
      <c r="B16" s="655" t="str">
        <f>'1'!S16</f>
        <v>ILLAICHI</v>
      </c>
      <c r="C16" s="635">
        <f>'31'!X16</f>
        <v>-1</v>
      </c>
      <c r="D16" s="652">
        <v>4500</v>
      </c>
      <c r="E16" s="636">
        <f t="shared" si="1"/>
        <v>-4500</v>
      </c>
      <c r="F16" s="118"/>
      <c r="G16" s="1396"/>
      <c r="H16" s="1397"/>
      <c r="I16" s="630"/>
      <c r="J16" s="629"/>
      <c r="K16" s="665" t="str">
        <f t="shared" si="2"/>
        <v>ILLAICHI</v>
      </c>
      <c r="L16" s="633">
        <f>'1'!W24+'2'!W24+'3'!W24+'4'!W24+'5'!W24+'6'!W24+'7'!W24+'8'!W24+'9'!W24+'10'!W24+'11'!W24+'12'!W24+'13'!W24+'14'!W24+'15'!W24+'16'!W24+'17'!W24+'18'!W24+'19'!W24+'20'!W24+'21'!W24+'22'!W24+'23'!W24+'24'!W24+'25'!W24+'26'!W24+'27'!W24+'28'!W24+'29'!W24+'30'!W24+'31'!W24</f>
        <v>254</v>
      </c>
      <c r="M16" s="659">
        <f t="shared" si="0"/>
        <v>1143000</v>
      </c>
      <c r="N16" s="1349" t="s">
        <v>79</v>
      </c>
      <c r="O16" s="1350"/>
      <c r="P16" s="1326">
        <f>'31'!AJ25</f>
        <v>-85200</v>
      </c>
      <c r="Q16" s="1327"/>
      <c r="S16" s="616" t="s">
        <v>245</v>
      </c>
    </row>
    <row r="17" spans="2:19" ht="36" customHeight="1" thickTop="1" thickBot="1">
      <c r="B17" s="655" t="str">
        <f>'1'!S17</f>
        <v>S-THELLI</v>
      </c>
      <c r="C17" s="635">
        <f>'31'!X17</f>
        <v>-339</v>
      </c>
      <c r="D17" s="652">
        <v>375</v>
      </c>
      <c r="E17" s="636">
        <f t="shared" si="1"/>
        <v>-127125</v>
      </c>
      <c r="F17" s="118"/>
      <c r="G17" s="1394" t="s">
        <v>208</v>
      </c>
      <c r="H17" s="1395"/>
      <c r="I17" s="669"/>
      <c r="J17" s="629"/>
      <c r="K17" s="665" t="str">
        <f t="shared" si="2"/>
        <v>S-THELLI</v>
      </c>
      <c r="L17" s="633">
        <f>'1'!W25+'2'!W25+'3'!W25+'4'!W25+'5'!W25+'6'!W25+'7'!W25+'8'!W25+'9'!W25+'10'!W25+'11'!W25+'12'!W25+'13'!W25+'14'!W25+'15'!W25+'16'!W25+'17'!W25+'18'!W25+'19'!W25+'20'!W25+'21'!W25+'22'!W25+'23'!W25+'24'!W25+'25'!W25+'26'!W25+'27'!W25+'28'!W25+'29'!W25+'30'!W25+'31'!W25</f>
        <v>400</v>
      </c>
      <c r="M17" s="659">
        <f t="shared" si="0"/>
        <v>150000</v>
      </c>
      <c r="N17" s="1349" t="s">
        <v>80</v>
      </c>
      <c r="O17" s="1350"/>
      <c r="P17" s="1326">
        <f>ATTENDANCE!BS28</f>
        <v>0</v>
      </c>
      <c r="Q17" s="1327"/>
      <c r="S17" s="616"/>
    </row>
    <row r="18" spans="2:19" ht="36" customHeight="1" thickTop="1" thickBot="1">
      <c r="B18" s="655" t="str">
        <f>'1'!S18</f>
        <v>P-THELLI</v>
      </c>
      <c r="C18" s="635">
        <f>'31'!X18</f>
        <v>-89</v>
      </c>
      <c r="D18" s="652">
        <v>520</v>
      </c>
      <c r="E18" s="636">
        <f t="shared" si="1"/>
        <v>-46280</v>
      </c>
      <c r="F18" s="118"/>
      <c r="G18" s="1361" t="s">
        <v>209</v>
      </c>
      <c r="H18" s="1362"/>
      <c r="I18" s="630"/>
      <c r="J18" s="629"/>
      <c r="K18" s="665" t="str">
        <f t="shared" si="2"/>
        <v>P-THELLI</v>
      </c>
      <c r="L18" s="633">
        <f>'1'!W26+'2'!W26+'3'!W26+'4'!W26+'5'!W26+'6'!W26+'7'!W26+'8'!W26+'9'!W26+'10'!W26+'11'!W26+'12'!W26+'13'!W26+'14'!W26+'15'!W26+'16'!W26+'17'!W26+'18'!W26+'19'!W26+'20'!W26+'21'!W26+'22'!W26+'23'!W26+'24'!W26+'25'!W26+'26'!W26+'27'!W26+'28'!W26+'29'!W26+'30'!W26+'31'!W26</f>
        <v>0</v>
      </c>
      <c r="M18" s="659">
        <f t="shared" si="0"/>
        <v>0</v>
      </c>
      <c r="N18" s="1322" t="s">
        <v>81</v>
      </c>
      <c r="O18" s="1323"/>
      <c r="P18" s="1341">
        <f>P14-P15-P16-P17</f>
        <v>-316154.39999999991</v>
      </c>
      <c r="Q18" s="1342"/>
      <c r="R18" t="s">
        <v>1</v>
      </c>
      <c r="S18" t="s">
        <v>236</v>
      </c>
    </row>
    <row r="19" spans="2:19" ht="36" customHeight="1" thickTop="1" thickBot="1">
      <c r="B19" s="655" t="str">
        <f>'1'!S19</f>
        <v>RUBBER</v>
      </c>
      <c r="C19" s="635">
        <f>'31'!X19</f>
        <v>-3</v>
      </c>
      <c r="D19" s="652">
        <v>370</v>
      </c>
      <c r="E19" s="636">
        <f t="shared" si="1"/>
        <v>-1110</v>
      </c>
      <c r="F19" s="118"/>
      <c r="G19" s="1359"/>
      <c r="H19" s="1360"/>
      <c r="I19" s="669"/>
      <c r="J19" s="629"/>
      <c r="K19" s="665" t="str">
        <f t="shared" si="2"/>
        <v>RUBBER</v>
      </c>
      <c r="L19" s="633">
        <f>'1'!W27+'2'!W27+'3'!W27+'4'!W27+'5'!W27+'6'!W27+'7'!W27+'8'!W27+'9'!W27+'10'!W27+'11'!W27+'12'!W27+'13'!W27+'14'!W27+'15'!W27+'16'!W27+'17'!W27+'18'!W27+'19'!W27+'20'!W27+'21'!W27+'22'!W27+'23'!W27+'24'!W27+'25'!W27+'26'!W27+'27'!W27+'28'!W27+'29'!W27+'30'!W27+'31'!W27</f>
        <v>0</v>
      </c>
      <c r="M19" s="660">
        <f t="shared" si="0"/>
        <v>0</v>
      </c>
      <c r="N19" s="1343" t="s">
        <v>82</v>
      </c>
      <c r="O19" s="1344"/>
      <c r="P19" s="1339"/>
      <c r="Q19" s="1340"/>
      <c r="S19" s="754" t="s">
        <v>246</v>
      </c>
    </row>
    <row r="20" spans="2:19" ht="36" customHeight="1" thickTop="1" thickBot="1">
      <c r="B20" s="655" t="str">
        <f>'1'!S20</f>
        <v>SALT</v>
      </c>
      <c r="C20" s="635">
        <f>'31'!X20</f>
        <v>70</v>
      </c>
      <c r="D20" s="652">
        <v>6</v>
      </c>
      <c r="E20" s="636">
        <f t="shared" si="1"/>
        <v>420</v>
      </c>
      <c r="F20" s="118"/>
      <c r="G20" s="1361" t="s">
        <v>193</v>
      </c>
      <c r="H20" s="1362"/>
      <c r="I20" s="631" t="s">
        <v>83</v>
      </c>
      <c r="J20" s="629"/>
      <c r="K20" s="665" t="str">
        <f t="shared" si="2"/>
        <v>SALT</v>
      </c>
      <c r="L20" s="633">
        <f>'1'!W28+'2'!W28+'3'!W28+'4'!W28+'5'!W28+'6'!W28+'7'!W28+'8'!W28+'9'!W28+'10'!W28+'11'!W28+'12'!W28+'13'!W28+'14'!W28+'15'!W28+'16'!W28+'17'!W28+'18'!W28+'19'!W28+'20'!W28+'21'!W28+'22'!W28+'23'!W28+'24'!W28+'25'!W28+'26'!W28+'27'!W28+'28'!W28+'29'!W28+'30'!W28+'31'!W28</f>
        <v>253</v>
      </c>
      <c r="M20" s="660">
        <f t="shared" si="0"/>
        <v>1518</v>
      </c>
      <c r="N20" s="1351"/>
      <c r="O20" s="1352"/>
      <c r="P20" s="1337"/>
      <c r="Q20" s="1338"/>
      <c r="S20" s="616" t="s">
        <v>247</v>
      </c>
    </row>
    <row r="21" spans="2:19" ht="36" customHeight="1" thickTop="1" thickBot="1">
      <c r="B21" s="655" t="str">
        <f>'1'!S21</f>
        <v>TAPE</v>
      </c>
      <c r="C21" s="635">
        <f>'31'!X21</f>
        <v>-20</v>
      </c>
      <c r="D21" s="652">
        <v>152.77000000000001</v>
      </c>
      <c r="E21" s="636">
        <f t="shared" si="1"/>
        <v>-3055.4</v>
      </c>
      <c r="F21" s="118"/>
      <c r="G21" s="1359" t="s">
        <v>192</v>
      </c>
      <c r="H21" s="1360"/>
      <c r="I21" s="670" t="s">
        <v>83</v>
      </c>
      <c r="J21" s="629"/>
      <c r="K21" s="665" t="str">
        <f t="shared" si="2"/>
        <v>TAPE</v>
      </c>
      <c r="L21" s="633">
        <f>'1'!W29+'2'!W29+'3'!W29+'4'!W29+'5'!W29+'6'!W29+'7'!W29+'8'!W29+'9'!W29+'10'!W29+'11'!W29+'12'!W29+'13'!W29+'14'!W29+'15'!W29+'16'!W29+'17'!W29+'18'!W29+'19'!W29+'20'!W29+'21'!W29+'22'!W29+'23'!W29+'24'!W29+'25'!W29+'26'!W29+'27'!W29+'28'!W29+'29'!W29+'30'!W29+'31'!W29</f>
        <v>0</v>
      </c>
      <c r="M21" s="660">
        <f t="shared" si="0"/>
        <v>0</v>
      </c>
      <c r="N21" s="1349"/>
      <c r="O21" s="1350"/>
      <c r="P21" s="1335"/>
      <c r="Q21" s="1336"/>
      <c r="S21" s="616" t="s">
        <v>248</v>
      </c>
    </row>
    <row r="22" spans="2:19" ht="36" customHeight="1" thickTop="1" thickBot="1">
      <c r="B22" s="655" t="str">
        <f>'1'!S22</f>
        <v>COTTON</v>
      </c>
      <c r="C22" s="635">
        <f>'31'!X22</f>
        <v>35</v>
      </c>
      <c r="D22" s="652">
        <v>115</v>
      </c>
      <c r="E22" s="636">
        <f t="shared" si="1"/>
        <v>4025</v>
      </c>
      <c r="F22" s="118"/>
      <c r="G22" s="1365"/>
      <c r="H22" s="1366"/>
      <c r="I22" s="631"/>
      <c r="J22" s="632"/>
      <c r="K22" s="665" t="str">
        <f t="shared" si="2"/>
        <v>COTTON</v>
      </c>
      <c r="L22" s="633">
        <f>'1'!W30+'2'!W30+'3'!W30+'4'!W30+'5'!W30+'6'!W30+'7'!W30+'8'!W30+'9'!W30+'10'!W30+'11'!W30+'12'!W30+'13'!W30+'14'!W30+'15'!W30+'16'!W30+'17'!W30+'18'!W30+'19'!W30+'20'!W30+'21'!W30+'22'!W30+'23'!W30+'24'!W30+'25'!W30+'26'!W30+'27'!W30+'28'!W30+'29'!W30+'30'!W30+'31'!W30</f>
        <v>0</v>
      </c>
      <c r="M22" s="661">
        <f t="shared" si="0"/>
        <v>0</v>
      </c>
      <c r="N22" s="1347"/>
      <c r="O22" s="1348"/>
      <c r="P22" s="1386"/>
      <c r="Q22" s="1387"/>
      <c r="S22" s="616"/>
    </row>
    <row r="23" spans="2:19" ht="36" customHeight="1" thickTop="1" thickBot="1">
      <c r="B23" s="655" t="str">
        <f>'1'!S23</f>
        <v>WHITE 6</v>
      </c>
      <c r="C23" s="635">
        <f>'31'!X23</f>
        <v>0</v>
      </c>
      <c r="D23" s="653">
        <v>730</v>
      </c>
      <c r="E23" s="636">
        <f t="shared" si="1"/>
        <v>0</v>
      </c>
      <c r="F23" s="118"/>
      <c r="G23" s="1363"/>
      <c r="H23" s="1364"/>
      <c r="I23" s="670"/>
      <c r="J23" s="632"/>
      <c r="K23" s="665" t="str">
        <f t="shared" si="2"/>
        <v>WHITE 6</v>
      </c>
      <c r="L23" s="633">
        <f>'1'!W31+'2'!W31+'3'!W31+'4'!W31+'5'!W31+'6'!W31+'7'!W31+'8'!W31+'9'!W31+'10'!W31+'11'!W31+'12'!W31+'13'!W31+'14'!W31+'15'!W31+'16'!W31+'17'!W31+'18'!W31+'19'!W31+'20'!W31+'21'!W31+'22'!W31+'23'!W31+'24'!W31+'25'!W31+'26'!W31+'27'!W31+'28'!W31+'29'!W31+'30'!W31+'31'!W31</f>
        <v>110</v>
      </c>
      <c r="M23" s="661">
        <f t="shared" si="0"/>
        <v>80300</v>
      </c>
      <c r="N23" s="1347"/>
      <c r="O23" s="1348"/>
      <c r="P23" s="1384"/>
      <c r="Q23" s="1385"/>
      <c r="R23" t="s">
        <v>1</v>
      </c>
      <c r="S23" s="616"/>
    </row>
    <row r="24" spans="2:19" ht="36" customHeight="1" thickTop="1" thickBot="1">
      <c r="B24" s="655" t="str">
        <f>'1'!S24</f>
        <v>ORANGE</v>
      </c>
      <c r="C24" s="635">
        <f>'31'!X24</f>
        <v>-254</v>
      </c>
      <c r="D24" s="652">
        <v>730</v>
      </c>
      <c r="E24" s="636">
        <f t="shared" si="1"/>
        <v>-185420</v>
      </c>
      <c r="F24" s="118"/>
      <c r="G24" s="1369" t="s">
        <v>74</v>
      </c>
      <c r="H24" s="1370"/>
      <c r="I24" s="1371"/>
      <c r="J24" s="675">
        <f>SUM(J8:J23)</f>
        <v>0</v>
      </c>
      <c r="K24" s="665" t="str">
        <f t="shared" si="2"/>
        <v>ORANGE</v>
      </c>
      <c r="L24" s="633">
        <f>'1'!W32+'2'!W32+'3'!W32+'4'!W32+'5'!W32+'6'!W32+'7'!W32+'8'!W32+'9'!W32+'10'!W32+'11'!W32+'12'!W32+'13'!W32+'14'!W32+'15'!W32+'16'!W32+'17'!W32+'18'!W32+'19'!W32+'20'!W32+'21'!W32+'22'!W32+'23'!W32+'24'!W32+'25'!W32+'26'!W32+'27'!W32+'28'!W32+'29'!W32+'30'!W32+'31'!W32</f>
        <v>0</v>
      </c>
      <c r="M24" s="661">
        <f t="shared" si="0"/>
        <v>0</v>
      </c>
      <c r="N24" s="1347"/>
      <c r="O24" s="1348"/>
      <c r="P24" s="1384"/>
      <c r="Q24" s="1385"/>
      <c r="S24" s="616"/>
    </row>
    <row r="25" spans="2:19" ht="36" customHeight="1" thickTop="1" thickBot="1">
      <c r="B25" s="655" t="str">
        <f>'1'!S25</f>
        <v>MAKKI 7</v>
      </c>
      <c r="C25" s="635">
        <f>'31'!X25</f>
        <v>-400</v>
      </c>
      <c r="D25" s="654">
        <v>730</v>
      </c>
      <c r="E25" s="636">
        <f t="shared" si="1"/>
        <v>-292000</v>
      </c>
      <c r="F25" s="118"/>
      <c r="G25" s="656"/>
      <c r="H25" s="649"/>
      <c r="I25" s="666" t="s">
        <v>73</v>
      </c>
      <c r="J25" s="632"/>
      <c r="K25" s="665" t="str">
        <f t="shared" si="2"/>
        <v>MAKKI 7</v>
      </c>
      <c r="L25" s="633">
        <f>'1'!W33+'2'!W33+'3'!W33+'4'!W33+'5'!W33+'6'!W33+'7'!W33+'8'!W33+'9'!W33+'10'!W33+'11'!W33+'12'!W33+'13'!W33+'14'!W33+'15'!W33+'16'!W33+'17'!W33+'18'!W33+'19'!W33+'20'!W33+'21'!W33+'22'!W33+'23'!W33+'24'!W33+'25'!W33+'26'!W33+'27'!W33+'28'!W33+'29'!W33+'30'!W33+'31'!W33</f>
        <v>14</v>
      </c>
      <c r="M25" s="661">
        <f t="shared" si="0"/>
        <v>10220</v>
      </c>
      <c r="N25" s="1347"/>
      <c r="O25" s="1348"/>
      <c r="P25" s="1384"/>
      <c r="Q25" s="1385"/>
      <c r="S25" s="616"/>
    </row>
    <row r="26" spans="2:19" ht="36" customHeight="1" thickTop="1" thickBot="1">
      <c r="B26" s="655" t="str">
        <f>'1'!S26</f>
        <v>BLUE 125 GM</v>
      </c>
      <c r="C26" s="635">
        <f>'31'!X26</f>
        <v>0</v>
      </c>
      <c r="D26" s="652">
        <v>730</v>
      </c>
      <c r="E26" s="636">
        <f t="shared" si="1"/>
        <v>0</v>
      </c>
      <c r="F26" s="118"/>
      <c r="G26" s="656"/>
      <c r="H26" s="649"/>
      <c r="I26" s="679" t="s">
        <v>85</v>
      </c>
      <c r="J26" s="632"/>
      <c r="K26" s="665" t="str">
        <f t="shared" si="2"/>
        <v>BLUE 125 GM</v>
      </c>
      <c r="L26" s="633">
        <f>'1'!W34+'2'!W34+'3'!W34+'4'!W34+'5'!W34+'6'!W34+'7'!W34+'8'!W34+'9'!W34+'10'!W34+'11'!W34+'12'!W34+'13'!W34+'14'!W34+'15'!W34+'16'!W34+'17'!W34+'18'!W34+'19'!W34+'20'!W34+'21'!W34+'22'!W34+'23'!W34+'24'!W34+'25'!W34+'26'!W34+'27'!W34+'28'!W34+'29'!W34+'30'!W34+'31'!W34</f>
        <v>22</v>
      </c>
      <c r="M26" s="661">
        <f t="shared" si="0"/>
        <v>16060</v>
      </c>
      <c r="N26" s="1347"/>
      <c r="O26" s="1348"/>
      <c r="P26" s="1384"/>
      <c r="Q26" s="1385"/>
      <c r="R26" t="s">
        <v>1</v>
      </c>
      <c r="S26" s="616"/>
    </row>
    <row r="27" spans="2:19" ht="36" customHeight="1" thickTop="1" thickBot="1">
      <c r="B27" s="655" t="str">
        <f>'1'!S27</f>
        <v>MAKKI 5</v>
      </c>
      <c r="C27" s="635">
        <f>'31'!X27</f>
        <v>0</v>
      </c>
      <c r="D27" s="652">
        <v>730</v>
      </c>
      <c r="E27" s="636">
        <f t="shared" si="1"/>
        <v>0</v>
      </c>
      <c r="F27" s="118"/>
      <c r="G27" s="656"/>
      <c r="H27" s="649"/>
      <c r="I27" s="667" t="s">
        <v>86</v>
      </c>
      <c r="J27" s="632"/>
      <c r="K27" s="665" t="str">
        <f t="shared" si="2"/>
        <v>MAKKI 5</v>
      </c>
      <c r="L27" s="633">
        <f>'1'!W35+'2'!W35+'3'!W35+'4'!W35+'5'!W35+'6'!W35+'7'!W35+'8'!W35+'9'!W35+'10'!W35+'11'!W35+'12'!W35+'13'!W35+'14'!W35+'15'!W35+'16'!W35+'17'!W35+'18'!W35+'19'!W35+'20'!W35+'21'!W35+'22'!W35+'23'!W35+'24'!W35+'25'!W35+'26'!W35+'27'!W35+'28'!W35+'29'!W35+'30'!W35+'31'!W35</f>
        <v>385</v>
      </c>
      <c r="M27" s="662">
        <f t="shared" si="0"/>
        <v>281050</v>
      </c>
      <c r="N27" s="1345"/>
      <c r="O27" s="1346"/>
      <c r="P27" s="1315"/>
      <c r="Q27" s="1316"/>
      <c r="R27" t="s">
        <v>1</v>
      </c>
      <c r="S27" s="616"/>
    </row>
    <row r="28" spans="2:19" ht="36" customHeight="1" thickTop="1" thickBot="1">
      <c r="B28" s="655" t="str">
        <f>'1'!S28</f>
        <v>MAKKI 2 PES</v>
      </c>
      <c r="C28" s="635">
        <f>'31'!X28</f>
        <v>-253</v>
      </c>
      <c r="D28" s="654">
        <v>730</v>
      </c>
      <c r="E28" s="636">
        <f t="shared" si="1"/>
        <v>-184690</v>
      </c>
      <c r="F28" s="2"/>
      <c r="G28" s="657"/>
      <c r="H28" s="650"/>
      <c r="I28" s="667" t="s">
        <v>87</v>
      </c>
      <c r="J28" s="629"/>
      <c r="K28" s="665" t="str">
        <f t="shared" si="2"/>
        <v>MAKKI 2 PES</v>
      </c>
      <c r="L28" s="633">
        <f>'1'!W36+'2'!W36+'3'!W36+'4'!W36+'5'!W36+'6'!W36+'7'!W36+'8'!W36+'9'!W36+'10'!W36+'11'!W36+'12'!W36+'13'!W36+'14'!W36+'15'!W36+'16'!W36+'17'!W36+'18'!W36+'19'!W36+'20'!W36+'21'!W36+'22'!W36+'23'!W36+'24'!W36+'25'!W36+'26'!W36+'27'!W36+'28'!W36+'29'!W36+'30'!W36+'31'!W36</f>
        <v>106</v>
      </c>
      <c r="M28" s="663">
        <f t="shared" si="0"/>
        <v>77380</v>
      </c>
      <c r="N28" s="1357"/>
      <c r="O28" s="1358"/>
      <c r="P28" s="1315"/>
      <c r="Q28" s="1316"/>
      <c r="S28" s="616"/>
    </row>
    <row r="29" spans="2:19" ht="36" customHeight="1" thickTop="1" thickBot="1">
      <c r="B29" s="655" t="str">
        <f>'1'!S29</f>
        <v xml:space="preserve">PRIME </v>
      </c>
      <c r="C29" s="635">
        <f>'31'!X29</f>
        <v>0</v>
      </c>
      <c r="D29" s="652">
        <v>730</v>
      </c>
      <c r="E29" s="636">
        <f t="shared" si="1"/>
        <v>0</v>
      </c>
      <c r="F29" s="2"/>
      <c r="G29" s="657"/>
      <c r="H29" s="650"/>
      <c r="I29" s="667" t="s">
        <v>84</v>
      </c>
      <c r="J29" s="629"/>
      <c r="K29" s="665" t="str">
        <f t="shared" si="2"/>
        <v xml:space="preserve">PRIME </v>
      </c>
      <c r="L29" s="633">
        <f>'1'!W37+'2'!W37+'3'!W37+'4'!W37+'5'!W37+'6'!W37+'7'!W37+'8'!W37+'9'!W37+'10'!W37+'11'!W37+'12'!W37+'13'!W37+'14'!W37+'15'!W37+'16'!W37+'17'!W37+'18'!W37+'19'!W37+'20'!W37+'21'!W37+'22'!W37+'23'!W37+'24'!W37+'25'!W37+'26'!W37+'27'!W37+'28'!W37+'29'!W37+'30'!W37+'31'!W37</f>
        <v>0</v>
      </c>
      <c r="M29" s="663">
        <f t="shared" si="0"/>
        <v>0</v>
      </c>
      <c r="N29" s="1349"/>
      <c r="O29" s="1350"/>
      <c r="P29" s="1317"/>
      <c r="Q29" s="1318"/>
      <c r="S29" s="616"/>
    </row>
    <row r="30" spans="2:19" ht="36" customHeight="1" thickTop="1" thickBot="1">
      <c r="B30" s="655" t="str">
        <f>'1'!S30</f>
        <v>PRIMR 15</v>
      </c>
      <c r="C30" s="635">
        <f>'31'!X30</f>
        <v>0</v>
      </c>
      <c r="D30" s="654">
        <v>730</v>
      </c>
      <c r="E30" s="636">
        <f t="shared" si="1"/>
        <v>0</v>
      </c>
      <c r="F30" s="2">
        <f>SUM(C23+C24+C25+C26+C27+C28+C29+C30+C31+C32+C33+C34)</f>
        <v>-1053</v>
      </c>
      <c r="G30" s="657"/>
      <c r="H30" s="650"/>
      <c r="I30" s="667"/>
      <c r="J30" s="647"/>
      <c r="K30" s="665" t="str">
        <f t="shared" si="2"/>
        <v>PRIMR 15</v>
      </c>
      <c r="L30" s="634">
        <f>'1'!W38+'2'!W38+'3'!W38+'4'!W38+'5'!W38+'6'!W38+'7'!W38+'8'!W38+'9'!W38+'10'!W38+'11'!W38+'12'!W38+'13'!W38+'14'!W38+'15'!W38+'16'!W38+'17'!W38+'18'!W38+'19'!W38+'20'!W38+'21'!W38+'22'!W38+'23'!W38+'24'!W38+'25'!W38+'26'!W38+'27'!W38+'28'!W38+'29'!W38+'30'!W38+'31'!W38</f>
        <v>0</v>
      </c>
      <c r="M30" s="663">
        <f t="shared" si="0"/>
        <v>0</v>
      </c>
      <c r="N30" s="1357"/>
      <c r="O30" s="1358"/>
      <c r="P30" s="1315"/>
      <c r="Q30" s="1316"/>
      <c r="S30" s="616"/>
    </row>
    <row r="31" spans="2:19" ht="36" customHeight="1" thickTop="1" thickBot="1">
      <c r="B31" s="655" t="str">
        <f>'1'!S31</f>
        <v>KARACHI</v>
      </c>
      <c r="C31" s="635">
        <f>'31'!X31</f>
        <v>-110</v>
      </c>
      <c r="D31" s="652">
        <v>730</v>
      </c>
      <c r="E31" s="636">
        <f t="shared" si="1"/>
        <v>-80300</v>
      </c>
      <c r="F31" s="890">
        <f>SUM(E23+E24+E25+E26+E27+E28+E29+E30+E31+E32+E33+E34+E35+E36)</f>
        <v>-1107480</v>
      </c>
      <c r="G31" s="657"/>
      <c r="H31" s="650"/>
      <c r="I31" s="667"/>
      <c r="J31" s="647"/>
      <c r="K31" s="665" t="str">
        <f t="shared" si="2"/>
        <v>KARACHI</v>
      </c>
      <c r="L31" s="634">
        <f>'1'!W39+'2'!W39+'3'!W39+'4'!W39+'5'!W39+'6'!W39+'7'!W39+'8'!W39+'9'!W39+'10'!W39+'11'!W39+'12'!W39+'13'!W39+'14'!W39+'15'!W39+'16'!W39+'17'!W39+'18'!W39+'19'!W39+'20'!W39+'21'!W39+'22'!W39+'23'!W39+'24'!W39+'25'!W39+'26'!W39+'27'!W39+'28'!W39+'29'!W39+'30'!W39+'31'!W39</f>
        <v>0</v>
      </c>
      <c r="M31" s="663">
        <f t="shared" si="0"/>
        <v>0</v>
      </c>
      <c r="N31" s="1357"/>
      <c r="O31" s="1358"/>
      <c r="P31" s="1315"/>
      <c r="Q31" s="1316"/>
      <c r="S31" s="616"/>
    </row>
    <row r="32" spans="2:19" ht="36" customHeight="1" thickTop="1" thickBot="1">
      <c r="B32" s="655" t="str">
        <f>'1'!S32</f>
        <v>MARVI</v>
      </c>
      <c r="C32" s="635">
        <f>'31'!X32</f>
        <v>0</v>
      </c>
      <c r="D32" s="652">
        <v>730</v>
      </c>
      <c r="E32" s="636">
        <f t="shared" si="1"/>
        <v>0</v>
      </c>
      <c r="F32" s="2"/>
      <c r="G32" s="657"/>
      <c r="H32" s="650"/>
      <c r="I32" s="667"/>
      <c r="J32" s="647"/>
      <c r="K32" s="665" t="str">
        <f t="shared" si="2"/>
        <v>MARVI</v>
      </c>
      <c r="L32" s="634">
        <f>'1'!W40+'2'!W40+'3'!W40+'4'!W40+'5'!W40+'6'!W40+'7'!W40+'8'!W40+'9'!W40+'10'!W40+'11'!W40+'12'!W40+'13'!W40+'14'!W40+'15'!W40+'16'!W40+'17'!W40+'18'!W40+'19'!W40+'20'!W40+'21'!W40+'22'!W40+'23'!W40+'24'!W40+'25'!W40+'26'!W40+'27'!W40+'28'!W40+'29'!W40+'30'!W40+'31'!W40</f>
        <v>0</v>
      </c>
      <c r="M32" s="663">
        <f t="shared" si="0"/>
        <v>0</v>
      </c>
      <c r="N32" s="1357"/>
      <c r="O32" s="1358"/>
      <c r="P32" s="1315"/>
      <c r="Q32" s="1316"/>
      <c r="R32" t="s">
        <v>1</v>
      </c>
      <c r="S32" s="616"/>
    </row>
    <row r="33" spans="1:50" ht="36" customHeight="1" thickTop="1" thickBot="1">
      <c r="B33" s="655" t="str">
        <f>'1'!S33</f>
        <v>TS</v>
      </c>
      <c r="C33" s="635">
        <f>'31'!X33</f>
        <v>-14</v>
      </c>
      <c r="D33" s="652">
        <v>730</v>
      </c>
      <c r="E33" s="636">
        <f t="shared" si="1"/>
        <v>-10220</v>
      </c>
      <c r="F33" s="2"/>
      <c r="G33" s="656"/>
      <c r="H33" s="649"/>
      <c r="I33" s="668"/>
      <c r="J33" s="648"/>
      <c r="K33" s="665" t="str">
        <f t="shared" si="2"/>
        <v>TS</v>
      </c>
      <c r="L33" s="634">
        <f>'1'!W41+'2'!W41+'3'!W41+'4'!W41+'5'!W41+'6'!W41+'7'!W41+'8'!W41+'9'!W41+'10'!W41+'11'!W41+'12'!W41+'13'!W41+'14'!W41+'15'!W41+'16'!W41+'17'!W41+'18'!W41+'19'!W41+'20'!W41+'21'!W41+'22'!W41+'23'!W41+'24'!W41+'25'!W41+'26'!W41+'27'!W41+'28'!W41+'29'!W41+'30'!W41+'31'!W41</f>
        <v>0</v>
      </c>
      <c r="M33" s="663">
        <f t="shared" si="0"/>
        <v>0</v>
      </c>
      <c r="N33" s="1357"/>
      <c r="O33" s="1358"/>
      <c r="P33" s="1315"/>
      <c r="Q33" s="1316"/>
      <c r="S33" s="616"/>
    </row>
    <row r="34" spans="1:50" ht="36" customHeight="1" thickTop="1" thickBot="1">
      <c r="B34" s="655" t="str">
        <f>'1'!S34</f>
        <v>MAXI</v>
      </c>
      <c r="C34" s="635">
        <f>'31'!X34</f>
        <v>-22</v>
      </c>
      <c r="D34" s="1026">
        <v>730</v>
      </c>
      <c r="E34" s="636">
        <f t="shared" si="1"/>
        <v>-16060</v>
      </c>
      <c r="F34" s="2"/>
      <c r="G34" s="818"/>
      <c r="H34" s="1027"/>
      <c r="I34" s="1028"/>
      <c r="J34" s="820"/>
      <c r="K34" s="821"/>
      <c r="L34" s="634">
        <f>'1'!W42+'2'!W42+'3'!W42+'4'!W42+'5'!W42+'6'!W42+'7'!W42+'8'!W42+'9'!W42+'10'!W42+'11'!W42+'12'!W42+'13'!W42+'14'!W42+'15'!W42+'16'!W42+'17'!W42+'18'!W42+'19'!W42+'20'!W42+'21'!W42+'22'!W42+'23'!W42+'24'!W42+'25'!W42+'26'!W42+'27'!W42+'28'!W42+'29'!W42+'30'!W42+'31'!W42</f>
        <v>0</v>
      </c>
      <c r="M34" s="822"/>
      <c r="N34" s="823"/>
      <c r="O34" s="824"/>
      <c r="P34" s="825"/>
      <c r="Q34" s="826"/>
      <c r="S34" s="616"/>
    </row>
    <row r="35" spans="1:50" ht="36" customHeight="1" thickTop="1" thickBot="1">
      <c r="B35" s="655" t="str">
        <f>'1'!S35</f>
        <v>M A WHITE</v>
      </c>
      <c r="C35" s="635">
        <f>'31'!X35</f>
        <v>-385</v>
      </c>
      <c r="D35" s="817">
        <v>690</v>
      </c>
      <c r="E35" s="636">
        <f t="shared" si="1"/>
        <v>-265650</v>
      </c>
      <c r="F35" s="2"/>
      <c r="G35" s="818"/>
      <c r="H35" s="1029"/>
      <c r="I35" s="819"/>
      <c r="J35" s="820"/>
      <c r="K35" s="821"/>
      <c r="L35" s="634">
        <f>'1'!W43+'2'!W43+'3'!W43+'4'!W43+'5'!W43+'6'!W43+'7'!W43+'8'!W43+'9'!W43+'10'!W43+'11'!W43+'12'!W43+'13'!W43+'14'!W43+'15'!W43+'16'!W43+'17'!W43+'18'!W43+'19'!W43+'20'!W43+'21'!W43+'22'!W43+'23'!W43+'24'!W43+'25'!W43+'26'!W43+'27'!W43+'28'!W43+'29'!W43+'30'!W43+'31'!W43</f>
        <v>0</v>
      </c>
      <c r="M35" s="822"/>
      <c r="N35" s="823"/>
      <c r="O35" s="824"/>
      <c r="P35" s="825"/>
      <c r="Q35" s="826"/>
      <c r="S35" s="616"/>
    </row>
    <row r="36" spans="1:50" ht="36" customHeight="1" thickTop="1" thickBot="1">
      <c r="B36" s="655" t="str">
        <f>'1'!S36</f>
        <v>M A ORING</v>
      </c>
      <c r="C36" s="635">
        <f>'31'!X36</f>
        <v>-106</v>
      </c>
      <c r="D36" s="817">
        <v>690</v>
      </c>
      <c r="E36" s="636">
        <f t="shared" si="1"/>
        <v>-73140</v>
      </c>
      <c r="F36" s="2"/>
      <c r="G36" s="818"/>
      <c r="H36" s="1062"/>
      <c r="I36" s="819"/>
      <c r="J36" s="820"/>
      <c r="K36" s="821"/>
      <c r="L36" s="634">
        <f>'1'!W44+'2'!W44+'3'!W44+'4'!W44+'5'!W44+'6'!W44+'7'!W44+'8'!W44+'9'!W44+'10'!W44+'11'!W44+'12'!W44+'13'!W44+'14'!W44+'15'!W44+'16'!W44+'17'!W44+'18'!W44+'19'!W44+'20'!W44+'21'!W44+'22'!W44+'23'!W44+'24'!W44+'25'!W44+'26'!W44+'27'!W44+'28'!W44+'29'!W44+'30'!W44+'31'!W44</f>
        <v>0</v>
      </c>
      <c r="M36" s="822"/>
      <c r="N36" s="823"/>
      <c r="O36" s="824"/>
      <c r="P36" s="825"/>
      <c r="Q36" s="826"/>
      <c r="S36" s="616"/>
    </row>
    <row r="37" spans="1:50" ht="36" customHeight="1" thickTop="1" thickBot="1">
      <c r="B37" s="1332" t="s">
        <v>74</v>
      </c>
      <c r="C37" s="1333"/>
      <c r="D37" s="1334"/>
      <c r="E37" s="678">
        <f>SUM(E8:E36)</f>
        <v>-1686915.4</v>
      </c>
      <c r="F37" s="118">
        <f>C23+C24+C25+C26+C27+C28+C29+C30+C31+C32+C33+C34+C35+C36</f>
        <v>-1544</v>
      </c>
      <c r="G37" s="1332" t="s">
        <v>74</v>
      </c>
      <c r="H37" s="1333"/>
      <c r="I37" s="1334"/>
      <c r="J37" s="676">
        <f>SUM(J25:J33)</f>
        <v>0</v>
      </c>
      <c r="K37" s="1375" t="s">
        <v>74</v>
      </c>
      <c r="L37" s="1375"/>
      <c r="M37" s="677">
        <f>SUM(M8:M33)</f>
        <v>3680268</v>
      </c>
      <c r="N37" s="1330" t="s">
        <v>88</v>
      </c>
      <c r="O37" s="1331"/>
      <c r="P37" s="1382">
        <f>P18-P19</f>
        <v>-316154.39999999991</v>
      </c>
      <c r="Q37" s="1383"/>
    </row>
    <row r="38" spans="1:50" ht="13.5" customHeight="1" thickTop="1" thickBot="1">
      <c r="A38" s="2"/>
      <c r="B38" s="112"/>
      <c r="C38" s="112"/>
      <c r="D38" s="112"/>
      <c r="E38" s="204"/>
      <c r="F38" s="19"/>
      <c r="G38" s="124"/>
      <c r="H38" s="124"/>
      <c r="I38" s="124"/>
      <c r="J38" s="205"/>
      <c r="K38" s="124"/>
      <c r="L38" s="124"/>
      <c r="M38" s="205"/>
      <c r="N38" s="205"/>
      <c r="O38" s="19"/>
      <c r="P38" s="19"/>
      <c r="Q38" s="19"/>
      <c r="R38" s="19"/>
      <c r="S38" s="19"/>
    </row>
    <row r="39" spans="1:50" ht="39.950000000000003" customHeight="1" thickTop="1" thickBot="1">
      <c r="B39" s="1402" t="s">
        <v>95</v>
      </c>
      <c r="C39" s="1403"/>
      <c r="D39" s="1403"/>
      <c r="E39" s="1404"/>
      <c r="F39" s="1402" t="s">
        <v>7</v>
      </c>
      <c r="G39" s="1403"/>
      <c r="H39" s="1404"/>
      <c r="I39" s="1402" t="s">
        <v>8</v>
      </c>
      <c r="J39" s="1404"/>
      <c r="K39" s="1402" t="s">
        <v>9</v>
      </c>
      <c r="L39" s="1403"/>
      <c r="M39" s="1403"/>
      <c r="N39" s="1403"/>
      <c r="O39" s="1403"/>
      <c r="P39" s="1403"/>
      <c r="Q39" s="1403"/>
      <c r="R39" s="1405" t="s">
        <v>10</v>
      </c>
      <c r="S39" s="1406"/>
      <c r="T39" s="1400" t="s">
        <v>289</v>
      </c>
      <c r="U39" s="1401"/>
      <c r="V39" s="842" t="s">
        <v>290</v>
      </c>
      <c r="W39" s="842"/>
      <c r="X39" s="842"/>
    </row>
    <row r="40" spans="1:50" ht="62.25" thickTop="1" thickBot="1">
      <c r="B40" s="482" t="s">
        <v>12</v>
      </c>
      <c r="C40" s="482" t="s">
        <v>13</v>
      </c>
      <c r="D40" s="482" t="s">
        <v>14</v>
      </c>
      <c r="E40" s="958" t="s">
        <v>263</v>
      </c>
      <c r="F40" s="482" t="s">
        <v>12</v>
      </c>
      <c r="G40" s="482" t="s">
        <v>13</v>
      </c>
      <c r="H40" s="482" t="s">
        <v>282</v>
      </c>
      <c r="I40" s="482" t="s">
        <v>12</v>
      </c>
      <c r="J40" s="482" t="s">
        <v>16</v>
      </c>
      <c r="K40" s="482" t="s">
        <v>17</v>
      </c>
      <c r="L40" s="482" t="s">
        <v>18</v>
      </c>
      <c r="M40" s="482" t="s">
        <v>19</v>
      </c>
      <c r="N40" s="484" t="s">
        <v>96</v>
      </c>
      <c r="O40" s="484" t="s">
        <v>257</v>
      </c>
      <c r="P40" s="482" t="s">
        <v>254</v>
      </c>
      <c r="Q40" s="482" t="s">
        <v>20</v>
      </c>
      <c r="R40" s="483" t="s">
        <v>13</v>
      </c>
      <c r="S40" s="482" t="s">
        <v>14</v>
      </c>
      <c r="T40" s="846" t="s">
        <v>284</v>
      </c>
      <c r="U40" s="846" t="s">
        <v>288</v>
      </c>
      <c r="V40" s="484" t="s">
        <v>291</v>
      </c>
      <c r="W40" s="484"/>
      <c r="X40" s="484"/>
      <c r="AD40" s="861" t="s">
        <v>12</v>
      </c>
      <c r="AE40" s="862" t="s">
        <v>13</v>
      </c>
      <c r="AF40" s="862" t="s">
        <v>14</v>
      </c>
      <c r="AG40" s="863" t="s">
        <v>263</v>
      </c>
      <c r="AH40" s="862" t="s">
        <v>12</v>
      </c>
      <c r="AI40" s="862" t="s">
        <v>13</v>
      </c>
      <c r="AJ40" s="862" t="s">
        <v>15</v>
      </c>
      <c r="AK40" s="862" t="s">
        <v>12</v>
      </c>
      <c r="AL40" s="862" t="s">
        <v>14</v>
      </c>
      <c r="AM40" s="862" t="s">
        <v>16</v>
      </c>
      <c r="AN40" s="862" t="s">
        <v>17</v>
      </c>
      <c r="AO40" s="862" t="s">
        <v>18</v>
      </c>
      <c r="AP40" s="862" t="s">
        <v>19</v>
      </c>
      <c r="AQ40" s="862" t="s">
        <v>254</v>
      </c>
      <c r="AR40" s="862" t="s">
        <v>20</v>
      </c>
      <c r="AS40" s="862" t="s">
        <v>96</v>
      </c>
      <c r="AT40" s="862" t="s">
        <v>257</v>
      </c>
      <c r="AU40" s="862" t="s">
        <v>13</v>
      </c>
      <c r="AV40" s="862" t="s">
        <v>259</v>
      </c>
      <c r="AW40" s="862" t="s">
        <v>205</v>
      </c>
      <c r="AX40" s="864" t="s">
        <v>288</v>
      </c>
    </row>
    <row r="41" spans="1:50" ht="28.5" thickTop="1" thickBot="1">
      <c r="B41" s="932">
        <f>'31'!T55</f>
        <v>62</v>
      </c>
      <c r="C41" s="932">
        <f>'31'!U55</f>
        <v>0</v>
      </c>
      <c r="D41" s="932">
        <f>'31'!V55</f>
        <v>184</v>
      </c>
      <c r="E41" s="932">
        <f>'31'!W55</f>
        <v>19</v>
      </c>
      <c r="F41" s="932">
        <f>'31'!X55</f>
        <v>0</v>
      </c>
      <c r="G41" s="932">
        <f>'31'!Y55</f>
        <v>0</v>
      </c>
      <c r="H41" s="932">
        <f>'31'!Z55</f>
        <v>525</v>
      </c>
      <c r="I41" s="932">
        <f>'31'!AA55</f>
        <v>5632</v>
      </c>
      <c r="J41" s="932">
        <f>'31'!AB55</f>
        <v>160</v>
      </c>
      <c r="K41" s="932">
        <f>'31'!AC55</f>
        <v>3220</v>
      </c>
      <c r="L41" s="932">
        <f>'31'!AD55</f>
        <v>1292</v>
      </c>
      <c r="M41" s="932">
        <f>'31'!AE55</f>
        <v>0</v>
      </c>
      <c r="N41" s="932">
        <f>'31'!AF55</f>
        <v>3752</v>
      </c>
      <c r="O41" s="932">
        <f>'31'!AG55</f>
        <v>1082</v>
      </c>
      <c r="P41" s="932">
        <f>'31'!AH55</f>
        <v>2011</v>
      </c>
      <c r="Q41" s="932">
        <f>'31'!AI55</f>
        <v>631</v>
      </c>
      <c r="R41" s="932">
        <f>'31'!AJ55</f>
        <v>0</v>
      </c>
      <c r="S41" s="932">
        <f>'31'!AK55</f>
        <v>123</v>
      </c>
      <c r="T41" s="932" t="e">
        <f>'31'!AL55</f>
        <v>#VALUE!</v>
      </c>
      <c r="U41" s="932" t="e">
        <f>'31'!AM55</f>
        <v>#VALUE!</v>
      </c>
      <c r="V41" s="932" t="e">
        <f>'31'!AN55</f>
        <v>#VALUE!</v>
      </c>
      <c r="W41" s="932">
        <f>'31'!AO55</f>
        <v>0</v>
      </c>
      <c r="X41" s="932">
        <f>'31'!AP55</f>
        <v>0</v>
      </c>
    </row>
    <row r="42" spans="1:50" ht="28.5" thickTop="1" thickBot="1">
      <c r="B42" s="639">
        <v>380</v>
      </c>
      <c r="C42" s="640">
        <v>340</v>
      </c>
      <c r="D42" s="640">
        <v>380</v>
      </c>
      <c r="E42" s="640">
        <v>380</v>
      </c>
      <c r="F42" s="640">
        <v>140</v>
      </c>
      <c r="G42" s="640">
        <v>140</v>
      </c>
      <c r="H42" s="640">
        <v>130</v>
      </c>
      <c r="I42" s="640">
        <v>43</v>
      </c>
      <c r="J42" s="640">
        <v>43</v>
      </c>
      <c r="K42" s="640">
        <v>375</v>
      </c>
      <c r="L42" s="640">
        <v>360</v>
      </c>
      <c r="M42" s="640">
        <v>360</v>
      </c>
      <c r="N42" s="640">
        <v>360</v>
      </c>
      <c r="O42" s="640">
        <v>360</v>
      </c>
      <c r="P42" s="640">
        <v>100</v>
      </c>
      <c r="Q42" s="641">
        <v>65</v>
      </c>
      <c r="R42" s="642">
        <v>330</v>
      </c>
      <c r="S42" s="642">
        <v>360</v>
      </c>
      <c r="T42" s="642"/>
      <c r="U42" s="642">
        <v>35</v>
      </c>
      <c r="V42" s="642">
        <v>50</v>
      </c>
      <c r="W42" s="87"/>
      <c r="X42" s="81"/>
    </row>
    <row r="43" spans="1:50" ht="28.5" thickTop="1" thickBot="1">
      <c r="B43" s="643">
        <f>B41*B42</f>
        <v>23560</v>
      </c>
      <c r="C43" s="644">
        <f t="shared" ref="C43:R43" si="3">C41*C42</f>
        <v>0</v>
      </c>
      <c r="D43" s="644">
        <f t="shared" si="3"/>
        <v>69920</v>
      </c>
      <c r="E43" s="644">
        <f t="shared" si="3"/>
        <v>7220</v>
      </c>
      <c r="F43" s="644">
        <f t="shared" si="3"/>
        <v>0</v>
      </c>
      <c r="G43" s="644">
        <f t="shared" si="3"/>
        <v>0</v>
      </c>
      <c r="H43" s="644">
        <f t="shared" si="3"/>
        <v>68250</v>
      </c>
      <c r="I43" s="644">
        <f t="shared" si="3"/>
        <v>242176</v>
      </c>
      <c r="J43" s="644">
        <f t="shared" si="3"/>
        <v>6880</v>
      </c>
      <c r="K43" s="644">
        <f t="shared" si="3"/>
        <v>1207500</v>
      </c>
      <c r="L43" s="644">
        <f t="shared" si="3"/>
        <v>465120</v>
      </c>
      <c r="M43" s="644">
        <f t="shared" si="3"/>
        <v>0</v>
      </c>
      <c r="N43" s="644">
        <f t="shared" si="3"/>
        <v>1350720</v>
      </c>
      <c r="O43" s="644">
        <f t="shared" si="3"/>
        <v>389520</v>
      </c>
      <c r="P43" s="644">
        <f t="shared" si="3"/>
        <v>201100</v>
      </c>
      <c r="Q43" s="645">
        <f t="shared" si="3"/>
        <v>41015</v>
      </c>
      <c r="R43" s="645">
        <f t="shared" si="3"/>
        <v>0</v>
      </c>
      <c r="S43" s="645">
        <f>S41*S42</f>
        <v>44280</v>
      </c>
      <c r="T43" s="645" t="e">
        <f t="shared" ref="T43:V43" si="4">T41*T42</f>
        <v>#VALUE!</v>
      </c>
      <c r="U43" s="645" t="e">
        <f t="shared" si="4"/>
        <v>#VALUE!</v>
      </c>
      <c r="V43" s="645" t="e">
        <f t="shared" si="4"/>
        <v>#VALUE!</v>
      </c>
      <c r="W43" s="940"/>
      <c r="X43" s="939"/>
      <c r="Z43" s="942">
        <f>SUM(B43:S43)</f>
        <v>4117261</v>
      </c>
    </row>
    <row r="44" spans="1:50" ht="46.5" thickTop="1" thickBot="1">
      <c r="B44" s="1319" t="s">
        <v>89</v>
      </c>
      <c r="C44" s="1320"/>
      <c r="D44" s="1320"/>
      <c r="E44" s="1320"/>
      <c r="F44" s="1320"/>
      <c r="G44" s="1320"/>
      <c r="H44" s="1320"/>
      <c r="I44" s="1320"/>
      <c r="J44" s="1320"/>
      <c r="K44" s="1320"/>
      <c r="L44" s="1320"/>
      <c r="M44" s="1320"/>
      <c r="N44" s="1320"/>
      <c r="O44" s="1320"/>
      <c r="P44" s="1320"/>
      <c r="Q44" s="1320"/>
      <c r="R44" s="1320"/>
      <c r="S44" s="1321"/>
      <c r="Z44" s="111">
        <f>E37</f>
        <v>-1686915.4</v>
      </c>
    </row>
    <row r="45" spans="1:50" ht="28.5" thickTop="1" thickBot="1">
      <c r="B45" s="637"/>
      <c r="C45" s="638"/>
      <c r="D45" s="638"/>
      <c r="E45" s="638"/>
      <c r="F45" s="638"/>
      <c r="G45" s="638"/>
      <c r="H45" s="638"/>
      <c r="I45" s="638"/>
      <c r="J45" s="638"/>
      <c r="K45" s="638"/>
      <c r="L45" s="638"/>
      <c r="M45" s="638"/>
      <c r="N45" s="638"/>
      <c r="O45" s="638"/>
      <c r="P45" s="638"/>
      <c r="Q45" s="638"/>
      <c r="R45" s="646"/>
      <c r="S45" s="646"/>
      <c r="T45" s="646"/>
      <c r="U45" s="646"/>
      <c r="V45" s="646"/>
      <c r="W45" s="87"/>
      <c r="X45" s="87"/>
      <c r="Y45" t="s">
        <v>1</v>
      </c>
      <c r="Z45">
        <f>'CUSTOMERS REPORT'!AD1231</f>
        <v>0</v>
      </c>
    </row>
    <row r="46" spans="1:50" ht="28.5" thickTop="1" thickBot="1">
      <c r="B46" s="637">
        <f t="shared" ref="B46:Q46" si="5">B42*B45</f>
        <v>0</v>
      </c>
      <c r="C46" s="638">
        <f t="shared" si="5"/>
        <v>0</v>
      </c>
      <c r="D46" s="638">
        <f t="shared" si="5"/>
        <v>0</v>
      </c>
      <c r="E46" s="638">
        <f t="shared" si="5"/>
        <v>0</v>
      </c>
      <c r="F46" s="638">
        <f t="shared" si="5"/>
        <v>0</v>
      </c>
      <c r="G46" s="638">
        <f t="shared" si="5"/>
        <v>0</v>
      </c>
      <c r="H46" s="638">
        <f t="shared" si="5"/>
        <v>0</v>
      </c>
      <c r="I46" s="638">
        <f t="shared" si="5"/>
        <v>0</v>
      </c>
      <c r="J46" s="638">
        <f t="shared" si="5"/>
        <v>0</v>
      </c>
      <c r="K46" s="638">
        <f t="shared" si="5"/>
        <v>0</v>
      </c>
      <c r="L46" s="638">
        <f t="shared" si="5"/>
        <v>0</v>
      </c>
      <c r="M46" s="638">
        <f t="shared" si="5"/>
        <v>0</v>
      </c>
      <c r="N46" s="638">
        <f t="shared" si="5"/>
        <v>0</v>
      </c>
      <c r="O46" s="638">
        <f t="shared" si="5"/>
        <v>0</v>
      </c>
      <c r="P46" s="638">
        <f t="shared" si="5"/>
        <v>0</v>
      </c>
      <c r="Q46" s="638">
        <f t="shared" si="5"/>
        <v>0</v>
      </c>
      <c r="R46" s="646">
        <f>R42*R45</f>
        <v>0</v>
      </c>
      <c r="S46" s="646">
        <f>S42*S45</f>
        <v>0</v>
      </c>
      <c r="T46" s="646">
        <f t="shared" ref="T46:V46" si="6">T42*T45</f>
        <v>0</v>
      </c>
      <c r="U46" s="646">
        <f t="shared" si="6"/>
        <v>0</v>
      </c>
      <c r="V46" s="646">
        <f t="shared" si="6"/>
        <v>0</v>
      </c>
      <c r="W46" s="941"/>
      <c r="X46" s="81" t="s">
        <v>1</v>
      </c>
      <c r="Z46" s="1247">
        <f>SUM(B46:S46)</f>
        <v>0</v>
      </c>
    </row>
    <row r="47" spans="1:50" ht="15.75" thickTop="1"/>
    <row r="48" spans="1:50">
      <c r="P48" t="s">
        <v>1</v>
      </c>
    </row>
    <row r="49" spans="2:26" ht="34.5">
      <c r="B49">
        <f>19500/25</f>
        <v>780</v>
      </c>
      <c r="D49" s="911"/>
      <c r="E49" s="911"/>
      <c r="F49" s="911"/>
      <c r="G49" s="19"/>
    </row>
    <row r="50" spans="2:26" ht="15.75" thickBot="1"/>
    <row r="51" spans="2:26" ht="47.25" customHeight="1" thickTop="1" thickBot="1">
      <c r="D51" s="1402" t="s">
        <v>95</v>
      </c>
      <c r="E51" s="1403"/>
      <c r="F51" s="1403"/>
      <c r="G51" s="1404"/>
      <c r="H51" s="1402" t="s">
        <v>7</v>
      </c>
      <c r="I51" s="1403"/>
      <c r="J51" s="1404"/>
      <c r="K51" s="1402" t="s">
        <v>8</v>
      </c>
      <c r="L51" s="1404"/>
      <c r="M51" s="1402" t="s">
        <v>9</v>
      </c>
      <c r="N51" s="1403"/>
      <c r="O51" s="1403"/>
      <c r="P51" s="1403"/>
      <c r="Q51" s="1403"/>
      <c r="R51" s="1403"/>
      <c r="S51" s="1403"/>
      <c r="T51" s="1405" t="s">
        <v>10</v>
      </c>
      <c r="U51" s="1406"/>
      <c r="V51" s="1400" t="s">
        <v>289</v>
      </c>
      <c r="W51" s="1401"/>
      <c r="X51" s="842" t="s">
        <v>258</v>
      </c>
      <c r="Y51" s="842"/>
      <c r="Z51" s="842"/>
    </row>
    <row r="52" spans="2:26" ht="42" thickTop="1" thickBot="1">
      <c r="B52" s="6" t="s">
        <v>224</v>
      </c>
      <c r="C52" s="6" t="s">
        <v>12</v>
      </c>
      <c r="D52" s="482" t="s">
        <v>12</v>
      </c>
      <c r="E52" s="482" t="s">
        <v>13</v>
      </c>
      <c r="F52" s="482" t="s">
        <v>14</v>
      </c>
      <c r="G52" s="688" t="s">
        <v>198</v>
      </c>
      <c r="H52" s="482" t="s">
        <v>12</v>
      </c>
      <c r="I52" s="482" t="s">
        <v>13</v>
      </c>
      <c r="J52" s="482" t="s">
        <v>282</v>
      </c>
      <c r="K52" s="482" t="s">
        <v>12</v>
      </c>
      <c r="L52" s="482" t="s">
        <v>16</v>
      </c>
      <c r="M52" s="482" t="s">
        <v>17</v>
      </c>
      <c r="N52" s="482" t="s">
        <v>18</v>
      </c>
      <c r="O52" s="482" t="s">
        <v>19</v>
      </c>
      <c r="P52" s="482" t="s">
        <v>254</v>
      </c>
      <c r="Q52" s="482" t="s">
        <v>20</v>
      </c>
      <c r="R52" s="484" t="s">
        <v>96</v>
      </c>
      <c r="S52" s="484" t="s">
        <v>257</v>
      </c>
      <c r="T52" s="483" t="s">
        <v>13</v>
      </c>
      <c r="U52" s="482" t="s">
        <v>14</v>
      </c>
      <c r="V52" s="846" t="s">
        <v>284</v>
      </c>
      <c r="W52" s="846" t="s">
        <v>288</v>
      </c>
      <c r="X52" s="484" t="s">
        <v>259</v>
      </c>
      <c r="Y52" s="484"/>
      <c r="Z52" s="484"/>
    </row>
    <row r="53" spans="2:26" ht="18.75" thickTop="1">
      <c r="B53" s="750" t="s">
        <v>125</v>
      </c>
      <c r="C53" s="891">
        <v>54.5</v>
      </c>
      <c r="D53">
        <f>C53*100</f>
        <v>5450</v>
      </c>
      <c r="E53">
        <v>5450</v>
      </c>
      <c r="H53">
        <v>5450</v>
      </c>
      <c r="J53">
        <v>6200</v>
      </c>
      <c r="M53">
        <v>6200</v>
      </c>
      <c r="N53">
        <v>5450</v>
      </c>
      <c r="V53">
        <v>5450</v>
      </c>
    </row>
    <row r="54" spans="2:26" ht="18">
      <c r="B54" s="750" t="s">
        <v>127</v>
      </c>
      <c r="C54" s="892">
        <v>67</v>
      </c>
      <c r="D54">
        <f>C54*35</f>
        <v>2345</v>
      </c>
      <c r="E54">
        <v>2400</v>
      </c>
      <c r="H54">
        <v>2345</v>
      </c>
      <c r="J54">
        <v>3045</v>
      </c>
      <c r="M54">
        <v>3045</v>
      </c>
      <c r="N54">
        <v>2345</v>
      </c>
      <c r="V54">
        <v>2345</v>
      </c>
    </row>
    <row r="55" spans="2:26" ht="18">
      <c r="B55" s="750" t="s">
        <v>129</v>
      </c>
      <c r="C55" s="892">
        <v>185</v>
      </c>
      <c r="D55">
        <f>C55*8</f>
        <v>1480</v>
      </c>
      <c r="E55">
        <v>2960</v>
      </c>
      <c r="H55">
        <v>1470</v>
      </c>
      <c r="J55">
        <v>720</v>
      </c>
      <c r="M55">
        <v>2160</v>
      </c>
      <c r="V55">
        <v>1840</v>
      </c>
    </row>
    <row r="56" spans="2:26" ht="18">
      <c r="B56" s="750" t="s">
        <v>130</v>
      </c>
      <c r="C56" s="892">
        <v>280</v>
      </c>
      <c r="D56">
        <f>C56*1</f>
        <v>280</v>
      </c>
      <c r="E56">
        <v>350</v>
      </c>
      <c r="H56">
        <v>280</v>
      </c>
      <c r="J56">
        <v>280</v>
      </c>
      <c r="M56">
        <v>280</v>
      </c>
      <c r="V56">
        <v>280</v>
      </c>
    </row>
    <row r="57" spans="2:26" ht="18">
      <c r="B57" s="750" t="s">
        <v>131</v>
      </c>
      <c r="C57" s="892">
        <v>480</v>
      </c>
      <c r="D57">
        <f>C57*0.5</f>
        <v>240</v>
      </c>
      <c r="E57">
        <v>250</v>
      </c>
      <c r="H57">
        <v>50</v>
      </c>
      <c r="J57">
        <v>50</v>
      </c>
      <c r="M57">
        <v>50</v>
      </c>
      <c r="V57">
        <v>100</v>
      </c>
    </row>
    <row r="58" spans="2:26" ht="18">
      <c r="B58" s="750" t="s">
        <v>133</v>
      </c>
      <c r="C58" s="892">
        <v>1720</v>
      </c>
      <c r="D58">
        <v>0</v>
      </c>
      <c r="E58">
        <v>180</v>
      </c>
      <c r="H58">
        <v>175</v>
      </c>
      <c r="J58">
        <v>165</v>
      </c>
      <c r="M58">
        <v>165</v>
      </c>
      <c r="V58">
        <v>175</v>
      </c>
    </row>
    <row r="59" spans="2:26" ht="18">
      <c r="B59" s="750" t="s">
        <v>134</v>
      </c>
      <c r="C59" s="892">
        <v>630</v>
      </c>
      <c r="D59">
        <v>15</v>
      </c>
      <c r="E59">
        <v>20</v>
      </c>
      <c r="H59">
        <v>15</v>
      </c>
      <c r="J59">
        <v>10</v>
      </c>
      <c r="M59">
        <v>10</v>
      </c>
      <c r="V59">
        <v>15</v>
      </c>
    </row>
    <row r="60" spans="2:26" ht="18">
      <c r="B60" s="750" t="s">
        <v>135</v>
      </c>
      <c r="C60" s="892">
        <v>375</v>
      </c>
      <c r="D60">
        <v>115</v>
      </c>
      <c r="E60">
        <v>380</v>
      </c>
      <c r="H60">
        <v>115</v>
      </c>
      <c r="J60">
        <v>0</v>
      </c>
    </row>
    <row r="61" spans="2:26" ht="18">
      <c r="B61" s="750" t="s">
        <v>138</v>
      </c>
      <c r="C61" s="910">
        <v>4700</v>
      </c>
      <c r="D61">
        <v>0</v>
      </c>
      <c r="J61">
        <v>0</v>
      </c>
      <c r="M61">
        <v>230</v>
      </c>
    </row>
    <row r="62" spans="2:26" ht="18">
      <c r="B62" s="750" t="s">
        <v>143</v>
      </c>
      <c r="C62" s="910">
        <v>250</v>
      </c>
      <c r="D62">
        <v>25</v>
      </c>
      <c r="E62">
        <v>25</v>
      </c>
      <c r="H62">
        <v>10</v>
      </c>
      <c r="J62">
        <v>10</v>
      </c>
      <c r="M62">
        <v>0</v>
      </c>
      <c r="V62">
        <v>10</v>
      </c>
    </row>
    <row r="63" spans="2:26" ht="18">
      <c r="B63" s="750" t="s">
        <v>140</v>
      </c>
      <c r="C63" s="910">
        <v>10</v>
      </c>
      <c r="D63">
        <v>10</v>
      </c>
      <c r="E63">
        <v>10</v>
      </c>
      <c r="H63">
        <v>10</v>
      </c>
      <c r="J63">
        <v>10</v>
      </c>
      <c r="M63">
        <v>15</v>
      </c>
      <c r="V63">
        <v>10</v>
      </c>
    </row>
    <row r="64" spans="2:26" ht="18">
      <c r="B64" s="750" t="s">
        <v>226</v>
      </c>
      <c r="C64" s="910">
        <v>380</v>
      </c>
      <c r="D64">
        <f>C64*2.5</f>
        <v>950</v>
      </c>
      <c r="E64">
        <v>1470</v>
      </c>
      <c r="H64">
        <v>800</v>
      </c>
      <c r="J64">
        <v>800</v>
      </c>
      <c r="M64">
        <v>800</v>
      </c>
      <c r="V64">
        <v>800</v>
      </c>
    </row>
    <row r="65" spans="2:22" ht="18">
      <c r="B65" s="750" t="s">
        <v>215</v>
      </c>
      <c r="C65" s="910">
        <v>25</v>
      </c>
    </row>
    <row r="66" spans="2:22" ht="18">
      <c r="B66" s="750" t="s">
        <v>227</v>
      </c>
      <c r="C66" s="910">
        <v>250</v>
      </c>
      <c r="D66">
        <f>C66*1</f>
        <v>250</v>
      </c>
      <c r="E66">
        <v>350</v>
      </c>
      <c r="H66">
        <v>250</v>
      </c>
      <c r="J66">
        <v>250</v>
      </c>
      <c r="M66">
        <v>250</v>
      </c>
      <c r="V66">
        <v>250</v>
      </c>
    </row>
    <row r="67" spans="2:22" ht="18">
      <c r="B67" s="750" t="s">
        <v>228</v>
      </c>
      <c r="C67" s="910">
        <v>1500</v>
      </c>
      <c r="D67">
        <f>C67*1</f>
        <v>1500</v>
      </c>
      <c r="E67">
        <v>1850</v>
      </c>
      <c r="H67">
        <v>2000</v>
      </c>
      <c r="J67">
        <v>1800</v>
      </c>
      <c r="M67">
        <v>1800</v>
      </c>
      <c r="V67">
        <v>2000</v>
      </c>
    </row>
    <row r="68" spans="2:22" ht="18">
      <c r="B68" s="750" t="s">
        <v>229</v>
      </c>
      <c r="C68" s="910">
        <v>1550</v>
      </c>
      <c r="D68">
        <f>C68*1</f>
        <v>1550</v>
      </c>
      <c r="E68">
        <v>1650</v>
      </c>
      <c r="H68">
        <v>1650</v>
      </c>
      <c r="J68">
        <v>1700</v>
      </c>
      <c r="M68">
        <v>1700</v>
      </c>
      <c r="V68">
        <v>1650</v>
      </c>
    </row>
    <row r="69" spans="2:22" ht="18">
      <c r="B69" s="750" t="s">
        <v>230</v>
      </c>
      <c r="C69" s="910">
        <v>400</v>
      </c>
      <c r="D69">
        <f>C69*1</f>
        <v>400</v>
      </c>
      <c r="E69">
        <v>400</v>
      </c>
      <c r="H69">
        <v>800</v>
      </c>
      <c r="J69">
        <v>1000</v>
      </c>
      <c r="M69">
        <v>1000</v>
      </c>
      <c r="V69">
        <v>800</v>
      </c>
    </row>
    <row r="70" spans="2:22" ht="18">
      <c r="B70" s="750" t="s">
        <v>231</v>
      </c>
      <c r="C70" s="910">
        <v>500</v>
      </c>
      <c r="E70">
        <v>1000</v>
      </c>
    </row>
    <row r="71" spans="2:22" ht="18">
      <c r="B71" s="750" t="s">
        <v>276</v>
      </c>
      <c r="C71" s="910">
        <v>3000</v>
      </c>
      <c r="M71" s="749">
        <v>3000</v>
      </c>
    </row>
    <row r="72" spans="2:22" ht="18">
      <c r="B72" s="750"/>
      <c r="C72" s="910"/>
    </row>
    <row r="73" spans="2:22" ht="18">
      <c r="B73" s="750" t="s">
        <v>74</v>
      </c>
      <c r="C73" s="751"/>
      <c r="D73">
        <f>SUM(D53:D72)</f>
        <v>14610</v>
      </c>
      <c r="E73">
        <f>SUM(E53:E70)</f>
        <v>18745</v>
      </c>
      <c r="H73">
        <f>SUM(H53:H72)</f>
        <v>15420</v>
      </c>
      <c r="J73">
        <f>SUM(J53:J72)</f>
        <v>16040</v>
      </c>
      <c r="M73">
        <f>SUM(M53:M71)</f>
        <v>20705</v>
      </c>
      <c r="V73">
        <f>SUM(V53:V72)</f>
        <v>15725</v>
      </c>
    </row>
    <row r="74" spans="2:22" ht="18">
      <c r="B74" s="750" t="s">
        <v>232</v>
      </c>
      <c r="C74" s="751"/>
      <c r="D74">
        <v>63</v>
      </c>
      <c r="E74">
        <v>255</v>
      </c>
      <c r="H74">
        <v>145</v>
      </c>
      <c r="J74">
        <v>145</v>
      </c>
      <c r="M74">
        <v>65</v>
      </c>
      <c r="V74">
        <v>240</v>
      </c>
    </row>
    <row r="75" spans="2:22" ht="18">
      <c r="B75" s="750" t="s">
        <v>233</v>
      </c>
      <c r="C75" s="751"/>
      <c r="D75" s="749">
        <f>D73/D74</f>
        <v>231.9047619047619</v>
      </c>
      <c r="E75" s="749">
        <f>E73/E74</f>
        <v>73.509803921568633</v>
      </c>
      <c r="H75" s="749">
        <f>H73/H74</f>
        <v>106.34482758620689</v>
      </c>
      <c r="J75">
        <f>J73/J74</f>
        <v>110.62068965517241</v>
      </c>
      <c r="M75">
        <f>M73/M74</f>
        <v>318.53846153846155</v>
      </c>
      <c r="V75" s="749">
        <f>V73/V74</f>
        <v>65.520833333333329</v>
      </c>
    </row>
    <row r="76" spans="2:22" ht="18">
      <c r="B76" s="750" t="s">
        <v>234</v>
      </c>
      <c r="C76" s="751"/>
      <c r="D76">
        <f>260*D74</f>
        <v>16380</v>
      </c>
      <c r="H76">
        <f>125*145</f>
        <v>18125</v>
      </c>
      <c r="J76">
        <v>120</v>
      </c>
      <c r="M76">
        <v>390</v>
      </c>
      <c r="V76">
        <f>240*70</f>
        <v>16800</v>
      </c>
    </row>
    <row r="77" spans="2:22" ht="18">
      <c r="B77" s="750" t="s">
        <v>235</v>
      </c>
      <c r="C77" s="751"/>
      <c r="D77">
        <f>D76-D73</f>
        <v>1770</v>
      </c>
      <c r="J77">
        <f>J74*J76</f>
        <v>17400</v>
      </c>
      <c r="M77">
        <f>M74*M76</f>
        <v>25350</v>
      </c>
      <c r="V77">
        <f>V73-V76</f>
        <v>-1075</v>
      </c>
    </row>
    <row r="78" spans="2:22" ht="18">
      <c r="B78" s="747"/>
      <c r="C78" s="748"/>
      <c r="J78">
        <f>J73-J77</f>
        <v>-1360</v>
      </c>
      <c r="M78">
        <f>M73-M77</f>
        <v>-4645</v>
      </c>
    </row>
    <row r="79" spans="2:22" ht="18">
      <c r="B79" s="747"/>
      <c r="C79" s="748"/>
    </row>
    <row r="80" spans="2:22">
      <c r="C80" t="s">
        <v>1</v>
      </c>
    </row>
    <row r="85" spans="2:3" ht="18.75">
      <c r="B85" s="6" t="s">
        <v>224</v>
      </c>
      <c r="C85" s="752" t="s">
        <v>225</v>
      </c>
    </row>
    <row r="86" spans="2:3" ht="18">
      <c r="B86" s="750" t="s">
        <v>125</v>
      </c>
      <c r="C86" s="6">
        <v>4050</v>
      </c>
    </row>
    <row r="87" spans="2:3" ht="18">
      <c r="B87" s="750" t="s">
        <v>127</v>
      </c>
      <c r="C87" s="6">
        <v>2000</v>
      </c>
    </row>
    <row r="88" spans="2:3" ht="18">
      <c r="B88" s="750" t="s">
        <v>129</v>
      </c>
      <c r="C88" s="6">
        <v>2080</v>
      </c>
    </row>
    <row r="89" spans="2:3" ht="18">
      <c r="B89" s="750" t="s">
        <v>130</v>
      </c>
      <c r="C89" s="6">
        <v>220</v>
      </c>
    </row>
    <row r="90" spans="2:3" ht="18">
      <c r="B90" s="750" t="s">
        <v>131</v>
      </c>
      <c r="C90" s="6">
        <v>150</v>
      </c>
    </row>
    <row r="91" spans="2:3" ht="18">
      <c r="B91" s="750" t="s">
        <v>133</v>
      </c>
      <c r="C91" s="6">
        <v>80</v>
      </c>
    </row>
    <row r="92" spans="2:3" ht="18">
      <c r="B92" s="750" t="s">
        <v>134</v>
      </c>
      <c r="C92" s="6">
        <v>20</v>
      </c>
    </row>
    <row r="93" spans="2:3" ht="18">
      <c r="B93" s="750" t="s">
        <v>135</v>
      </c>
      <c r="C93" s="6">
        <v>100</v>
      </c>
    </row>
    <row r="94" spans="2:3" ht="18">
      <c r="B94" s="750" t="s">
        <v>138</v>
      </c>
      <c r="C94" s="6">
        <v>110</v>
      </c>
    </row>
    <row r="95" spans="2:3" ht="18">
      <c r="B95" s="750" t="s">
        <v>143</v>
      </c>
      <c r="C95" s="6">
        <v>10</v>
      </c>
    </row>
    <row r="96" spans="2:3" ht="18">
      <c r="B96" s="750" t="s">
        <v>140</v>
      </c>
      <c r="C96" s="6">
        <v>10</v>
      </c>
    </row>
    <row r="97" spans="2:3" ht="18">
      <c r="B97" s="750" t="s">
        <v>226</v>
      </c>
      <c r="C97" s="6">
        <v>250</v>
      </c>
    </row>
    <row r="98" spans="2:3" ht="18">
      <c r="B98" s="750" t="s">
        <v>215</v>
      </c>
      <c r="C98" s="6">
        <v>20</v>
      </c>
    </row>
    <row r="99" spans="2:3" ht="18">
      <c r="B99" s="750" t="s">
        <v>227</v>
      </c>
      <c r="C99" s="6">
        <v>150</v>
      </c>
    </row>
    <row r="100" spans="2:3" ht="18">
      <c r="B100" s="750" t="s">
        <v>228</v>
      </c>
      <c r="C100" s="6">
        <v>1200</v>
      </c>
    </row>
    <row r="101" spans="2:3" ht="18">
      <c r="B101" s="750" t="s">
        <v>229</v>
      </c>
      <c r="C101" s="6">
        <v>1600</v>
      </c>
    </row>
    <row r="102" spans="2:3" ht="18">
      <c r="B102" s="750" t="s">
        <v>230</v>
      </c>
      <c r="C102" s="6">
        <v>160</v>
      </c>
    </row>
    <row r="103" spans="2:3" ht="18">
      <c r="B103" s="750" t="s">
        <v>231</v>
      </c>
      <c r="C103" s="6">
        <v>200</v>
      </c>
    </row>
    <row r="104" spans="2:3" ht="18">
      <c r="B104" s="750"/>
      <c r="C104" s="6"/>
    </row>
    <row r="105" spans="2:3" ht="18">
      <c r="B105" s="750" t="s">
        <v>74</v>
      </c>
      <c r="C105" s="110">
        <f>SUM(C86:C104)</f>
        <v>12410</v>
      </c>
    </row>
    <row r="106" spans="2:3" ht="18">
      <c r="B106" s="750" t="s">
        <v>232</v>
      </c>
      <c r="C106" s="110">
        <v>65</v>
      </c>
    </row>
    <row r="107" spans="2:3" ht="18">
      <c r="B107" s="750" t="s">
        <v>233</v>
      </c>
      <c r="C107" s="753">
        <f>C105/C106</f>
        <v>190.92307692307693</v>
      </c>
    </row>
    <row r="108" spans="2:3" ht="18">
      <c r="B108" s="750" t="s">
        <v>234</v>
      </c>
      <c r="C108" s="110">
        <v>210</v>
      </c>
    </row>
    <row r="109" spans="2:3" ht="18">
      <c r="B109" s="750" t="s">
        <v>235</v>
      </c>
      <c r="C109" s="110">
        <f>C108*C106</f>
        <v>13650</v>
      </c>
    </row>
    <row r="110" spans="2:3">
      <c r="B110" s="110" t="s">
        <v>74</v>
      </c>
      <c r="C110" s="110">
        <f>C109-C105</f>
        <v>1240</v>
      </c>
    </row>
  </sheetData>
  <mergeCells count="92">
    <mergeCell ref="V51:W51"/>
    <mergeCell ref="D51:G51"/>
    <mergeCell ref="H51:J51"/>
    <mergeCell ref="B39:E39"/>
    <mergeCell ref="F39:H39"/>
    <mergeCell ref="I39:J39"/>
    <mergeCell ref="K39:Q39"/>
    <mergeCell ref="R39:S39"/>
    <mergeCell ref="T39:U39"/>
    <mergeCell ref="K51:L51"/>
    <mergeCell ref="M51:S51"/>
    <mergeCell ref="T51:U51"/>
    <mergeCell ref="G13:H13"/>
    <mergeCell ref="G14:H14"/>
    <mergeCell ref="G19:H19"/>
    <mergeCell ref="G18:H18"/>
    <mergeCell ref="G17:H17"/>
    <mergeCell ref="G16:H16"/>
    <mergeCell ref="G15:H15"/>
    <mergeCell ref="G8:H8"/>
    <mergeCell ref="G12:H12"/>
    <mergeCell ref="G11:H11"/>
    <mergeCell ref="G10:H10"/>
    <mergeCell ref="G9:H9"/>
    <mergeCell ref="P33:Q33"/>
    <mergeCell ref="P32:Q32"/>
    <mergeCell ref="P31:Q31"/>
    <mergeCell ref="N33:O33"/>
    <mergeCell ref="N32:O32"/>
    <mergeCell ref="N31:O31"/>
    <mergeCell ref="G7:H7"/>
    <mergeCell ref="G24:I24"/>
    <mergeCell ref="N6:Q6"/>
    <mergeCell ref="K37:L37"/>
    <mergeCell ref="N10:O10"/>
    <mergeCell ref="B6:M6"/>
    <mergeCell ref="B37:D37"/>
    <mergeCell ref="N7:O7"/>
    <mergeCell ref="P7:Q7"/>
    <mergeCell ref="P37:Q37"/>
    <mergeCell ref="P27:Q27"/>
    <mergeCell ref="P26:Q26"/>
    <mergeCell ref="P25:Q25"/>
    <mergeCell ref="P24:Q24"/>
    <mergeCell ref="P23:Q23"/>
    <mergeCell ref="P22:Q22"/>
    <mergeCell ref="N30:O30"/>
    <mergeCell ref="N29:O29"/>
    <mergeCell ref="N28:O28"/>
    <mergeCell ref="G21:H21"/>
    <mergeCell ref="G20:H20"/>
    <mergeCell ref="G23:H23"/>
    <mergeCell ref="G22:H22"/>
    <mergeCell ref="N8:O8"/>
    <mergeCell ref="N27:O27"/>
    <mergeCell ref="N26:O26"/>
    <mergeCell ref="N25:O25"/>
    <mergeCell ref="N23:O23"/>
    <mergeCell ref="N24:O24"/>
    <mergeCell ref="N22:O22"/>
    <mergeCell ref="N21:O21"/>
    <mergeCell ref="N20:O20"/>
    <mergeCell ref="N19:O19"/>
    <mergeCell ref="N18:O18"/>
    <mergeCell ref="N17:O17"/>
    <mergeCell ref="N15:O15"/>
    <mergeCell ref="N16:O16"/>
    <mergeCell ref="N9:O9"/>
    <mergeCell ref="N11:O11"/>
    <mergeCell ref="P10:Q10"/>
    <mergeCell ref="P9:Q9"/>
    <mergeCell ref="P21:Q21"/>
    <mergeCell ref="P20:Q20"/>
    <mergeCell ref="P19:Q19"/>
    <mergeCell ref="P18:Q18"/>
    <mergeCell ref="P17:Q17"/>
    <mergeCell ref="P8:Q8"/>
    <mergeCell ref="P30:Q30"/>
    <mergeCell ref="P29:Q29"/>
    <mergeCell ref="P28:Q28"/>
    <mergeCell ref="B44:S44"/>
    <mergeCell ref="N14:O14"/>
    <mergeCell ref="N13:O13"/>
    <mergeCell ref="N12:O12"/>
    <mergeCell ref="P16:Q16"/>
    <mergeCell ref="P15:Q15"/>
    <mergeCell ref="P14:Q14"/>
    <mergeCell ref="N37:O37"/>
    <mergeCell ref="G37:I37"/>
    <mergeCell ref="P13:Q13"/>
    <mergeCell ref="P12:Q12"/>
    <mergeCell ref="P11:Q11"/>
  </mergeCells>
  <conditionalFormatting sqref="P37:Q37">
    <cfRule type="cellIs" dxfId="790" priority="4" operator="lessThan">
      <formula>1</formula>
    </cfRule>
    <cfRule type="cellIs" dxfId="789" priority="5" operator="lessThan">
      <formula>1</formula>
    </cfRule>
  </conditionalFormatting>
  <conditionalFormatting sqref="P20:Q20">
    <cfRule type="cellIs" dxfId="788" priority="2" operator="lessThan">
      <formula>1</formula>
    </cfRule>
    <cfRule type="cellIs" dxfId="787" priority="3" operator="lessThan">
      <formula>1</formula>
    </cfRule>
  </conditionalFormatting>
  <conditionalFormatting sqref="P16:Q16">
    <cfRule type="cellIs" dxfId="786" priority="1" operator="lessThan">
      <formula>1</formula>
    </cfRule>
  </conditionalFormatting>
  <printOptions horizontalCentered="1" verticalCentered="1"/>
  <pageMargins left="0" right="1" top="0" bottom="0" header="0" footer="0"/>
  <pageSetup paperSize="9" scale="83" orientation="portrait" cellComments="asDisplayed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107"/>
  <sheetViews>
    <sheetView workbookViewId="0">
      <pane xSplit="3" ySplit="3" topLeftCell="BD79" activePane="bottomRight" state="frozen"/>
      <selection pane="topRight" activeCell="D1" sqref="D1"/>
      <selection pane="bottomLeft" activeCell="A4" sqref="A4"/>
      <selection pane="bottomRight" activeCell="BF97" sqref="BF97:BG97"/>
    </sheetView>
  </sheetViews>
  <sheetFormatPr defaultRowHeight="15"/>
  <cols>
    <col min="1" max="1" width="0" hidden="1" customWidth="1"/>
    <col min="2" max="2" width="12.28515625" bestFit="1" customWidth="1"/>
    <col min="3" max="3" width="35" bestFit="1" customWidth="1"/>
    <col min="4" max="4" width="5.28515625" customWidth="1"/>
    <col min="5" max="5" width="10.85546875" customWidth="1"/>
    <col min="6" max="6" width="4.140625" customWidth="1"/>
    <col min="7" max="7" width="9.140625" customWidth="1"/>
    <col min="8" max="8" width="4.140625" customWidth="1"/>
    <col min="9" max="9" width="9.140625" customWidth="1"/>
    <col min="10" max="10" width="5.28515625" customWidth="1"/>
    <col min="11" max="11" width="10.85546875" customWidth="1"/>
    <col min="12" max="12" width="4.140625" customWidth="1"/>
    <col min="13" max="13" width="9.140625" customWidth="1"/>
    <col min="14" max="14" width="5.28515625" customWidth="1"/>
    <col min="15" max="15" width="10.85546875" customWidth="1"/>
    <col min="16" max="16" width="4.140625" customWidth="1"/>
    <col min="17" max="17" width="9.140625" customWidth="1"/>
    <col min="18" max="18" width="5.28515625" customWidth="1"/>
    <col min="19" max="19" width="9.140625" customWidth="1"/>
    <col min="20" max="20" width="4.140625" customWidth="1"/>
    <col min="21" max="21" width="9.140625" customWidth="1"/>
    <col min="22" max="22" width="4.140625" customWidth="1"/>
    <col min="23" max="23" width="10.85546875" bestFit="1" customWidth="1"/>
    <col min="24" max="24" width="3.85546875" customWidth="1"/>
    <col min="25" max="25" width="10.85546875" customWidth="1"/>
    <col min="26" max="26" width="4.140625" customWidth="1"/>
    <col min="27" max="27" width="9.140625" customWidth="1"/>
    <col min="28" max="28" width="4.140625" customWidth="1"/>
    <col min="29" max="29" width="10.85546875" customWidth="1"/>
    <col min="30" max="30" width="4.140625" customWidth="1"/>
    <col min="31" max="31" width="10.85546875" customWidth="1"/>
    <col min="32" max="32" width="4.5703125" customWidth="1"/>
    <col min="33" max="33" width="10.85546875" customWidth="1"/>
    <col min="34" max="34" width="4.140625" customWidth="1"/>
    <col min="35" max="35" width="12.5703125" customWidth="1"/>
    <col min="36" max="36" width="4.140625" customWidth="1"/>
    <col min="37" max="37" width="10.85546875" customWidth="1"/>
    <col min="38" max="38" width="4.140625" customWidth="1"/>
    <col min="39" max="39" width="10.85546875" customWidth="1"/>
    <col min="40" max="40" width="4" customWidth="1"/>
    <col min="41" max="41" width="9.140625" customWidth="1"/>
    <col min="42" max="42" width="4.140625" customWidth="1"/>
    <col min="43" max="43" width="10.85546875" customWidth="1"/>
    <col min="44" max="44" width="4.140625" customWidth="1"/>
    <col min="45" max="45" width="10.85546875" customWidth="1"/>
    <col min="46" max="46" width="4.140625" customWidth="1"/>
    <col min="47" max="47" width="9.140625" customWidth="1"/>
    <col min="48" max="48" width="4.140625" customWidth="1"/>
    <col min="49" max="49" width="10.85546875" customWidth="1"/>
    <col min="50" max="50" width="5.28515625" customWidth="1"/>
    <col min="51" max="51" width="9.140625" customWidth="1"/>
    <col min="52" max="52" width="4.140625" customWidth="1"/>
    <col min="53" max="53" width="10.85546875" customWidth="1"/>
    <col min="54" max="54" width="4.140625" customWidth="1"/>
    <col min="55" max="55" width="12.7109375" customWidth="1"/>
    <col min="56" max="56" width="4.140625" customWidth="1"/>
    <col min="57" max="57" width="10.85546875" customWidth="1"/>
    <col min="58" max="58" width="4.140625" customWidth="1"/>
    <col min="59" max="59" width="10.85546875" customWidth="1"/>
    <col min="60" max="60" width="4.140625" customWidth="1"/>
    <col min="61" max="61" width="9.140625" customWidth="1"/>
    <col min="62" max="62" width="4.140625" customWidth="1"/>
    <col min="63" max="63" width="10.85546875" customWidth="1"/>
    <col min="64" max="64" width="3.42578125" customWidth="1"/>
    <col min="65" max="65" width="10.85546875" customWidth="1"/>
    <col min="66" max="66" width="15.7109375" customWidth="1"/>
    <col min="67" max="67" width="15.42578125" customWidth="1"/>
    <col min="68" max="68" width="21.7109375" bestFit="1" customWidth="1"/>
    <col min="69" max="71" width="18.42578125" bestFit="1" customWidth="1"/>
    <col min="72" max="72" width="19.7109375" bestFit="1" customWidth="1"/>
    <col min="73" max="73" width="18.42578125" bestFit="1" customWidth="1"/>
    <col min="74" max="74" width="19.7109375" bestFit="1" customWidth="1"/>
    <col min="75" max="85" width="10.85546875" bestFit="1" customWidth="1"/>
    <col min="87" max="102" width="10.85546875" bestFit="1" customWidth="1"/>
    <col min="105" max="105" width="14.5703125" bestFit="1" customWidth="1"/>
  </cols>
  <sheetData>
    <row r="1" spans="1:106" ht="34.5" thickBot="1">
      <c r="B1" s="1295" t="s">
        <v>27</v>
      </c>
      <c r="C1" s="1101" t="s">
        <v>439</v>
      </c>
      <c r="D1" s="1297" t="s">
        <v>30</v>
      </c>
      <c r="E1" s="1298"/>
      <c r="F1" s="1297" t="s">
        <v>31</v>
      </c>
      <c r="G1" s="1298"/>
      <c r="H1" s="1297" t="s">
        <v>32</v>
      </c>
      <c r="I1" s="1298"/>
      <c r="J1" s="1297" t="s">
        <v>33</v>
      </c>
      <c r="K1" s="1298"/>
      <c r="L1" s="1297" t="s">
        <v>34</v>
      </c>
      <c r="M1" s="1298"/>
      <c r="N1" s="1297" t="s">
        <v>28</v>
      </c>
      <c r="O1" s="1298"/>
      <c r="P1" s="1297" t="s">
        <v>29</v>
      </c>
      <c r="Q1" s="1298"/>
      <c r="R1" s="1297" t="s">
        <v>30</v>
      </c>
      <c r="S1" s="1298"/>
      <c r="T1" s="1297" t="s">
        <v>31</v>
      </c>
      <c r="U1" s="1298"/>
      <c r="V1" s="1297" t="s">
        <v>32</v>
      </c>
      <c r="W1" s="1298"/>
      <c r="X1" s="1297" t="s">
        <v>33</v>
      </c>
      <c r="Y1" s="1298"/>
      <c r="Z1" s="1297" t="s">
        <v>34</v>
      </c>
      <c r="AA1" s="1298"/>
      <c r="AB1" s="1297" t="s">
        <v>28</v>
      </c>
      <c r="AC1" s="1298"/>
      <c r="AD1" s="1297" t="s">
        <v>29</v>
      </c>
      <c r="AE1" s="1298"/>
      <c r="AF1" s="1297" t="s">
        <v>30</v>
      </c>
      <c r="AG1" s="1298"/>
      <c r="AH1" s="1297" t="s">
        <v>31</v>
      </c>
      <c r="AI1" s="1298"/>
      <c r="AJ1" s="1297" t="s">
        <v>32</v>
      </c>
      <c r="AK1" s="1298"/>
      <c r="AL1" s="1297" t="s">
        <v>33</v>
      </c>
      <c r="AM1" s="1298"/>
      <c r="AN1" s="1297" t="s">
        <v>34</v>
      </c>
      <c r="AO1" s="1298"/>
      <c r="AP1" s="1297" t="s">
        <v>28</v>
      </c>
      <c r="AQ1" s="1298"/>
      <c r="AR1" s="1297" t="s">
        <v>29</v>
      </c>
      <c r="AS1" s="1298"/>
      <c r="AT1" s="1297" t="s">
        <v>30</v>
      </c>
      <c r="AU1" s="1298"/>
      <c r="AV1" s="1297" t="s">
        <v>31</v>
      </c>
      <c r="AW1" s="1298"/>
      <c r="AX1" s="1297" t="s">
        <v>32</v>
      </c>
      <c r="AY1" s="1298"/>
      <c r="AZ1" s="1297" t="s">
        <v>33</v>
      </c>
      <c r="BA1" s="1298"/>
      <c r="BB1" s="1297" t="s">
        <v>34</v>
      </c>
      <c r="BC1" s="1298"/>
      <c r="BD1" s="1297" t="s">
        <v>28</v>
      </c>
      <c r="BE1" s="1298"/>
      <c r="BF1" s="1297" t="s">
        <v>29</v>
      </c>
      <c r="BG1" s="1298"/>
      <c r="BH1" s="1297" t="s">
        <v>30</v>
      </c>
      <c r="BI1" s="1298"/>
      <c r="BJ1" s="1297" t="s">
        <v>31</v>
      </c>
      <c r="BK1" s="1298"/>
      <c r="BL1" s="1297" t="s">
        <v>32</v>
      </c>
      <c r="BM1" s="1298"/>
      <c r="BN1" s="624"/>
      <c r="BO1" s="167"/>
      <c r="BP1" s="167"/>
      <c r="BQ1" s="167"/>
      <c r="BR1" s="167"/>
      <c r="BS1" s="167"/>
      <c r="BT1" s="167"/>
    </row>
    <row r="2" spans="1:106" ht="28.5" thickBot="1">
      <c r="B2" s="1296"/>
      <c r="C2" s="45">
        <v>2022</v>
      </c>
      <c r="D2" s="1282">
        <v>1</v>
      </c>
      <c r="E2" s="1283"/>
      <c r="F2" s="1411">
        <v>2</v>
      </c>
      <c r="G2" s="1412"/>
      <c r="H2" s="1282">
        <v>3</v>
      </c>
      <c r="I2" s="1283"/>
      <c r="J2" s="1409">
        <v>4</v>
      </c>
      <c r="K2" s="1410"/>
      <c r="L2" s="1282">
        <v>5</v>
      </c>
      <c r="M2" s="1283"/>
      <c r="N2" s="1411">
        <v>6</v>
      </c>
      <c r="O2" s="1412"/>
      <c r="P2" s="1282">
        <v>7</v>
      </c>
      <c r="Q2" s="1283"/>
      <c r="R2" s="1282">
        <v>8</v>
      </c>
      <c r="S2" s="1283"/>
      <c r="T2" s="1411">
        <v>9</v>
      </c>
      <c r="U2" s="1412"/>
      <c r="V2" s="1282">
        <v>10</v>
      </c>
      <c r="W2" s="1283"/>
      <c r="X2" s="1409">
        <v>11</v>
      </c>
      <c r="Y2" s="1410"/>
      <c r="Z2" s="1282">
        <v>12</v>
      </c>
      <c r="AA2" s="1283"/>
      <c r="AB2" s="1411">
        <v>13</v>
      </c>
      <c r="AC2" s="1412"/>
      <c r="AD2" s="1282">
        <v>14</v>
      </c>
      <c r="AE2" s="1283"/>
      <c r="AF2" s="1282">
        <v>15</v>
      </c>
      <c r="AG2" s="1283"/>
      <c r="AH2" s="1407">
        <v>16</v>
      </c>
      <c r="AI2" s="1408"/>
      <c r="AJ2" s="1286">
        <v>17</v>
      </c>
      <c r="AK2" s="1287"/>
      <c r="AL2" s="1409">
        <v>18</v>
      </c>
      <c r="AM2" s="1410"/>
      <c r="AN2" s="1290">
        <v>19</v>
      </c>
      <c r="AO2" s="1290"/>
      <c r="AP2" s="1407">
        <v>20</v>
      </c>
      <c r="AQ2" s="1408"/>
      <c r="AR2" s="1286">
        <v>21</v>
      </c>
      <c r="AS2" s="1287"/>
      <c r="AT2" s="1286">
        <v>22</v>
      </c>
      <c r="AU2" s="1287"/>
      <c r="AV2" s="1407">
        <v>23</v>
      </c>
      <c r="AW2" s="1408"/>
      <c r="AX2" s="1286">
        <v>24</v>
      </c>
      <c r="AY2" s="1287"/>
      <c r="AZ2" s="1415">
        <v>25</v>
      </c>
      <c r="BA2" s="1416"/>
      <c r="BB2" s="1286">
        <v>26</v>
      </c>
      <c r="BC2" s="1287"/>
      <c r="BD2" s="1407">
        <v>27</v>
      </c>
      <c r="BE2" s="1408"/>
      <c r="BF2" s="1286">
        <v>28</v>
      </c>
      <c r="BG2" s="1287"/>
      <c r="BH2" s="1286">
        <v>29</v>
      </c>
      <c r="BI2" s="1287"/>
      <c r="BJ2" s="1407">
        <v>30</v>
      </c>
      <c r="BK2" s="1408"/>
      <c r="BL2" s="1293">
        <v>31</v>
      </c>
      <c r="BM2" s="1294"/>
      <c r="BN2" s="625"/>
      <c r="BO2" s="23"/>
      <c r="BP2" s="23"/>
      <c r="BQ2" s="23"/>
      <c r="BR2" s="23"/>
      <c r="BS2" s="23"/>
      <c r="BT2" s="23"/>
      <c r="BW2" s="1166">
        <v>1</v>
      </c>
      <c r="BX2" s="1166">
        <v>2</v>
      </c>
      <c r="BY2" s="1166">
        <v>3</v>
      </c>
      <c r="BZ2" s="1166">
        <v>4</v>
      </c>
      <c r="CA2" s="1166">
        <v>5</v>
      </c>
      <c r="CB2" s="1166">
        <v>6</v>
      </c>
      <c r="CC2" s="1166">
        <v>7</v>
      </c>
      <c r="CD2" s="1166">
        <v>8</v>
      </c>
      <c r="CE2" s="1166">
        <v>9</v>
      </c>
      <c r="CF2" s="1166">
        <v>10</v>
      </c>
      <c r="CG2" s="1166">
        <v>11</v>
      </c>
      <c r="CH2" s="1166">
        <v>12</v>
      </c>
      <c r="CI2" s="1166">
        <v>13</v>
      </c>
      <c r="CJ2" s="1166">
        <v>14</v>
      </c>
      <c r="CK2" s="1166">
        <v>15</v>
      </c>
      <c r="CL2" s="1166">
        <v>16</v>
      </c>
      <c r="CM2" s="1166">
        <v>17</v>
      </c>
      <c r="CN2" s="1166">
        <v>18</v>
      </c>
      <c r="CO2" s="1166">
        <v>19</v>
      </c>
      <c r="CP2" s="1166">
        <v>20</v>
      </c>
      <c r="CQ2" s="1166">
        <v>21</v>
      </c>
      <c r="CR2" s="1166">
        <v>22</v>
      </c>
      <c r="CS2" s="1166">
        <v>23</v>
      </c>
      <c r="CT2" s="1166">
        <v>24</v>
      </c>
      <c r="CU2" s="1166">
        <v>25</v>
      </c>
      <c r="CV2" s="1166">
        <v>26</v>
      </c>
      <c r="CW2" s="1166">
        <v>27</v>
      </c>
      <c r="CX2" s="1166">
        <v>28</v>
      </c>
      <c r="CY2" s="1166">
        <v>29</v>
      </c>
      <c r="CZ2" s="1166">
        <v>30</v>
      </c>
      <c r="DA2" s="1166">
        <v>31</v>
      </c>
    </row>
    <row r="3" spans="1:106" ht="37.5" thickTop="1" thickBot="1">
      <c r="B3" s="69"/>
      <c r="C3" s="1102" t="s">
        <v>333</v>
      </c>
      <c r="D3" s="912"/>
      <c r="E3" s="913"/>
      <c r="F3" s="912"/>
      <c r="G3" s="913"/>
      <c r="H3" s="1103"/>
      <c r="I3" s="1104"/>
      <c r="J3" s="1200"/>
      <c r="K3" s="1215"/>
      <c r="L3" s="912"/>
      <c r="M3" s="913"/>
      <c r="N3" s="912"/>
      <c r="O3" s="1104"/>
      <c r="P3" s="1103"/>
      <c r="Q3" s="1104"/>
      <c r="R3" s="1103"/>
      <c r="S3" s="1104"/>
      <c r="T3" s="1103"/>
      <c r="U3" s="1104"/>
      <c r="V3" s="1103"/>
      <c r="W3" s="1104"/>
      <c r="X3" s="1200"/>
      <c r="Y3" s="1201"/>
      <c r="Z3" s="1103"/>
      <c r="AA3" s="1104"/>
      <c r="AB3" s="1103"/>
      <c r="AC3" s="1104"/>
      <c r="AD3" s="1103"/>
      <c r="AE3" s="1104"/>
      <c r="AF3" s="1103"/>
      <c r="AG3" s="1104"/>
      <c r="AH3" s="1103"/>
      <c r="AI3" s="1104"/>
      <c r="AJ3" s="1103"/>
      <c r="AK3" s="1104"/>
      <c r="AL3" s="1200"/>
      <c r="AM3" s="1201"/>
      <c r="AN3" s="1103"/>
      <c r="AO3" s="1104"/>
      <c r="AP3" s="1103"/>
      <c r="AQ3" s="1104"/>
      <c r="AR3" s="1103"/>
      <c r="AS3" s="1104"/>
      <c r="AT3" s="1103"/>
      <c r="AU3" s="1104"/>
      <c r="AV3" s="1103"/>
      <c r="AW3" s="1104"/>
      <c r="AX3" s="1103"/>
      <c r="AY3" s="1104"/>
      <c r="AZ3" s="1200"/>
      <c r="BA3" s="1201"/>
      <c r="BB3" s="1103"/>
      <c r="BC3" s="1104"/>
      <c r="BD3" s="1103"/>
      <c r="BE3" s="1104"/>
      <c r="BF3" s="1103"/>
      <c r="BG3" s="1104"/>
      <c r="BH3" s="1103"/>
      <c r="BI3" s="1104"/>
      <c r="BJ3" s="1103"/>
      <c r="BK3" s="1104"/>
      <c r="BL3" s="1103"/>
      <c r="BM3" s="1104"/>
      <c r="BN3" s="495" t="s">
        <v>334</v>
      </c>
      <c r="BO3" s="495" t="s">
        <v>36</v>
      </c>
      <c r="BP3" s="496" t="s">
        <v>37</v>
      </c>
      <c r="BQ3" s="496" t="s">
        <v>38</v>
      </c>
      <c r="BR3" s="496" t="s">
        <v>39</v>
      </c>
      <c r="BS3" s="496" t="s">
        <v>113</v>
      </c>
      <c r="BT3" s="496" t="s">
        <v>40</v>
      </c>
      <c r="BY3" s="1166"/>
      <c r="BZ3" s="1166"/>
      <c r="CA3" s="1166"/>
      <c r="CB3" s="1166"/>
      <c r="CC3" s="1166"/>
      <c r="CD3" s="1166"/>
      <c r="CE3" s="1166"/>
      <c r="CF3" s="1166"/>
      <c r="CG3" s="1166"/>
      <c r="CH3" s="1166"/>
      <c r="CI3" s="1166"/>
      <c r="CJ3" s="1166"/>
      <c r="CK3" s="1166"/>
      <c r="CL3" s="1166"/>
      <c r="CM3" s="1166"/>
      <c r="CN3" s="1166"/>
      <c r="CO3" s="1166"/>
      <c r="CP3" s="1166"/>
      <c r="CQ3" s="1166"/>
      <c r="CR3" s="1166"/>
      <c r="CS3" s="1166"/>
      <c r="CT3" s="1166"/>
      <c r="CU3" s="1166"/>
      <c r="CV3" s="1166"/>
      <c r="CW3" s="1166"/>
      <c r="CX3" s="1166"/>
      <c r="CY3" s="1166"/>
      <c r="CZ3" s="1166"/>
    </row>
    <row r="4" spans="1:106" ht="24.75" thickTop="1" thickBot="1">
      <c r="B4" s="69">
        <v>0</v>
      </c>
      <c r="C4" s="1105" t="s">
        <v>335</v>
      </c>
      <c r="D4" s="912"/>
      <c r="E4" s="913"/>
      <c r="F4" s="912"/>
      <c r="G4" s="913"/>
      <c r="H4" s="1103"/>
      <c r="I4" s="1104"/>
      <c r="J4" s="1200"/>
      <c r="K4" s="1215"/>
      <c r="L4" s="912"/>
      <c r="M4" s="913"/>
      <c r="N4" s="912"/>
      <c r="O4" s="1104"/>
      <c r="P4" s="1103"/>
      <c r="Q4" s="1104"/>
      <c r="R4" s="1103"/>
      <c r="S4" s="1104"/>
      <c r="T4" s="1103"/>
      <c r="U4" s="1104"/>
      <c r="V4" s="1103"/>
      <c r="W4" s="1104"/>
      <c r="X4" s="1200"/>
      <c r="Y4" s="1201"/>
      <c r="Z4" s="1103"/>
      <c r="AA4" s="1104"/>
      <c r="AB4" s="1103"/>
      <c r="AC4" s="1104"/>
      <c r="AD4" s="1103"/>
      <c r="AE4" s="1104"/>
      <c r="AF4" s="1103"/>
      <c r="AG4" s="1104"/>
      <c r="AH4" s="1103"/>
      <c r="AI4" s="1104"/>
      <c r="AJ4" s="1103"/>
      <c r="AK4" s="1104"/>
      <c r="AL4" s="1200"/>
      <c r="AM4" s="1201"/>
      <c r="AN4" s="1103"/>
      <c r="AO4" s="1104"/>
      <c r="AP4" s="1103"/>
      <c r="AQ4" s="1104"/>
      <c r="AR4" s="1103"/>
      <c r="AS4" s="1104"/>
      <c r="AT4" s="1103"/>
      <c r="AU4" s="1104"/>
      <c r="AV4" s="1103"/>
      <c r="AW4" s="1104"/>
      <c r="AX4" s="1103"/>
      <c r="AY4" s="1104"/>
      <c r="AZ4" s="1200"/>
      <c r="BA4" s="1201"/>
      <c r="BB4" s="1103"/>
      <c r="BC4" s="1104"/>
      <c r="BD4" s="1103"/>
      <c r="BE4" s="1104"/>
      <c r="BF4" s="1103"/>
      <c r="BG4" s="1104"/>
      <c r="BH4" s="1103"/>
      <c r="BI4" s="1104"/>
      <c r="BJ4" s="1103"/>
      <c r="BK4" s="1104"/>
      <c r="BL4" s="1103"/>
      <c r="BM4" s="1104"/>
      <c r="BN4" s="1106"/>
      <c r="BO4" s="1106"/>
      <c r="BP4" s="1107"/>
      <c r="BQ4" s="1107"/>
      <c r="BR4" s="1107"/>
      <c r="BS4" s="1107"/>
      <c r="BT4" s="1107"/>
      <c r="BY4" s="1166"/>
      <c r="BZ4" s="1166"/>
      <c r="CA4" s="1166"/>
      <c r="CB4" s="1166"/>
      <c r="CC4" s="1166"/>
      <c r="CD4" s="1166"/>
      <c r="CE4" s="1166"/>
      <c r="CF4" s="1166"/>
      <c r="CG4" s="1166"/>
      <c r="CH4" s="1166"/>
      <c r="CI4" s="1166"/>
      <c r="CJ4" s="1166"/>
      <c r="CK4" s="1166"/>
      <c r="CL4" s="1166"/>
      <c r="CM4" s="1166"/>
      <c r="CN4" s="1166"/>
      <c r="CO4" s="1166"/>
      <c r="CP4" s="1166"/>
      <c r="CQ4" s="1166"/>
      <c r="CR4" s="1166"/>
      <c r="CS4" s="1166"/>
      <c r="CT4" s="1166"/>
      <c r="CU4" s="1166"/>
      <c r="CV4" s="1166"/>
      <c r="CW4" s="1166"/>
      <c r="CX4" s="1166"/>
      <c r="CY4" s="1166"/>
      <c r="CZ4" s="1166"/>
    </row>
    <row r="5" spans="1:106" ht="24.75" thickTop="1" thickBot="1">
      <c r="B5" s="69">
        <v>1</v>
      </c>
      <c r="C5" s="1167" t="s">
        <v>336</v>
      </c>
      <c r="D5" s="914">
        <v>1</v>
      </c>
      <c r="E5" s="1168"/>
      <c r="F5" s="914">
        <v>1</v>
      </c>
      <c r="G5" s="1168"/>
      <c r="H5" s="914">
        <v>1</v>
      </c>
      <c r="I5" s="215"/>
      <c r="J5" s="1232">
        <v>1</v>
      </c>
      <c r="K5" s="1248"/>
      <c r="L5" s="914">
        <v>1</v>
      </c>
      <c r="M5" s="1168"/>
      <c r="N5" s="914">
        <v>1</v>
      </c>
      <c r="O5" s="215"/>
      <c r="P5" s="914">
        <v>1</v>
      </c>
      <c r="Q5" s="215"/>
      <c r="R5" s="914">
        <v>1</v>
      </c>
      <c r="S5" s="215"/>
      <c r="T5" s="914">
        <v>1</v>
      </c>
      <c r="U5" s="215"/>
      <c r="V5" s="914">
        <v>1</v>
      </c>
      <c r="W5" s="215">
        <v>20000</v>
      </c>
      <c r="X5" s="1232">
        <v>1</v>
      </c>
      <c r="Y5" s="1233"/>
      <c r="Z5" s="914">
        <v>1</v>
      </c>
      <c r="AA5" s="215"/>
      <c r="AB5" s="914">
        <v>1</v>
      </c>
      <c r="AC5" s="215"/>
      <c r="AD5" s="914">
        <v>1</v>
      </c>
      <c r="AE5" s="215">
        <v>300</v>
      </c>
      <c r="AF5" s="914">
        <v>1</v>
      </c>
      <c r="AG5" s="215"/>
      <c r="AH5" s="914">
        <v>1</v>
      </c>
      <c r="AI5" s="215"/>
      <c r="AJ5" s="914">
        <v>1</v>
      </c>
      <c r="AK5" s="215">
        <v>4700</v>
      </c>
      <c r="AL5" s="1232">
        <v>1</v>
      </c>
      <c r="AM5" s="1233"/>
      <c r="AN5" s="914">
        <v>1</v>
      </c>
      <c r="AO5" s="215"/>
      <c r="AP5" s="914">
        <v>1</v>
      </c>
      <c r="AQ5" s="215"/>
      <c r="AR5" s="914">
        <v>1</v>
      </c>
      <c r="AS5" s="215">
        <v>5000</v>
      </c>
      <c r="AT5" s="914">
        <v>1</v>
      </c>
      <c r="AU5" s="215"/>
      <c r="AV5" s="914">
        <v>1</v>
      </c>
      <c r="AW5" s="215"/>
      <c r="AX5" s="914">
        <v>1</v>
      </c>
      <c r="AY5" s="215"/>
      <c r="AZ5" s="1232">
        <v>1</v>
      </c>
      <c r="BA5" s="1233"/>
      <c r="BB5" s="914">
        <v>1</v>
      </c>
      <c r="BC5" s="215"/>
      <c r="BD5" s="914">
        <v>1</v>
      </c>
      <c r="BE5" s="215"/>
      <c r="BF5" s="914">
        <v>1</v>
      </c>
      <c r="BG5" s="215"/>
      <c r="BH5" s="914">
        <v>1</v>
      </c>
      <c r="BI5" s="215"/>
      <c r="BJ5" s="914">
        <v>1</v>
      </c>
      <c r="BK5" s="215"/>
      <c r="BL5" s="914"/>
      <c r="BM5" s="215"/>
      <c r="BN5" s="1169">
        <f>BP5/30</f>
        <v>1666.6666666666667</v>
      </c>
      <c r="BO5" s="491">
        <f>SUM(D5+F5+H5+J5+L5+N5+P5+R5+T5+V5+X5+Z5+AB5+AD5+AF5+AH5+AJ5+AL5+AN5+AP5+AR5+AT5+AV5+AX5+AZ5+BB5+BD5+BF5+BH5+BJ5+BL5)</f>
        <v>30</v>
      </c>
      <c r="BP5" s="492">
        <v>50000</v>
      </c>
      <c r="BQ5" s="493">
        <f>BO5*BP5/30</f>
        <v>50000</v>
      </c>
      <c r="BR5" s="217">
        <f>E5+G5+I5+K5+M5+O5+Q5+S5+U5+W5+Y5+AA5+AC5+AE5+AG5+AI5+AK5+AM5+AO5+AQ5+AS5+AU5+AW5+AY5+BA5+BC5+BE5+BG5+BI5+BK5+BM5</f>
        <v>30000</v>
      </c>
      <c r="BS5" s="217">
        <v>106536</v>
      </c>
      <c r="BT5" s="1170">
        <f>BQ5-BR5-BS5</f>
        <v>-86536</v>
      </c>
      <c r="BW5" s="1171">
        <f>D5*BN5</f>
        <v>1666.6666666666667</v>
      </c>
      <c r="BX5" s="1171">
        <f>F5*BN5</f>
        <v>1666.6666666666667</v>
      </c>
      <c r="BY5" s="1171">
        <f>H5*BN5</f>
        <v>1666.6666666666667</v>
      </c>
      <c r="BZ5" s="1171">
        <f>J5*BN5</f>
        <v>1666.6666666666667</v>
      </c>
      <c r="CA5" s="1171">
        <f>L5*BN5</f>
        <v>1666.6666666666667</v>
      </c>
      <c r="CB5" s="1171">
        <f>N5*BN5</f>
        <v>1666.6666666666667</v>
      </c>
      <c r="CC5" s="1171">
        <f>P5*BN5</f>
        <v>1666.6666666666667</v>
      </c>
      <c r="CD5" s="1171">
        <f>R5*BN5</f>
        <v>1666.6666666666667</v>
      </c>
      <c r="CE5" s="1171">
        <f>T5*BN5</f>
        <v>1666.6666666666667</v>
      </c>
      <c r="CF5" s="1171">
        <f>V5*BN5</f>
        <v>1666.6666666666667</v>
      </c>
      <c r="CG5" s="1171">
        <f>X5*BN5</f>
        <v>1666.6666666666667</v>
      </c>
      <c r="CH5" s="1171">
        <f>Z5*BN5</f>
        <v>1666.6666666666667</v>
      </c>
      <c r="CI5" s="1171">
        <f>AB5*BN5</f>
        <v>1666.6666666666667</v>
      </c>
      <c r="CJ5" s="1171">
        <f>AD5*BN5</f>
        <v>1666.6666666666667</v>
      </c>
      <c r="CK5" s="1171">
        <f>AF5*BN5</f>
        <v>1666.6666666666667</v>
      </c>
      <c r="CL5" s="1171">
        <f>AH5*BN5</f>
        <v>1666.6666666666667</v>
      </c>
      <c r="CM5" s="1171">
        <f>AJ5*BN5</f>
        <v>1666.6666666666667</v>
      </c>
      <c r="CN5" s="1171">
        <f>AL5*BN5</f>
        <v>1666.6666666666667</v>
      </c>
      <c r="CO5" s="1171">
        <f>AN5*BN5</f>
        <v>1666.6666666666667</v>
      </c>
      <c r="CP5" s="1171">
        <f>AP5*BN5</f>
        <v>1666.6666666666667</v>
      </c>
      <c r="CQ5" s="1171">
        <f>AR5*BN5</f>
        <v>1666.6666666666667</v>
      </c>
      <c r="CR5" s="1171">
        <f>AT5*BN5</f>
        <v>1666.6666666666667</v>
      </c>
      <c r="CS5" s="1171">
        <f>AV5*BN5</f>
        <v>1666.6666666666667</v>
      </c>
      <c r="CT5" s="1171">
        <f>AX5*BN5</f>
        <v>1666.6666666666667</v>
      </c>
      <c r="CU5" s="1171">
        <f>AZ5*BN5</f>
        <v>1666.6666666666667</v>
      </c>
      <c r="CV5" s="1171">
        <f>BB5*BN5</f>
        <v>1666.6666666666667</v>
      </c>
      <c r="CW5" s="1171">
        <f>BD5*BN5</f>
        <v>1666.6666666666667</v>
      </c>
      <c r="CX5" s="1171">
        <f>BF5*BN5</f>
        <v>1666.6666666666667</v>
      </c>
      <c r="CY5" s="1171">
        <f>BH5*BN5</f>
        <v>1666.6666666666667</v>
      </c>
      <c r="CZ5" s="1171">
        <f>BJ5*BN5</f>
        <v>1666.6666666666667</v>
      </c>
      <c r="DA5" s="1171">
        <f>BL5*BN5</f>
        <v>0</v>
      </c>
      <c r="DB5" t="s">
        <v>1</v>
      </c>
    </row>
    <row r="6" spans="1:106" ht="24.75" thickTop="1" thickBot="1">
      <c r="A6" t="s">
        <v>337</v>
      </c>
      <c r="B6" s="69">
        <v>2</v>
      </c>
      <c r="C6" s="1108" t="s">
        <v>358</v>
      </c>
      <c r="D6" s="914">
        <v>1</v>
      </c>
      <c r="E6" s="1168"/>
      <c r="F6" s="914">
        <v>1</v>
      </c>
      <c r="G6" s="1168"/>
      <c r="H6" s="914">
        <v>1</v>
      </c>
      <c r="I6" s="215"/>
      <c r="J6" s="1232">
        <v>1</v>
      </c>
      <c r="K6" s="1248"/>
      <c r="L6" s="914">
        <v>1</v>
      </c>
      <c r="M6" s="1168"/>
      <c r="N6" s="914">
        <v>1</v>
      </c>
      <c r="O6" s="215"/>
      <c r="P6" s="914">
        <v>1</v>
      </c>
      <c r="Q6" s="215"/>
      <c r="R6" s="914">
        <v>1</v>
      </c>
      <c r="S6" s="215">
        <v>400</v>
      </c>
      <c r="T6" s="914">
        <v>1</v>
      </c>
      <c r="U6" s="215"/>
      <c r="V6" s="914">
        <v>1</v>
      </c>
      <c r="W6" s="215">
        <v>7000</v>
      </c>
      <c r="X6" s="1232">
        <v>1</v>
      </c>
      <c r="Y6" s="1233"/>
      <c r="Z6" s="914">
        <v>1</v>
      </c>
      <c r="AA6" s="215"/>
      <c r="AB6" s="914">
        <v>1</v>
      </c>
      <c r="AC6" s="215"/>
      <c r="AD6" s="914">
        <v>1</v>
      </c>
      <c r="AE6" s="215"/>
      <c r="AF6" s="914">
        <v>1</v>
      </c>
      <c r="AG6" s="215"/>
      <c r="AH6" s="914">
        <v>1</v>
      </c>
      <c r="AI6" s="215"/>
      <c r="AJ6" s="914">
        <v>1</v>
      </c>
      <c r="AK6" s="215">
        <v>3600</v>
      </c>
      <c r="AL6" s="1232">
        <v>1</v>
      </c>
      <c r="AM6" s="1233"/>
      <c r="AN6" s="914">
        <v>1</v>
      </c>
      <c r="AO6" s="215"/>
      <c r="AP6" s="914">
        <v>1</v>
      </c>
      <c r="AQ6" s="215"/>
      <c r="AR6" s="914">
        <v>1</v>
      </c>
      <c r="AS6" s="215"/>
      <c r="AT6" s="914">
        <v>1</v>
      </c>
      <c r="AU6" s="215"/>
      <c r="AV6" s="914">
        <v>1</v>
      </c>
      <c r="AW6" s="215"/>
      <c r="AX6" s="914">
        <v>1</v>
      </c>
      <c r="AY6" s="215">
        <v>5000</v>
      </c>
      <c r="AZ6" s="1232">
        <v>1</v>
      </c>
      <c r="BA6" s="1233"/>
      <c r="BB6" s="914">
        <v>1</v>
      </c>
      <c r="BC6" s="215"/>
      <c r="BD6" s="914">
        <v>1</v>
      </c>
      <c r="BE6" s="215"/>
      <c r="BF6" s="914">
        <v>1</v>
      </c>
      <c r="BG6" s="215">
        <v>8000</v>
      </c>
      <c r="BH6" s="914">
        <v>1</v>
      </c>
      <c r="BI6" s="215"/>
      <c r="BJ6" s="914">
        <v>1</v>
      </c>
      <c r="BK6" s="215"/>
      <c r="BL6" s="914"/>
      <c r="BM6" s="215"/>
      <c r="BN6" s="1169">
        <f t="shared" ref="BN6:BN90" si="0">BP6/30</f>
        <v>800</v>
      </c>
      <c r="BO6" s="491">
        <f t="shared" ref="BO6:BO7" si="1">SUM(D6+F6+H6+J6+L6+N6+P6+R6+T6+V6+X6+Z6+AB6+AD6+AF6+AH6+AJ6+AL6+AN6+AP6+AR6+AT6+AV6+AX6+AZ6+BB6+BD6+BF6+BH6+BJ6+BL6)</f>
        <v>30</v>
      </c>
      <c r="BP6" s="492">
        <v>24000</v>
      </c>
      <c r="BQ6" s="493">
        <f t="shared" ref="BQ6:BQ92" si="2">BO6*BP6/30</f>
        <v>24000</v>
      </c>
      <c r="BR6" s="217">
        <f t="shared" ref="BR6:BR92" si="3">E6+G6+I6+K6+M6+O6+Q6+S6+U6+W6+Y6+AA6+AC6+AE6+AG6+AI6+AK6+AM6+AO6+AQ6+AS6+AU6+AW6+AY6+BA6+BC6+BE6+BG6+BI6+BK6+BM6</f>
        <v>24000</v>
      </c>
      <c r="BS6" s="217"/>
      <c r="BT6" s="1170">
        <f t="shared" ref="BT6:BT92" si="4">BQ6-BR6-BS6</f>
        <v>0</v>
      </c>
      <c r="BU6" s="1261">
        <v>8000</v>
      </c>
      <c r="BW6" s="1171">
        <f t="shared" ref="BW6:BW69" si="5">D6*BN6</f>
        <v>800</v>
      </c>
      <c r="BX6" s="1171">
        <f t="shared" ref="BX6:BX69" si="6">F6*BN6</f>
        <v>800</v>
      </c>
      <c r="BY6" s="1171">
        <f t="shared" ref="BY6:BY69" si="7">H6*BN6</f>
        <v>800</v>
      </c>
      <c r="BZ6" s="1171">
        <f t="shared" ref="BZ6:BZ69" si="8">J6*BN6</f>
        <v>800</v>
      </c>
      <c r="CA6" s="1171">
        <f t="shared" ref="CA6:CA69" si="9">L6*BN6</f>
        <v>800</v>
      </c>
      <c r="CB6" s="1171">
        <f t="shared" ref="CB6:CB69" si="10">N6*BN6</f>
        <v>800</v>
      </c>
      <c r="CC6" s="1171">
        <f t="shared" ref="CC6:CC69" si="11">P6*BN6</f>
        <v>800</v>
      </c>
      <c r="CD6" s="1171">
        <f t="shared" ref="CD6:CD69" si="12">R6*BN6</f>
        <v>800</v>
      </c>
      <c r="CE6" s="1171">
        <f t="shared" ref="CE6:CE69" si="13">T6*BN6</f>
        <v>800</v>
      </c>
      <c r="CF6" s="1171">
        <f t="shared" ref="CF6:CF69" si="14">V6*BN6</f>
        <v>800</v>
      </c>
      <c r="CG6" s="1171">
        <f t="shared" ref="CG6:CG69" si="15">X6*BN6</f>
        <v>800</v>
      </c>
      <c r="CH6" s="1171">
        <f t="shared" ref="CH6:CH69" si="16">Z6*BN6</f>
        <v>800</v>
      </c>
      <c r="CI6" s="1171">
        <f t="shared" ref="CI6:CI69" si="17">AB6*BN6</f>
        <v>800</v>
      </c>
      <c r="CJ6" s="1171">
        <f t="shared" ref="CJ6:CJ69" si="18">AD6*BN6</f>
        <v>800</v>
      </c>
      <c r="CK6" s="1171">
        <f t="shared" ref="CK6:CK69" si="19">AF6*BN6</f>
        <v>800</v>
      </c>
      <c r="CL6" s="1171">
        <f t="shared" ref="CL6:CL69" si="20">AH6*BN6</f>
        <v>800</v>
      </c>
      <c r="CM6" s="1171">
        <f t="shared" ref="CM6:CM69" si="21">AJ6*BN6</f>
        <v>800</v>
      </c>
      <c r="CN6" s="1171">
        <f t="shared" ref="CN6:CN69" si="22">AL6*BN6</f>
        <v>800</v>
      </c>
      <c r="CO6" s="1171">
        <f t="shared" ref="CO6:CO69" si="23">AN6*BN6</f>
        <v>800</v>
      </c>
      <c r="CP6" s="1171">
        <f t="shared" ref="CP6:CP69" si="24">AP6*BN6</f>
        <v>800</v>
      </c>
      <c r="CQ6" s="1171">
        <f t="shared" ref="CQ6:CQ69" si="25">AR6*BN6</f>
        <v>800</v>
      </c>
      <c r="CR6" s="1171">
        <f t="shared" ref="CR6:CR69" si="26">AT6*BN6</f>
        <v>800</v>
      </c>
      <c r="CS6" s="1171">
        <f t="shared" ref="CS6:CS69" si="27">AV6*BN6</f>
        <v>800</v>
      </c>
      <c r="CT6" s="1171">
        <f t="shared" ref="CT6:CT69" si="28">AX6*BN6</f>
        <v>800</v>
      </c>
      <c r="CU6" s="1171">
        <f t="shared" ref="CU6:CU69" si="29">AZ6*BN6</f>
        <v>800</v>
      </c>
      <c r="CV6" s="1171">
        <f t="shared" ref="CV6:CV69" si="30">BB6*BN6</f>
        <v>800</v>
      </c>
      <c r="CW6" s="1171">
        <f t="shared" ref="CW6:CW69" si="31">BD6*BN6</f>
        <v>800</v>
      </c>
      <c r="CX6" s="1171">
        <f t="shared" ref="CX6:CX69" si="32">BF6*BN6</f>
        <v>800</v>
      </c>
      <c r="CY6" s="1171">
        <f t="shared" ref="CY6:CY69" si="33">BH6*BN6</f>
        <v>800</v>
      </c>
      <c r="CZ6" s="1171">
        <f t="shared" ref="CZ6:CZ69" si="34">BJ6*BN6</f>
        <v>800</v>
      </c>
      <c r="DA6" s="1171">
        <f t="shared" ref="DA6:DA69" si="35">BL6*BN6</f>
        <v>0</v>
      </c>
    </row>
    <row r="7" spans="1:106" ht="24.75" thickTop="1" thickBot="1">
      <c r="A7" t="s">
        <v>338</v>
      </c>
      <c r="B7" s="69">
        <v>3</v>
      </c>
      <c r="C7" s="1108" t="s">
        <v>404</v>
      </c>
      <c r="D7" s="914">
        <v>1</v>
      </c>
      <c r="E7" s="1168"/>
      <c r="F7" s="914">
        <v>1</v>
      </c>
      <c r="G7" s="1168"/>
      <c r="H7" s="914">
        <v>0</v>
      </c>
      <c r="I7" s="215"/>
      <c r="J7" s="1232">
        <v>0</v>
      </c>
      <c r="K7" s="1248"/>
      <c r="L7" s="914">
        <v>1</v>
      </c>
      <c r="M7" s="1168"/>
      <c r="N7" s="914">
        <v>0</v>
      </c>
      <c r="O7" s="215"/>
      <c r="P7" s="914">
        <v>1</v>
      </c>
      <c r="Q7" s="215"/>
      <c r="R7" s="914">
        <v>1</v>
      </c>
      <c r="S7" s="215"/>
      <c r="T7" s="914">
        <v>1</v>
      </c>
      <c r="U7" s="215"/>
      <c r="V7" s="914">
        <v>1</v>
      </c>
      <c r="W7" s="215">
        <v>1000</v>
      </c>
      <c r="X7" s="1232"/>
      <c r="Y7" s="1233"/>
      <c r="Z7" s="914">
        <v>1</v>
      </c>
      <c r="AA7" s="215"/>
      <c r="AB7" s="914">
        <v>1</v>
      </c>
      <c r="AC7" s="215"/>
      <c r="AD7" s="914">
        <v>1</v>
      </c>
      <c r="AE7" s="215"/>
      <c r="AF7" s="914">
        <v>1</v>
      </c>
      <c r="AG7" s="215"/>
      <c r="AH7" s="914">
        <v>1</v>
      </c>
      <c r="AI7" s="215"/>
      <c r="AJ7" s="914">
        <v>1</v>
      </c>
      <c r="AK7" s="215">
        <v>1500</v>
      </c>
      <c r="AL7" s="1232"/>
      <c r="AM7" s="1233"/>
      <c r="AN7" s="914">
        <v>0</v>
      </c>
      <c r="AO7" s="215"/>
      <c r="AP7" s="914">
        <v>1</v>
      </c>
      <c r="AQ7" s="215"/>
      <c r="AR7" s="914">
        <v>1</v>
      </c>
      <c r="AS7" s="215"/>
      <c r="AT7" s="914">
        <v>1</v>
      </c>
      <c r="AU7" s="215"/>
      <c r="AV7" s="914">
        <v>0</v>
      </c>
      <c r="AW7" s="215"/>
      <c r="AX7" s="914">
        <v>1</v>
      </c>
      <c r="AY7" s="215">
        <v>500</v>
      </c>
      <c r="AZ7" s="1232"/>
      <c r="BA7" s="1233"/>
      <c r="BB7" s="914">
        <v>1</v>
      </c>
      <c r="BC7" s="215"/>
      <c r="BD7" s="914">
        <v>1</v>
      </c>
      <c r="BE7" s="215"/>
      <c r="BF7" s="914">
        <v>1</v>
      </c>
      <c r="BG7" s="215">
        <v>11000</v>
      </c>
      <c r="BH7" s="914"/>
      <c r="BI7" s="215"/>
      <c r="BJ7" s="914"/>
      <c r="BK7" s="215"/>
      <c r="BL7" s="914"/>
      <c r="BM7" s="215"/>
      <c r="BN7" s="1169">
        <f t="shared" si="0"/>
        <v>700</v>
      </c>
      <c r="BO7" s="491">
        <f t="shared" si="1"/>
        <v>20</v>
      </c>
      <c r="BP7" s="492">
        <v>21000</v>
      </c>
      <c r="BQ7" s="493">
        <f t="shared" si="2"/>
        <v>14000</v>
      </c>
      <c r="BR7" s="217">
        <f t="shared" si="3"/>
        <v>14000</v>
      </c>
      <c r="BS7" s="217"/>
      <c r="BT7" s="1170">
        <f t="shared" si="4"/>
        <v>0</v>
      </c>
      <c r="BU7" s="1261">
        <v>11000</v>
      </c>
      <c r="BV7" s="111"/>
      <c r="BW7" s="1171">
        <f t="shared" si="5"/>
        <v>700</v>
      </c>
      <c r="BX7" s="1171">
        <f t="shared" si="6"/>
        <v>700</v>
      </c>
      <c r="BY7" s="1171">
        <f t="shared" si="7"/>
        <v>0</v>
      </c>
      <c r="BZ7" s="1171">
        <f t="shared" si="8"/>
        <v>0</v>
      </c>
      <c r="CA7" s="1171">
        <f t="shared" si="9"/>
        <v>700</v>
      </c>
      <c r="CB7" s="1171">
        <f t="shared" si="10"/>
        <v>0</v>
      </c>
      <c r="CC7" s="1171">
        <f t="shared" si="11"/>
        <v>700</v>
      </c>
      <c r="CD7" s="1171">
        <f t="shared" si="12"/>
        <v>700</v>
      </c>
      <c r="CE7" s="1171">
        <f t="shared" si="13"/>
        <v>700</v>
      </c>
      <c r="CF7" s="1171">
        <f t="shared" si="14"/>
        <v>700</v>
      </c>
      <c r="CG7" s="1171">
        <f t="shared" si="15"/>
        <v>0</v>
      </c>
      <c r="CH7" s="1171">
        <f t="shared" si="16"/>
        <v>700</v>
      </c>
      <c r="CI7" s="1171">
        <f t="shared" si="17"/>
        <v>700</v>
      </c>
      <c r="CJ7" s="1171">
        <f t="shared" si="18"/>
        <v>700</v>
      </c>
      <c r="CK7" s="1171">
        <f t="shared" si="19"/>
        <v>700</v>
      </c>
      <c r="CL7" s="1171">
        <f t="shared" si="20"/>
        <v>700</v>
      </c>
      <c r="CM7" s="1171">
        <f t="shared" si="21"/>
        <v>700</v>
      </c>
      <c r="CN7" s="1171">
        <f t="shared" si="22"/>
        <v>0</v>
      </c>
      <c r="CO7" s="1171">
        <f t="shared" si="23"/>
        <v>0</v>
      </c>
      <c r="CP7" s="1171">
        <f t="shared" si="24"/>
        <v>700</v>
      </c>
      <c r="CQ7" s="1171">
        <f t="shared" si="25"/>
        <v>700</v>
      </c>
      <c r="CR7" s="1171">
        <f t="shared" si="26"/>
        <v>700</v>
      </c>
      <c r="CS7" s="1171">
        <f t="shared" si="27"/>
        <v>0</v>
      </c>
      <c r="CT7" s="1171">
        <f t="shared" si="28"/>
        <v>700</v>
      </c>
      <c r="CU7" s="1171">
        <f t="shared" si="29"/>
        <v>0</v>
      </c>
      <c r="CV7" s="1171">
        <f t="shared" si="30"/>
        <v>700</v>
      </c>
      <c r="CW7" s="1171">
        <f t="shared" si="31"/>
        <v>700</v>
      </c>
      <c r="CX7" s="1171">
        <f t="shared" si="32"/>
        <v>700</v>
      </c>
      <c r="CY7" s="1171">
        <f t="shared" si="33"/>
        <v>0</v>
      </c>
      <c r="CZ7" s="1171">
        <f t="shared" si="34"/>
        <v>0</v>
      </c>
      <c r="DA7" s="1171">
        <f t="shared" si="35"/>
        <v>0</v>
      </c>
    </row>
    <row r="8" spans="1:106" ht="24.75" thickTop="1" thickBot="1">
      <c r="A8" t="s">
        <v>338</v>
      </c>
      <c r="B8" s="69">
        <v>4</v>
      </c>
      <c r="C8" s="1108" t="s">
        <v>406</v>
      </c>
      <c r="D8" s="914">
        <v>1</v>
      </c>
      <c r="E8" s="1172"/>
      <c r="F8" s="914">
        <v>1</v>
      </c>
      <c r="G8" s="1172"/>
      <c r="H8" s="914">
        <v>0</v>
      </c>
      <c r="I8" s="1173"/>
      <c r="J8" s="1232">
        <v>0</v>
      </c>
      <c r="K8" s="1249"/>
      <c r="L8" s="914">
        <v>1</v>
      </c>
      <c r="M8" s="1172"/>
      <c r="N8" s="914">
        <v>0</v>
      </c>
      <c r="O8" s="1173"/>
      <c r="P8" s="914">
        <v>1</v>
      </c>
      <c r="Q8" s="1173"/>
      <c r="R8" s="914">
        <v>1</v>
      </c>
      <c r="S8" s="1173"/>
      <c r="T8" s="914">
        <v>1</v>
      </c>
      <c r="U8" s="1173"/>
      <c r="V8" s="914">
        <v>1</v>
      </c>
      <c r="W8" s="1173">
        <v>5500</v>
      </c>
      <c r="X8" s="1232"/>
      <c r="Y8" s="1234"/>
      <c r="Z8" s="914">
        <v>1</v>
      </c>
      <c r="AA8" s="1173"/>
      <c r="AB8" s="914">
        <v>1</v>
      </c>
      <c r="AC8" s="1173"/>
      <c r="AD8" s="914">
        <v>1</v>
      </c>
      <c r="AE8" s="1173"/>
      <c r="AF8" s="914">
        <v>1</v>
      </c>
      <c r="AG8" s="1173"/>
      <c r="AH8" s="914">
        <v>1</v>
      </c>
      <c r="AI8" s="1173"/>
      <c r="AJ8" s="914">
        <v>1</v>
      </c>
      <c r="AK8" s="1173">
        <v>4000</v>
      </c>
      <c r="AL8" s="1232"/>
      <c r="AM8" s="1234"/>
      <c r="AN8" s="914">
        <v>0</v>
      </c>
      <c r="AO8" s="1173"/>
      <c r="AP8" s="914">
        <v>1</v>
      </c>
      <c r="AQ8" s="1173"/>
      <c r="AR8" s="914">
        <v>1</v>
      </c>
      <c r="AS8" s="1173">
        <v>2000</v>
      </c>
      <c r="AT8" s="914">
        <v>1</v>
      </c>
      <c r="AU8" s="1173"/>
      <c r="AV8" s="914">
        <v>0</v>
      </c>
      <c r="AW8" s="1173"/>
      <c r="AX8" s="914">
        <v>1</v>
      </c>
      <c r="AY8" s="1173"/>
      <c r="AZ8" s="1232"/>
      <c r="BA8" s="1234"/>
      <c r="BB8" s="914">
        <v>1</v>
      </c>
      <c r="BC8" s="1173">
        <v>2000</v>
      </c>
      <c r="BD8" s="914">
        <v>1</v>
      </c>
      <c r="BE8" s="1173"/>
      <c r="BF8" s="914">
        <v>0</v>
      </c>
      <c r="BG8" s="1173"/>
      <c r="BH8" s="914"/>
      <c r="BI8" s="1173"/>
      <c r="BJ8" s="914"/>
      <c r="BK8" s="1173"/>
      <c r="BL8" s="914"/>
      <c r="BM8" s="1174"/>
      <c r="BN8" s="1169">
        <f t="shared" si="0"/>
        <v>700</v>
      </c>
      <c r="BO8" s="213">
        <f>SUM(D8+F8+H8+J8+L8+N8+P8+R8+T8+V8+X8+Z8+AB8+AD8+AF8+AH8+AJ8+AL8+AN8+AP8+AR8+AT8+AV8+AX8+AZ8+BB8+BD8+BF8+BH8+BJ8+BL8)</f>
        <v>19</v>
      </c>
      <c r="BP8" s="492">
        <v>21000</v>
      </c>
      <c r="BQ8" s="493">
        <f t="shared" si="2"/>
        <v>13300</v>
      </c>
      <c r="BR8" s="217">
        <f t="shared" si="3"/>
        <v>13500</v>
      </c>
      <c r="BS8" s="217"/>
      <c r="BT8" s="1170">
        <f t="shared" si="4"/>
        <v>-200</v>
      </c>
      <c r="BU8" s="1261">
        <v>0</v>
      </c>
      <c r="BW8" s="1171">
        <f t="shared" si="5"/>
        <v>700</v>
      </c>
      <c r="BX8" s="1171">
        <f t="shared" si="6"/>
        <v>700</v>
      </c>
      <c r="BY8" s="1171">
        <f t="shared" si="7"/>
        <v>0</v>
      </c>
      <c r="BZ8" s="1171">
        <f t="shared" si="8"/>
        <v>0</v>
      </c>
      <c r="CA8" s="1171">
        <f t="shared" si="9"/>
        <v>700</v>
      </c>
      <c r="CB8" s="1171">
        <f t="shared" si="10"/>
        <v>0</v>
      </c>
      <c r="CC8" s="1171">
        <f t="shared" si="11"/>
        <v>700</v>
      </c>
      <c r="CD8" s="1171">
        <f t="shared" si="12"/>
        <v>700</v>
      </c>
      <c r="CE8" s="1171">
        <f t="shared" si="13"/>
        <v>700</v>
      </c>
      <c r="CF8" s="1171">
        <f t="shared" si="14"/>
        <v>700</v>
      </c>
      <c r="CG8" s="1171">
        <f t="shared" si="15"/>
        <v>0</v>
      </c>
      <c r="CH8" s="1171">
        <f t="shared" si="16"/>
        <v>700</v>
      </c>
      <c r="CI8" s="1171">
        <f t="shared" si="17"/>
        <v>700</v>
      </c>
      <c r="CJ8" s="1171">
        <f t="shared" si="18"/>
        <v>700</v>
      </c>
      <c r="CK8" s="1171">
        <f t="shared" si="19"/>
        <v>700</v>
      </c>
      <c r="CL8" s="1171">
        <f t="shared" si="20"/>
        <v>700</v>
      </c>
      <c r="CM8" s="1171">
        <f t="shared" si="21"/>
        <v>700</v>
      </c>
      <c r="CN8" s="1171">
        <f t="shared" si="22"/>
        <v>0</v>
      </c>
      <c r="CO8" s="1171">
        <f t="shared" si="23"/>
        <v>0</v>
      </c>
      <c r="CP8" s="1171">
        <f t="shared" si="24"/>
        <v>700</v>
      </c>
      <c r="CQ8" s="1171">
        <f t="shared" si="25"/>
        <v>700</v>
      </c>
      <c r="CR8" s="1171">
        <f t="shared" si="26"/>
        <v>700</v>
      </c>
      <c r="CS8" s="1171">
        <f t="shared" si="27"/>
        <v>0</v>
      </c>
      <c r="CT8" s="1171">
        <f t="shared" si="28"/>
        <v>700</v>
      </c>
      <c r="CU8" s="1171">
        <f t="shared" si="29"/>
        <v>0</v>
      </c>
      <c r="CV8" s="1171">
        <f t="shared" si="30"/>
        <v>700</v>
      </c>
      <c r="CW8" s="1171">
        <f t="shared" si="31"/>
        <v>700</v>
      </c>
      <c r="CX8" s="1171">
        <f t="shared" si="32"/>
        <v>0</v>
      </c>
      <c r="CY8" s="1171">
        <f t="shared" si="33"/>
        <v>0</v>
      </c>
      <c r="CZ8" s="1171">
        <f t="shared" si="34"/>
        <v>0</v>
      </c>
      <c r="DA8" s="1171">
        <f t="shared" si="35"/>
        <v>0</v>
      </c>
    </row>
    <row r="9" spans="1:106" ht="24.75" thickTop="1" thickBot="1">
      <c r="A9" t="s">
        <v>339</v>
      </c>
      <c r="B9" s="69">
        <v>5</v>
      </c>
      <c r="C9" s="1175" t="s">
        <v>421</v>
      </c>
      <c r="D9" s="914">
        <v>1</v>
      </c>
      <c r="E9" s="1172"/>
      <c r="F9" s="914">
        <v>1</v>
      </c>
      <c r="G9" s="1172"/>
      <c r="H9" s="914">
        <v>0</v>
      </c>
      <c r="I9" s="1173"/>
      <c r="J9" s="1232">
        <v>0</v>
      </c>
      <c r="K9" s="1249"/>
      <c r="L9" s="914">
        <v>1</v>
      </c>
      <c r="M9" s="1172"/>
      <c r="N9" s="914">
        <v>0</v>
      </c>
      <c r="O9" s="1174"/>
      <c r="P9" s="914">
        <v>1</v>
      </c>
      <c r="Q9" s="215"/>
      <c r="R9" s="914">
        <v>1</v>
      </c>
      <c r="S9" s="215"/>
      <c r="T9" s="914">
        <v>1</v>
      </c>
      <c r="U9" s="215"/>
      <c r="V9" s="914">
        <v>1</v>
      </c>
      <c r="W9" s="215">
        <v>1500</v>
      </c>
      <c r="X9" s="1232"/>
      <c r="Y9" s="1233"/>
      <c r="Z9" s="914">
        <v>1</v>
      </c>
      <c r="AA9" s="215"/>
      <c r="AB9" s="914">
        <v>1</v>
      </c>
      <c r="AC9" s="215"/>
      <c r="AD9" s="914">
        <v>1</v>
      </c>
      <c r="AE9" s="215">
        <v>300</v>
      </c>
      <c r="AF9" s="914">
        <v>1</v>
      </c>
      <c r="AG9" s="215"/>
      <c r="AH9" s="914">
        <v>1</v>
      </c>
      <c r="AI9" s="215"/>
      <c r="AJ9" s="914">
        <v>1</v>
      </c>
      <c r="AK9" s="215">
        <v>2000</v>
      </c>
      <c r="AL9" s="1232"/>
      <c r="AM9" s="1233"/>
      <c r="AN9" s="914">
        <v>0</v>
      </c>
      <c r="AO9" s="215"/>
      <c r="AP9" s="914">
        <v>1</v>
      </c>
      <c r="AQ9" s="215"/>
      <c r="AR9" s="914">
        <v>1</v>
      </c>
      <c r="AS9" s="215"/>
      <c r="AT9" s="914">
        <v>1</v>
      </c>
      <c r="AU9" s="215"/>
      <c r="AV9" s="914">
        <v>0</v>
      </c>
      <c r="AW9" s="215"/>
      <c r="AX9" s="914">
        <v>1</v>
      </c>
      <c r="AY9" s="215">
        <v>200</v>
      </c>
      <c r="AZ9" s="1232"/>
      <c r="BA9" s="1233"/>
      <c r="BB9" s="914">
        <v>1</v>
      </c>
      <c r="BC9" s="215"/>
      <c r="BD9" s="914">
        <v>1</v>
      </c>
      <c r="BE9" s="215"/>
      <c r="BF9" s="914">
        <v>0</v>
      </c>
      <c r="BG9" s="215">
        <v>9300</v>
      </c>
      <c r="BH9" s="914"/>
      <c r="BI9" s="215"/>
      <c r="BJ9" s="914"/>
      <c r="BK9" s="215"/>
      <c r="BL9" s="914"/>
      <c r="BM9" s="215"/>
      <c r="BN9" s="1169">
        <f t="shared" si="0"/>
        <v>700</v>
      </c>
      <c r="BO9" s="491">
        <f>SUM(D9+F9+H9+J9+L9+N9+P9+R9+T9+V9+X9+Z9+AB9+AD9+AF9+AH9+AJ9+AL9+AN9+AP9+AR9+AT9+AV9+AX9+AZ9+BB9+BD9+BF9+BH9+BJ9+BL9)</f>
        <v>19</v>
      </c>
      <c r="BP9" s="492">
        <v>21000</v>
      </c>
      <c r="BQ9" s="493">
        <f t="shared" si="2"/>
        <v>13300</v>
      </c>
      <c r="BR9" s="217">
        <f t="shared" si="3"/>
        <v>13300</v>
      </c>
      <c r="BS9" s="217"/>
      <c r="BT9" s="1170">
        <f t="shared" si="4"/>
        <v>0</v>
      </c>
      <c r="BU9" s="1261">
        <v>9300</v>
      </c>
      <c r="BW9" s="1171">
        <f t="shared" si="5"/>
        <v>700</v>
      </c>
      <c r="BX9" s="1171">
        <f t="shared" si="6"/>
        <v>700</v>
      </c>
      <c r="BY9" s="1171">
        <f t="shared" si="7"/>
        <v>0</v>
      </c>
      <c r="BZ9" s="1171">
        <f t="shared" si="8"/>
        <v>0</v>
      </c>
      <c r="CA9" s="1171">
        <f t="shared" si="9"/>
        <v>700</v>
      </c>
      <c r="CB9" s="1171">
        <f t="shared" si="10"/>
        <v>0</v>
      </c>
      <c r="CC9" s="1171">
        <f t="shared" si="11"/>
        <v>700</v>
      </c>
      <c r="CD9" s="1171">
        <f t="shared" si="12"/>
        <v>700</v>
      </c>
      <c r="CE9" s="1171">
        <f t="shared" si="13"/>
        <v>700</v>
      </c>
      <c r="CF9" s="1171">
        <f t="shared" si="14"/>
        <v>700</v>
      </c>
      <c r="CG9" s="1171">
        <f t="shared" si="15"/>
        <v>0</v>
      </c>
      <c r="CH9" s="1171">
        <f t="shared" si="16"/>
        <v>700</v>
      </c>
      <c r="CI9" s="1171">
        <f t="shared" si="17"/>
        <v>700</v>
      </c>
      <c r="CJ9" s="1171">
        <f t="shared" si="18"/>
        <v>700</v>
      </c>
      <c r="CK9" s="1171">
        <f t="shared" si="19"/>
        <v>700</v>
      </c>
      <c r="CL9" s="1171">
        <f t="shared" si="20"/>
        <v>700</v>
      </c>
      <c r="CM9" s="1171">
        <f t="shared" si="21"/>
        <v>700</v>
      </c>
      <c r="CN9" s="1171">
        <f t="shared" si="22"/>
        <v>0</v>
      </c>
      <c r="CO9" s="1171">
        <f t="shared" si="23"/>
        <v>0</v>
      </c>
      <c r="CP9" s="1171">
        <f t="shared" si="24"/>
        <v>700</v>
      </c>
      <c r="CQ9" s="1171">
        <f t="shared" si="25"/>
        <v>700</v>
      </c>
      <c r="CR9" s="1171">
        <f t="shared" si="26"/>
        <v>700</v>
      </c>
      <c r="CS9" s="1171">
        <f t="shared" si="27"/>
        <v>0</v>
      </c>
      <c r="CT9" s="1171">
        <f t="shared" si="28"/>
        <v>700</v>
      </c>
      <c r="CU9" s="1171">
        <f t="shared" si="29"/>
        <v>0</v>
      </c>
      <c r="CV9" s="1171">
        <f t="shared" si="30"/>
        <v>700</v>
      </c>
      <c r="CW9" s="1171">
        <f t="shared" si="31"/>
        <v>700</v>
      </c>
      <c r="CX9" s="1171">
        <f t="shared" si="32"/>
        <v>0</v>
      </c>
      <c r="CY9" s="1171">
        <f t="shared" si="33"/>
        <v>0</v>
      </c>
      <c r="CZ9" s="1171">
        <f t="shared" si="34"/>
        <v>0</v>
      </c>
      <c r="DA9" s="1171">
        <f t="shared" si="35"/>
        <v>0</v>
      </c>
    </row>
    <row r="10" spans="1:106" ht="24.75" thickTop="1" thickBot="1">
      <c r="A10" t="s">
        <v>339</v>
      </c>
      <c r="B10" s="69">
        <v>6</v>
      </c>
      <c r="C10" s="1108" t="s">
        <v>420</v>
      </c>
      <c r="D10" s="914">
        <v>1</v>
      </c>
      <c r="E10" s="1172"/>
      <c r="F10" s="914">
        <v>1</v>
      </c>
      <c r="G10" s="1172"/>
      <c r="H10" s="914">
        <v>0</v>
      </c>
      <c r="I10" s="1173"/>
      <c r="J10" s="1232">
        <v>0</v>
      </c>
      <c r="K10" s="1249"/>
      <c r="L10" s="914">
        <v>1</v>
      </c>
      <c r="M10" s="1172"/>
      <c r="N10" s="914">
        <v>0</v>
      </c>
      <c r="O10" s="1174"/>
      <c r="P10" s="914">
        <v>0</v>
      </c>
      <c r="Q10" s="215">
        <v>2100</v>
      </c>
      <c r="R10" s="914"/>
      <c r="S10" s="215"/>
      <c r="T10" s="914"/>
      <c r="U10" s="215"/>
      <c r="V10" s="914"/>
      <c r="W10" s="215"/>
      <c r="X10" s="1232"/>
      <c r="Y10" s="1233"/>
      <c r="Z10" s="914">
        <v>0</v>
      </c>
      <c r="AA10" s="215"/>
      <c r="AB10" s="914">
        <v>0</v>
      </c>
      <c r="AC10" s="215"/>
      <c r="AD10" s="914">
        <v>0</v>
      </c>
      <c r="AE10" s="215"/>
      <c r="AF10" s="914">
        <v>0</v>
      </c>
      <c r="AG10" s="215"/>
      <c r="AH10" s="914"/>
      <c r="AI10" s="215"/>
      <c r="AJ10" s="914">
        <v>0</v>
      </c>
      <c r="AK10" s="215"/>
      <c r="AL10" s="1232"/>
      <c r="AM10" s="1233"/>
      <c r="AN10" s="914">
        <v>0</v>
      </c>
      <c r="AO10" s="215"/>
      <c r="AP10" s="914">
        <v>0</v>
      </c>
      <c r="AQ10" s="215"/>
      <c r="AR10" s="914"/>
      <c r="AS10" s="215"/>
      <c r="AT10" s="914">
        <v>0</v>
      </c>
      <c r="AU10" s="215"/>
      <c r="AV10" s="914">
        <v>0</v>
      </c>
      <c r="AW10" s="215"/>
      <c r="AX10" s="914"/>
      <c r="AY10" s="215"/>
      <c r="AZ10" s="1232"/>
      <c r="BA10" s="1233"/>
      <c r="BB10" s="914"/>
      <c r="BC10" s="215"/>
      <c r="BD10" s="914">
        <v>0</v>
      </c>
      <c r="BE10" s="215"/>
      <c r="BF10" s="914">
        <v>0</v>
      </c>
      <c r="BG10" s="215"/>
      <c r="BH10" s="914"/>
      <c r="BI10" s="215"/>
      <c r="BJ10" s="914"/>
      <c r="BK10" s="215"/>
      <c r="BL10" s="914"/>
      <c r="BM10" s="215"/>
      <c r="BN10" s="1169">
        <f t="shared" si="0"/>
        <v>700</v>
      </c>
      <c r="BO10" s="491">
        <f>SUM(D10+F10+H10+J10+L10+N10+P10+R10+T10+V10+X10+Z10+AB10+AD10+AF10+AH10+AJ10+AL10+AN10+AP10+AR10+AT10+AV10+AX10+AZ10+BB10+BD10+BF10+BH10+BJ10+BL10)</f>
        <v>3</v>
      </c>
      <c r="BP10" s="492">
        <v>21000</v>
      </c>
      <c r="BQ10" s="493">
        <f t="shared" si="2"/>
        <v>2100</v>
      </c>
      <c r="BR10" s="217">
        <f t="shared" si="3"/>
        <v>2100</v>
      </c>
      <c r="BS10" s="217"/>
      <c r="BT10" s="1170">
        <f t="shared" si="4"/>
        <v>0</v>
      </c>
      <c r="BU10" s="1261">
        <v>0</v>
      </c>
      <c r="BW10" s="1171">
        <f t="shared" si="5"/>
        <v>700</v>
      </c>
      <c r="BX10" s="1171">
        <f t="shared" si="6"/>
        <v>700</v>
      </c>
      <c r="BY10" s="1171">
        <f t="shared" si="7"/>
        <v>0</v>
      </c>
      <c r="BZ10" s="1171">
        <f t="shared" si="8"/>
        <v>0</v>
      </c>
      <c r="CA10" s="1171">
        <f t="shared" si="9"/>
        <v>700</v>
      </c>
      <c r="CB10" s="1171">
        <f t="shared" si="10"/>
        <v>0</v>
      </c>
      <c r="CC10" s="1171">
        <f t="shared" si="11"/>
        <v>0</v>
      </c>
      <c r="CD10" s="1171">
        <f t="shared" si="12"/>
        <v>0</v>
      </c>
      <c r="CE10" s="1171">
        <f t="shared" si="13"/>
        <v>0</v>
      </c>
      <c r="CF10" s="1171">
        <f t="shared" si="14"/>
        <v>0</v>
      </c>
      <c r="CG10" s="1171">
        <f t="shared" si="15"/>
        <v>0</v>
      </c>
      <c r="CH10" s="1171">
        <f t="shared" si="16"/>
        <v>0</v>
      </c>
      <c r="CI10" s="1171">
        <f t="shared" si="17"/>
        <v>0</v>
      </c>
      <c r="CJ10" s="1171">
        <f t="shared" si="18"/>
        <v>0</v>
      </c>
      <c r="CK10" s="1171">
        <f t="shared" si="19"/>
        <v>0</v>
      </c>
      <c r="CL10" s="1171">
        <f t="shared" si="20"/>
        <v>0</v>
      </c>
      <c r="CM10" s="1171">
        <f t="shared" si="21"/>
        <v>0</v>
      </c>
      <c r="CN10" s="1171">
        <f t="shared" si="22"/>
        <v>0</v>
      </c>
      <c r="CO10" s="1171">
        <f t="shared" si="23"/>
        <v>0</v>
      </c>
      <c r="CP10" s="1171">
        <f t="shared" si="24"/>
        <v>0</v>
      </c>
      <c r="CQ10" s="1171">
        <f t="shared" si="25"/>
        <v>0</v>
      </c>
      <c r="CR10" s="1171">
        <f t="shared" si="26"/>
        <v>0</v>
      </c>
      <c r="CS10" s="1171">
        <f t="shared" si="27"/>
        <v>0</v>
      </c>
      <c r="CT10" s="1171">
        <f t="shared" si="28"/>
        <v>0</v>
      </c>
      <c r="CU10" s="1171">
        <f t="shared" si="29"/>
        <v>0</v>
      </c>
      <c r="CV10" s="1171">
        <f t="shared" si="30"/>
        <v>0</v>
      </c>
      <c r="CW10" s="1171">
        <f t="shared" si="31"/>
        <v>0</v>
      </c>
      <c r="CX10" s="1171">
        <f t="shared" si="32"/>
        <v>0</v>
      </c>
      <c r="CY10" s="1171">
        <f t="shared" si="33"/>
        <v>0</v>
      </c>
      <c r="CZ10" s="1171">
        <f t="shared" si="34"/>
        <v>0</v>
      </c>
      <c r="DA10" s="1171">
        <f t="shared" si="35"/>
        <v>0</v>
      </c>
    </row>
    <row r="11" spans="1:106" ht="24.75" thickTop="1" thickBot="1">
      <c r="A11" t="s">
        <v>339</v>
      </c>
      <c r="B11" s="69">
        <v>7</v>
      </c>
      <c r="C11" s="1108" t="s">
        <v>443</v>
      </c>
      <c r="D11" s="914">
        <v>1</v>
      </c>
      <c r="E11" s="1172"/>
      <c r="F11" s="914">
        <v>1</v>
      </c>
      <c r="G11" s="1172"/>
      <c r="H11" s="914">
        <v>0</v>
      </c>
      <c r="I11" s="1173"/>
      <c r="J11" s="1232">
        <v>0</v>
      </c>
      <c r="K11" s="1249"/>
      <c r="L11" s="914">
        <v>1</v>
      </c>
      <c r="M11" s="1172"/>
      <c r="N11" s="914">
        <v>0</v>
      </c>
      <c r="O11" s="1174"/>
      <c r="P11" s="914">
        <v>0</v>
      </c>
      <c r="Q11" s="215">
        <v>1800</v>
      </c>
      <c r="R11" s="914"/>
      <c r="S11" s="215"/>
      <c r="T11" s="914"/>
      <c r="U11" s="215"/>
      <c r="V11" s="914"/>
      <c r="W11" s="215"/>
      <c r="X11" s="1232"/>
      <c r="Y11" s="1233"/>
      <c r="Z11" s="914">
        <v>0</v>
      </c>
      <c r="AA11" s="215"/>
      <c r="AB11" s="914">
        <v>0</v>
      </c>
      <c r="AC11" s="215"/>
      <c r="AD11" s="914">
        <v>0</v>
      </c>
      <c r="AE11" s="215">
        <v>3000</v>
      </c>
      <c r="AF11" s="914">
        <v>0</v>
      </c>
      <c r="AG11" s="215"/>
      <c r="AH11" s="914"/>
      <c r="AI11" s="215"/>
      <c r="AJ11" s="914">
        <v>0</v>
      </c>
      <c r="AK11" s="215"/>
      <c r="AL11" s="1232"/>
      <c r="AM11" s="1233"/>
      <c r="AN11" s="914">
        <v>0</v>
      </c>
      <c r="AO11" s="215"/>
      <c r="AP11" s="914">
        <v>0</v>
      </c>
      <c r="AQ11" s="215"/>
      <c r="AR11" s="914">
        <v>1</v>
      </c>
      <c r="AS11" s="215">
        <v>700</v>
      </c>
      <c r="AT11" s="914">
        <v>1</v>
      </c>
      <c r="AU11" s="215"/>
      <c r="AV11" s="914">
        <v>0</v>
      </c>
      <c r="AW11" s="215"/>
      <c r="AX11" s="914">
        <v>1</v>
      </c>
      <c r="AY11" s="215">
        <v>500</v>
      </c>
      <c r="AZ11" s="1232"/>
      <c r="BA11" s="1233"/>
      <c r="BB11" s="914">
        <v>1</v>
      </c>
      <c r="BC11" s="215"/>
      <c r="BD11" s="914">
        <v>1</v>
      </c>
      <c r="BE11" s="215"/>
      <c r="BF11" s="914">
        <v>1</v>
      </c>
      <c r="BG11" s="215"/>
      <c r="BH11" s="914"/>
      <c r="BI11" s="215"/>
      <c r="BJ11" s="914"/>
      <c r="BK11" s="215"/>
      <c r="BL11" s="914"/>
      <c r="BM11" s="215"/>
      <c r="BN11" s="1169">
        <f t="shared" si="0"/>
        <v>600</v>
      </c>
      <c r="BO11" s="491">
        <f>SUM(D11+F11+H11+J11+L11+N11+P11+R11+T11+V11+X11+Z11+AB11+AD11+AF11+AH11+AJ11+AL11+AN11+AP11+AR11+AT11+AV11+AX11+AZ11+BB11+BD11+BF11+BH11+BJ11+BL11)</f>
        <v>9</v>
      </c>
      <c r="BP11" s="492">
        <v>18000</v>
      </c>
      <c r="BQ11" s="493">
        <f t="shared" si="2"/>
        <v>5400</v>
      </c>
      <c r="BR11" s="217">
        <f t="shared" si="3"/>
        <v>6000</v>
      </c>
      <c r="BS11" s="217"/>
      <c r="BT11" s="1170">
        <f t="shared" si="4"/>
        <v>-600</v>
      </c>
      <c r="BU11" s="1261">
        <v>0</v>
      </c>
      <c r="BW11" s="1171">
        <f t="shared" si="5"/>
        <v>600</v>
      </c>
      <c r="BX11" s="1171">
        <f t="shared" si="6"/>
        <v>600</v>
      </c>
      <c r="BY11" s="1171">
        <f t="shared" si="7"/>
        <v>0</v>
      </c>
      <c r="BZ11" s="1171">
        <f t="shared" si="8"/>
        <v>0</v>
      </c>
      <c r="CA11" s="1171">
        <f t="shared" si="9"/>
        <v>600</v>
      </c>
      <c r="CB11" s="1171">
        <f t="shared" si="10"/>
        <v>0</v>
      </c>
      <c r="CC11" s="1171">
        <f t="shared" si="11"/>
        <v>0</v>
      </c>
      <c r="CD11" s="1171">
        <f t="shared" si="12"/>
        <v>0</v>
      </c>
      <c r="CE11" s="1171">
        <f t="shared" si="13"/>
        <v>0</v>
      </c>
      <c r="CF11" s="1171">
        <f t="shared" si="14"/>
        <v>0</v>
      </c>
      <c r="CG11" s="1171">
        <f t="shared" si="15"/>
        <v>0</v>
      </c>
      <c r="CH11" s="1171">
        <f t="shared" si="16"/>
        <v>0</v>
      </c>
      <c r="CI11" s="1171">
        <f t="shared" si="17"/>
        <v>0</v>
      </c>
      <c r="CJ11" s="1171">
        <f t="shared" si="18"/>
        <v>0</v>
      </c>
      <c r="CK11" s="1171">
        <f t="shared" si="19"/>
        <v>0</v>
      </c>
      <c r="CL11" s="1171">
        <f t="shared" si="20"/>
        <v>0</v>
      </c>
      <c r="CM11" s="1171">
        <f t="shared" si="21"/>
        <v>0</v>
      </c>
      <c r="CN11" s="1171">
        <f t="shared" si="22"/>
        <v>0</v>
      </c>
      <c r="CO11" s="1171">
        <f t="shared" si="23"/>
        <v>0</v>
      </c>
      <c r="CP11" s="1171">
        <f t="shared" si="24"/>
        <v>0</v>
      </c>
      <c r="CQ11" s="1171">
        <f t="shared" si="25"/>
        <v>600</v>
      </c>
      <c r="CR11" s="1171">
        <f t="shared" si="26"/>
        <v>600</v>
      </c>
      <c r="CS11" s="1171">
        <f t="shared" si="27"/>
        <v>0</v>
      </c>
      <c r="CT11" s="1171">
        <f t="shared" si="28"/>
        <v>600</v>
      </c>
      <c r="CU11" s="1171">
        <f t="shared" si="29"/>
        <v>0</v>
      </c>
      <c r="CV11" s="1171">
        <f t="shared" si="30"/>
        <v>600</v>
      </c>
      <c r="CW11" s="1171">
        <f t="shared" si="31"/>
        <v>600</v>
      </c>
      <c r="CX11" s="1171">
        <f t="shared" si="32"/>
        <v>600</v>
      </c>
      <c r="CY11" s="1171">
        <f t="shared" si="33"/>
        <v>0</v>
      </c>
      <c r="CZ11" s="1171">
        <f t="shared" si="34"/>
        <v>0</v>
      </c>
      <c r="DA11" s="1171">
        <f t="shared" si="35"/>
        <v>0</v>
      </c>
    </row>
    <row r="12" spans="1:106" ht="24.75" thickTop="1" thickBot="1">
      <c r="A12" t="s">
        <v>340</v>
      </c>
      <c r="B12" s="69">
        <v>8</v>
      </c>
      <c r="C12" s="1108" t="s">
        <v>425</v>
      </c>
      <c r="D12" s="914">
        <v>1</v>
      </c>
      <c r="E12" s="1172"/>
      <c r="F12" s="914">
        <v>1</v>
      </c>
      <c r="G12" s="1172"/>
      <c r="H12" s="914">
        <v>0</v>
      </c>
      <c r="I12" s="1173"/>
      <c r="J12" s="1232">
        <v>0</v>
      </c>
      <c r="K12" s="1249"/>
      <c r="L12" s="914">
        <v>1</v>
      </c>
      <c r="M12" s="1172"/>
      <c r="N12" s="914">
        <v>0</v>
      </c>
      <c r="O12" s="1173"/>
      <c r="P12" s="914">
        <v>1</v>
      </c>
      <c r="Q12" s="1173">
        <v>2670</v>
      </c>
      <c r="R12" s="914"/>
      <c r="S12" s="1173"/>
      <c r="T12" s="914"/>
      <c r="U12" s="1173"/>
      <c r="V12" s="914"/>
      <c r="W12" s="1173"/>
      <c r="X12" s="1232"/>
      <c r="Y12" s="1234"/>
      <c r="Z12" s="914">
        <v>0</v>
      </c>
      <c r="AA12" s="1173"/>
      <c r="AB12" s="914">
        <v>0</v>
      </c>
      <c r="AC12" s="1173"/>
      <c r="AD12" s="914">
        <v>0</v>
      </c>
      <c r="AE12" s="1173"/>
      <c r="AF12" s="914">
        <v>0</v>
      </c>
      <c r="AG12" s="1173"/>
      <c r="AH12" s="914"/>
      <c r="AI12" s="1173"/>
      <c r="AJ12" s="914">
        <v>0</v>
      </c>
      <c r="AK12" s="1173"/>
      <c r="AL12" s="1232"/>
      <c r="AM12" s="1234"/>
      <c r="AN12" s="914">
        <v>0</v>
      </c>
      <c r="AO12" s="1173"/>
      <c r="AP12" s="914">
        <v>0</v>
      </c>
      <c r="AQ12" s="1173"/>
      <c r="AR12" s="914"/>
      <c r="AS12" s="1173"/>
      <c r="AT12" s="914">
        <v>0</v>
      </c>
      <c r="AU12" s="1173"/>
      <c r="AV12" s="914">
        <v>0</v>
      </c>
      <c r="AW12" s="1173"/>
      <c r="AX12" s="914"/>
      <c r="AY12" s="1173"/>
      <c r="AZ12" s="1232"/>
      <c r="BA12" s="1234"/>
      <c r="BB12" s="914"/>
      <c r="BC12" s="1173"/>
      <c r="BD12" s="914">
        <v>0</v>
      </c>
      <c r="BE12" s="1173"/>
      <c r="BF12" s="914">
        <v>0</v>
      </c>
      <c r="BG12" s="1173"/>
      <c r="BH12" s="914"/>
      <c r="BI12" s="1173"/>
      <c r="BJ12" s="914"/>
      <c r="BK12" s="1173"/>
      <c r="BL12" s="914"/>
      <c r="BM12" s="1174"/>
      <c r="BN12" s="1169">
        <f t="shared" si="0"/>
        <v>666.66666666666663</v>
      </c>
      <c r="BO12" s="213">
        <f t="shared" ref="BO12:BO92" si="36">SUM(D12+F12+H12+J12+L12+N12+P12+R12+T12+V12+X12+Z12+AB12+AD12+AF12+AH12+AJ12+AL12+AN12+AP12+AR12+AT12+AV12+AX12+AZ12+BB12+BD12+BF12+BH12+BJ12+BL12)</f>
        <v>4</v>
      </c>
      <c r="BP12" s="492">
        <v>20000</v>
      </c>
      <c r="BQ12" s="493">
        <f t="shared" si="2"/>
        <v>2666.6666666666665</v>
      </c>
      <c r="BR12" s="217">
        <f t="shared" si="3"/>
        <v>2670</v>
      </c>
      <c r="BS12" s="217"/>
      <c r="BT12" s="1170">
        <f t="shared" si="4"/>
        <v>-3.3333333333334849</v>
      </c>
      <c r="BU12" s="1261">
        <v>0</v>
      </c>
      <c r="BW12" s="1171">
        <f t="shared" si="5"/>
        <v>666.66666666666663</v>
      </c>
      <c r="BX12" s="1171">
        <f t="shared" si="6"/>
        <v>666.66666666666663</v>
      </c>
      <c r="BY12" s="1171">
        <f t="shared" si="7"/>
        <v>0</v>
      </c>
      <c r="BZ12" s="1171">
        <f t="shared" si="8"/>
        <v>0</v>
      </c>
      <c r="CA12" s="1171">
        <f t="shared" si="9"/>
        <v>666.66666666666663</v>
      </c>
      <c r="CB12" s="1171">
        <f t="shared" si="10"/>
        <v>0</v>
      </c>
      <c r="CC12" s="1171">
        <f t="shared" si="11"/>
        <v>666.66666666666663</v>
      </c>
      <c r="CD12" s="1171">
        <f t="shared" si="12"/>
        <v>0</v>
      </c>
      <c r="CE12" s="1171">
        <f t="shared" si="13"/>
        <v>0</v>
      </c>
      <c r="CF12" s="1171">
        <f t="shared" si="14"/>
        <v>0</v>
      </c>
      <c r="CG12" s="1171">
        <f t="shared" si="15"/>
        <v>0</v>
      </c>
      <c r="CH12" s="1171">
        <f t="shared" si="16"/>
        <v>0</v>
      </c>
      <c r="CI12" s="1171">
        <f t="shared" si="17"/>
        <v>0</v>
      </c>
      <c r="CJ12" s="1171">
        <f t="shared" si="18"/>
        <v>0</v>
      </c>
      <c r="CK12" s="1171">
        <f t="shared" si="19"/>
        <v>0</v>
      </c>
      <c r="CL12" s="1171">
        <f t="shared" si="20"/>
        <v>0</v>
      </c>
      <c r="CM12" s="1171">
        <f t="shared" si="21"/>
        <v>0</v>
      </c>
      <c r="CN12" s="1171">
        <f t="shared" si="22"/>
        <v>0</v>
      </c>
      <c r="CO12" s="1171">
        <f t="shared" si="23"/>
        <v>0</v>
      </c>
      <c r="CP12" s="1171">
        <f t="shared" si="24"/>
        <v>0</v>
      </c>
      <c r="CQ12" s="1171">
        <f t="shared" si="25"/>
        <v>0</v>
      </c>
      <c r="CR12" s="1171">
        <f t="shared" si="26"/>
        <v>0</v>
      </c>
      <c r="CS12" s="1171">
        <f t="shared" si="27"/>
        <v>0</v>
      </c>
      <c r="CT12" s="1171">
        <f t="shared" si="28"/>
        <v>0</v>
      </c>
      <c r="CU12" s="1171">
        <f t="shared" si="29"/>
        <v>0</v>
      </c>
      <c r="CV12" s="1171">
        <f t="shared" si="30"/>
        <v>0</v>
      </c>
      <c r="CW12" s="1171">
        <f t="shared" si="31"/>
        <v>0</v>
      </c>
      <c r="CX12" s="1171">
        <f t="shared" si="32"/>
        <v>0</v>
      </c>
      <c r="CY12" s="1171">
        <f t="shared" si="33"/>
        <v>0</v>
      </c>
      <c r="CZ12" s="1171">
        <f t="shared" si="34"/>
        <v>0</v>
      </c>
      <c r="DA12" s="1171">
        <f t="shared" si="35"/>
        <v>0</v>
      </c>
    </row>
    <row r="13" spans="1:106" ht="24.75" thickTop="1" thickBot="1">
      <c r="A13" t="s">
        <v>340</v>
      </c>
      <c r="B13" s="69">
        <v>9</v>
      </c>
      <c r="C13" s="1108" t="s">
        <v>411</v>
      </c>
      <c r="D13" s="914">
        <v>1</v>
      </c>
      <c r="E13" s="1168"/>
      <c r="F13" s="914">
        <v>1</v>
      </c>
      <c r="G13" s="1168"/>
      <c r="H13" s="914">
        <v>0</v>
      </c>
      <c r="I13" s="215"/>
      <c r="J13" s="1232">
        <v>0</v>
      </c>
      <c r="K13" s="1248"/>
      <c r="L13" s="914">
        <v>1</v>
      </c>
      <c r="M13" s="1168"/>
      <c r="N13" s="914">
        <v>0</v>
      </c>
      <c r="O13" s="215"/>
      <c r="P13" s="914">
        <v>1</v>
      </c>
      <c r="Q13" s="215">
        <v>2400</v>
      </c>
      <c r="R13" s="914"/>
      <c r="S13" s="215"/>
      <c r="T13" s="914"/>
      <c r="U13" s="1241"/>
      <c r="V13" s="914"/>
      <c r="W13" s="1174"/>
      <c r="X13" s="1232"/>
      <c r="Y13" s="1233"/>
      <c r="Z13" s="914">
        <v>0</v>
      </c>
      <c r="AA13" s="215"/>
      <c r="AB13" s="914">
        <v>0</v>
      </c>
      <c r="AC13" s="215"/>
      <c r="AD13" s="914">
        <v>0</v>
      </c>
      <c r="AE13" s="215"/>
      <c r="AF13" s="914">
        <v>0</v>
      </c>
      <c r="AG13" s="215"/>
      <c r="AH13" s="914"/>
      <c r="AI13" s="215"/>
      <c r="AJ13" s="914">
        <v>0</v>
      </c>
      <c r="AK13" s="215"/>
      <c r="AL13" s="1232"/>
      <c r="AM13" s="1233"/>
      <c r="AN13" s="914">
        <v>0</v>
      </c>
      <c r="AO13" s="215"/>
      <c r="AP13" s="914">
        <v>0</v>
      </c>
      <c r="AQ13" s="215"/>
      <c r="AR13" s="914"/>
      <c r="AS13" s="1241"/>
      <c r="AT13" s="914">
        <v>0</v>
      </c>
      <c r="AU13" s="1174"/>
      <c r="AV13" s="914">
        <v>0</v>
      </c>
      <c r="AW13" s="215"/>
      <c r="AX13" s="914"/>
      <c r="AY13" s="215"/>
      <c r="AZ13" s="1232"/>
      <c r="BA13" s="1233"/>
      <c r="BB13" s="914"/>
      <c r="BC13" s="215"/>
      <c r="BD13" s="914">
        <v>0</v>
      </c>
      <c r="BE13" s="215"/>
      <c r="BF13" s="914">
        <v>0</v>
      </c>
      <c r="BG13" s="215"/>
      <c r="BH13" s="914"/>
      <c r="BI13" s="215"/>
      <c r="BJ13" s="914"/>
      <c r="BK13" s="215"/>
      <c r="BL13" s="914"/>
      <c r="BM13" s="215"/>
      <c r="BN13" s="1169">
        <f t="shared" si="0"/>
        <v>600</v>
      </c>
      <c r="BO13" s="491">
        <f t="shared" si="36"/>
        <v>4</v>
      </c>
      <c r="BP13" s="492">
        <v>18000</v>
      </c>
      <c r="BQ13" s="493">
        <f t="shared" si="2"/>
        <v>2400</v>
      </c>
      <c r="BR13" s="217">
        <f t="shared" si="3"/>
        <v>2400</v>
      </c>
      <c r="BS13" s="217"/>
      <c r="BT13" s="1170">
        <f t="shared" si="4"/>
        <v>0</v>
      </c>
      <c r="BU13" s="1261"/>
      <c r="BW13" s="1171">
        <f t="shared" si="5"/>
        <v>600</v>
      </c>
      <c r="BX13" s="1171">
        <f t="shared" si="6"/>
        <v>600</v>
      </c>
      <c r="BY13" s="1171">
        <f t="shared" si="7"/>
        <v>0</v>
      </c>
      <c r="BZ13" s="1171">
        <f t="shared" si="8"/>
        <v>0</v>
      </c>
      <c r="CA13" s="1171">
        <f t="shared" si="9"/>
        <v>600</v>
      </c>
      <c r="CB13" s="1171">
        <f t="shared" si="10"/>
        <v>0</v>
      </c>
      <c r="CC13" s="1171">
        <f t="shared" si="11"/>
        <v>600</v>
      </c>
      <c r="CD13" s="1171">
        <f t="shared" si="12"/>
        <v>0</v>
      </c>
      <c r="CE13" s="1171">
        <f t="shared" si="13"/>
        <v>0</v>
      </c>
      <c r="CF13" s="1171">
        <f t="shared" si="14"/>
        <v>0</v>
      </c>
      <c r="CG13" s="1171">
        <f t="shared" si="15"/>
        <v>0</v>
      </c>
      <c r="CH13" s="1171">
        <f t="shared" si="16"/>
        <v>0</v>
      </c>
      <c r="CI13" s="1171">
        <f t="shared" si="17"/>
        <v>0</v>
      </c>
      <c r="CJ13" s="1171">
        <f t="shared" si="18"/>
        <v>0</v>
      </c>
      <c r="CK13" s="1171">
        <f t="shared" si="19"/>
        <v>0</v>
      </c>
      <c r="CL13" s="1171">
        <f t="shared" si="20"/>
        <v>0</v>
      </c>
      <c r="CM13" s="1171">
        <f t="shared" si="21"/>
        <v>0</v>
      </c>
      <c r="CN13" s="1171">
        <f t="shared" si="22"/>
        <v>0</v>
      </c>
      <c r="CO13" s="1171">
        <f t="shared" si="23"/>
        <v>0</v>
      </c>
      <c r="CP13" s="1171">
        <f t="shared" si="24"/>
        <v>0</v>
      </c>
      <c r="CQ13" s="1171">
        <f t="shared" si="25"/>
        <v>0</v>
      </c>
      <c r="CR13" s="1171">
        <f t="shared" si="26"/>
        <v>0</v>
      </c>
      <c r="CS13" s="1171">
        <f t="shared" si="27"/>
        <v>0</v>
      </c>
      <c r="CT13" s="1171">
        <f t="shared" si="28"/>
        <v>0</v>
      </c>
      <c r="CU13" s="1171">
        <f t="shared" si="29"/>
        <v>0</v>
      </c>
      <c r="CV13" s="1171">
        <f t="shared" si="30"/>
        <v>0</v>
      </c>
      <c r="CW13" s="1171">
        <f t="shared" si="31"/>
        <v>0</v>
      </c>
      <c r="CX13" s="1171">
        <f t="shared" si="32"/>
        <v>0</v>
      </c>
      <c r="CY13" s="1171">
        <f t="shared" si="33"/>
        <v>0</v>
      </c>
      <c r="CZ13" s="1171">
        <f t="shared" si="34"/>
        <v>0</v>
      </c>
      <c r="DA13" s="1171">
        <f t="shared" si="35"/>
        <v>0</v>
      </c>
    </row>
    <row r="14" spans="1:106" ht="24.75" thickTop="1" thickBot="1">
      <c r="A14" t="s">
        <v>340</v>
      </c>
      <c r="B14" s="69">
        <v>10</v>
      </c>
      <c r="C14" s="1108" t="s">
        <v>359</v>
      </c>
      <c r="D14" s="914">
        <v>1</v>
      </c>
      <c r="E14" s="1172"/>
      <c r="F14" s="914"/>
      <c r="G14" s="1172"/>
      <c r="H14" s="914"/>
      <c r="I14" s="1173">
        <v>1000</v>
      </c>
      <c r="J14" s="1232"/>
      <c r="K14" s="1249"/>
      <c r="L14" s="914">
        <v>0</v>
      </c>
      <c r="M14" s="1172"/>
      <c r="N14" s="914">
        <v>0</v>
      </c>
      <c r="O14" s="1173"/>
      <c r="P14" s="914">
        <v>0</v>
      </c>
      <c r="Q14" s="1173"/>
      <c r="R14" s="914"/>
      <c r="S14" s="1173"/>
      <c r="T14" s="914"/>
      <c r="U14" s="1173"/>
      <c r="V14" s="914"/>
      <c r="W14" s="1173"/>
      <c r="X14" s="1232"/>
      <c r="Y14" s="1234"/>
      <c r="Z14" s="914">
        <v>0</v>
      </c>
      <c r="AA14" s="1173"/>
      <c r="AB14" s="914">
        <v>0</v>
      </c>
      <c r="AC14" s="1173"/>
      <c r="AD14" s="914">
        <v>0</v>
      </c>
      <c r="AE14" s="1173"/>
      <c r="AF14" s="914">
        <v>0</v>
      </c>
      <c r="AG14" s="1173"/>
      <c r="AH14" s="914"/>
      <c r="AI14" s="1173"/>
      <c r="AJ14" s="914">
        <v>0</v>
      </c>
      <c r="AK14" s="1173"/>
      <c r="AL14" s="1232"/>
      <c r="AM14" s="1234"/>
      <c r="AN14" s="914">
        <v>0</v>
      </c>
      <c r="AO14" s="1173"/>
      <c r="AP14" s="914">
        <v>0</v>
      </c>
      <c r="AQ14" s="1173"/>
      <c r="AR14" s="914"/>
      <c r="AS14" s="1173"/>
      <c r="AT14" s="914">
        <v>0</v>
      </c>
      <c r="AU14" s="1173"/>
      <c r="AV14" s="914">
        <v>0</v>
      </c>
      <c r="AW14" s="1173"/>
      <c r="AX14" s="914"/>
      <c r="AY14" s="1173"/>
      <c r="AZ14" s="1232"/>
      <c r="BA14" s="1234"/>
      <c r="BB14" s="914"/>
      <c r="BC14" s="1173"/>
      <c r="BD14" s="914">
        <v>0</v>
      </c>
      <c r="BE14" s="1173"/>
      <c r="BF14" s="914">
        <v>0</v>
      </c>
      <c r="BG14" s="1173"/>
      <c r="BH14" s="914"/>
      <c r="BI14" s="1173"/>
      <c r="BJ14" s="914"/>
      <c r="BK14" s="1173"/>
      <c r="BL14" s="914"/>
      <c r="BM14" s="1174"/>
      <c r="BN14" s="1169">
        <f t="shared" si="0"/>
        <v>500</v>
      </c>
      <c r="BO14" s="491">
        <f t="shared" si="36"/>
        <v>1</v>
      </c>
      <c r="BP14" s="492">
        <v>15000</v>
      </c>
      <c r="BQ14" s="493">
        <f t="shared" si="2"/>
        <v>500</v>
      </c>
      <c r="BR14" s="217">
        <f t="shared" si="3"/>
        <v>1000</v>
      </c>
      <c r="BS14" s="217"/>
      <c r="BT14" s="1170">
        <f t="shared" si="4"/>
        <v>-500</v>
      </c>
      <c r="BU14" s="1261"/>
      <c r="BW14" s="1171">
        <f t="shared" si="5"/>
        <v>500</v>
      </c>
      <c r="BX14" s="1171">
        <f t="shared" si="6"/>
        <v>0</v>
      </c>
      <c r="BY14" s="1171">
        <f t="shared" si="7"/>
        <v>0</v>
      </c>
      <c r="BZ14" s="1171">
        <f t="shared" si="8"/>
        <v>0</v>
      </c>
      <c r="CA14" s="1171">
        <f t="shared" si="9"/>
        <v>0</v>
      </c>
      <c r="CB14" s="1171">
        <f t="shared" si="10"/>
        <v>0</v>
      </c>
      <c r="CC14" s="1171">
        <f t="shared" si="11"/>
        <v>0</v>
      </c>
      <c r="CD14" s="1171">
        <f t="shared" si="12"/>
        <v>0</v>
      </c>
      <c r="CE14" s="1171">
        <f t="shared" si="13"/>
        <v>0</v>
      </c>
      <c r="CF14" s="1171">
        <f t="shared" si="14"/>
        <v>0</v>
      </c>
      <c r="CG14" s="1171">
        <f t="shared" si="15"/>
        <v>0</v>
      </c>
      <c r="CH14" s="1171">
        <f t="shared" si="16"/>
        <v>0</v>
      </c>
      <c r="CI14" s="1171">
        <f t="shared" si="17"/>
        <v>0</v>
      </c>
      <c r="CJ14" s="1171">
        <f t="shared" si="18"/>
        <v>0</v>
      </c>
      <c r="CK14" s="1171">
        <f t="shared" si="19"/>
        <v>0</v>
      </c>
      <c r="CL14" s="1171">
        <f t="shared" si="20"/>
        <v>0</v>
      </c>
      <c r="CM14" s="1171">
        <f t="shared" si="21"/>
        <v>0</v>
      </c>
      <c r="CN14" s="1171">
        <f t="shared" si="22"/>
        <v>0</v>
      </c>
      <c r="CO14" s="1171">
        <f t="shared" si="23"/>
        <v>0</v>
      </c>
      <c r="CP14" s="1171">
        <f t="shared" si="24"/>
        <v>0</v>
      </c>
      <c r="CQ14" s="1171">
        <f t="shared" si="25"/>
        <v>0</v>
      </c>
      <c r="CR14" s="1171">
        <f t="shared" si="26"/>
        <v>0</v>
      </c>
      <c r="CS14" s="1171">
        <f t="shared" si="27"/>
        <v>0</v>
      </c>
      <c r="CT14" s="1171">
        <f t="shared" si="28"/>
        <v>0</v>
      </c>
      <c r="CU14" s="1171">
        <f t="shared" si="29"/>
        <v>0</v>
      </c>
      <c r="CV14" s="1171">
        <f t="shared" si="30"/>
        <v>0</v>
      </c>
      <c r="CW14" s="1171">
        <f t="shared" si="31"/>
        <v>0</v>
      </c>
      <c r="CX14" s="1171">
        <f t="shared" si="32"/>
        <v>0</v>
      </c>
      <c r="CY14" s="1171">
        <f t="shared" si="33"/>
        <v>0</v>
      </c>
      <c r="CZ14" s="1171">
        <f t="shared" si="34"/>
        <v>0</v>
      </c>
      <c r="DA14" s="1171">
        <f t="shared" si="35"/>
        <v>0</v>
      </c>
    </row>
    <row r="15" spans="1:106" ht="24.75" thickTop="1" thickBot="1">
      <c r="B15" s="69">
        <v>11</v>
      </c>
      <c r="C15" s="1108" t="s">
        <v>422</v>
      </c>
      <c r="D15" s="914">
        <v>0</v>
      </c>
      <c r="E15" s="1172"/>
      <c r="F15" s="914">
        <v>0</v>
      </c>
      <c r="G15" s="1172"/>
      <c r="H15" s="914">
        <v>0</v>
      </c>
      <c r="I15" s="1173"/>
      <c r="J15" s="1232">
        <v>0</v>
      </c>
      <c r="K15" s="1249"/>
      <c r="L15" s="914">
        <v>1</v>
      </c>
      <c r="M15" s="1172"/>
      <c r="N15" s="914">
        <v>0</v>
      </c>
      <c r="O15" s="1173"/>
      <c r="P15" s="914">
        <v>1</v>
      </c>
      <c r="Q15" s="1173"/>
      <c r="R15" s="914">
        <v>1</v>
      </c>
      <c r="S15" s="1173"/>
      <c r="T15" s="914">
        <v>1</v>
      </c>
      <c r="U15" s="1173"/>
      <c r="V15" s="914">
        <v>1</v>
      </c>
      <c r="W15" s="1173">
        <v>3500</v>
      </c>
      <c r="X15" s="1232"/>
      <c r="Y15" s="1234"/>
      <c r="Z15" s="914">
        <v>1</v>
      </c>
      <c r="AA15" s="1173"/>
      <c r="AB15" s="914">
        <v>1</v>
      </c>
      <c r="AC15" s="1173"/>
      <c r="AD15" s="914">
        <v>1</v>
      </c>
      <c r="AE15" s="1173"/>
      <c r="AF15" s="914">
        <v>1</v>
      </c>
      <c r="AG15" s="1173"/>
      <c r="AH15" s="914">
        <v>1</v>
      </c>
      <c r="AI15" s="1173"/>
      <c r="AJ15" s="914">
        <v>1</v>
      </c>
      <c r="AK15" s="1173">
        <v>1000</v>
      </c>
      <c r="AL15" s="1232"/>
      <c r="AM15" s="1234"/>
      <c r="AN15" s="914">
        <v>1</v>
      </c>
      <c r="AO15" s="1173"/>
      <c r="AP15" s="914">
        <v>0</v>
      </c>
      <c r="AQ15" s="1173"/>
      <c r="AR15" s="914">
        <v>1</v>
      </c>
      <c r="AS15" s="1173"/>
      <c r="AT15" s="914">
        <v>1</v>
      </c>
      <c r="AU15" s="1173"/>
      <c r="AV15" s="914">
        <v>0</v>
      </c>
      <c r="AW15" s="1173"/>
      <c r="AX15" s="914">
        <v>1</v>
      </c>
      <c r="AY15" s="1173">
        <v>5000</v>
      </c>
      <c r="AZ15" s="1232"/>
      <c r="BA15" s="1234"/>
      <c r="BB15" s="914">
        <v>1</v>
      </c>
      <c r="BC15" s="1173"/>
      <c r="BD15" s="914">
        <v>1</v>
      </c>
      <c r="BE15" s="1173"/>
      <c r="BF15" s="914">
        <v>1</v>
      </c>
      <c r="BG15" s="1173">
        <v>3100</v>
      </c>
      <c r="BH15" s="914"/>
      <c r="BI15" s="1173"/>
      <c r="BJ15" s="914"/>
      <c r="BK15" s="1173"/>
      <c r="BL15" s="914"/>
      <c r="BM15" s="1174"/>
      <c r="BN15" s="1169">
        <f t="shared" si="0"/>
        <v>700</v>
      </c>
      <c r="BO15" s="491">
        <f t="shared" si="36"/>
        <v>18</v>
      </c>
      <c r="BP15" s="492">
        <v>21000</v>
      </c>
      <c r="BQ15" s="493">
        <f t="shared" si="2"/>
        <v>12600</v>
      </c>
      <c r="BR15" s="217">
        <f t="shared" si="3"/>
        <v>12600</v>
      </c>
      <c r="BS15" s="217"/>
      <c r="BT15" s="1170">
        <f t="shared" si="4"/>
        <v>0</v>
      </c>
      <c r="BU15" s="1261">
        <v>3100</v>
      </c>
      <c r="BW15" s="1171">
        <f t="shared" si="5"/>
        <v>0</v>
      </c>
      <c r="BX15" s="1171">
        <f t="shared" si="6"/>
        <v>0</v>
      </c>
      <c r="BY15" s="1171">
        <f t="shared" si="7"/>
        <v>0</v>
      </c>
      <c r="BZ15" s="1171">
        <f t="shared" si="8"/>
        <v>0</v>
      </c>
      <c r="CA15" s="1171">
        <f t="shared" si="9"/>
        <v>700</v>
      </c>
      <c r="CB15" s="1171">
        <f t="shared" si="10"/>
        <v>0</v>
      </c>
      <c r="CC15" s="1171">
        <f t="shared" si="11"/>
        <v>700</v>
      </c>
      <c r="CD15" s="1171">
        <f t="shared" si="12"/>
        <v>700</v>
      </c>
      <c r="CE15" s="1171">
        <f t="shared" si="13"/>
        <v>700</v>
      </c>
      <c r="CF15" s="1171">
        <f t="shared" si="14"/>
        <v>700</v>
      </c>
      <c r="CG15" s="1171">
        <f t="shared" si="15"/>
        <v>0</v>
      </c>
      <c r="CH15" s="1171">
        <f t="shared" si="16"/>
        <v>700</v>
      </c>
      <c r="CI15" s="1171">
        <f t="shared" si="17"/>
        <v>700</v>
      </c>
      <c r="CJ15" s="1171">
        <f t="shared" si="18"/>
        <v>700</v>
      </c>
      <c r="CK15" s="1171">
        <f t="shared" si="19"/>
        <v>700</v>
      </c>
      <c r="CL15" s="1171">
        <f t="shared" si="20"/>
        <v>700</v>
      </c>
      <c r="CM15" s="1171">
        <f t="shared" si="21"/>
        <v>700</v>
      </c>
      <c r="CN15" s="1171">
        <f t="shared" si="22"/>
        <v>0</v>
      </c>
      <c r="CO15" s="1171">
        <f t="shared" si="23"/>
        <v>700</v>
      </c>
      <c r="CP15" s="1171">
        <f t="shared" si="24"/>
        <v>0</v>
      </c>
      <c r="CQ15" s="1171">
        <f t="shared" si="25"/>
        <v>700</v>
      </c>
      <c r="CR15" s="1171">
        <f t="shared" si="26"/>
        <v>700</v>
      </c>
      <c r="CS15" s="1171">
        <f t="shared" si="27"/>
        <v>0</v>
      </c>
      <c r="CT15" s="1171">
        <f t="shared" si="28"/>
        <v>700</v>
      </c>
      <c r="CU15" s="1171">
        <f t="shared" si="29"/>
        <v>0</v>
      </c>
      <c r="CV15" s="1171">
        <f t="shared" si="30"/>
        <v>700</v>
      </c>
      <c r="CW15" s="1171">
        <f t="shared" si="31"/>
        <v>700</v>
      </c>
      <c r="CX15" s="1171">
        <f t="shared" si="32"/>
        <v>700</v>
      </c>
      <c r="CY15" s="1171">
        <f t="shared" si="33"/>
        <v>0</v>
      </c>
      <c r="CZ15" s="1171">
        <f t="shared" si="34"/>
        <v>0</v>
      </c>
      <c r="DA15" s="1171">
        <f t="shared" si="35"/>
        <v>0</v>
      </c>
    </row>
    <row r="16" spans="1:106" ht="24.75" thickTop="1" thickBot="1">
      <c r="B16" s="69">
        <v>12</v>
      </c>
      <c r="C16" s="1108"/>
      <c r="D16" s="914"/>
      <c r="E16" s="1172"/>
      <c r="F16" s="914"/>
      <c r="G16" s="1172"/>
      <c r="H16" s="914"/>
      <c r="I16" s="1173"/>
      <c r="J16" s="1232"/>
      <c r="K16" s="1249"/>
      <c r="L16" s="914"/>
      <c r="M16" s="1172"/>
      <c r="N16" s="914">
        <v>0</v>
      </c>
      <c r="O16" s="1173"/>
      <c r="P16" s="914"/>
      <c r="Q16" s="1173"/>
      <c r="R16" s="914"/>
      <c r="S16" s="1173"/>
      <c r="T16" s="914"/>
      <c r="U16" s="1173"/>
      <c r="V16" s="914"/>
      <c r="W16" s="1173"/>
      <c r="X16" s="1232"/>
      <c r="Y16" s="1234"/>
      <c r="Z16" s="914"/>
      <c r="AA16" s="1173"/>
      <c r="AB16" s="914"/>
      <c r="AC16" s="1173"/>
      <c r="AD16" s="914"/>
      <c r="AE16" s="1173"/>
      <c r="AF16" s="914"/>
      <c r="AG16" s="1173"/>
      <c r="AH16" s="914"/>
      <c r="AI16" s="1173"/>
      <c r="AJ16" s="914"/>
      <c r="AK16" s="1173"/>
      <c r="AL16" s="1232"/>
      <c r="AM16" s="1234"/>
      <c r="AN16" s="914"/>
      <c r="AO16" s="1173"/>
      <c r="AP16" s="914"/>
      <c r="AQ16" s="1173"/>
      <c r="AR16" s="914"/>
      <c r="AS16" s="1173"/>
      <c r="AT16" s="914">
        <v>0</v>
      </c>
      <c r="AU16" s="1173"/>
      <c r="AV16" s="914"/>
      <c r="AW16" s="1173"/>
      <c r="AX16" s="914"/>
      <c r="AY16" s="1173"/>
      <c r="AZ16" s="1232"/>
      <c r="BA16" s="1234"/>
      <c r="BB16" s="914"/>
      <c r="BC16" s="1173"/>
      <c r="BD16" s="914">
        <v>0</v>
      </c>
      <c r="BE16" s="1173"/>
      <c r="BF16" s="914">
        <v>0</v>
      </c>
      <c r="BG16" s="1173"/>
      <c r="BH16" s="914"/>
      <c r="BI16" s="1173"/>
      <c r="BJ16" s="914"/>
      <c r="BK16" s="1173"/>
      <c r="BL16" s="914"/>
      <c r="BM16" s="1174"/>
      <c r="BN16" s="1169">
        <f t="shared" si="0"/>
        <v>0</v>
      </c>
      <c r="BO16" s="491">
        <f t="shared" si="36"/>
        <v>0</v>
      </c>
      <c r="BP16" s="492">
        <v>0</v>
      </c>
      <c r="BQ16" s="493">
        <f t="shared" si="2"/>
        <v>0</v>
      </c>
      <c r="BR16" s="217">
        <f t="shared" si="3"/>
        <v>0</v>
      </c>
      <c r="BS16" s="217"/>
      <c r="BT16" s="1170">
        <f t="shared" si="4"/>
        <v>0</v>
      </c>
      <c r="BU16" s="1261"/>
      <c r="BW16" s="1171">
        <f t="shared" si="5"/>
        <v>0</v>
      </c>
      <c r="BX16" s="1171">
        <f t="shared" si="6"/>
        <v>0</v>
      </c>
      <c r="BY16" s="1171">
        <f t="shared" si="7"/>
        <v>0</v>
      </c>
      <c r="BZ16" s="1171">
        <f t="shared" si="8"/>
        <v>0</v>
      </c>
      <c r="CA16" s="1171">
        <f t="shared" si="9"/>
        <v>0</v>
      </c>
      <c r="CB16" s="1171">
        <f t="shared" si="10"/>
        <v>0</v>
      </c>
      <c r="CC16" s="1171">
        <f t="shared" si="11"/>
        <v>0</v>
      </c>
      <c r="CD16" s="1171">
        <f t="shared" si="12"/>
        <v>0</v>
      </c>
      <c r="CE16" s="1171">
        <f t="shared" si="13"/>
        <v>0</v>
      </c>
      <c r="CF16" s="1171">
        <f t="shared" si="14"/>
        <v>0</v>
      </c>
      <c r="CG16" s="1171">
        <f t="shared" si="15"/>
        <v>0</v>
      </c>
      <c r="CH16" s="1171">
        <f t="shared" si="16"/>
        <v>0</v>
      </c>
      <c r="CI16" s="1171">
        <f t="shared" si="17"/>
        <v>0</v>
      </c>
      <c r="CJ16" s="1171">
        <f t="shared" si="18"/>
        <v>0</v>
      </c>
      <c r="CK16" s="1171">
        <f t="shared" si="19"/>
        <v>0</v>
      </c>
      <c r="CL16" s="1171">
        <f t="shared" si="20"/>
        <v>0</v>
      </c>
      <c r="CM16" s="1171">
        <f t="shared" si="21"/>
        <v>0</v>
      </c>
      <c r="CN16" s="1171">
        <f t="shared" si="22"/>
        <v>0</v>
      </c>
      <c r="CO16" s="1171">
        <f t="shared" si="23"/>
        <v>0</v>
      </c>
      <c r="CP16" s="1171">
        <f t="shared" si="24"/>
        <v>0</v>
      </c>
      <c r="CQ16" s="1171">
        <f t="shared" si="25"/>
        <v>0</v>
      </c>
      <c r="CR16" s="1171">
        <f t="shared" si="26"/>
        <v>0</v>
      </c>
      <c r="CS16" s="1171">
        <f t="shared" si="27"/>
        <v>0</v>
      </c>
      <c r="CT16" s="1171">
        <f t="shared" si="28"/>
        <v>0</v>
      </c>
      <c r="CU16" s="1171">
        <f t="shared" si="29"/>
        <v>0</v>
      </c>
      <c r="CV16" s="1171">
        <f t="shared" si="30"/>
        <v>0</v>
      </c>
      <c r="CW16" s="1171">
        <f t="shared" si="31"/>
        <v>0</v>
      </c>
      <c r="CX16" s="1171">
        <f t="shared" si="32"/>
        <v>0</v>
      </c>
      <c r="CY16" s="1171">
        <f t="shared" si="33"/>
        <v>0</v>
      </c>
      <c r="CZ16" s="1171">
        <f t="shared" si="34"/>
        <v>0</v>
      </c>
      <c r="DA16" s="1171">
        <f t="shared" si="35"/>
        <v>0</v>
      </c>
    </row>
    <row r="17" spans="1:105" ht="24.75" thickTop="1" thickBot="1">
      <c r="B17" s="69"/>
      <c r="C17" s="1176" t="s">
        <v>355</v>
      </c>
      <c r="D17" s="914"/>
      <c r="E17" s="1172"/>
      <c r="F17" s="914"/>
      <c r="G17" s="1172"/>
      <c r="H17" s="914"/>
      <c r="I17" s="1173"/>
      <c r="J17" s="1232"/>
      <c r="K17" s="1249"/>
      <c r="L17" s="914"/>
      <c r="M17" s="1172"/>
      <c r="N17" s="914">
        <v>0</v>
      </c>
      <c r="O17" s="1173"/>
      <c r="P17" s="914"/>
      <c r="Q17" s="1173"/>
      <c r="R17" s="914"/>
      <c r="S17" s="1173"/>
      <c r="T17" s="914"/>
      <c r="U17" s="1173"/>
      <c r="V17" s="914"/>
      <c r="W17" s="1173"/>
      <c r="X17" s="1232"/>
      <c r="Y17" s="1234"/>
      <c r="Z17" s="914"/>
      <c r="AA17" s="1173"/>
      <c r="AB17" s="914"/>
      <c r="AC17" s="1173"/>
      <c r="AD17" s="914"/>
      <c r="AE17" s="1173"/>
      <c r="AF17" s="914"/>
      <c r="AG17" s="1173"/>
      <c r="AH17" s="914"/>
      <c r="AI17" s="1173"/>
      <c r="AJ17" s="914"/>
      <c r="AK17" s="1173"/>
      <c r="AL17" s="1232"/>
      <c r="AM17" s="1234"/>
      <c r="AN17" s="914"/>
      <c r="AO17" s="1173"/>
      <c r="AP17" s="914"/>
      <c r="AQ17" s="1173"/>
      <c r="AR17" s="914"/>
      <c r="AS17" s="1173"/>
      <c r="AT17" s="914">
        <v>0</v>
      </c>
      <c r="AU17" s="1173"/>
      <c r="AV17" s="914"/>
      <c r="AW17" s="1173"/>
      <c r="AX17" s="914"/>
      <c r="AY17" s="1173"/>
      <c r="AZ17" s="1232"/>
      <c r="BA17" s="1234"/>
      <c r="BB17" s="914"/>
      <c r="BC17" s="1173"/>
      <c r="BD17" s="914">
        <v>0</v>
      </c>
      <c r="BE17" s="1173"/>
      <c r="BF17" s="914"/>
      <c r="BG17" s="1173"/>
      <c r="BH17" s="914"/>
      <c r="BI17" s="1173"/>
      <c r="BJ17" s="914"/>
      <c r="BK17" s="1173"/>
      <c r="BL17" s="914"/>
      <c r="BM17" s="1174"/>
      <c r="BN17" s="1169"/>
      <c r="BO17" s="213">
        <f t="shared" si="36"/>
        <v>0</v>
      </c>
      <c r="BP17" s="492"/>
      <c r="BQ17" s="493">
        <f t="shared" si="2"/>
        <v>0</v>
      </c>
      <c r="BR17" s="217">
        <f t="shared" si="3"/>
        <v>0</v>
      </c>
      <c r="BS17" s="217"/>
      <c r="BT17" s="1170">
        <f t="shared" si="4"/>
        <v>0</v>
      </c>
      <c r="BU17" s="1261"/>
      <c r="BW17" s="1171">
        <f t="shared" si="5"/>
        <v>0</v>
      </c>
      <c r="BX17" s="1171">
        <f t="shared" si="6"/>
        <v>0</v>
      </c>
      <c r="BY17" s="1171">
        <f t="shared" si="7"/>
        <v>0</v>
      </c>
      <c r="BZ17" s="1171">
        <f t="shared" si="8"/>
        <v>0</v>
      </c>
      <c r="CA17" s="1171">
        <f t="shared" si="9"/>
        <v>0</v>
      </c>
      <c r="CB17" s="1171">
        <f t="shared" si="10"/>
        <v>0</v>
      </c>
      <c r="CC17" s="1171">
        <f t="shared" si="11"/>
        <v>0</v>
      </c>
      <c r="CD17" s="1171">
        <f t="shared" si="12"/>
        <v>0</v>
      </c>
      <c r="CE17" s="1171">
        <f t="shared" si="13"/>
        <v>0</v>
      </c>
      <c r="CF17" s="1171">
        <f t="shared" si="14"/>
        <v>0</v>
      </c>
      <c r="CG17" s="1171">
        <f t="shared" si="15"/>
        <v>0</v>
      </c>
      <c r="CH17" s="1171">
        <f t="shared" si="16"/>
        <v>0</v>
      </c>
      <c r="CI17" s="1171">
        <f t="shared" si="17"/>
        <v>0</v>
      </c>
      <c r="CJ17" s="1171">
        <f t="shared" si="18"/>
        <v>0</v>
      </c>
      <c r="CK17" s="1171">
        <f t="shared" si="19"/>
        <v>0</v>
      </c>
      <c r="CL17" s="1171">
        <f t="shared" si="20"/>
        <v>0</v>
      </c>
      <c r="CM17" s="1171">
        <f t="shared" si="21"/>
        <v>0</v>
      </c>
      <c r="CN17" s="1171">
        <f t="shared" si="22"/>
        <v>0</v>
      </c>
      <c r="CO17" s="1171">
        <f t="shared" si="23"/>
        <v>0</v>
      </c>
      <c r="CP17" s="1171">
        <f t="shared" si="24"/>
        <v>0</v>
      </c>
      <c r="CQ17" s="1171">
        <f t="shared" si="25"/>
        <v>0</v>
      </c>
      <c r="CR17" s="1171">
        <f t="shared" si="26"/>
        <v>0</v>
      </c>
      <c r="CS17" s="1171">
        <f t="shared" si="27"/>
        <v>0</v>
      </c>
      <c r="CT17" s="1171">
        <f t="shared" si="28"/>
        <v>0</v>
      </c>
      <c r="CU17" s="1171">
        <f t="shared" si="29"/>
        <v>0</v>
      </c>
      <c r="CV17" s="1171">
        <f t="shared" si="30"/>
        <v>0</v>
      </c>
      <c r="CW17" s="1171">
        <f t="shared" si="31"/>
        <v>0</v>
      </c>
      <c r="CX17" s="1171">
        <f t="shared" si="32"/>
        <v>0</v>
      </c>
      <c r="CY17" s="1171">
        <f t="shared" si="33"/>
        <v>0</v>
      </c>
      <c r="CZ17" s="1171">
        <f t="shared" si="34"/>
        <v>0</v>
      </c>
      <c r="DA17" s="1171">
        <f t="shared" si="35"/>
        <v>0</v>
      </c>
    </row>
    <row r="18" spans="1:105" ht="24.75" thickTop="1" thickBot="1">
      <c r="A18" t="s">
        <v>341</v>
      </c>
      <c r="B18" s="69">
        <v>13</v>
      </c>
      <c r="C18" s="1175" t="s">
        <v>360</v>
      </c>
      <c r="D18" s="914">
        <v>1</v>
      </c>
      <c r="E18" s="1177"/>
      <c r="F18" s="914">
        <v>1</v>
      </c>
      <c r="G18" s="1177"/>
      <c r="H18" s="914">
        <v>1</v>
      </c>
      <c r="I18" s="1223">
        <v>500</v>
      </c>
      <c r="J18" s="1232">
        <v>1</v>
      </c>
      <c r="K18" s="1250"/>
      <c r="L18" s="914">
        <v>1</v>
      </c>
      <c r="M18" s="1177"/>
      <c r="N18" s="914">
        <v>1</v>
      </c>
      <c r="O18" s="1223"/>
      <c r="P18" s="914">
        <v>1</v>
      </c>
      <c r="Q18" s="1223"/>
      <c r="R18" s="914">
        <v>1</v>
      </c>
      <c r="S18" s="1223"/>
      <c r="T18" s="914">
        <v>1</v>
      </c>
      <c r="U18" s="1223"/>
      <c r="V18" s="914">
        <v>1</v>
      </c>
      <c r="W18" s="1223">
        <v>10000</v>
      </c>
      <c r="X18" s="1232">
        <v>1</v>
      </c>
      <c r="Y18" s="1235"/>
      <c r="Z18" s="914">
        <v>1</v>
      </c>
      <c r="AA18" s="1223"/>
      <c r="AB18" s="914">
        <v>1</v>
      </c>
      <c r="AC18" s="1223"/>
      <c r="AD18" s="914">
        <v>1</v>
      </c>
      <c r="AE18" s="1223"/>
      <c r="AF18" s="914">
        <v>1</v>
      </c>
      <c r="AG18" s="1223"/>
      <c r="AH18" s="914">
        <v>1</v>
      </c>
      <c r="AI18" s="1223"/>
      <c r="AJ18" s="914">
        <v>1</v>
      </c>
      <c r="AK18" s="1223">
        <v>700</v>
      </c>
      <c r="AL18" s="1232">
        <v>1</v>
      </c>
      <c r="AM18" s="1235"/>
      <c r="AN18" s="914">
        <v>1</v>
      </c>
      <c r="AO18" s="1223"/>
      <c r="AP18" s="914">
        <v>1</v>
      </c>
      <c r="AQ18" s="1223"/>
      <c r="AR18" s="914">
        <v>1</v>
      </c>
      <c r="AS18" s="1223"/>
      <c r="AT18" s="914">
        <v>1</v>
      </c>
      <c r="AU18" s="1223"/>
      <c r="AV18" s="914">
        <v>1</v>
      </c>
      <c r="AW18" s="1223"/>
      <c r="AX18" s="914">
        <v>1</v>
      </c>
      <c r="AY18" s="1223">
        <v>600</v>
      </c>
      <c r="AZ18" s="1232">
        <v>1</v>
      </c>
      <c r="BA18" s="1235"/>
      <c r="BB18" s="914">
        <v>1</v>
      </c>
      <c r="BC18" s="1223"/>
      <c r="BD18" s="914">
        <v>1</v>
      </c>
      <c r="BE18" s="1223"/>
      <c r="BF18" s="914">
        <v>1</v>
      </c>
      <c r="BG18" s="1223">
        <v>5000</v>
      </c>
      <c r="BH18" s="914">
        <v>1</v>
      </c>
      <c r="BI18" s="1223"/>
      <c r="BJ18" s="914">
        <v>1</v>
      </c>
      <c r="BK18" s="1223"/>
      <c r="BL18" s="914"/>
      <c r="BM18" s="1243"/>
      <c r="BN18" s="1169">
        <f t="shared" si="0"/>
        <v>700</v>
      </c>
      <c r="BO18" s="1178">
        <f t="shared" si="36"/>
        <v>30</v>
      </c>
      <c r="BP18" s="494">
        <v>21000</v>
      </c>
      <c r="BQ18" s="493">
        <f t="shared" si="2"/>
        <v>21000</v>
      </c>
      <c r="BR18" s="219">
        <f t="shared" si="3"/>
        <v>16800</v>
      </c>
      <c r="BS18" s="219">
        <v>4200</v>
      </c>
      <c r="BT18" s="1170">
        <f t="shared" si="4"/>
        <v>0</v>
      </c>
      <c r="BU18" s="1261">
        <v>5000</v>
      </c>
      <c r="BW18" s="1171">
        <f t="shared" si="5"/>
        <v>700</v>
      </c>
      <c r="BX18" s="1171">
        <f t="shared" si="6"/>
        <v>700</v>
      </c>
      <c r="BY18" s="1171">
        <f t="shared" si="7"/>
        <v>700</v>
      </c>
      <c r="BZ18" s="1171">
        <f t="shared" si="8"/>
        <v>700</v>
      </c>
      <c r="CA18" s="1171">
        <f t="shared" si="9"/>
        <v>700</v>
      </c>
      <c r="CB18" s="1171">
        <f t="shared" si="10"/>
        <v>700</v>
      </c>
      <c r="CC18" s="1171">
        <f t="shared" si="11"/>
        <v>700</v>
      </c>
      <c r="CD18" s="1171">
        <f t="shared" si="12"/>
        <v>700</v>
      </c>
      <c r="CE18" s="1171">
        <f t="shared" si="13"/>
        <v>700</v>
      </c>
      <c r="CF18" s="1171">
        <f t="shared" si="14"/>
        <v>700</v>
      </c>
      <c r="CG18" s="1171">
        <f t="shared" si="15"/>
        <v>700</v>
      </c>
      <c r="CH18" s="1171">
        <f t="shared" si="16"/>
        <v>700</v>
      </c>
      <c r="CI18" s="1171">
        <f t="shared" si="17"/>
        <v>700</v>
      </c>
      <c r="CJ18" s="1171">
        <f t="shared" si="18"/>
        <v>700</v>
      </c>
      <c r="CK18" s="1171">
        <f t="shared" si="19"/>
        <v>700</v>
      </c>
      <c r="CL18" s="1171">
        <f t="shared" si="20"/>
        <v>700</v>
      </c>
      <c r="CM18" s="1171">
        <f t="shared" si="21"/>
        <v>700</v>
      </c>
      <c r="CN18" s="1171">
        <f t="shared" si="22"/>
        <v>700</v>
      </c>
      <c r="CO18" s="1171">
        <f t="shared" si="23"/>
        <v>700</v>
      </c>
      <c r="CP18" s="1171">
        <f t="shared" si="24"/>
        <v>700</v>
      </c>
      <c r="CQ18" s="1171">
        <f t="shared" si="25"/>
        <v>700</v>
      </c>
      <c r="CR18" s="1171">
        <f t="shared" si="26"/>
        <v>700</v>
      </c>
      <c r="CS18" s="1171">
        <f t="shared" si="27"/>
        <v>700</v>
      </c>
      <c r="CT18" s="1171">
        <f t="shared" si="28"/>
        <v>700</v>
      </c>
      <c r="CU18" s="1171">
        <f t="shared" si="29"/>
        <v>700</v>
      </c>
      <c r="CV18" s="1171">
        <f t="shared" si="30"/>
        <v>700</v>
      </c>
      <c r="CW18" s="1171">
        <f t="shared" si="31"/>
        <v>700</v>
      </c>
      <c r="CX18" s="1171">
        <f t="shared" si="32"/>
        <v>700</v>
      </c>
      <c r="CY18" s="1171">
        <f t="shared" si="33"/>
        <v>700</v>
      </c>
      <c r="CZ18" s="1171">
        <f t="shared" si="34"/>
        <v>700</v>
      </c>
      <c r="DA18" s="1171">
        <f t="shared" si="35"/>
        <v>0</v>
      </c>
    </row>
    <row r="19" spans="1:105" ht="24.75" thickTop="1" thickBot="1">
      <c r="A19" t="s">
        <v>341</v>
      </c>
      <c r="B19" s="69">
        <v>14</v>
      </c>
      <c r="C19" s="1175" t="s">
        <v>417</v>
      </c>
      <c r="D19" s="914">
        <v>1</v>
      </c>
      <c r="E19" s="1172"/>
      <c r="F19" s="914">
        <v>1</v>
      </c>
      <c r="G19" s="1172"/>
      <c r="H19" s="914">
        <v>0</v>
      </c>
      <c r="I19" s="1173"/>
      <c r="J19" s="1232">
        <v>0</v>
      </c>
      <c r="K19" s="1249"/>
      <c r="L19" s="914">
        <v>1</v>
      </c>
      <c r="M19" s="1172"/>
      <c r="N19" s="914">
        <v>0</v>
      </c>
      <c r="O19" s="1173"/>
      <c r="P19" s="914">
        <v>1</v>
      </c>
      <c r="Q19" s="1173"/>
      <c r="R19" s="914">
        <v>1</v>
      </c>
      <c r="S19" s="1173"/>
      <c r="T19" s="914">
        <v>1</v>
      </c>
      <c r="U19" s="1173"/>
      <c r="V19" s="914">
        <v>1</v>
      </c>
      <c r="W19" s="1173">
        <v>500</v>
      </c>
      <c r="X19" s="1232"/>
      <c r="Y19" s="1234"/>
      <c r="Z19" s="914">
        <v>1</v>
      </c>
      <c r="AA19" s="1173"/>
      <c r="AB19" s="914">
        <v>1</v>
      </c>
      <c r="AC19" s="1173"/>
      <c r="AD19" s="914">
        <v>1</v>
      </c>
      <c r="AE19" s="1173"/>
      <c r="AF19" s="914">
        <v>1</v>
      </c>
      <c r="AG19" s="1173"/>
      <c r="AH19" s="914">
        <v>1</v>
      </c>
      <c r="AI19" s="1173"/>
      <c r="AJ19" s="914">
        <v>0</v>
      </c>
      <c r="AK19" s="1173">
        <v>7900</v>
      </c>
      <c r="AL19" s="1232"/>
      <c r="AM19" s="1234"/>
      <c r="AN19" s="914">
        <v>0</v>
      </c>
      <c r="AO19" s="1173"/>
      <c r="AP19" s="914">
        <v>0</v>
      </c>
      <c r="AQ19" s="1173"/>
      <c r="AR19" s="914"/>
      <c r="AS19" s="1173"/>
      <c r="AT19" s="914">
        <v>0</v>
      </c>
      <c r="AU19" s="1173"/>
      <c r="AV19" s="914">
        <v>0</v>
      </c>
      <c r="AW19" s="1173"/>
      <c r="AX19" s="914"/>
      <c r="AY19" s="1173"/>
      <c r="AZ19" s="1232"/>
      <c r="BA19" s="1234"/>
      <c r="BB19" s="914"/>
      <c r="BC19" s="1173"/>
      <c r="BD19" s="914">
        <v>0</v>
      </c>
      <c r="BE19" s="1173"/>
      <c r="BF19" s="914">
        <v>0</v>
      </c>
      <c r="BG19" s="1173"/>
      <c r="BH19" s="914"/>
      <c r="BI19" s="1173"/>
      <c r="BJ19" s="914"/>
      <c r="BK19" s="1173"/>
      <c r="BL19" s="914"/>
      <c r="BM19" s="1174"/>
      <c r="BN19" s="1169">
        <f t="shared" si="0"/>
        <v>700</v>
      </c>
      <c r="BO19" s="213">
        <f t="shared" si="36"/>
        <v>12</v>
      </c>
      <c r="BP19" s="492">
        <v>21000</v>
      </c>
      <c r="BQ19" s="493">
        <f t="shared" si="2"/>
        <v>8400</v>
      </c>
      <c r="BR19" s="217">
        <f t="shared" si="3"/>
        <v>8400</v>
      </c>
      <c r="BS19" s="217"/>
      <c r="BT19" s="1170">
        <f t="shared" si="4"/>
        <v>0</v>
      </c>
      <c r="BU19" s="1261"/>
      <c r="BW19" s="1171">
        <f t="shared" si="5"/>
        <v>700</v>
      </c>
      <c r="BX19" s="1171">
        <f t="shared" si="6"/>
        <v>700</v>
      </c>
      <c r="BY19" s="1171">
        <f t="shared" si="7"/>
        <v>0</v>
      </c>
      <c r="BZ19" s="1171">
        <f t="shared" si="8"/>
        <v>0</v>
      </c>
      <c r="CA19" s="1171">
        <f t="shared" si="9"/>
        <v>700</v>
      </c>
      <c r="CB19" s="1171">
        <f t="shared" si="10"/>
        <v>0</v>
      </c>
      <c r="CC19" s="1171">
        <f t="shared" si="11"/>
        <v>700</v>
      </c>
      <c r="CD19" s="1171">
        <f t="shared" si="12"/>
        <v>700</v>
      </c>
      <c r="CE19" s="1171">
        <f t="shared" si="13"/>
        <v>700</v>
      </c>
      <c r="CF19" s="1171">
        <f t="shared" si="14"/>
        <v>700</v>
      </c>
      <c r="CG19" s="1171">
        <f t="shared" si="15"/>
        <v>0</v>
      </c>
      <c r="CH19" s="1171">
        <f t="shared" si="16"/>
        <v>700</v>
      </c>
      <c r="CI19" s="1171">
        <f t="shared" si="17"/>
        <v>700</v>
      </c>
      <c r="CJ19" s="1171">
        <f t="shared" si="18"/>
        <v>700</v>
      </c>
      <c r="CK19" s="1171">
        <f t="shared" si="19"/>
        <v>700</v>
      </c>
      <c r="CL19" s="1171">
        <f t="shared" si="20"/>
        <v>700</v>
      </c>
      <c r="CM19" s="1171">
        <f t="shared" si="21"/>
        <v>0</v>
      </c>
      <c r="CN19" s="1171">
        <f t="shared" si="22"/>
        <v>0</v>
      </c>
      <c r="CO19" s="1171">
        <f t="shared" si="23"/>
        <v>0</v>
      </c>
      <c r="CP19" s="1171">
        <f t="shared" si="24"/>
        <v>0</v>
      </c>
      <c r="CQ19" s="1171">
        <f t="shared" si="25"/>
        <v>0</v>
      </c>
      <c r="CR19" s="1171">
        <f t="shared" si="26"/>
        <v>0</v>
      </c>
      <c r="CS19" s="1171">
        <f t="shared" si="27"/>
        <v>0</v>
      </c>
      <c r="CT19" s="1171">
        <f t="shared" si="28"/>
        <v>0</v>
      </c>
      <c r="CU19" s="1171">
        <f t="shared" si="29"/>
        <v>0</v>
      </c>
      <c r="CV19" s="1171">
        <f t="shared" si="30"/>
        <v>0</v>
      </c>
      <c r="CW19" s="1171">
        <f t="shared" si="31"/>
        <v>0</v>
      </c>
      <c r="CX19" s="1171">
        <f t="shared" si="32"/>
        <v>0</v>
      </c>
      <c r="CY19" s="1171">
        <f t="shared" si="33"/>
        <v>0</v>
      </c>
      <c r="CZ19" s="1171">
        <f t="shared" si="34"/>
        <v>0</v>
      </c>
      <c r="DA19" s="1171">
        <f t="shared" si="35"/>
        <v>0</v>
      </c>
    </row>
    <row r="20" spans="1:105" ht="24.75" thickTop="1" thickBot="1">
      <c r="A20" t="s">
        <v>341</v>
      </c>
      <c r="B20" s="69">
        <v>15</v>
      </c>
      <c r="C20" s="1108" t="s">
        <v>416</v>
      </c>
      <c r="D20" s="914">
        <v>1</v>
      </c>
      <c r="E20" s="1168"/>
      <c r="F20" s="914">
        <v>1</v>
      </c>
      <c r="G20" s="1168"/>
      <c r="H20" s="914">
        <v>0</v>
      </c>
      <c r="I20" s="215"/>
      <c r="J20" s="1232">
        <v>0</v>
      </c>
      <c r="K20" s="1248"/>
      <c r="L20" s="914">
        <v>1</v>
      </c>
      <c r="M20" s="1168"/>
      <c r="N20" s="914">
        <v>0</v>
      </c>
      <c r="O20" s="215"/>
      <c r="P20" s="914">
        <v>1</v>
      </c>
      <c r="Q20" s="215"/>
      <c r="R20" s="914">
        <v>1</v>
      </c>
      <c r="S20" s="215"/>
      <c r="T20" s="914">
        <v>1</v>
      </c>
      <c r="U20" s="215"/>
      <c r="V20" s="914">
        <v>1</v>
      </c>
      <c r="W20" s="215">
        <v>500</v>
      </c>
      <c r="X20" s="1232"/>
      <c r="Y20" s="1233"/>
      <c r="Z20" s="914">
        <v>1</v>
      </c>
      <c r="AA20" s="215"/>
      <c r="AB20" s="914">
        <v>1</v>
      </c>
      <c r="AC20" s="215"/>
      <c r="AD20" s="914">
        <v>1</v>
      </c>
      <c r="AE20" s="215"/>
      <c r="AF20" s="914">
        <v>1</v>
      </c>
      <c r="AG20" s="215"/>
      <c r="AH20" s="914">
        <v>1</v>
      </c>
      <c r="AI20" s="215"/>
      <c r="AJ20" s="914">
        <v>0</v>
      </c>
      <c r="AK20" s="215">
        <v>7900</v>
      </c>
      <c r="AL20" s="1232"/>
      <c r="AM20" s="1233"/>
      <c r="AN20" s="914">
        <v>0</v>
      </c>
      <c r="AO20" s="215"/>
      <c r="AP20" s="914">
        <v>0</v>
      </c>
      <c r="AQ20" s="215"/>
      <c r="AR20" s="914"/>
      <c r="AS20" s="215"/>
      <c r="AT20" s="914">
        <v>0</v>
      </c>
      <c r="AU20" s="215"/>
      <c r="AV20" s="914">
        <v>0</v>
      </c>
      <c r="AW20" s="215"/>
      <c r="AX20" s="914"/>
      <c r="AY20" s="215"/>
      <c r="AZ20" s="1232"/>
      <c r="BA20" s="1233"/>
      <c r="BB20" s="914"/>
      <c r="BC20" s="215"/>
      <c r="BD20" s="914">
        <v>0</v>
      </c>
      <c r="BE20" s="215"/>
      <c r="BF20" s="914">
        <v>0</v>
      </c>
      <c r="BG20" s="215"/>
      <c r="BH20" s="914"/>
      <c r="BI20" s="215"/>
      <c r="BJ20" s="914"/>
      <c r="BK20" s="215"/>
      <c r="BL20" s="914"/>
      <c r="BM20" s="215"/>
      <c r="BN20" s="1169">
        <f t="shared" si="0"/>
        <v>700</v>
      </c>
      <c r="BO20" s="491">
        <f t="shared" si="36"/>
        <v>12</v>
      </c>
      <c r="BP20" s="492">
        <v>21000</v>
      </c>
      <c r="BQ20" s="493">
        <f t="shared" si="2"/>
        <v>8400</v>
      </c>
      <c r="BR20" s="217">
        <f t="shared" si="3"/>
        <v>8400</v>
      </c>
      <c r="BS20" s="217"/>
      <c r="BT20" s="1170">
        <f t="shared" si="4"/>
        <v>0</v>
      </c>
      <c r="BU20" s="1261">
        <v>0</v>
      </c>
      <c r="BW20" s="1171">
        <f t="shared" si="5"/>
        <v>700</v>
      </c>
      <c r="BX20" s="1171">
        <f t="shared" si="6"/>
        <v>700</v>
      </c>
      <c r="BY20" s="1171">
        <f t="shared" si="7"/>
        <v>0</v>
      </c>
      <c r="BZ20" s="1171">
        <f t="shared" si="8"/>
        <v>0</v>
      </c>
      <c r="CA20" s="1171">
        <f t="shared" si="9"/>
        <v>700</v>
      </c>
      <c r="CB20" s="1171">
        <f t="shared" si="10"/>
        <v>0</v>
      </c>
      <c r="CC20" s="1171">
        <f t="shared" si="11"/>
        <v>700</v>
      </c>
      <c r="CD20" s="1171">
        <f t="shared" si="12"/>
        <v>700</v>
      </c>
      <c r="CE20" s="1171">
        <f t="shared" si="13"/>
        <v>700</v>
      </c>
      <c r="CF20" s="1171">
        <f t="shared" si="14"/>
        <v>700</v>
      </c>
      <c r="CG20" s="1171">
        <f t="shared" si="15"/>
        <v>0</v>
      </c>
      <c r="CH20" s="1171">
        <f t="shared" si="16"/>
        <v>700</v>
      </c>
      <c r="CI20" s="1171">
        <f t="shared" si="17"/>
        <v>700</v>
      </c>
      <c r="CJ20" s="1171">
        <f t="shared" si="18"/>
        <v>700</v>
      </c>
      <c r="CK20" s="1171">
        <f t="shared" si="19"/>
        <v>700</v>
      </c>
      <c r="CL20" s="1171">
        <f t="shared" si="20"/>
        <v>700</v>
      </c>
      <c r="CM20" s="1171">
        <f t="shared" si="21"/>
        <v>0</v>
      </c>
      <c r="CN20" s="1171">
        <f t="shared" si="22"/>
        <v>0</v>
      </c>
      <c r="CO20" s="1171">
        <f t="shared" si="23"/>
        <v>0</v>
      </c>
      <c r="CP20" s="1171">
        <f t="shared" si="24"/>
        <v>0</v>
      </c>
      <c r="CQ20" s="1171">
        <f t="shared" si="25"/>
        <v>0</v>
      </c>
      <c r="CR20" s="1171">
        <f t="shared" si="26"/>
        <v>0</v>
      </c>
      <c r="CS20" s="1171">
        <f t="shared" si="27"/>
        <v>0</v>
      </c>
      <c r="CT20" s="1171">
        <f t="shared" si="28"/>
        <v>0</v>
      </c>
      <c r="CU20" s="1171">
        <f t="shared" si="29"/>
        <v>0</v>
      </c>
      <c r="CV20" s="1171">
        <f t="shared" si="30"/>
        <v>0</v>
      </c>
      <c r="CW20" s="1171">
        <f t="shared" si="31"/>
        <v>0</v>
      </c>
      <c r="CX20" s="1171">
        <f t="shared" si="32"/>
        <v>0</v>
      </c>
      <c r="CY20" s="1171">
        <f t="shared" si="33"/>
        <v>0</v>
      </c>
      <c r="CZ20" s="1171">
        <f t="shared" si="34"/>
        <v>0</v>
      </c>
      <c r="DA20" s="1171">
        <f t="shared" si="35"/>
        <v>0</v>
      </c>
    </row>
    <row r="21" spans="1:105" ht="24.75" thickTop="1" thickBot="1">
      <c r="A21" t="s">
        <v>341</v>
      </c>
      <c r="B21" s="69">
        <v>16</v>
      </c>
      <c r="C21" s="1108" t="s">
        <v>424</v>
      </c>
      <c r="D21" s="914">
        <v>1</v>
      </c>
      <c r="E21" s="1172"/>
      <c r="F21" s="914">
        <v>1</v>
      </c>
      <c r="G21" s="1172"/>
      <c r="H21" s="914">
        <v>0</v>
      </c>
      <c r="I21" s="1173">
        <v>1330</v>
      </c>
      <c r="J21" s="1232"/>
      <c r="K21" s="1249"/>
      <c r="L21" s="914"/>
      <c r="M21" s="1172"/>
      <c r="N21" s="914">
        <v>0</v>
      </c>
      <c r="O21" s="1173"/>
      <c r="P21" s="914">
        <v>0</v>
      </c>
      <c r="Q21" s="1173"/>
      <c r="R21" s="914"/>
      <c r="S21" s="1173"/>
      <c r="T21" s="914"/>
      <c r="U21" s="1173"/>
      <c r="V21" s="914">
        <v>0</v>
      </c>
      <c r="W21" s="1173"/>
      <c r="X21" s="1232"/>
      <c r="Y21" s="1234"/>
      <c r="Z21" s="914">
        <v>0</v>
      </c>
      <c r="AA21" s="1173"/>
      <c r="AB21" s="914">
        <v>0</v>
      </c>
      <c r="AC21" s="1173"/>
      <c r="AD21" s="914">
        <v>0</v>
      </c>
      <c r="AE21" s="1173"/>
      <c r="AF21" s="914">
        <v>0</v>
      </c>
      <c r="AG21" s="1173"/>
      <c r="AH21" s="914"/>
      <c r="AI21" s="1173"/>
      <c r="AJ21" s="914">
        <v>0</v>
      </c>
      <c r="AK21" s="1173"/>
      <c r="AL21" s="1232"/>
      <c r="AM21" s="1234"/>
      <c r="AN21" s="914">
        <v>0</v>
      </c>
      <c r="AO21" s="1173"/>
      <c r="AP21" s="914">
        <v>0</v>
      </c>
      <c r="AQ21" s="1173"/>
      <c r="AR21" s="914"/>
      <c r="AS21" s="1173"/>
      <c r="AT21" s="914">
        <v>0</v>
      </c>
      <c r="AU21" s="1173"/>
      <c r="AV21" s="914">
        <v>0</v>
      </c>
      <c r="AW21" s="1173"/>
      <c r="AX21" s="914"/>
      <c r="AY21" s="1173"/>
      <c r="AZ21" s="1232"/>
      <c r="BA21" s="1234"/>
      <c r="BB21" s="914"/>
      <c r="BC21" s="1173"/>
      <c r="BD21" s="914">
        <v>0</v>
      </c>
      <c r="BE21" s="1173"/>
      <c r="BF21" s="914">
        <v>0</v>
      </c>
      <c r="BG21" s="1173"/>
      <c r="BH21" s="914"/>
      <c r="BI21" s="1173"/>
      <c r="BJ21" s="914"/>
      <c r="BK21" s="1173"/>
      <c r="BL21" s="914"/>
      <c r="BM21" s="1174"/>
      <c r="BN21" s="1169">
        <f t="shared" si="0"/>
        <v>666.66666666666663</v>
      </c>
      <c r="BO21" s="491">
        <f t="shared" si="36"/>
        <v>2</v>
      </c>
      <c r="BP21" s="492">
        <v>20000</v>
      </c>
      <c r="BQ21" s="493">
        <f t="shared" si="2"/>
        <v>1333.3333333333333</v>
      </c>
      <c r="BR21" s="217">
        <f t="shared" si="3"/>
        <v>1330</v>
      </c>
      <c r="BS21" s="217"/>
      <c r="BT21" s="1170">
        <f t="shared" si="4"/>
        <v>3.3333333333332575</v>
      </c>
      <c r="BU21" s="1261">
        <v>0</v>
      </c>
      <c r="BW21" s="1171">
        <f t="shared" si="5"/>
        <v>666.66666666666663</v>
      </c>
      <c r="BX21" s="1171">
        <f t="shared" si="6"/>
        <v>666.66666666666663</v>
      </c>
      <c r="BY21" s="1171">
        <f t="shared" si="7"/>
        <v>0</v>
      </c>
      <c r="BZ21" s="1171">
        <f t="shared" si="8"/>
        <v>0</v>
      </c>
      <c r="CA21" s="1171">
        <f t="shared" si="9"/>
        <v>0</v>
      </c>
      <c r="CB21" s="1171">
        <f t="shared" si="10"/>
        <v>0</v>
      </c>
      <c r="CC21" s="1171">
        <f t="shared" si="11"/>
        <v>0</v>
      </c>
      <c r="CD21" s="1171">
        <f t="shared" si="12"/>
        <v>0</v>
      </c>
      <c r="CE21" s="1171">
        <f t="shared" si="13"/>
        <v>0</v>
      </c>
      <c r="CF21" s="1171">
        <f t="shared" si="14"/>
        <v>0</v>
      </c>
      <c r="CG21" s="1171">
        <f t="shared" si="15"/>
        <v>0</v>
      </c>
      <c r="CH21" s="1171">
        <f t="shared" si="16"/>
        <v>0</v>
      </c>
      <c r="CI21" s="1171">
        <f t="shared" si="17"/>
        <v>0</v>
      </c>
      <c r="CJ21" s="1171">
        <f t="shared" si="18"/>
        <v>0</v>
      </c>
      <c r="CK21" s="1171">
        <f t="shared" si="19"/>
        <v>0</v>
      </c>
      <c r="CL21" s="1171">
        <f t="shared" si="20"/>
        <v>0</v>
      </c>
      <c r="CM21" s="1171">
        <f t="shared" si="21"/>
        <v>0</v>
      </c>
      <c r="CN21" s="1171">
        <f t="shared" si="22"/>
        <v>0</v>
      </c>
      <c r="CO21" s="1171">
        <f t="shared" si="23"/>
        <v>0</v>
      </c>
      <c r="CP21" s="1171">
        <f t="shared" si="24"/>
        <v>0</v>
      </c>
      <c r="CQ21" s="1171">
        <f t="shared" si="25"/>
        <v>0</v>
      </c>
      <c r="CR21" s="1171">
        <f t="shared" si="26"/>
        <v>0</v>
      </c>
      <c r="CS21" s="1171">
        <f t="shared" si="27"/>
        <v>0</v>
      </c>
      <c r="CT21" s="1171">
        <f t="shared" si="28"/>
        <v>0</v>
      </c>
      <c r="CU21" s="1171">
        <f t="shared" si="29"/>
        <v>0</v>
      </c>
      <c r="CV21" s="1171">
        <f t="shared" si="30"/>
        <v>0</v>
      </c>
      <c r="CW21" s="1171">
        <f t="shared" si="31"/>
        <v>0</v>
      </c>
      <c r="CX21" s="1171">
        <f t="shared" si="32"/>
        <v>0</v>
      </c>
      <c r="CY21" s="1171">
        <f t="shared" si="33"/>
        <v>0</v>
      </c>
      <c r="CZ21" s="1171">
        <f t="shared" si="34"/>
        <v>0</v>
      </c>
      <c r="DA21" s="1171">
        <f t="shared" si="35"/>
        <v>0</v>
      </c>
    </row>
    <row r="22" spans="1:105" ht="24.75" thickTop="1" thickBot="1">
      <c r="B22" s="69">
        <v>17</v>
      </c>
      <c r="C22" s="1108" t="s">
        <v>444</v>
      </c>
      <c r="D22" s="914">
        <v>1</v>
      </c>
      <c r="E22" s="1172"/>
      <c r="F22" s="914">
        <v>1</v>
      </c>
      <c r="G22" s="1173"/>
      <c r="H22" s="914">
        <v>0</v>
      </c>
      <c r="I22" s="1173">
        <v>500</v>
      </c>
      <c r="J22" s="1232"/>
      <c r="K22" s="1251"/>
      <c r="L22" s="914">
        <v>1</v>
      </c>
      <c r="M22" s="1172"/>
      <c r="N22" s="914">
        <v>0</v>
      </c>
      <c r="O22" s="1173"/>
      <c r="P22" s="914">
        <v>1</v>
      </c>
      <c r="Q22" s="1173"/>
      <c r="R22" s="914">
        <v>1</v>
      </c>
      <c r="S22" s="1173"/>
      <c r="T22" s="914">
        <v>1</v>
      </c>
      <c r="U22" s="1173"/>
      <c r="V22" s="914">
        <v>1</v>
      </c>
      <c r="W22" s="1173">
        <v>3300</v>
      </c>
      <c r="X22" s="1232"/>
      <c r="Y22" s="1234"/>
      <c r="Z22" s="914">
        <v>1</v>
      </c>
      <c r="AA22" s="1173"/>
      <c r="AB22" s="914">
        <v>1</v>
      </c>
      <c r="AC22" s="1173"/>
      <c r="AD22" s="914">
        <v>1</v>
      </c>
      <c r="AE22" s="1173">
        <v>300</v>
      </c>
      <c r="AF22" s="914">
        <v>1</v>
      </c>
      <c r="AG22" s="1173"/>
      <c r="AH22" s="914">
        <v>1</v>
      </c>
      <c r="AI22" s="1173"/>
      <c r="AJ22" s="914">
        <v>1</v>
      </c>
      <c r="AK22" s="1173">
        <v>1700</v>
      </c>
      <c r="AL22" s="1232"/>
      <c r="AM22" s="1234"/>
      <c r="AN22" s="914">
        <v>0</v>
      </c>
      <c r="AO22" s="1173"/>
      <c r="AP22" s="914">
        <v>1</v>
      </c>
      <c r="AQ22" s="1173"/>
      <c r="AR22" s="914">
        <v>1</v>
      </c>
      <c r="AS22" s="1173"/>
      <c r="AT22" s="914">
        <v>1</v>
      </c>
      <c r="AU22" s="1173"/>
      <c r="AV22" s="914">
        <v>0</v>
      </c>
      <c r="AW22" s="1173"/>
      <c r="AX22" s="914">
        <v>1</v>
      </c>
      <c r="AY22" s="1173">
        <v>3400</v>
      </c>
      <c r="AZ22" s="1232"/>
      <c r="BA22" s="1234"/>
      <c r="BB22" s="914">
        <v>1</v>
      </c>
      <c r="BC22" s="1173"/>
      <c r="BD22" s="914">
        <v>1</v>
      </c>
      <c r="BE22" s="1173"/>
      <c r="BF22" s="914">
        <v>0</v>
      </c>
      <c r="BG22" s="1173">
        <v>2200</v>
      </c>
      <c r="BH22" s="914"/>
      <c r="BI22" s="1173"/>
      <c r="BJ22" s="914"/>
      <c r="BK22" s="1173"/>
      <c r="BL22" s="914"/>
      <c r="BM22" s="1174"/>
      <c r="BN22" s="1169">
        <f t="shared" si="0"/>
        <v>600</v>
      </c>
      <c r="BO22" s="491">
        <f t="shared" si="36"/>
        <v>19</v>
      </c>
      <c r="BP22" s="492">
        <v>18000</v>
      </c>
      <c r="BQ22" s="493">
        <f t="shared" si="2"/>
        <v>11400</v>
      </c>
      <c r="BR22" s="217">
        <f t="shared" si="3"/>
        <v>11400</v>
      </c>
      <c r="BS22" s="217"/>
      <c r="BT22" s="1170">
        <f t="shared" si="4"/>
        <v>0</v>
      </c>
      <c r="BU22" s="1261">
        <v>2200</v>
      </c>
      <c r="BW22" s="1171">
        <f t="shared" si="5"/>
        <v>600</v>
      </c>
      <c r="BX22" s="1171">
        <f t="shared" si="6"/>
        <v>600</v>
      </c>
      <c r="BY22" s="1171">
        <f t="shared" si="7"/>
        <v>0</v>
      </c>
      <c r="BZ22" s="1171">
        <f t="shared" si="8"/>
        <v>0</v>
      </c>
      <c r="CA22" s="1171">
        <f t="shared" si="9"/>
        <v>600</v>
      </c>
      <c r="CB22" s="1171">
        <f t="shared" si="10"/>
        <v>0</v>
      </c>
      <c r="CC22" s="1171">
        <f t="shared" si="11"/>
        <v>600</v>
      </c>
      <c r="CD22" s="1171">
        <f t="shared" si="12"/>
        <v>600</v>
      </c>
      <c r="CE22" s="1171">
        <f t="shared" si="13"/>
        <v>600</v>
      </c>
      <c r="CF22" s="1171">
        <f t="shared" si="14"/>
        <v>600</v>
      </c>
      <c r="CG22" s="1171">
        <f t="shared" si="15"/>
        <v>0</v>
      </c>
      <c r="CH22" s="1171">
        <f t="shared" si="16"/>
        <v>600</v>
      </c>
      <c r="CI22" s="1171">
        <f t="shared" si="17"/>
        <v>600</v>
      </c>
      <c r="CJ22" s="1171">
        <f t="shared" si="18"/>
        <v>600</v>
      </c>
      <c r="CK22" s="1171">
        <f t="shared" si="19"/>
        <v>600</v>
      </c>
      <c r="CL22" s="1171">
        <f t="shared" si="20"/>
        <v>600</v>
      </c>
      <c r="CM22" s="1171">
        <f t="shared" si="21"/>
        <v>600</v>
      </c>
      <c r="CN22" s="1171">
        <f t="shared" si="22"/>
        <v>0</v>
      </c>
      <c r="CO22" s="1171">
        <f t="shared" si="23"/>
        <v>0</v>
      </c>
      <c r="CP22" s="1171">
        <f t="shared" si="24"/>
        <v>600</v>
      </c>
      <c r="CQ22" s="1171">
        <f t="shared" si="25"/>
        <v>600</v>
      </c>
      <c r="CR22" s="1171">
        <f t="shared" si="26"/>
        <v>600</v>
      </c>
      <c r="CS22" s="1171">
        <f t="shared" si="27"/>
        <v>0</v>
      </c>
      <c r="CT22" s="1171">
        <f t="shared" si="28"/>
        <v>600</v>
      </c>
      <c r="CU22" s="1171">
        <f t="shared" si="29"/>
        <v>0</v>
      </c>
      <c r="CV22" s="1171">
        <f t="shared" si="30"/>
        <v>600</v>
      </c>
      <c r="CW22" s="1171">
        <f t="shared" si="31"/>
        <v>600</v>
      </c>
      <c r="CX22" s="1171">
        <f t="shared" si="32"/>
        <v>0</v>
      </c>
      <c r="CY22" s="1171">
        <f t="shared" si="33"/>
        <v>0</v>
      </c>
      <c r="CZ22" s="1171">
        <f t="shared" si="34"/>
        <v>0</v>
      </c>
      <c r="DA22" s="1171">
        <f t="shared" si="35"/>
        <v>0</v>
      </c>
    </row>
    <row r="23" spans="1:105" ht="24.75" thickTop="1" thickBot="1">
      <c r="B23" s="69">
        <v>18</v>
      </c>
      <c r="C23" s="1108" t="s">
        <v>361</v>
      </c>
      <c r="D23" s="914">
        <v>1</v>
      </c>
      <c r="E23" s="1172"/>
      <c r="F23" s="914">
        <v>1</v>
      </c>
      <c r="G23" s="1173"/>
      <c r="H23" s="914">
        <v>0</v>
      </c>
      <c r="I23" s="1173">
        <v>1200</v>
      </c>
      <c r="J23" s="1232"/>
      <c r="K23" s="1249"/>
      <c r="L23" s="914"/>
      <c r="M23" s="1172"/>
      <c r="N23" s="914">
        <v>0</v>
      </c>
      <c r="O23" s="1173"/>
      <c r="P23" s="914">
        <v>0</v>
      </c>
      <c r="Q23" s="1173"/>
      <c r="R23" s="914">
        <v>0</v>
      </c>
      <c r="S23" s="1173"/>
      <c r="T23" s="914">
        <v>0</v>
      </c>
      <c r="U23" s="1173"/>
      <c r="V23" s="914">
        <v>0</v>
      </c>
      <c r="W23" s="1173"/>
      <c r="X23" s="1232"/>
      <c r="Y23" s="1234"/>
      <c r="Z23" s="914">
        <v>0</v>
      </c>
      <c r="AA23" s="1173"/>
      <c r="AB23" s="914">
        <v>0</v>
      </c>
      <c r="AC23" s="1173"/>
      <c r="AD23" s="914">
        <v>0</v>
      </c>
      <c r="AE23" s="1173"/>
      <c r="AF23" s="914">
        <v>0</v>
      </c>
      <c r="AG23" s="1173"/>
      <c r="AH23" s="914"/>
      <c r="AI23" s="1173"/>
      <c r="AJ23" s="914">
        <v>0</v>
      </c>
      <c r="AK23" s="1173"/>
      <c r="AL23" s="1232"/>
      <c r="AM23" s="1234"/>
      <c r="AN23" s="914">
        <v>0</v>
      </c>
      <c r="AO23" s="1173"/>
      <c r="AP23" s="914">
        <v>0</v>
      </c>
      <c r="AQ23" s="1173"/>
      <c r="AR23" s="914"/>
      <c r="AS23" s="1173"/>
      <c r="AT23" s="914">
        <v>0</v>
      </c>
      <c r="AU23" s="1173"/>
      <c r="AV23" s="914">
        <v>0</v>
      </c>
      <c r="AW23" s="1173"/>
      <c r="AX23" s="914">
        <v>0</v>
      </c>
      <c r="AY23" s="1173"/>
      <c r="AZ23" s="1232"/>
      <c r="BA23" s="1234"/>
      <c r="BB23" s="914"/>
      <c r="BC23" s="1173"/>
      <c r="BD23" s="914">
        <v>0</v>
      </c>
      <c r="BE23" s="1173"/>
      <c r="BF23" s="914">
        <v>0</v>
      </c>
      <c r="BG23" s="1173"/>
      <c r="BH23" s="914"/>
      <c r="BI23" s="1173"/>
      <c r="BJ23" s="914"/>
      <c r="BK23" s="1173"/>
      <c r="BL23" s="914"/>
      <c r="BM23" s="1174"/>
      <c r="BN23" s="1169">
        <f t="shared" si="0"/>
        <v>600</v>
      </c>
      <c r="BO23" s="491">
        <f t="shared" si="36"/>
        <v>2</v>
      </c>
      <c r="BP23" s="492">
        <v>18000</v>
      </c>
      <c r="BQ23" s="493">
        <f t="shared" si="2"/>
        <v>1200</v>
      </c>
      <c r="BR23" s="217">
        <f t="shared" si="3"/>
        <v>1200</v>
      </c>
      <c r="BS23" s="217"/>
      <c r="BT23" s="1170">
        <f t="shared" si="4"/>
        <v>0</v>
      </c>
      <c r="BU23" s="1261">
        <v>0</v>
      </c>
      <c r="BW23" s="1171">
        <f t="shared" si="5"/>
        <v>600</v>
      </c>
      <c r="BX23" s="1171">
        <f t="shared" si="6"/>
        <v>600</v>
      </c>
      <c r="BY23" s="1171">
        <f t="shared" si="7"/>
        <v>0</v>
      </c>
      <c r="BZ23" s="1171">
        <f t="shared" si="8"/>
        <v>0</v>
      </c>
      <c r="CA23" s="1171">
        <f t="shared" si="9"/>
        <v>0</v>
      </c>
      <c r="CB23" s="1171">
        <f t="shared" si="10"/>
        <v>0</v>
      </c>
      <c r="CC23" s="1171">
        <f t="shared" si="11"/>
        <v>0</v>
      </c>
      <c r="CD23" s="1171">
        <f t="shared" si="12"/>
        <v>0</v>
      </c>
      <c r="CE23" s="1171">
        <f t="shared" si="13"/>
        <v>0</v>
      </c>
      <c r="CF23" s="1171">
        <f t="shared" si="14"/>
        <v>0</v>
      </c>
      <c r="CG23" s="1171">
        <f t="shared" si="15"/>
        <v>0</v>
      </c>
      <c r="CH23" s="1171">
        <f t="shared" si="16"/>
        <v>0</v>
      </c>
      <c r="CI23" s="1171">
        <f t="shared" si="17"/>
        <v>0</v>
      </c>
      <c r="CJ23" s="1171">
        <f t="shared" si="18"/>
        <v>0</v>
      </c>
      <c r="CK23" s="1171">
        <f t="shared" si="19"/>
        <v>0</v>
      </c>
      <c r="CL23" s="1171">
        <f t="shared" si="20"/>
        <v>0</v>
      </c>
      <c r="CM23" s="1171">
        <f t="shared" si="21"/>
        <v>0</v>
      </c>
      <c r="CN23" s="1171">
        <f t="shared" si="22"/>
        <v>0</v>
      </c>
      <c r="CO23" s="1171">
        <f t="shared" si="23"/>
        <v>0</v>
      </c>
      <c r="CP23" s="1171">
        <f t="shared" si="24"/>
        <v>0</v>
      </c>
      <c r="CQ23" s="1171">
        <f t="shared" si="25"/>
        <v>0</v>
      </c>
      <c r="CR23" s="1171">
        <f t="shared" si="26"/>
        <v>0</v>
      </c>
      <c r="CS23" s="1171">
        <f t="shared" si="27"/>
        <v>0</v>
      </c>
      <c r="CT23" s="1171">
        <f t="shared" si="28"/>
        <v>0</v>
      </c>
      <c r="CU23" s="1171">
        <f t="shared" si="29"/>
        <v>0</v>
      </c>
      <c r="CV23" s="1171">
        <f t="shared" si="30"/>
        <v>0</v>
      </c>
      <c r="CW23" s="1171">
        <f t="shared" si="31"/>
        <v>0</v>
      </c>
      <c r="CX23" s="1171">
        <f t="shared" si="32"/>
        <v>0</v>
      </c>
      <c r="CY23" s="1171">
        <f t="shared" si="33"/>
        <v>0</v>
      </c>
      <c r="CZ23" s="1171">
        <f t="shared" si="34"/>
        <v>0</v>
      </c>
      <c r="DA23" s="1171">
        <f t="shared" si="35"/>
        <v>0</v>
      </c>
    </row>
    <row r="24" spans="1:105" ht="24.75" thickTop="1" thickBot="1">
      <c r="B24" s="69">
        <v>19</v>
      </c>
      <c r="C24" s="1108" t="s">
        <v>436</v>
      </c>
      <c r="D24" s="914">
        <v>1</v>
      </c>
      <c r="E24" s="1172"/>
      <c r="F24" s="914">
        <v>1</v>
      </c>
      <c r="G24" s="1173"/>
      <c r="H24" s="914">
        <v>0</v>
      </c>
      <c r="I24" s="1173"/>
      <c r="J24" s="1232">
        <v>0</v>
      </c>
      <c r="K24" s="1249"/>
      <c r="L24" s="914">
        <v>1</v>
      </c>
      <c r="M24" s="1172"/>
      <c r="N24" s="914">
        <v>0</v>
      </c>
      <c r="O24" s="1173"/>
      <c r="P24" s="914">
        <v>1</v>
      </c>
      <c r="Q24" s="1173"/>
      <c r="R24" s="914">
        <v>1</v>
      </c>
      <c r="S24" s="1173"/>
      <c r="T24" s="914">
        <v>1</v>
      </c>
      <c r="U24" s="1173"/>
      <c r="V24" s="914">
        <v>1</v>
      </c>
      <c r="W24" s="1173">
        <v>1000</v>
      </c>
      <c r="X24" s="1232"/>
      <c r="Y24" s="1234"/>
      <c r="Z24" s="914">
        <v>1</v>
      </c>
      <c r="AA24" s="1173"/>
      <c r="AB24" s="914">
        <v>1</v>
      </c>
      <c r="AC24" s="1173"/>
      <c r="AD24" s="914">
        <v>1</v>
      </c>
      <c r="AE24" s="1173">
        <v>300</v>
      </c>
      <c r="AF24" s="914">
        <v>1</v>
      </c>
      <c r="AG24" s="1173"/>
      <c r="AH24" s="914">
        <v>1</v>
      </c>
      <c r="AI24" s="1173"/>
      <c r="AJ24" s="914">
        <v>1</v>
      </c>
      <c r="AK24" s="1173">
        <v>500</v>
      </c>
      <c r="AL24" s="1232"/>
      <c r="AM24" s="1234"/>
      <c r="AN24" s="914">
        <v>0</v>
      </c>
      <c r="AO24" s="1173">
        <v>4700</v>
      </c>
      <c r="AP24" s="914">
        <v>0</v>
      </c>
      <c r="AQ24" s="1173"/>
      <c r="AR24" s="914"/>
      <c r="AS24" s="1173"/>
      <c r="AT24" s="914">
        <v>0</v>
      </c>
      <c r="AU24" s="1173"/>
      <c r="AV24" s="914">
        <v>0</v>
      </c>
      <c r="AW24" s="1173"/>
      <c r="AX24" s="914">
        <v>0</v>
      </c>
      <c r="AY24" s="1173"/>
      <c r="AZ24" s="1232"/>
      <c r="BA24" s="1234"/>
      <c r="BB24" s="914"/>
      <c r="BC24" s="1173"/>
      <c r="BD24" s="914">
        <v>0</v>
      </c>
      <c r="BE24" s="1173"/>
      <c r="BF24" s="914">
        <v>0</v>
      </c>
      <c r="BG24" s="1173"/>
      <c r="BH24" s="914"/>
      <c r="BI24" s="1173"/>
      <c r="BJ24" s="914"/>
      <c r="BK24" s="1173"/>
      <c r="BL24" s="914"/>
      <c r="BM24" s="1174"/>
      <c r="BN24" s="1169">
        <f t="shared" si="0"/>
        <v>500</v>
      </c>
      <c r="BO24" s="491">
        <f t="shared" si="36"/>
        <v>13</v>
      </c>
      <c r="BP24" s="492">
        <v>15000</v>
      </c>
      <c r="BQ24" s="493">
        <f t="shared" si="2"/>
        <v>6500</v>
      </c>
      <c r="BR24" s="217">
        <f t="shared" si="3"/>
        <v>6500</v>
      </c>
      <c r="BS24" s="217"/>
      <c r="BT24" s="1170">
        <f t="shared" si="4"/>
        <v>0</v>
      </c>
      <c r="BU24" s="1261">
        <v>0</v>
      </c>
      <c r="BW24" s="1171">
        <f t="shared" si="5"/>
        <v>500</v>
      </c>
      <c r="BX24" s="1171">
        <f t="shared" si="6"/>
        <v>500</v>
      </c>
      <c r="BY24" s="1171">
        <f t="shared" si="7"/>
        <v>0</v>
      </c>
      <c r="BZ24" s="1171">
        <f t="shared" si="8"/>
        <v>0</v>
      </c>
      <c r="CA24" s="1171">
        <f t="shared" si="9"/>
        <v>500</v>
      </c>
      <c r="CB24" s="1171">
        <f t="shared" si="10"/>
        <v>0</v>
      </c>
      <c r="CC24" s="1171">
        <f t="shared" si="11"/>
        <v>500</v>
      </c>
      <c r="CD24" s="1171">
        <f t="shared" si="12"/>
        <v>500</v>
      </c>
      <c r="CE24" s="1171">
        <f t="shared" si="13"/>
        <v>500</v>
      </c>
      <c r="CF24" s="1171">
        <f t="shared" si="14"/>
        <v>500</v>
      </c>
      <c r="CG24" s="1171">
        <f t="shared" si="15"/>
        <v>0</v>
      </c>
      <c r="CH24" s="1171">
        <f t="shared" si="16"/>
        <v>500</v>
      </c>
      <c r="CI24" s="1171">
        <f t="shared" si="17"/>
        <v>500</v>
      </c>
      <c r="CJ24" s="1171">
        <f t="shared" si="18"/>
        <v>500</v>
      </c>
      <c r="CK24" s="1171">
        <f t="shared" si="19"/>
        <v>500</v>
      </c>
      <c r="CL24" s="1171">
        <f t="shared" si="20"/>
        <v>500</v>
      </c>
      <c r="CM24" s="1171">
        <f t="shared" si="21"/>
        <v>500</v>
      </c>
      <c r="CN24" s="1171">
        <f t="shared" si="22"/>
        <v>0</v>
      </c>
      <c r="CO24" s="1171">
        <f t="shared" si="23"/>
        <v>0</v>
      </c>
      <c r="CP24" s="1171">
        <f t="shared" si="24"/>
        <v>0</v>
      </c>
      <c r="CQ24" s="1171">
        <f t="shared" si="25"/>
        <v>0</v>
      </c>
      <c r="CR24" s="1171">
        <f t="shared" si="26"/>
        <v>0</v>
      </c>
      <c r="CS24" s="1171">
        <f t="shared" si="27"/>
        <v>0</v>
      </c>
      <c r="CT24" s="1171">
        <f t="shared" si="28"/>
        <v>0</v>
      </c>
      <c r="CU24" s="1171">
        <f t="shared" si="29"/>
        <v>0</v>
      </c>
      <c r="CV24" s="1171">
        <f t="shared" si="30"/>
        <v>0</v>
      </c>
      <c r="CW24" s="1171">
        <f t="shared" si="31"/>
        <v>0</v>
      </c>
      <c r="CX24" s="1171">
        <f t="shared" si="32"/>
        <v>0</v>
      </c>
      <c r="CY24" s="1171">
        <f t="shared" si="33"/>
        <v>0</v>
      </c>
      <c r="CZ24" s="1171">
        <f t="shared" si="34"/>
        <v>0</v>
      </c>
      <c r="DA24" s="1171">
        <f t="shared" si="35"/>
        <v>0</v>
      </c>
    </row>
    <row r="25" spans="1:105" ht="24.75" thickTop="1" thickBot="1">
      <c r="B25" s="69">
        <v>20</v>
      </c>
      <c r="C25" s="1108" t="s">
        <v>470</v>
      </c>
      <c r="D25" s="914"/>
      <c r="E25" s="1172"/>
      <c r="F25" s="914"/>
      <c r="G25" s="916"/>
      <c r="H25" s="914"/>
      <c r="I25" s="1173"/>
      <c r="J25" s="1232"/>
      <c r="K25" s="1249"/>
      <c r="L25" s="914"/>
      <c r="M25" s="1172"/>
      <c r="N25" s="914">
        <v>0</v>
      </c>
      <c r="O25" s="1173"/>
      <c r="P25" s="914"/>
      <c r="Q25" s="1173"/>
      <c r="R25" s="914"/>
      <c r="S25" s="1173"/>
      <c r="T25" s="914"/>
      <c r="U25" s="1173"/>
      <c r="V25" s="914"/>
      <c r="W25" s="1173"/>
      <c r="X25" s="1232"/>
      <c r="Y25" s="1234"/>
      <c r="Z25" s="914"/>
      <c r="AA25" s="1173"/>
      <c r="AB25" s="914">
        <v>1</v>
      </c>
      <c r="AC25" s="1173"/>
      <c r="AD25" s="914">
        <v>1</v>
      </c>
      <c r="AE25" s="1173"/>
      <c r="AF25" s="914">
        <v>1</v>
      </c>
      <c r="AG25" s="1173"/>
      <c r="AH25" s="914">
        <v>1</v>
      </c>
      <c r="AI25" s="1173"/>
      <c r="AJ25" s="914">
        <v>1</v>
      </c>
      <c r="AK25" s="1173">
        <v>1000</v>
      </c>
      <c r="AL25" s="1232"/>
      <c r="AM25" s="1234"/>
      <c r="AN25" s="914">
        <v>0</v>
      </c>
      <c r="AO25" s="1173"/>
      <c r="AP25" s="914">
        <v>0</v>
      </c>
      <c r="AQ25" s="1173"/>
      <c r="AR25" s="914">
        <v>1</v>
      </c>
      <c r="AS25" s="1173"/>
      <c r="AT25" s="914">
        <v>1</v>
      </c>
      <c r="AU25" s="1173"/>
      <c r="AV25" s="914">
        <v>0</v>
      </c>
      <c r="AW25" s="1173"/>
      <c r="AX25" s="914">
        <v>1</v>
      </c>
      <c r="AY25" s="1173">
        <v>2200</v>
      </c>
      <c r="AZ25" s="1232"/>
      <c r="BA25" s="1234"/>
      <c r="BB25" s="914"/>
      <c r="BC25" s="1173"/>
      <c r="BD25" s="914">
        <v>0</v>
      </c>
      <c r="BE25" s="1173"/>
      <c r="BF25" s="914">
        <v>0</v>
      </c>
      <c r="BG25" s="1173"/>
      <c r="BH25" s="914"/>
      <c r="BI25" s="1173"/>
      <c r="BJ25" s="914"/>
      <c r="BK25" s="1173"/>
      <c r="BL25" s="914"/>
      <c r="BM25" s="1174"/>
      <c r="BN25" s="1169">
        <f t="shared" si="0"/>
        <v>400</v>
      </c>
      <c r="BO25" s="491">
        <f t="shared" si="36"/>
        <v>8</v>
      </c>
      <c r="BP25" s="492">
        <v>12000</v>
      </c>
      <c r="BQ25" s="493">
        <f t="shared" si="2"/>
        <v>3200</v>
      </c>
      <c r="BR25" s="217">
        <f t="shared" si="3"/>
        <v>3200</v>
      </c>
      <c r="BS25" s="217"/>
      <c r="BT25" s="1170">
        <f t="shared" si="4"/>
        <v>0</v>
      </c>
      <c r="BU25" s="1261">
        <v>0</v>
      </c>
      <c r="BW25" s="1171">
        <f t="shared" si="5"/>
        <v>0</v>
      </c>
      <c r="BX25" s="1171">
        <f t="shared" si="6"/>
        <v>0</v>
      </c>
      <c r="BY25" s="1171">
        <f t="shared" si="7"/>
        <v>0</v>
      </c>
      <c r="BZ25" s="1171">
        <f t="shared" si="8"/>
        <v>0</v>
      </c>
      <c r="CA25" s="1171">
        <f t="shared" si="9"/>
        <v>0</v>
      </c>
      <c r="CB25" s="1171">
        <f t="shared" si="10"/>
        <v>0</v>
      </c>
      <c r="CC25" s="1171">
        <f t="shared" si="11"/>
        <v>0</v>
      </c>
      <c r="CD25" s="1171">
        <f t="shared" si="12"/>
        <v>0</v>
      </c>
      <c r="CE25" s="1171">
        <f t="shared" si="13"/>
        <v>0</v>
      </c>
      <c r="CF25" s="1171">
        <f t="shared" si="14"/>
        <v>0</v>
      </c>
      <c r="CG25" s="1171">
        <f t="shared" si="15"/>
        <v>0</v>
      </c>
      <c r="CH25" s="1171">
        <f t="shared" si="16"/>
        <v>0</v>
      </c>
      <c r="CI25" s="1171">
        <f t="shared" si="17"/>
        <v>400</v>
      </c>
      <c r="CJ25" s="1171">
        <f t="shared" si="18"/>
        <v>400</v>
      </c>
      <c r="CK25" s="1171">
        <f t="shared" si="19"/>
        <v>400</v>
      </c>
      <c r="CL25" s="1171">
        <f t="shared" si="20"/>
        <v>400</v>
      </c>
      <c r="CM25" s="1171">
        <f t="shared" si="21"/>
        <v>400</v>
      </c>
      <c r="CN25" s="1171">
        <f t="shared" si="22"/>
        <v>0</v>
      </c>
      <c r="CO25" s="1171">
        <f t="shared" si="23"/>
        <v>0</v>
      </c>
      <c r="CP25" s="1171">
        <f t="shared" si="24"/>
        <v>0</v>
      </c>
      <c r="CQ25" s="1171">
        <f t="shared" si="25"/>
        <v>400</v>
      </c>
      <c r="CR25" s="1171">
        <f t="shared" si="26"/>
        <v>400</v>
      </c>
      <c r="CS25" s="1171">
        <f t="shared" si="27"/>
        <v>0</v>
      </c>
      <c r="CT25" s="1171">
        <f t="shared" si="28"/>
        <v>400</v>
      </c>
      <c r="CU25" s="1171">
        <f t="shared" si="29"/>
        <v>0</v>
      </c>
      <c r="CV25" s="1171">
        <f t="shared" si="30"/>
        <v>0</v>
      </c>
      <c r="CW25" s="1171">
        <f t="shared" si="31"/>
        <v>0</v>
      </c>
      <c r="CX25" s="1171">
        <f t="shared" si="32"/>
        <v>0</v>
      </c>
      <c r="CY25" s="1171">
        <f t="shared" si="33"/>
        <v>0</v>
      </c>
      <c r="CZ25" s="1171">
        <f t="shared" si="34"/>
        <v>0</v>
      </c>
      <c r="DA25" s="1171">
        <f t="shared" si="35"/>
        <v>0</v>
      </c>
    </row>
    <row r="26" spans="1:105" ht="24.75" thickTop="1" thickBot="1">
      <c r="B26" s="69">
        <v>21</v>
      </c>
      <c r="C26" s="1108" t="s">
        <v>445</v>
      </c>
      <c r="D26" s="914">
        <v>1</v>
      </c>
      <c r="E26" s="1172"/>
      <c r="F26" s="914">
        <v>1</v>
      </c>
      <c r="G26" s="1173"/>
      <c r="H26" s="914">
        <v>0</v>
      </c>
      <c r="I26" s="1173"/>
      <c r="J26" s="1232">
        <v>0</v>
      </c>
      <c r="K26" s="1249"/>
      <c r="L26" s="914">
        <v>1</v>
      </c>
      <c r="M26" s="1172"/>
      <c r="N26" s="914">
        <v>0</v>
      </c>
      <c r="O26" s="1173"/>
      <c r="P26" s="914">
        <v>1</v>
      </c>
      <c r="Q26" s="1173"/>
      <c r="R26" s="914">
        <v>1</v>
      </c>
      <c r="S26" s="1173"/>
      <c r="T26" s="914">
        <v>1</v>
      </c>
      <c r="U26" s="1173"/>
      <c r="V26" s="914">
        <v>1</v>
      </c>
      <c r="W26" s="1173">
        <v>1500</v>
      </c>
      <c r="X26" s="1232"/>
      <c r="Y26" s="1234"/>
      <c r="Z26" s="914">
        <v>1</v>
      </c>
      <c r="AA26" s="1173"/>
      <c r="AB26" s="914">
        <v>1</v>
      </c>
      <c r="AC26" s="1173"/>
      <c r="AD26" s="914">
        <v>1</v>
      </c>
      <c r="AE26" s="1173"/>
      <c r="AF26" s="914">
        <v>1</v>
      </c>
      <c r="AG26" s="1173"/>
      <c r="AH26" s="914">
        <v>1</v>
      </c>
      <c r="AI26" s="1173"/>
      <c r="AJ26" s="914">
        <v>1</v>
      </c>
      <c r="AK26" s="1173">
        <v>7000</v>
      </c>
      <c r="AL26" s="1232"/>
      <c r="AM26" s="1234"/>
      <c r="AN26" s="914">
        <v>0</v>
      </c>
      <c r="AO26" s="1173"/>
      <c r="AP26" s="914">
        <v>1</v>
      </c>
      <c r="AQ26" s="1173"/>
      <c r="AR26" s="914">
        <v>1</v>
      </c>
      <c r="AS26" s="1173"/>
      <c r="AT26" s="914">
        <v>1</v>
      </c>
      <c r="AU26" s="1173"/>
      <c r="AV26" s="914">
        <v>0</v>
      </c>
      <c r="AW26" s="1173"/>
      <c r="AX26" s="914">
        <v>1</v>
      </c>
      <c r="AY26" s="1173">
        <v>3500</v>
      </c>
      <c r="AZ26" s="1232"/>
      <c r="BA26" s="1234"/>
      <c r="BB26" s="914">
        <v>1</v>
      </c>
      <c r="BC26" s="1173"/>
      <c r="BD26" s="914">
        <v>1</v>
      </c>
      <c r="BE26" s="1173"/>
      <c r="BF26" s="914">
        <v>0</v>
      </c>
      <c r="BG26" s="1173">
        <v>1300</v>
      </c>
      <c r="BH26" s="914"/>
      <c r="BI26" s="1173"/>
      <c r="BJ26" s="914"/>
      <c r="BK26" s="1173"/>
      <c r="BL26" s="914"/>
      <c r="BM26" s="1174"/>
      <c r="BN26" s="1169">
        <f t="shared" si="0"/>
        <v>700</v>
      </c>
      <c r="BO26" s="491">
        <f t="shared" si="36"/>
        <v>19</v>
      </c>
      <c r="BP26" s="492">
        <v>21000</v>
      </c>
      <c r="BQ26" s="493">
        <f t="shared" si="2"/>
        <v>13300</v>
      </c>
      <c r="BR26" s="217">
        <f t="shared" si="3"/>
        <v>13300</v>
      </c>
      <c r="BS26" s="217"/>
      <c r="BT26" s="1170">
        <f t="shared" si="4"/>
        <v>0</v>
      </c>
      <c r="BU26" s="1261">
        <v>1300</v>
      </c>
      <c r="BW26" s="1171">
        <f t="shared" si="5"/>
        <v>700</v>
      </c>
      <c r="BX26" s="1171">
        <f t="shared" si="6"/>
        <v>700</v>
      </c>
      <c r="BY26" s="1171">
        <f t="shared" si="7"/>
        <v>0</v>
      </c>
      <c r="BZ26" s="1171">
        <f t="shared" si="8"/>
        <v>0</v>
      </c>
      <c r="CA26" s="1171">
        <f t="shared" si="9"/>
        <v>700</v>
      </c>
      <c r="CB26" s="1171">
        <f t="shared" si="10"/>
        <v>0</v>
      </c>
      <c r="CC26" s="1171">
        <f t="shared" si="11"/>
        <v>700</v>
      </c>
      <c r="CD26" s="1171">
        <f t="shared" si="12"/>
        <v>700</v>
      </c>
      <c r="CE26" s="1171">
        <f t="shared" si="13"/>
        <v>700</v>
      </c>
      <c r="CF26" s="1171">
        <f t="shared" si="14"/>
        <v>700</v>
      </c>
      <c r="CG26" s="1171">
        <f t="shared" si="15"/>
        <v>0</v>
      </c>
      <c r="CH26" s="1171">
        <f t="shared" si="16"/>
        <v>700</v>
      </c>
      <c r="CI26" s="1171">
        <f t="shared" si="17"/>
        <v>700</v>
      </c>
      <c r="CJ26" s="1171">
        <f t="shared" si="18"/>
        <v>700</v>
      </c>
      <c r="CK26" s="1171">
        <f t="shared" si="19"/>
        <v>700</v>
      </c>
      <c r="CL26" s="1171">
        <f t="shared" si="20"/>
        <v>700</v>
      </c>
      <c r="CM26" s="1171">
        <f t="shared" si="21"/>
        <v>700</v>
      </c>
      <c r="CN26" s="1171">
        <f t="shared" si="22"/>
        <v>0</v>
      </c>
      <c r="CO26" s="1171">
        <f t="shared" si="23"/>
        <v>0</v>
      </c>
      <c r="CP26" s="1171">
        <f t="shared" si="24"/>
        <v>700</v>
      </c>
      <c r="CQ26" s="1171">
        <f t="shared" si="25"/>
        <v>700</v>
      </c>
      <c r="CR26" s="1171">
        <f t="shared" si="26"/>
        <v>700</v>
      </c>
      <c r="CS26" s="1171">
        <f t="shared" si="27"/>
        <v>0</v>
      </c>
      <c r="CT26" s="1171">
        <f t="shared" si="28"/>
        <v>700</v>
      </c>
      <c r="CU26" s="1171">
        <f t="shared" si="29"/>
        <v>0</v>
      </c>
      <c r="CV26" s="1171">
        <f t="shared" si="30"/>
        <v>700</v>
      </c>
      <c r="CW26" s="1171">
        <f t="shared" si="31"/>
        <v>700</v>
      </c>
      <c r="CX26" s="1171">
        <f t="shared" si="32"/>
        <v>0</v>
      </c>
      <c r="CY26" s="1171">
        <f t="shared" si="33"/>
        <v>0</v>
      </c>
      <c r="CZ26" s="1171">
        <f t="shared" si="34"/>
        <v>0</v>
      </c>
      <c r="DA26" s="1171">
        <f t="shared" si="35"/>
        <v>0</v>
      </c>
    </row>
    <row r="27" spans="1:105" ht="24.75" thickTop="1" thickBot="1">
      <c r="B27" s="69">
        <v>22</v>
      </c>
      <c r="C27" s="1108" t="s">
        <v>415</v>
      </c>
      <c r="D27" s="914">
        <v>1</v>
      </c>
      <c r="E27" s="1172"/>
      <c r="F27" s="914">
        <v>0</v>
      </c>
      <c r="G27" s="1173"/>
      <c r="H27" s="914">
        <v>0</v>
      </c>
      <c r="I27" s="1173">
        <v>1000</v>
      </c>
      <c r="J27" s="1232"/>
      <c r="K27" s="1249"/>
      <c r="L27" s="914"/>
      <c r="M27" s="1172"/>
      <c r="N27" s="914">
        <v>0</v>
      </c>
      <c r="O27" s="1173"/>
      <c r="P27" s="914"/>
      <c r="Q27" s="1173"/>
      <c r="R27" s="914"/>
      <c r="S27" s="1173"/>
      <c r="T27" s="914"/>
      <c r="U27" s="1173"/>
      <c r="V27" s="914"/>
      <c r="W27" s="1173"/>
      <c r="X27" s="1232"/>
      <c r="Y27" s="1234"/>
      <c r="Z27" s="914"/>
      <c r="AA27" s="1173"/>
      <c r="AB27" s="914">
        <v>0</v>
      </c>
      <c r="AC27" s="1173"/>
      <c r="AD27" s="914">
        <v>0</v>
      </c>
      <c r="AE27" s="1173"/>
      <c r="AF27" s="914">
        <v>1</v>
      </c>
      <c r="AG27" s="1173"/>
      <c r="AH27" s="914">
        <v>1</v>
      </c>
      <c r="AI27" s="1173"/>
      <c r="AJ27" s="914">
        <v>1</v>
      </c>
      <c r="AK27" s="1173">
        <v>500</v>
      </c>
      <c r="AL27" s="1232"/>
      <c r="AM27" s="1234"/>
      <c r="AN27" s="914">
        <v>1</v>
      </c>
      <c r="AO27" s="1173">
        <v>2000</v>
      </c>
      <c r="AP27" s="914">
        <v>0</v>
      </c>
      <c r="AQ27" s="1173"/>
      <c r="AR27" s="914">
        <v>1</v>
      </c>
      <c r="AS27" s="1173"/>
      <c r="AT27" s="914">
        <v>1</v>
      </c>
      <c r="AU27" s="1173"/>
      <c r="AV27" s="914">
        <v>0</v>
      </c>
      <c r="AW27" s="1173"/>
      <c r="AX27" s="914">
        <v>1</v>
      </c>
      <c r="AY27" s="1173"/>
      <c r="AZ27" s="1232"/>
      <c r="BA27" s="1234"/>
      <c r="BB27" s="914">
        <v>1</v>
      </c>
      <c r="BC27" s="1173"/>
      <c r="BD27" s="914">
        <v>1</v>
      </c>
      <c r="BE27" s="1173"/>
      <c r="BF27" s="914">
        <v>1</v>
      </c>
      <c r="BG27" s="1173">
        <v>4200</v>
      </c>
      <c r="BH27" s="914"/>
      <c r="BI27" s="1173"/>
      <c r="BJ27" s="914"/>
      <c r="BK27" s="1173"/>
      <c r="BL27" s="914"/>
      <c r="BM27" s="1174"/>
      <c r="BN27" s="1169">
        <f t="shared" si="0"/>
        <v>700</v>
      </c>
      <c r="BO27" s="491">
        <f t="shared" si="36"/>
        <v>11</v>
      </c>
      <c r="BP27" s="492">
        <v>21000</v>
      </c>
      <c r="BQ27" s="493">
        <f t="shared" si="2"/>
        <v>7700</v>
      </c>
      <c r="BR27" s="217">
        <f t="shared" si="3"/>
        <v>7700</v>
      </c>
      <c r="BS27" s="217"/>
      <c r="BT27" s="1170">
        <f t="shared" si="4"/>
        <v>0</v>
      </c>
      <c r="BU27" s="1261">
        <v>4200</v>
      </c>
      <c r="BW27" s="1171">
        <f t="shared" si="5"/>
        <v>700</v>
      </c>
      <c r="BX27" s="1171">
        <f t="shared" si="6"/>
        <v>0</v>
      </c>
      <c r="BY27" s="1171">
        <f t="shared" si="7"/>
        <v>0</v>
      </c>
      <c r="BZ27" s="1171">
        <f t="shared" si="8"/>
        <v>0</v>
      </c>
      <c r="CA27" s="1171">
        <f t="shared" si="9"/>
        <v>0</v>
      </c>
      <c r="CB27" s="1171">
        <f t="shared" si="10"/>
        <v>0</v>
      </c>
      <c r="CC27" s="1171">
        <f t="shared" si="11"/>
        <v>0</v>
      </c>
      <c r="CD27" s="1171">
        <f t="shared" si="12"/>
        <v>0</v>
      </c>
      <c r="CE27" s="1171">
        <f t="shared" si="13"/>
        <v>0</v>
      </c>
      <c r="CF27" s="1171">
        <f t="shared" si="14"/>
        <v>0</v>
      </c>
      <c r="CG27" s="1171">
        <f t="shared" si="15"/>
        <v>0</v>
      </c>
      <c r="CH27" s="1171">
        <f t="shared" si="16"/>
        <v>0</v>
      </c>
      <c r="CI27" s="1171">
        <f t="shared" si="17"/>
        <v>0</v>
      </c>
      <c r="CJ27" s="1171">
        <f t="shared" si="18"/>
        <v>0</v>
      </c>
      <c r="CK27" s="1171">
        <f t="shared" si="19"/>
        <v>700</v>
      </c>
      <c r="CL27" s="1171">
        <f t="shared" si="20"/>
        <v>700</v>
      </c>
      <c r="CM27" s="1171">
        <f t="shared" si="21"/>
        <v>700</v>
      </c>
      <c r="CN27" s="1171">
        <f t="shared" si="22"/>
        <v>0</v>
      </c>
      <c r="CO27" s="1171">
        <f t="shared" si="23"/>
        <v>700</v>
      </c>
      <c r="CP27" s="1171">
        <f t="shared" si="24"/>
        <v>0</v>
      </c>
      <c r="CQ27" s="1171">
        <f t="shared" si="25"/>
        <v>700</v>
      </c>
      <c r="CR27" s="1171">
        <f t="shared" si="26"/>
        <v>700</v>
      </c>
      <c r="CS27" s="1171">
        <f t="shared" si="27"/>
        <v>0</v>
      </c>
      <c r="CT27" s="1171">
        <f t="shared" si="28"/>
        <v>700</v>
      </c>
      <c r="CU27" s="1171">
        <f t="shared" si="29"/>
        <v>0</v>
      </c>
      <c r="CV27" s="1171">
        <f t="shared" si="30"/>
        <v>700</v>
      </c>
      <c r="CW27" s="1171">
        <f t="shared" si="31"/>
        <v>700</v>
      </c>
      <c r="CX27" s="1171">
        <f t="shared" si="32"/>
        <v>700</v>
      </c>
      <c r="CY27" s="1171">
        <f t="shared" si="33"/>
        <v>0</v>
      </c>
      <c r="CZ27" s="1171">
        <f t="shared" si="34"/>
        <v>0</v>
      </c>
      <c r="DA27" s="1171">
        <f t="shared" si="35"/>
        <v>0</v>
      </c>
    </row>
    <row r="28" spans="1:105" ht="24.75" thickTop="1" thickBot="1">
      <c r="B28" s="69">
        <v>23</v>
      </c>
      <c r="C28" s="1108" t="s">
        <v>418</v>
      </c>
      <c r="D28" s="914">
        <v>1</v>
      </c>
      <c r="E28" s="1172"/>
      <c r="F28" s="914">
        <v>1</v>
      </c>
      <c r="G28" s="1173"/>
      <c r="H28" s="914">
        <v>0</v>
      </c>
      <c r="I28" s="1173">
        <v>1400</v>
      </c>
      <c r="J28" s="1232"/>
      <c r="K28" s="1249"/>
      <c r="L28" s="914"/>
      <c r="M28" s="1172"/>
      <c r="N28" s="914">
        <v>0</v>
      </c>
      <c r="O28" s="1173"/>
      <c r="P28" s="914">
        <v>0</v>
      </c>
      <c r="Q28" s="1173"/>
      <c r="R28" s="914">
        <v>0</v>
      </c>
      <c r="S28" s="1173"/>
      <c r="T28" s="914">
        <v>0</v>
      </c>
      <c r="U28" s="1173"/>
      <c r="V28" s="914">
        <v>0</v>
      </c>
      <c r="W28" s="1173"/>
      <c r="X28" s="1232"/>
      <c r="Y28" s="1234"/>
      <c r="Z28" s="914"/>
      <c r="AA28" s="1173"/>
      <c r="AB28" s="914">
        <v>0</v>
      </c>
      <c r="AC28" s="1173"/>
      <c r="AD28" s="914">
        <v>0</v>
      </c>
      <c r="AE28" s="1173"/>
      <c r="AF28" s="914">
        <v>0</v>
      </c>
      <c r="AG28" s="1173"/>
      <c r="AH28" s="914">
        <v>0</v>
      </c>
      <c r="AI28" s="1173"/>
      <c r="AJ28" s="914">
        <v>0</v>
      </c>
      <c r="AK28" s="1173"/>
      <c r="AL28" s="1232"/>
      <c r="AM28" s="1234"/>
      <c r="AN28" s="914">
        <v>0</v>
      </c>
      <c r="AO28" s="1173"/>
      <c r="AP28" s="914">
        <v>0</v>
      </c>
      <c r="AQ28" s="1173"/>
      <c r="AR28" s="914"/>
      <c r="AS28" s="1173"/>
      <c r="AT28" s="914">
        <v>0</v>
      </c>
      <c r="AU28" s="1173"/>
      <c r="AV28" s="914">
        <v>0</v>
      </c>
      <c r="AW28" s="1173"/>
      <c r="AX28" s="914">
        <v>0</v>
      </c>
      <c r="AY28" s="1173"/>
      <c r="AZ28" s="1232"/>
      <c r="BA28" s="1234"/>
      <c r="BB28" s="914"/>
      <c r="BC28" s="1173"/>
      <c r="BD28" s="914">
        <v>0</v>
      </c>
      <c r="BE28" s="1173"/>
      <c r="BF28" s="914">
        <v>0</v>
      </c>
      <c r="BG28" s="1173"/>
      <c r="BH28" s="914"/>
      <c r="BI28" s="1173"/>
      <c r="BJ28" s="914"/>
      <c r="BK28" s="1173"/>
      <c r="BL28" s="914"/>
      <c r="BM28" s="1174"/>
      <c r="BN28" s="1169">
        <f t="shared" si="0"/>
        <v>700</v>
      </c>
      <c r="BO28" s="491">
        <f t="shared" si="36"/>
        <v>2</v>
      </c>
      <c r="BP28" s="492">
        <v>21000</v>
      </c>
      <c r="BQ28" s="493">
        <f t="shared" si="2"/>
        <v>1400</v>
      </c>
      <c r="BR28" s="217">
        <f t="shared" si="3"/>
        <v>1400</v>
      </c>
      <c r="BS28" s="217"/>
      <c r="BT28" s="1170">
        <f t="shared" si="4"/>
        <v>0</v>
      </c>
      <c r="BU28" s="1261">
        <v>0</v>
      </c>
      <c r="BW28" s="1171">
        <f t="shared" si="5"/>
        <v>700</v>
      </c>
      <c r="BX28" s="1171">
        <f t="shared" si="6"/>
        <v>700</v>
      </c>
      <c r="BY28" s="1171">
        <f t="shared" si="7"/>
        <v>0</v>
      </c>
      <c r="BZ28" s="1171">
        <f t="shared" si="8"/>
        <v>0</v>
      </c>
      <c r="CA28" s="1171">
        <f t="shared" si="9"/>
        <v>0</v>
      </c>
      <c r="CB28" s="1171">
        <f t="shared" si="10"/>
        <v>0</v>
      </c>
      <c r="CC28" s="1171">
        <f t="shared" si="11"/>
        <v>0</v>
      </c>
      <c r="CD28" s="1171">
        <f t="shared" si="12"/>
        <v>0</v>
      </c>
      <c r="CE28" s="1171">
        <f t="shared" si="13"/>
        <v>0</v>
      </c>
      <c r="CF28" s="1171">
        <f t="shared" si="14"/>
        <v>0</v>
      </c>
      <c r="CG28" s="1171">
        <f t="shared" si="15"/>
        <v>0</v>
      </c>
      <c r="CH28" s="1171">
        <f t="shared" si="16"/>
        <v>0</v>
      </c>
      <c r="CI28" s="1171">
        <f t="shared" si="17"/>
        <v>0</v>
      </c>
      <c r="CJ28" s="1171">
        <f t="shared" si="18"/>
        <v>0</v>
      </c>
      <c r="CK28" s="1171">
        <f t="shared" si="19"/>
        <v>0</v>
      </c>
      <c r="CL28" s="1171">
        <f t="shared" si="20"/>
        <v>0</v>
      </c>
      <c r="CM28" s="1171">
        <f t="shared" si="21"/>
        <v>0</v>
      </c>
      <c r="CN28" s="1171">
        <f t="shared" si="22"/>
        <v>0</v>
      </c>
      <c r="CO28" s="1171">
        <f t="shared" si="23"/>
        <v>0</v>
      </c>
      <c r="CP28" s="1171">
        <f t="shared" si="24"/>
        <v>0</v>
      </c>
      <c r="CQ28" s="1171">
        <f t="shared" si="25"/>
        <v>0</v>
      </c>
      <c r="CR28" s="1171">
        <f t="shared" si="26"/>
        <v>0</v>
      </c>
      <c r="CS28" s="1171">
        <f t="shared" si="27"/>
        <v>0</v>
      </c>
      <c r="CT28" s="1171">
        <f t="shared" si="28"/>
        <v>0</v>
      </c>
      <c r="CU28" s="1171">
        <f t="shared" si="29"/>
        <v>0</v>
      </c>
      <c r="CV28" s="1171">
        <f t="shared" si="30"/>
        <v>0</v>
      </c>
      <c r="CW28" s="1171">
        <f t="shared" si="31"/>
        <v>0</v>
      </c>
      <c r="CX28" s="1171">
        <f t="shared" si="32"/>
        <v>0</v>
      </c>
      <c r="CY28" s="1171">
        <f t="shared" si="33"/>
        <v>0</v>
      </c>
      <c r="CZ28" s="1171">
        <f t="shared" si="34"/>
        <v>0</v>
      </c>
      <c r="DA28" s="1171">
        <f t="shared" si="35"/>
        <v>0</v>
      </c>
    </row>
    <row r="29" spans="1:105" ht="24.75" thickTop="1" thickBot="1">
      <c r="B29" s="69">
        <v>24</v>
      </c>
      <c r="C29" s="1108" t="s">
        <v>423</v>
      </c>
      <c r="D29" s="914">
        <v>1</v>
      </c>
      <c r="E29" s="1172"/>
      <c r="F29" s="914">
        <v>1</v>
      </c>
      <c r="G29" s="1173"/>
      <c r="H29" s="914">
        <v>0</v>
      </c>
      <c r="I29" s="1173"/>
      <c r="J29" s="1232">
        <v>0</v>
      </c>
      <c r="K29" s="1249"/>
      <c r="L29" s="914">
        <v>1</v>
      </c>
      <c r="M29" s="1172"/>
      <c r="N29" s="914">
        <v>0</v>
      </c>
      <c r="O29" s="1173"/>
      <c r="P29" s="914">
        <v>1</v>
      </c>
      <c r="Q29" s="1173"/>
      <c r="R29" s="914">
        <v>1</v>
      </c>
      <c r="S29" s="1173"/>
      <c r="T29" s="914">
        <v>1</v>
      </c>
      <c r="U29" s="1173"/>
      <c r="V29" s="914">
        <v>1</v>
      </c>
      <c r="W29" s="1173">
        <v>7000</v>
      </c>
      <c r="X29" s="1232"/>
      <c r="Y29" s="1234"/>
      <c r="Z29" s="914">
        <v>0</v>
      </c>
      <c r="AA29" s="1173"/>
      <c r="AB29" s="914">
        <v>1</v>
      </c>
      <c r="AC29" s="1173"/>
      <c r="AD29" s="914">
        <v>1</v>
      </c>
      <c r="AE29" s="1173">
        <v>300</v>
      </c>
      <c r="AF29" s="914">
        <v>1</v>
      </c>
      <c r="AG29" s="1173"/>
      <c r="AH29" s="914">
        <v>2</v>
      </c>
      <c r="AI29" s="1173"/>
      <c r="AJ29" s="914">
        <v>1</v>
      </c>
      <c r="AK29" s="1173">
        <v>800</v>
      </c>
      <c r="AL29" s="1232"/>
      <c r="AM29" s="1234"/>
      <c r="AN29" s="914">
        <v>0</v>
      </c>
      <c r="AO29" s="1173"/>
      <c r="AP29" s="914">
        <v>1</v>
      </c>
      <c r="AQ29" s="1173"/>
      <c r="AR29" s="914">
        <v>1</v>
      </c>
      <c r="AS29" s="1173"/>
      <c r="AT29" s="914">
        <v>1</v>
      </c>
      <c r="AU29" s="1173"/>
      <c r="AV29" s="914">
        <v>0</v>
      </c>
      <c r="AW29" s="1173"/>
      <c r="AX29" s="914">
        <v>1</v>
      </c>
      <c r="AY29" s="1173">
        <v>500</v>
      </c>
      <c r="AZ29" s="1232"/>
      <c r="BA29" s="1234"/>
      <c r="BB29" s="914">
        <v>1</v>
      </c>
      <c r="BC29" s="1173"/>
      <c r="BD29" s="914">
        <v>1</v>
      </c>
      <c r="BE29" s="1173"/>
      <c r="BF29" s="914">
        <v>0</v>
      </c>
      <c r="BG29" s="1173">
        <v>4700</v>
      </c>
      <c r="BH29" s="914"/>
      <c r="BI29" s="1173"/>
      <c r="BJ29" s="914"/>
      <c r="BK29" s="1173"/>
      <c r="BL29" s="914"/>
      <c r="BM29" s="1174"/>
      <c r="BN29" s="1169">
        <f t="shared" si="0"/>
        <v>700</v>
      </c>
      <c r="BO29" s="491">
        <f t="shared" si="36"/>
        <v>19</v>
      </c>
      <c r="BP29" s="492">
        <v>21000</v>
      </c>
      <c r="BQ29" s="493">
        <f t="shared" si="2"/>
        <v>13300</v>
      </c>
      <c r="BR29" s="217">
        <f t="shared" si="3"/>
        <v>13300</v>
      </c>
      <c r="BS29" s="217"/>
      <c r="BT29" s="1170">
        <f t="shared" si="4"/>
        <v>0</v>
      </c>
      <c r="BU29" s="1261">
        <v>4700</v>
      </c>
      <c r="BW29" s="1171">
        <f t="shared" si="5"/>
        <v>700</v>
      </c>
      <c r="BX29" s="1171">
        <f t="shared" si="6"/>
        <v>700</v>
      </c>
      <c r="BY29" s="1171">
        <f t="shared" si="7"/>
        <v>0</v>
      </c>
      <c r="BZ29" s="1171">
        <f t="shared" si="8"/>
        <v>0</v>
      </c>
      <c r="CA29" s="1171">
        <f t="shared" si="9"/>
        <v>700</v>
      </c>
      <c r="CB29" s="1171">
        <f t="shared" si="10"/>
        <v>0</v>
      </c>
      <c r="CC29" s="1171">
        <f t="shared" si="11"/>
        <v>700</v>
      </c>
      <c r="CD29" s="1171">
        <f t="shared" si="12"/>
        <v>700</v>
      </c>
      <c r="CE29" s="1171">
        <f t="shared" si="13"/>
        <v>700</v>
      </c>
      <c r="CF29" s="1171">
        <f t="shared" si="14"/>
        <v>700</v>
      </c>
      <c r="CG29" s="1171">
        <f t="shared" si="15"/>
        <v>0</v>
      </c>
      <c r="CH29" s="1171">
        <f t="shared" si="16"/>
        <v>0</v>
      </c>
      <c r="CI29" s="1171">
        <f t="shared" si="17"/>
        <v>700</v>
      </c>
      <c r="CJ29" s="1171">
        <f t="shared" si="18"/>
        <v>700</v>
      </c>
      <c r="CK29" s="1171">
        <f t="shared" si="19"/>
        <v>700</v>
      </c>
      <c r="CL29" s="1171">
        <f t="shared" si="20"/>
        <v>1400</v>
      </c>
      <c r="CM29" s="1171">
        <f t="shared" si="21"/>
        <v>700</v>
      </c>
      <c r="CN29" s="1171">
        <f t="shared" si="22"/>
        <v>0</v>
      </c>
      <c r="CO29" s="1171">
        <f t="shared" si="23"/>
        <v>0</v>
      </c>
      <c r="CP29" s="1171">
        <f t="shared" si="24"/>
        <v>700</v>
      </c>
      <c r="CQ29" s="1171">
        <f t="shared" si="25"/>
        <v>700</v>
      </c>
      <c r="CR29" s="1171">
        <f t="shared" si="26"/>
        <v>700</v>
      </c>
      <c r="CS29" s="1171">
        <f t="shared" si="27"/>
        <v>0</v>
      </c>
      <c r="CT29" s="1171">
        <f t="shared" si="28"/>
        <v>700</v>
      </c>
      <c r="CU29" s="1171">
        <f t="shared" si="29"/>
        <v>0</v>
      </c>
      <c r="CV29" s="1171">
        <f t="shared" si="30"/>
        <v>700</v>
      </c>
      <c r="CW29" s="1171">
        <f t="shared" si="31"/>
        <v>700</v>
      </c>
      <c r="CX29" s="1171">
        <f t="shared" si="32"/>
        <v>0</v>
      </c>
      <c r="CY29" s="1171">
        <f t="shared" si="33"/>
        <v>0</v>
      </c>
      <c r="CZ29" s="1171">
        <f t="shared" si="34"/>
        <v>0</v>
      </c>
      <c r="DA29" s="1171">
        <f t="shared" si="35"/>
        <v>0</v>
      </c>
    </row>
    <row r="30" spans="1:105" ht="24.75" thickTop="1" thickBot="1">
      <c r="B30" s="69">
        <v>25</v>
      </c>
      <c r="C30" s="1108" t="s">
        <v>446</v>
      </c>
      <c r="D30" s="914">
        <v>1</v>
      </c>
      <c r="E30" s="1172"/>
      <c r="F30" s="914">
        <v>1</v>
      </c>
      <c r="G30" s="916"/>
      <c r="H30" s="914">
        <v>0</v>
      </c>
      <c r="I30" s="1173">
        <v>500</v>
      </c>
      <c r="J30" s="1232">
        <v>0</v>
      </c>
      <c r="K30" s="1249"/>
      <c r="L30" s="914">
        <v>1</v>
      </c>
      <c r="M30" s="1172"/>
      <c r="N30" s="914">
        <v>0</v>
      </c>
      <c r="O30" s="1173"/>
      <c r="P30" s="914">
        <v>1</v>
      </c>
      <c r="Q30" s="1173"/>
      <c r="R30" s="914">
        <v>1</v>
      </c>
      <c r="S30" s="1173"/>
      <c r="T30" s="914">
        <v>1</v>
      </c>
      <c r="U30" s="1173"/>
      <c r="V30" s="914">
        <v>1</v>
      </c>
      <c r="W30" s="1173">
        <v>1000</v>
      </c>
      <c r="X30" s="1232"/>
      <c r="Y30" s="1234"/>
      <c r="Z30" s="914">
        <v>1</v>
      </c>
      <c r="AA30" s="1173"/>
      <c r="AB30" s="914">
        <v>1</v>
      </c>
      <c r="AC30" s="1173"/>
      <c r="AD30" s="914">
        <v>1</v>
      </c>
      <c r="AE30" s="1173">
        <v>300</v>
      </c>
      <c r="AF30" s="914">
        <v>0</v>
      </c>
      <c r="AG30" s="1173">
        <v>1200</v>
      </c>
      <c r="AH30" s="914">
        <v>0</v>
      </c>
      <c r="AI30" s="1173"/>
      <c r="AJ30" s="914">
        <v>0</v>
      </c>
      <c r="AK30" s="1173"/>
      <c r="AL30" s="1232"/>
      <c r="AM30" s="1234"/>
      <c r="AN30" s="914">
        <v>0</v>
      </c>
      <c r="AO30" s="1173"/>
      <c r="AP30" s="914">
        <v>0</v>
      </c>
      <c r="AQ30" s="1173"/>
      <c r="AR30" s="914"/>
      <c r="AS30" s="1173"/>
      <c r="AT30" s="914">
        <v>0</v>
      </c>
      <c r="AU30" s="1173"/>
      <c r="AV30" s="914">
        <v>0</v>
      </c>
      <c r="AW30" s="1173"/>
      <c r="AX30" s="914">
        <v>0</v>
      </c>
      <c r="AY30" s="1173"/>
      <c r="AZ30" s="1232"/>
      <c r="BA30" s="1234"/>
      <c r="BB30" s="914">
        <v>0</v>
      </c>
      <c r="BC30" s="1173"/>
      <c r="BD30" s="914"/>
      <c r="BE30" s="1173"/>
      <c r="BF30" s="914">
        <v>0</v>
      </c>
      <c r="BG30" s="1173"/>
      <c r="BH30" s="914"/>
      <c r="BI30" s="1173"/>
      <c r="BJ30" s="914"/>
      <c r="BK30" s="1173"/>
      <c r="BL30" s="914"/>
      <c r="BM30" s="1174"/>
      <c r="BN30" s="1169">
        <f t="shared" si="0"/>
        <v>700</v>
      </c>
      <c r="BO30" s="491">
        <f t="shared" si="36"/>
        <v>10</v>
      </c>
      <c r="BP30" s="492">
        <v>21000</v>
      </c>
      <c r="BQ30" s="493">
        <f t="shared" si="2"/>
        <v>7000</v>
      </c>
      <c r="BR30" s="217">
        <f t="shared" si="3"/>
        <v>3000</v>
      </c>
      <c r="BS30" s="217">
        <v>4000</v>
      </c>
      <c r="BT30" s="1170">
        <f t="shared" si="4"/>
        <v>0</v>
      </c>
      <c r="BU30" s="1261"/>
      <c r="BW30" s="1171">
        <f t="shared" si="5"/>
        <v>700</v>
      </c>
      <c r="BX30" s="1171">
        <f t="shared" si="6"/>
        <v>700</v>
      </c>
      <c r="BY30" s="1171">
        <f t="shared" si="7"/>
        <v>0</v>
      </c>
      <c r="BZ30" s="1171">
        <f t="shared" si="8"/>
        <v>0</v>
      </c>
      <c r="CA30" s="1171">
        <f t="shared" si="9"/>
        <v>700</v>
      </c>
      <c r="CB30" s="1171">
        <f t="shared" si="10"/>
        <v>0</v>
      </c>
      <c r="CC30" s="1171">
        <f t="shared" si="11"/>
        <v>700</v>
      </c>
      <c r="CD30" s="1171">
        <f t="shared" si="12"/>
        <v>700</v>
      </c>
      <c r="CE30" s="1171">
        <f t="shared" si="13"/>
        <v>700</v>
      </c>
      <c r="CF30" s="1171">
        <f t="shared" si="14"/>
        <v>700</v>
      </c>
      <c r="CG30" s="1171">
        <f t="shared" si="15"/>
        <v>0</v>
      </c>
      <c r="CH30" s="1171">
        <f t="shared" si="16"/>
        <v>700</v>
      </c>
      <c r="CI30" s="1171">
        <f t="shared" si="17"/>
        <v>700</v>
      </c>
      <c r="CJ30" s="1171">
        <f t="shared" si="18"/>
        <v>700</v>
      </c>
      <c r="CK30" s="1171">
        <f t="shared" si="19"/>
        <v>0</v>
      </c>
      <c r="CL30" s="1171">
        <f t="shared" si="20"/>
        <v>0</v>
      </c>
      <c r="CM30" s="1171">
        <f t="shared" si="21"/>
        <v>0</v>
      </c>
      <c r="CN30" s="1171">
        <f t="shared" si="22"/>
        <v>0</v>
      </c>
      <c r="CO30" s="1171">
        <f t="shared" si="23"/>
        <v>0</v>
      </c>
      <c r="CP30" s="1171">
        <f t="shared" si="24"/>
        <v>0</v>
      </c>
      <c r="CQ30" s="1171">
        <f t="shared" si="25"/>
        <v>0</v>
      </c>
      <c r="CR30" s="1171">
        <f t="shared" si="26"/>
        <v>0</v>
      </c>
      <c r="CS30" s="1171">
        <f t="shared" si="27"/>
        <v>0</v>
      </c>
      <c r="CT30" s="1171">
        <f t="shared" si="28"/>
        <v>0</v>
      </c>
      <c r="CU30" s="1171">
        <f t="shared" si="29"/>
        <v>0</v>
      </c>
      <c r="CV30" s="1171">
        <f t="shared" si="30"/>
        <v>0</v>
      </c>
      <c r="CW30" s="1171">
        <f t="shared" si="31"/>
        <v>0</v>
      </c>
      <c r="CX30" s="1171">
        <f t="shared" si="32"/>
        <v>0</v>
      </c>
      <c r="CY30" s="1171">
        <f t="shared" si="33"/>
        <v>0</v>
      </c>
      <c r="CZ30" s="1171">
        <f t="shared" si="34"/>
        <v>0</v>
      </c>
      <c r="DA30" s="1171">
        <f t="shared" si="35"/>
        <v>0</v>
      </c>
    </row>
    <row r="31" spans="1:105" ht="24.75" thickTop="1" thickBot="1">
      <c r="B31" s="69">
        <v>26</v>
      </c>
      <c r="C31" s="1108" t="s">
        <v>427</v>
      </c>
      <c r="D31" s="914">
        <v>1</v>
      </c>
      <c r="E31" s="1172"/>
      <c r="F31" s="914">
        <v>1</v>
      </c>
      <c r="G31" s="916"/>
      <c r="H31" s="914">
        <v>0</v>
      </c>
      <c r="I31" s="1173">
        <v>650</v>
      </c>
      <c r="J31" s="1232">
        <v>0</v>
      </c>
      <c r="K31" s="1249"/>
      <c r="L31" s="914">
        <v>1</v>
      </c>
      <c r="M31" s="1172"/>
      <c r="N31" s="914">
        <v>0</v>
      </c>
      <c r="O31" s="1173"/>
      <c r="P31" s="914">
        <v>1</v>
      </c>
      <c r="Q31" s="1173"/>
      <c r="R31" s="914">
        <v>1</v>
      </c>
      <c r="S31" s="1173"/>
      <c r="T31" s="914">
        <v>1</v>
      </c>
      <c r="U31" s="1173"/>
      <c r="V31" s="914">
        <v>1</v>
      </c>
      <c r="W31" s="1173">
        <v>10000</v>
      </c>
      <c r="X31" s="1232"/>
      <c r="Y31" s="1234"/>
      <c r="Z31" s="914">
        <v>1</v>
      </c>
      <c r="AA31" s="1173"/>
      <c r="AB31" s="914">
        <v>1</v>
      </c>
      <c r="AC31" s="1173"/>
      <c r="AD31" s="914">
        <v>1</v>
      </c>
      <c r="AE31" s="1173">
        <v>300</v>
      </c>
      <c r="AF31" s="914">
        <v>1</v>
      </c>
      <c r="AG31" s="1173"/>
      <c r="AH31" s="914">
        <v>1</v>
      </c>
      <c r="AI31" s="1173"/>
      <c r="AJ31" s="914">
        <v>1</v>
      </c>
      <c r="AK31" s="1173">
        <v>800</v>
      </c>
      <c r="AL31" s="1232"/>
      <c r="AM31" s="1234"/>
      <c r="AN31" s="914">
        <v>1</v>
      </c>
      <c r="AO31" s="1173"/>
      <c r="AP31" s="914">
        <v>0</v>
      </c>
      <c r="AQ31" s="1173"/>
      <c r="AR31" s="914">
        <v>1</v>
      </c>
      <c r="AS31" s="1173"/>
      <c r="AT31" s="914">
        <v>1</v>
      </c>
      <c r="AU31" s="1173"/>
      <c r="AV31" s="914">
        <v>0</v>
      </c>
      <c r="AW31" s="1173"/>
      <c r="AX31" s="914">
        <v>1</v>
      </c>
      <c r="AY31" s="1173">
        <v>20000</v>
      </c>
      <c r="AZ31" s="1232"/>
      <c r="BA31" s="1234"/>
      <c r="BB31" s="914">
        <v>1</v>
      </c>
      <c r="BC31" s="1173"/>
      <c r="BD31" s="914">
        <v>1</v>
      </c>
      <c r="BE31" s="1173"/>
      <c r="BF31" s="914">
        <v>1</v>
      </c>
      <c r="BG31" s="1173"/>
      <c r="BH31" s="914"/>
      <c r="BI31" s="1173"/>
      <c r="BJ31" s="914"/>
      <c r="BK31" s="1173"/>
      <c r="BL31" s="914"/>
      <c r="BM31" s="1174"/>
      <c r="BN31" s="1169">
        <f t="shared" si="0"/>
        <v>700</v>
      </c>
      <c r="BO31" s="491">
        <f t="shared" si="36"/>
        <v>20</v>
      </c>
      <c r="BP31" s="492">
        <v>21000</v>
      </c>
      <c r="BQ31" s="493">
        <f t="shared" si="2"/>
        <v>14000</v>
      </c>
      <c r="BR31" s="217">
        <f t="shared" si="3"/>
        <v>31750</v>
      </c>
      <c r="BS31" s="217">
        <v>350</v>
      </c>
      <c r="BT31" s="1170">
        <f t="shared" si="4"/>
        <v>-18100</v>
      </c>
      <c r="BU31" s="1261"/>
      <c r="BW31" s="1171">
        <f t="shared" si="5"/>
        <v>700</v>
      </c>
      <c r="BX31" s="1171">
        <f t="shared" si="6"/>
        <v>700</v>
      </c>
      <c r="BY31" s="1171">
        <f t="shared" si="7"/>
        <v>0</v>
      </c>
      <c r="BZ31" s="1171">
        <f t="shared" si="8"/>
        <v>0</v>
      </c>
      <c r="CA31" s="1171">
        <f t="shared" si="9"/>
        <v>700</v>
      </c>
      <c r="CB31" s="1171">
        <f t="shared" si="10"/>
        <v>0</v>
      </c>
      <c r="CC31" s="1171">
        <f t="shared" si="11"/>
        <v>700</v>
      </c>
      <c r="CD31" s="1171">
        <f t="shared" si="12"/>
        <v>700</v>
      </c>
      <c r="CE31" s="1171">
        <f t="shared" si="13"/>
        <v>700</v>
      </c>
      <c r="CF31" s="1171">
        <f t="shared" si="14"/>
        <v>700</v>
      </c>
      <c r="CG31" s="1171">
        <f t="shared" si="15"/>
        <v>0</v>
      </c>
      <c r="CH31" s="1171">
        <f t="shared" si="16"/>
        <v>700</v>
      </c>
      <c r="CI31" s="1171">
        <f t="shared" si="17"/>
        <v>700</v>
      </c>
      <c r="CJ31" s="1171">
        <f t="shared" si="18"/>
        <v>700</v>
      </c>
      <c r="CK31" s="1171">
        <f t="shared" si="19"/>
        <v>700</v>
      </c>
      <c r="CL31" s="1171">
        <f t="shared" si="20"/>
        <v>700</v>
      </c>
      <c r="CM31" s="1171">
        <f t="shared" si="21"/>
        <v>700</v>
      </c>
      <c r="CN31" s="1171">
        <f t="shared" si="22"/>
        <v>0</v>
      </c>
      <c r="CO31" s="1171">
        <f t="shared" si="23"/>
        <v>700</v>
      </c>
      <c r="CP31" s="1171">
        <f t="shared" si="24"/>
        <v>0</v>
      </c>
      <c r="CQ31" s="1171">
        <f t="shared" si="25"/>
        <v>700</v>
      </c>
      <c r="CR31" s="1171">
        <f t="shared" si="26"/>
        <v>700</v>
      </c>
      <c r="CS31" s="1171">
        <f t="shared" si="27"/>
        <v>0</v>
      </c>
      <c r="CT31" s="1171">
        <f t="shared" si="28"/>
        <v>700</v>
      </c>
      <c r="CU31" s="1171">
        <f t="shared" si="29"/>
        <v>0</v>
      </c>
      <c r="CV31" s="1171">
        <f t="shared" si="30"/>
        <v>700</v>
      </c>
      <c r="CW31" s="1171">
        <f t="shared" si="31"/>
        <v>700</v>
      </c>
      <c r="CX31" s="1171">
        <f t="shared" si="32"/>
        <v>700</v>
      </c>
      <c r="CY31" s="1171">
        <f t="shared" si="33"/>
        <v>0</v>
      </c>
      <c r="CZ31" s="1171">
        <f t="shared" si="34"/>
        <v>0</v>
      </c>
      <c r="DA31" s="1171">
        <f t="shared" si="35"/>
        <v>0</v>
      </c>
    </row>
    <row r="32" spans="1:105" ht="24.75" thickTop="1" thickBot="1">
      <c r="B32" s="69">
        <v>27</v>
      </c>
      <c r="C32" s="1108" t="s">
        <v>405</v>
      </c>
      <c r="D32" s="914">
        <v>1</v>
      </c>
      <c r="E32" s="1172"/>
      <c r="F32" s="914">
        <v>1</v>
      </c>
      <c r="G32" s="916"/>
      <c r="H32" s="914">
        <v>0</v>
      </c>
      <c r="I32" s="1173"/>
      <c r="J32" s="1232">
        <v>0</v>
      </c>
      <c r="K32" s="1249"/>
      <c r="L32" s="914">
        <v>1</v>
      </c>
      <c r="M32" s="1172"/>
      <c r="N32" s="914">
        <v>0</v>
      </c>
      <c r="O32" s="1173"/>
      <c r="P32" s="914">
        <v>1</v>
      </c>
      <c r="Q32" s="1173"/>
      <c r="R32" s="914">
        <v>1</v>
      </c>
      <c r="S32" s="1173"/>
      <c r="T32" s="914">
        <v>1</v>
      </c>
      <c r="U32" s="1173"/>
      <c r="V32" s="914">
        <v>1</v>
      </c>
      <c r="W32" s="1173"/>
      <c r="X32" s="1232"/>
      <c r="Y32" s="1234"/>
      <c r="Z32" s="914">
        <v>1</v>
      </c>
      <c r="AA32" s="1173"/>
      <c r="AB32" s="914">
        <v>1</v>
      </c>
      <c r="AC32" s="1173"/>
      <c r="AD32" s="914">
        <v>1</v>
      </c>
      <c r="AE32" s="1173"/>
      <c r="AF32" s="914">
        <v>1</v>
      </c>
      <c r="AG32" s="1173"/>
      <c r="AH32" s="914">
        <v>1</v>
      </c>
      <c r="AI32" s="1173"/>
      <c r="AJ32" s="914">
        <v>2</v>
      </c>
      <c r="AK32" s="1173"/>
      <c r="AL32" s="1232"/>
      <c r="AM32" s="1234"/>
      <c r="AN32" s="914">
        <v>0</v>
      </c>
      <c r="AO32" s="1173"/>
      <c r="AP32" s="914">
        <v>1</v>
      </c>
      <c r="AQ32" s="1173"/>
      <c r="AR32" s="914">
        <v>1</v>
      </c>
      <c r="AS32" s="1173"/>
      <c r="AT32" s="914">
        <v>1</v>
      </c>
      <c r="AU32" s="1173"/>
      <c r="AV32" s="914">
        <v>0</v>
      </c>
      <c r="AW32" s="1173"/>
      <c r="AX32" s="914">
        <v>1</v>
      </c>
      <c r="AY32" s="1173">
        <v>2000</v>
      </c>
      <c r="AZ32" s="1232"/>
      <c r="BA32" s="1234"/>
      <c r="BB32" s="914">
        <v>1</v>
      </c>
      <c r="BC32" s="1173"/>
      <c r="BD32" s="914">
        <v>1</v>
      </c>
      <c r="BE32" s="1173"/>
      <c r="BF32" s="914">
        <v>0</v>
      </c>
      <c r="BG32" s="1173">
        <v>10000</v>
      </c>
      <c r="BH32" s="914"/>
      <c r="BI32" s="1173"/>
      <c r="BJ32" s="914"/>
      <c r="BK32" s="1173"/>
      <c r="BL32" s="914"/>
      <c r="BM32" s="1174"/>
      <c r="BN32" s="1169">
        <f t="shared" si="0"/>
        <v>600</v>
      </c>
      <c r="BO32" s="491">
        <f t="shared" si="36"/>
        <v>20</v>
      </c>
      <c r="BP32" s="492">
        <v>18000</v>
      </c>
      <c r="BQ32" s="493">
        <f t="shared" si="2"/>
        <v>12000</v>
      </c>
      <c r="BR32" s="217">
        <f t="shared" si="3"/>
        <v>12000</v>
      </c>
      <c r="BS32" s="217"/>
      <c r="BT32" s="1170">
        <f t="shared" si="4"/>
        <v>0</v>
      </c>
      <c r="BU32" s="1261">
        <v>10000</v>
      </c>
      <c r="BW32" s="1171">
        <f t="shared" si="5"/>
        <v>600</v>
      </c>
      <c r="BX32" s="1171">
        <f t="shared" si="6"/>
        <v>600</v>
      </c>
      <c r="BY32" s="1171">
        <f t="shared" si="7"/>
        <v>0</v>
      </c>
      <c r="BZ32" s="1171">
        <f t="shared" si="8"/>
        <v>0</v>
      </c>
      <c r="CA32" s="1171">
        <f t="shared" si="9"/>
        <v>600</v>
      </c>
      <c r="CB32" s="1171">
        <f t="shared" si="10"/>
        <v>0</v>
      </c>
      <c r="CC32" s="1171">
        <f t="shared" si="11"/>
        <v>600</v>
      </c>
      <c r="CD32" s="1171">
        <f t="shared" si="12"/>
        <v>600</v>
      </c>
      <c r="CE32" s="1171">
        <f t="shared" si="13"/>
        <v>600</v>
      </c>
      <c r="CF32" s="1171">
        <f t="shared" si="14"/>
        <v>600</v>
      </c>
      <c r="CG32" s="1171">
        <f t="shared" si="15"/>
        <v>0</v>
      </c>
      <c r="CH32" s="1171">
        <f t="shared" si="16"/>
        <v>600</v>
      </c>
      <c r="CI32" s="1171">
        <f t="shared" si="17"/>
        <v>600</v>
      </c>
      <c r="CJ32" s="1171">
        <f t="shared" si="18"/>
        <v>600</v>
      </c>
      <c r="CK32" s="1171">
        <f t="shared" si="19"/>
        <v>600</v>
      </c>
      <c r="CL32" s="1171">
        <f t="shared" si="20"/>
        <v>600</v>
      </c>
      <c r="CM32" s="1171">
        <f t="shared" si="21"/>
        <v>1200</v>
      </c>
      <c r="CN32" s="1171">
        <f t="shared" si="22"/>
        <v>0</v>
      </c>
      <c r="CO32" s="1171">
        <f t="shared" si="23"/>
        <v>0</v>
      </c>
      <c r="CP32" s="1171">
        <f t="shared" si="24"/>
        <v>600</v>
      </c>
      <c r="CQ32" s="1171">
        <f t="shared" si="25"/>
        <v>600</v>
      </c>
      <c r="CR32" s="1171">
        <f t="shared" si="26"/>
        <v>600</v>
      </c>
      <c r="CS32" s="1171">
        <f t="shared" si="27"/>
        <v>0</v>
      </c>
      <c r="CT32" s="1171">
        <f t="shared" si="28"/>
        <v>600</v>
      </c>
      <c r="CU32" s="1171">
        <f t="shared" si="29"/>
        <v>0</v>
      </c>
      <c r="CV32" s="1171">
        <f t="shared" si="30"/>
        <v>600</v>
      </c>
      <c r="CW32" s="1171">
        <f t="shared" si="31"/>
        <v>600</v>
      </c>
      <c r="CX32" s="1171">
        <f t="shared" si="32"/>
        <v>0</v>
      </c>
      <c r="CY32" s="1171">
        <f t="shared" si="33"/>
        <v>0</v>
      </c>
      <c r="CZ32" s="1171">
        <f t="shared" si="34"/>
        <v>0</v>
      </c>
      <c r="DA32" s="1171">
        <f t="shared" si="35"/>
        <v>0</v>
      </c>
    </row>
    <row r="33" spans="2:105" ht="24.75" thickTop="1" thickBot="1">
      <c r="B33" s="69">
        <v>28</v>
      </c>
      <c r="C33" s="1108" t="s">
        <v>407</v>
      </c>
      <c r="D33" s="914">
        <v>1</v>
      </c>
      <c r="E33" s="1172"/>
      <c r="F33" s="914">
        <v>1</v>
      </c>
      <c r="G33" s="916"/>
      <c r="H33" s="914">
        <v>0</v>
      </c>
      <c r="I33" s="1173"/>
      <c r="J33" s="1232">
        <v>0</v>
      </c>
      <c r="K33" s="1249"/>
      <c r="L33" s="914">
        <v>1</v>
      </c>
      <c r="M33" s="1172"/>
      <c r="N33" s="914">
        <v>0</v>
      </c>
      <c r="O33" s="1173"/>
      <c r="P33" s="914">
        <v>1</v>
      </c>
      <c r="Q33" s="1173"/>
      <c r="R33" s="914">
        <v>1</v>
      </c>
      <c r="S33" s="1173"/>
      <c r="T33" s="914">
        <v>1</v>
      </c>
      <c r="U33" s="1173"/>
      <c r="V33" s="914">
        <v>1</v>
      </c>
      <c r="W33" s="1173">
        <v>1000</v>
      </c>
      <c r="X33" s="1232"/>
      <c r="Y33" s="1234"/>
      <c r="Z33" s="914">
        <v>1</v>
      </c>
      <c r="AA33" s="1173"/>
      <c r="AB33" s="914">
        <v>1</v>
      </c>
      <c r="AC33" s="1173"/>
      <c r="AD33" s="914">
        <v>1</v>
      </c>
      <c r="AE33" s="1173"/>
      <c r="AF33" s="914">
        <v>1</v>
      </c>
      <c r="AG33" s="1173">
        <v>4500</v>
      </c>
      <c r="AH33" s="914">
        <v>0</v>
      </c>
      <c r="AI33" s="1173"/>
      <c r="AJ33" s="914">
        <v>0</v>
      </c>
      <c r="AK33" s="1173"/>
      <c r="AL33" s="1232"/>
      <c r="AM33" s="1234"/>
      <c r="AN33" s="914">
        <v>0</v>
      </c>
      <c r="AO33" s="1173"/>
      <c r="AP33" s="914"/>
      <c r="AQ33" s="1173"/>
      <c r="AR33" s="914"/>
      <c r="AS33" s="1173"/>
      <c r="AT33" s="914">
        <v>0</v>
      </c>
      <c r="AU33" s="1173"/>
      <c r="AV33" s="914">
        <v>0</v>
      </c>
      <c r="AW33" s="1173"/>
      <c r="AX33" s="914">
        <v>0</v>
      </c>
      <c r="AY33" s="1173"/>
      <c r="AZ33" s="1232"/>
      <c r="BA33" s="1234"/>
      <c r="BB33" s="914">
        <v>0</v>
      </c>
      <c r="BC33" s="1173"/>
      <c r="BD33" s="914">
        <v>0</v>
      </c>
      <c r="BE33" s="1173"/>
      <c r="BF33" s="914">
        <v>0</v>
      </c>
      <c r="BG33" s="1173"/>
      <c r="BH33" s="914"/>
      <c r="BI33" s="1173"/>
      <c r="BJ33" s="914"/>
      <c r="BK33" s="1173"/>
      <c r="BL33" s="914"/>
      <c r="BM33" s="1174"/>
      <c r="BN33" s="1169">
        <f t="shared" si="0"/>
        <v>500</v>
      </c>
      <c r="BO33" s="491">
        <f t="shared" si="36"/>
        <v>11</v>
      </c>
      <c r="BP33" s="492">
        <v>15000</v>
      </c>
      <c r="BQ33" s="493">
        <f t="shared" si="2"/>
        <v>5500</v>
      </c>
      <c r="BR33" s="217">
        <f t="shared" si="3"/>
        <v>5500</v>
      </c>
      <c r="BS33" s="217"/>
      <c r="BT33" s="1170">
        <f t="shared" si="4"/>
        <v>0</v>
      </c>
      <c r="BU33" s="1261"/>
      <c r="BW33" s="1171">
        <f t="shared" si="5"/>
        <v>500</v>
      </c>
      <c r="BX33" s="1171">
        <f t="shared" si="6"/>
        <v>500</v>
      </c>
      <c r="BY33" s="1171">
        <f t="shared" si="7"/>
        <v>0</v>
      </c>
      <c r="BZ33" s="1171">
        <f t="shared" si="8"/>
        <v>0</v>
      </c>
      <c r="CA33" s="1171">
        <f t="shared" si="9"/>
        <v>500</v>
      </c>
      <c r="CB33" s="1171">
        <f t="shared" si="10"/>
        <v>0</v>
      </c>
      <c r="CC33" s="1171">
        <f t="shared" si="11"/>
        <v>500</v>
      </c>
      <c r="CD33" s="1171">
        <f t="shared" si="12"/>
        <v>500</v>
      </c>
      <c r="CE33" s="1171">
        <f t="shared" si="13"/>
        <v>500</v>
      </c>
      <c r="CF33" s="1171">
        <f t="shared" si="14"/>
        <v>500</v>
      </c>
      <c r="CG33" s="1171">
        <f t="shared" si="15"/>
        <v>0</v>
      </c>
      <c r="CH33" s="1171">
        <f t="shared" si="16"/>
        <v>500</v>
      </c>
      <c r="CI33" s="1171">
        <f t="shared" si="17"/>
        <v>500</v>
      </c>
      <c r="CJ33" s="1171">
        <f t="shared" si="18"/>
        <v>500</v>
      </c>
      <c r="CK33" s="1171">
        <f t="shared" si="19"/>
        <v>500</v>
      </c>
      <c r="CL33" s="1171">
        <f t="shared" si="20"/>
        <v>0</v>
      </c>
      <c r="CM33" s="1171">
        <f t="shared" si="21"/>
        <v>0</v>
      </c>
      <c r="CN33" s="1171">
        <f t="shared" si="22"/>
        <v>0</v>
      </c>
      <c r="CO33" s="1171">
        <f t="shared" si="23"/>
        <v>0</v>
      </c>
      <c r="CP33" s="1171">
        <f t="shared" si="24"/>
        <v>0</v>
      </c>
      <c r="CQ33" s="1171">
        <f t="shared" si="25"/>
        <v>0</v>
      </c>
      <c r="CR33" s="1171">
        <f t="shared" si="26"/>
        <v>0</v>
      </c>
      <c r="CS33" s="1171">
        <f t="shared" si="27"/>
        <v>0</v>
      </c>
      <c r="CT33" s="1171">
        <f t="shared" si="28"/>
        <v>0</v>
      </c>
      <c r="CU33" s="1171">
        <f t="shared" si="29"/>
        <v>0</v>
      </c>
      <c r="CV33" s="1171">
        <f t="shared" si="30"/>
        <v>0</v>
      </c>
      <c r="CW33" s="1171">
        <f t="shared" si="31"/>
        <v>0</v>
      </c>
      <c r="CX33" s="1171">
        <f t="shared" si="32"/>
        <v>0</v>
      </c>
      <c r="CY33" s="1171">
        <f t="shared" si="33"/>
        <v>0</v>
      </c>
      <c r="CZ33" s="1171">
        <f t="shared" si="34"/>
        <v>0</v>
      </c>
      <c r="DA33" s="1171">
        <f t="shared" si="35"/>
        <v>0</v>
      </c>
    </row>
    <row r="34" spans="2:105" ht="24.75" thickTop="1" thickBot="1">
      <c r="B34" s="69">
        <v>29</v>
      </c>
      <c r="C34" s="1108" t="s">
        <v>437</v>
      </c>
      <c r="D34" s="914">
        <v>1</v>
      </c>
      <c r="E34" s="1172"/>
      <c r="F34" s="914">
        <v>1</v>
      </c>
      <c r="G34" s="916"/>
      <c r="H34" s="914">
        <v>0</v>
      </c>
      <c r="I34" s="1173">
        <v>1500</v>
      </c>
      <c r="J34" s="1232">
        <v>0</v>
      </c>
      <c r="K34" s="1249"/>
      <c r="L34" s="914">
        <v>1</v>
      </c>
      <c r="M34" s="1172"/>
      <c r="N34" s="914">
        <v>0</v>
      </c>
      <c r="O34" s="1173"/>
      <c r="P34" s="914">
        <v>1</v>
      </c>
      <c r="Q34" s="1173"/>
      <c r="R34" s="914">
        <v>1</v>
      </c>
      <c r="S34" s="1173"/>
      <c r="T34" s="914">
        <v>1</v>
      </c>
      <c r="U34" s="1173"/>
      <c r="V34" s="914">
        <v>1</v>
      </c>
      <c r="W34" s="1173">
        <v>600</v>
      </c>
      <c r="X34" s="1232"/>
      <c r="Y34" s="1234"/>
      <c r="Z34" s="914">
        <v>1</v>
      </c>
      <c r="AA34" s="1173"/>
      <c r="AB34" s="914">
        <v>1</v>
      </c>
      <c r="AC34" s="1173"/>
      <c r="AD34" s="914">
        <v>1</v>
      </c>
      <c r="AE34" s="1173"/>
      <c r="AF34" s="914">
        <v>1</v>
      </c>
      <c r="AG34" s="1173"/>
      <c r="AH34" s="914">
        <v>1</v>
      </c>
      <c r="AI34" s="1173"/>
      <c r="AJ34" s="914">
        <v>1</v>
      </c>
      <c r="AK34" s="1173">
        <v>700</v>
      </c>
      <c r="AL34" s="1232"/>
      <c r="AM34" s="1234"/>
      <c r="AN34" s="914">
        <v>1</v>
      </c>
      <c r="AO34" s="1173"/>
      <c r="AP34" s="914"/>
      <c r="AQ34" s="1173"/>
      <c r="AR34" s="914">
        <v>1</v>
      </c>
      <c r="AS34" s="1173"/>
      <c r="AT34" s="914">
        <v>1</v>
      </c>
      <c r="AU34" s="1173"/>
      <c r="AV34" s="914">
        <v>0</v>
      </c>
      <c r="AW34" s="1173"/>
      <c r="AX34" s="914">
        <v>1</v>
      </c>
      <c r="AY34" s="1173"/>
      <c r="AZ34" s="1232"/>
      <c r="BA34" s="1234"/>
      <c r="BB34" s="914">
        <v>1</v>
      </c>
      <c r="BC34" s="1173"/>
      <c r="BD34" s="914">
        <v>1</v>
      </c>
      <c r="BE34" s="1173"/>
      <c r="BF34" s="914">
        <v>1</v>
      </c>
      <c r="BG34" s="1173">
        <v>7200</v>
      </c>
      <c r="BH34" s="914"/>
      <c r="BI34" s="1173"/>
      <c r="BJ34" s="914"/>
      <c r="BK34" s="1173"/>
      <c r="BL34" s="914"/>
      <c r="BM34" s="1174"/>
      <c r="BN34" s="1169">
        <f t="shared" si="0"/>
        <v>500</v>
      </c>
      <c r="BO34" s="491">
        <f t="shared" si="36"/>
        <v>20</v>
      </c>
      <c r="BP34" s="492">
        <v>15000</v>
      </c>
      <c r="BQ34" s="493">
        <f t="shared" si="2"/>
        <v>10000</v>
      </c>
      <c r="BR34" s="217">
        <f t="shared" si="3"/>
        <v>10000</v>
      </c>
      <c r="BS34" s="217"/>
      <c r="BT34" s="1170">
        <f t="shared" si="4"/>
        <v>0</v>
      </c>
      <c r="BU34" s="1261">
        <v>7200</v>
      </c>
      <c r="BW34" s="1171">
        <f t="shared" si="5"/>
        <v>500</v>
      </c>
      <c r="BX34" s="1171">
        <f t="shared" si="6"/>
        <v>500</v>
      </c>
      <c r="BY34" s="1171">
        <f t="shared" si="7"/>
        <v>0</v>
      </c>
      <c r="BZ34" s="1171">
        <f t="shared" si="8"/>
        <v>0</v>
      </c>
      <c r="CA34" s="1171">
        <f t="shared" si="9"/>
        <v>500</v>
      </c>
      <c r="CB34" s="1171">
        <f t="shared" si="10"/>
        <v>0</v>
      </c>
      <c r="CC34" s="1171">
        <f t="shared" si="11"/>
        <v>500</v>
      </c>
      <c r="CD34" s="1171">
        <f t="shared" si="12"/>
        <v>500</v>
      </c>
      <c r="CE34" s="1171">
        <f t="shared" si="13"/>
        <v>500</v>
      </c>
      <c r="CF34" s="1171">
        <f t="shared" si="14"/>
        <v>500</v>
      </c>
      <c r="CG34" s="1171">
        <f t="shared" si="15"/>
        <v>0</v>
      </c>
      <c r="CH34" s="1171">
        <f t="shared" si="16"/>
        <v>500</v>
      </c>
      <c r="CI34" s="1171">
        <f t="shared" si="17"/>
        <v>500</v>
      </c>
      <c r="CJ34" s="1171">
        <f t="shared" si="18"/>
        <v>500</v>
      </c>
      <c r="CK34" s="1171">
        <f t="shared" si="19"/>
        <v>500</v>
      </c>
      <c r="CL34" s="1171">
        <f t="shared" si="20"/>
        <v>500</v>
      </c>
      <c r="CM34" s="1171">
        <f t="shared" si="21"/>
        <v>500</v>
      </c>
      <c r="CN34" s="1171">
        <f t="shared" si="22"/>
        <v>0</v>
      </c>
      <c r="CO34" s="1171">
        <f t="shared" si="23"/>
        <v>500</v>
      </c>
      <c r="CP34" s="1171">
        <f t="shared" si="24"/>
        <v>0</v>
      </c>
      <c r="CQ34" s="1171">
        <f t="shared" si="25"/>
        <v>500</v>
      </c>
      <c r="CR34" s="1171">
        <f t="shared" si="26"/>
        <v>500</v>
      </c>
      <c r="CS34" s="1171">
        <f t="shared" si="27"/>
        <v>0</v>
      </c>
      <c r="CT34" s="1171">
        <f t="shared" si="28"/>
        <v>500</v>
      </c>
      <c r="CU34" s="1171">
        <f t="shared" si="29"/>
        <v>0</v>
      </c>
      <c r="CV34" s="1171">
        <f t="shared" si="30"/>
        <v>500</v>
      </c>
      <c r="CW34" s="1171">
        <f t="shared" si="31"/>
        <v>500</v>
      </c>
      <c r="CX34" s="1171">
        <f t="shared" si="32"/>
        <v>500</v>
      </c>
      <c r="CY34" s="1171">
        <f t="shared" si="33"/>
        <v>0</v>
      </c>
      <c r="CZ34" s="1171">
        <f t="shared" si="34"/>
        <v>0</v>
      </c>
      <c r="DA34" s="1171">
        <f t="shared" si="35"/>
        <v>0</v>
      </c>
    </row>
    <row r="35" spans="2:105" ht="24.75" thickTop="1" thickBot="1">
      <c r="B35" s="69">
        <v>30</v>
      </c>
      <c r="C35" s="1108" t="s">
        <v>432</v>
      </c>
      <c r="D35" s="914">
        <v>1</v>
      </c>
      <c r="E35" s="1172"/>
      <c r="F35" s="914">
        <v>1</v>
      </c>
      <c r="G35" s="916"/>
      <c r="H35" s="914">
        <v>0</v>
      </c>
      <c r="I35" s="1173"/>
      <c r="J35" s="1232">
        <v>0</v>
      </c>
      <c r="K35" s="1249"/>
      <c r="L35" s="914">
        <v>1</v>
      </c>
      <c r="M35" s="1172"/>
      <c r="N35" s="914">
        <v>0</v>
      </c>
      <c r="O35" s="1173"/>
      <c r="P35" s="914">
        <v>1</v>
      </c>
      <c r="Q35" s="1173"/>
      <c r="R35" s="914">
        <v>1</v>
      </c>
      <c r="S35" s="1173"/>
      <c r="T35" s="914">
        <v>1</v>
      </c>
      <c r="U35" s="1173"/>
      <c r="V35" s="914">
        <v>1</v>
      </c>
      <c r="W35" s="1173">
        <v>500</v>
      </c>
      <c r="X35" s="1232"/>
      <c r="Y35" s="1234"/>
      <c r="Z35" s="914">
        <v>1</v>
      </c>
      <c r="AA35" s="1173"/>
      <c r="AB35" s="914">
        <v>1</v>
      </c>
      <c r="AC35" s="1173"/>
      <c r="AD35" s="914">
        <v>1</v>
      </c>
      <c r="AE35" s="1173"/>
      <c r="AF35" s="914">
        <v>1</v>
      </c>
      <c r="AG35" s="1173"/>
      <c r="AH35" s="914">
        <v>1</v>
      </c>
      <c r="AI35" s="1173"/>
      <c r="AJ35" s="914">
        <v>1</v>
      </c>
      <c r="AK35" s="1173"/>
      <c r="AL35" s="1232"/>
      <c r="AM35" s="1234"/>
      <c r="AN35" s="914">
        <v>1</v>
      </c>
      <c r="AO35" s="1173">
        <v>5570</v>
      </c>
      <c r="AP35" s="914"/>
      <c r="AQ35" s="1173"/>
      <c r="AR35" s="914"/>
      <c r="AS35" s="1173"/>
      <c r="AT35" s="914">
        <v>0</v>
      </c>
      <c r="AU35" s="1173"/>
      <c r="AV35" s="914">
        <v>0</v>
      </c>
      <c r="AW35" s="1173"/>
      <c r="AX35" s="914">
        <v>0</v>
      </c>
      <c r="AY35" s="1173"/>
      <c r="AZ35" s="1232"/>
      <c r="BA35" s="1234"/>
      <c r="BB35" s="914">
        <v>0</v>
      </c>
      <c r="BC35" s="1173"/>
      <c r="BD35" s="914">
        <v>0</v>
      </c>
      <c r="BE35" s="1173"/>
      <c r="BF35" s="914">
        <v>0</v>
      </c>
      <c r="BG35" s="1173"/>
      <c r="BH35" s="914"/>
      <c r="BI35" s="1173"/>
      <c r="BJ35" s="914"/>
      <c r="BK35" s="1173"/>
      <c r="BL35" s="914"/>
      <c r="BM35" s="1174"/>
      <c r="BN35" s="1169">
        <f t="shared" si="0"/>
        <v>433.33333333333331</v>
      </c>
      <c r="BO35" s="491">
        <f t="shared" si="36"/>
        <v>14</v>
      </c>
      <c r="BP35" s="492">
        <v>13000</v>
      </c>
      <c r="BQ35" s="493">
        <f t="shared" si="2"/>
        <v>6066.666666666667</v>
      </c>
      <c r="BR35" s="217">
        <f t="shared" si="3"/>
        <v>6070</v>
      </c>
      <c r="BS35" s="217"/>
      <c r="BT35" s="1170">
        <f t="shared" si="4"/>
        <v>-3.3333333333330302</v>
      </c>
      <c r="BU35" s="1261">
        <v>0</v>
      </c>
      <c r="BW35" s="1171">
        <f t="shared" si="5"/>
        <v>433.33333333333331</v>
      </c>
      <c r="BX35" s="1171">
        <f t="shared" si="6"/>
        <v>433.33333333333331</v>
      </c>
      <c r="BY35" s="1171">
        <f t="shared" si="7"/>
        <v>0</v>
      </c>
      <c r="BZ35" s="1171">
        <f t="shared" si="8"/>
        <v>0</v>
      </c>
      <c r="CA35" s="1171">
        <f t="shared" si="9"/>
        <v>433.33333333333331</v>
      </c>
      <c r="CB35" s="1171">
        <f t="shared" si="10"/>
        <v>0</v>
      </c>
      <c r="CC35" s="1171">
        <f t="shared" si="11"/>
        <v>433.33333333333331</v>
      </c>
      <c r="CD35" s="1171">
        <f t="shared" si="12"/>
        <v>433.33333333333331</v>
      </c>
      <c r="CE35" s="1171">
        <f t="shared" si="13"/>
        <v>433.33333333333331</v>
      </c>
      <c r="CF35" s="1171">
        <f t="shared" si="14"/>
        <v>433.33333333333331</v>
      </c>
      <c r="CG35" s="1171">
        <f t="shared" si="15"/>
        <v>0</v>
      </c>
      <c r="CH35" s="1171">
        <f t="shared" si="16"/>
        <v>433.33333333333331</v>
      </c>
      <c r="CI35" s="1171">
        <f t="shared" si="17"/>
        <v>433.33333333333331</v>
      </c>
      <c r="CJ35" s="1171">
        <f t="shared" si="18"/>
        <v>433.33333333333331</v>
      </c>
      <c r="CK35" s="1171">
        <f t="shared" si="19"/>
        <v>433.33333333333331</v>
      </c>
      <c r="CL35" s="1171">
        <f t="shared" si="20"/>
        <v>433.33333333333331</v>
      </c>
      <c r="CM35" s="1171">
        <f t="shared" si="21"/>
        <v>433.33333333333331</v>
      </c>
      <c r="CN35" s="1171">
        <f t="shared" si="22"/>
        <v>0</v>
      </c>
      <c r="CO35" s="1171">
        <f t="shared" si="23"/>
        <v>433.33333333333331</v>
      </c>
      <c r="CP35" s="1171">
        <f t="shared" si="24"/>
        <v>0</v>
      </c>
      <c r="CQ35" s="1171">
        <f t="shared" si="25"/>
        <v>0</v>
      </c>
      <c r="CR35" s="1171">
        <f t="shared" si="26"/>
        <v>0</v>
      </c>
      <c r="CS35" s="1171">
        <f t="shared" si="27"/>
        <v>0</v>
      </c>
      <c r="CT35" s="1171">
        <f t="shared" si="28"/>
        <v>0</v>
      </c>
      <c r="CU35" s="1171">
        <f t="shared" si="29"/>
        <v>0</v>
      </c>
      <c r="CV35" s="1171">
        <f t="shared" si="30"/>
        <v>0</v>
      </c>
      <c r="CW35" s="1171">
        <f t="shared" si="31"/>
        <v>0</v>
      </c>
      <c r="CX35" s="1171">
        <f t="shared" si="32"/>
        <v>0</v>
      </c>
      <c r="CY35" s="1171">
        <f t="shared" si="33"/>
        <v>0</v>
      </c>
      <c r="CZ35" s="1171">
        <f t="shared" si="34"/>
        <v>0</v>
      </c>
      <c r="DA35" s="1171">
        <f t="shared" si="35"/>
        <v>0</v>
      </c>
    </row>
    <row r="36" spans="2:105" ht="24.75" thickTop="1" thickBot="1">
      <c r="B36" s="69">
        <v>31</v>
      </c>
      <c r="C36" s="1108" t="s">
        <v>357</v>
      </c>
      <c r="D36" s="914">
        <v>1</v>
      </c>
      <c r="E36" s="1172"/>
      <c r="F36" s="914">
        <v>1</v>
      </c>
      <c r="G36" s="916"/>
      <c r="H36" s="914">
        <v>0</v>
      </c>
      <c r="I36" s="1173"/>
      <c r="J36" s="1232">
        <v>0</v>
      </c>
      <c r="K36" s="1249"/>
      <c r="L36" s="914">
        <v>1</v>
      </c>
      <c r="M36" s="1172"/>
      <c r="N36" s="914">
        <v>0</v>
      </c>
      <c r="O36" s="1173"/>
      <c r="P36" s="914">
        <v>1</v>
      </c>
      <c r="Q36" s="1173"/>
      <c r="R36" s="914">
        <v>1</v>
      </c>
      <c r="S36" s="1173"/>
      <c r="T36" s="914">
        <v>1</v>
      </c>
      <c r="U36" s="1173"/>
      <c r="V36" s="914">
        <v>1</v>
      </c>
      <c r="W36" s="1173">
        <v>1000</v>
      </c>
      <c r="X36" s="1232"/>
      <c r="Y36" s="1234"/>
      <c r="Z36" s="914">
        <v>0</v>
      </c>
      <c r="AA36" s="1173"/>
      <c r="AB36" s="914">
        <v>1</v>
      </c>
      <c r="AC36" s="1173"/>
      <c r="AD36" s="914">
        <v>1</v>
      </c>
      <c r="AE36" s="1173"/>
      <c r="AF36" s="914">
        <v>1</v>
      </c>
      <c r="AG36" s="1173"/>
      <c r="AH36" s="914">
        <v>0</v>
      </c>
      <c r="AI36" s="1173"/>
      <c r="AJ36" s="914">
        <v>1</v>
      </c>
      <c r="AK36" s="1173">
        <v>1000</v>
      </c>
      <c r="AL36" s="1232"/>
      <c r="AM36" s="1234"/>
      <c r="AN36" s="914">
        <v>1</v>
      </c>
      <c r="AO36" s="1173"/>
      <c r="AP36" s="914"/>
      <c r="AQ36" s="1173"/>
      <c r="AR36" s="914">
        <v>1</v>
      </c>
      <c r="AS36" s="1173"/>
      <c r="AT36" s="914">
        <v>1</v>
      </c>
      <c r="AU36" s="1173"/>
      <c r="AV36" s="914">
        <v>0</v>
      </c>
      <c r="AW36" s="1173"/>
      <c r="AX36" s="914">
        <v>1</v>
      </c>
      <c r="AY36" s="1173">
        <v>500</v>
      </c>
      <c r="AZ36" s="1232"/>
      <c r="BA36" s="1234"/>
      <c r="BB36" s="914">
        <v>1</v>
      </c>
      <c r="BC36" s="1173"/>
      <c r="BD36" s="914">
        <v>1</v>
      </c>
      <c r="BE36" s="1173"/>
      <c r="BF36" s="914">
        <v>0</v>
      </c>
      <c r="BG36" s="1173">
        <v>6000</v>
      </c>
      <c r="BH36" s="914"/>
      <c r="BI36" s="1173"/>
      <c r="BJ36" s="914"/>
      <c r="BK36" s="1173"/>
      <c r="BL36" s="914"/>
      <c r="BM36" s="1174"/>
      <c r="BN36" s="1169">
        <f t="shared" si="0"/>
        <v>500</v>
      </c>
      <c r="BO36" s="491">
        <f t="shared" si="36"/>
        <v>17</v>
      </c>
      <c r="BP36" s="492">
        <v>15000</v>
      </c>
      <c r="BQ36" s="493">
        <f t="shared" si="2"/>
        <v>8500</v>
      </c>
      <c r="BR36" s="217">
        <f t="shared" si="3"/>
        <v>8500</v>
      </c>
      <c r="BS36" s="217"/>
      <c r="BT36" s="1170">
        <f t="shared" si="4"/>
        <v>0</v>
      </c>
      <c r="BU36" s="1261">
        <v>6000</v>
      </c>
      <c r="BW36" s="1171">
        <f t="shared" si="5"/>
        <v>500</v>
      </c>
      <c r="BX36" s="1171">
        <f t="shared" si="6"/>
        <v>500</v>
      </c>
      <c r="BY36" s="1171">
        <f t="shared" si="7"/>
        <v>0</v>
      </c>
      <c r="BZ36" s="1171">
        <f t="shared" si="8"/>
        <v>0</v>
      </c>
      <c r="CA36" s="1171">
        <f t="shared" si="9"/>
        <v>500</v>
      </c>
      <c r="CB36" s="1171">
        <f t="shared" si="10"/>
        <v>0</v>
      </c>
      <c r="CC36" s="1171">
        <f t="shared" si="11"/>
        <v>500</v>
      </c>
      <c r="CD36" s="1171">
        <f t="shared" si="12"/>
        <v>500</v>
      </c>
      <c r="CE36" s="1171">
        <f t="shared" si="13"/>
        <v>500</v>
      </c>
      <c r="CF36" s="1171">
        <f t="shared" si="14"/>
        <v>500</v>
      </c>
      <c r="CG36" s="1171">
        <f t="shared" si="15"/>
        <v>0</v>
      </c>
      <c r="CH36" s="1171">
        <f t="shared" si="16"/>
        <v>0</v>
      </c>
      <c r="CI36" s="1171">
        <f t="shared" si="17"/>
        <v>500</v>
      </c>
      <c r="CJ36" s="1171">
        <f t="shared" si="18"/>
        <v>500</v>
      </c>
      <c r="CK36" s="1171">
        <f t="shared" si="19"/>
        <v>500</v>
      </c>
      <c r="CL36" s="1171">
        <f t="shared" si="20"/>
        <v>0</v>
      </c>
      <c r="CM36" s="1171">
        <f t="shared" si="21"/>
        <v>500</v>
      </c>
      <c r="CN36" s="1171">
        <f t="shared" si="22"/>
        <v>0</v>
      </c>
      <c r="CO36" s="1171">
        <f t="shared" si="23"/>
        <v>500</v>
      </c>
      <c r="CP36" s="1171">
        <f t="shared" si="24"/>
        <v>0</v>
      </c>
      <c r="CQ36" s="1171">
        <f t="shared" si="25"/>
        <v>500</v>
      </c>
      <c r="CR36" s="1171">
        <f t="shared" si="26"/>
        <v>500</v>
      </c>
      <c r="CS36" s="1171">
        <f t="shared" si="27"/>
        <v>0</v>
      </c>
      <c r="CT36" s="1171">
        <f t="shared" si="28"/>
        <v>500</v>
      </c>
      <c r="CU36" s="1171">
        <f t="shared" si="29"/>
        <v>0</v>
      </c>
      <c r="CV36" s="1171">
        <f t="shared" si="30"/>
        <v>500</v>
      </c>
      <c r="CW36" s="1171">
        <f t="shared" si="31"/>
        <v>500</v>
      </c>
      <c r="CX36" s="1171">
        <f t="shared" si="32"/>
        <v>0</v>
      </c>
      <c r="CY36" s="1171">
        <f t="shared" si="33"/>
        <v>0</v>
      </c>
      <c r="CZ36" s="1171">
        <f t="shared" si="34"/>
        <v>0</v>
      </c>
      <c r="DA36" s="1171">
        <f t="shared" si="35"/>
        <v>0</v>
      </c>
    </row>
    <row r="37" spans="2:105" ht="24.75" thickTop="1" thickBot="1">
      <c r="B37" s="69">
        <v>32</v>
      </c>
      <c r="C37" s="1108" t="s">
        <v>447</v>
      </c>
      <c r="D37" s="914">
        <v>1</v>
      </c>
      <c r="E37" s="1172"/>
      <c r="F37" s="914">
        <v>1</v>
      </c>
      <c r="G37" s="916"/>
      <c r="H37" s="914">
        <v>0</v>
      </c>
      <c r="I37" s="1173"/>
      <c r="J37" s="1232">
        <v>0</v>
      </c>
      <c r="K37" s="1249"/>
      <c r="L37" s="914">
        <v>1</v>
      </c>
      <c r="M37" s="1172"/>
      <c r="N37" s="914">
        <v>0</v>
      </c>
      <c r="O37" s="1173"/>
      <c r="P37" s="914">
        <v>1</v>
      </c>
      <c r="Q37" s="1173"/>
      <c r="R37" s="914">
        <v>1</v>
      </c>
      <c r="S37" s="1173"/>
      <c r="T37" s="914">
        <v>1</v>
      </c>
      <c r="U37" s="1173"/>
      <c r="V37" s="914">
        <v>1</v>
      </c>
      <c r="W37" s="1173">
        <v>7000</v>
      </c>
      <c r="X37" s="1232"/>
      <c r="Y37" s="1234"/>
      <c r="Z37" s="914">
        <v>1</v>
      </c>
      <c r="AA37" s="1173"/>
      <c r="AB37" s="914">
        <v>1</v>
      </c>
      <c r="AC37" s="1173"/>
      <c r="AD37" s="914">
        <v>1</v>
      </c>
      <c r="AE37" s="1173"/>
      <c r="AF37" s="914">
        <v>1</v>
      </c>
      <c r="AG37" s="1173"/>
      <c r="AH37" s="914">
        <v>1</v>
      </c>
      <c r="AI37" s="1173"/>
      <c r="AJ37" s="914">
        <v>1</v>
      </c>
      <c r="AK37" s="1173">
        <v>1300</v>
      </c>
      <c r="AL37" s="1232"/>
      <c r="AM37" s="1234"/>
      <c r="AN37" s="914">
        <v>1</v>
      </c>
      <c r="AO37" s="1173"/>
      <c r="AP37" s="914"/>
      <c r="AQ37" s="1173"/>
      <c r="AR37" s="914">
        <v>1</v>
      </c>
      <c r="AS37" s="1173"/>
      <c r="AT37" s="914">
        <v>1</v>
      </c>
      <c r="AU37" s="1173"/>
      <c r="AV37" s="914">
        <v>0</v>
      </c>
      <c r="AW37" s="1173"/>
      <c r="AX37" s="914">
        <v>1</v>
      </c>
      <c r="AY37" s="1173">
        <v>1000</v>
      </c>
      <c r="AZ37" s="1232"/>
      <c r="BA37" s="1234"/>
      <c r="BB37" s="914">
        <v>1</v>
      </c>
      <c r="BC37" s="1173"/>
      <c r="BD37" s="914">
        <v>1</v>
      </c>
      <c r="BE37" s="1173"/>
      <c r="BF37" s="914">
        <v>1</v>
      </c>
      <c r="BG37" s="1173">
        <v>2700</v>
      </c>
      <c r="BH37" s="914"/>
      <c r="BI37" s="1173"/>
      <c r="BJ37" s="914"/>
      <c r="BK37" s="1173"/>
      <c r="BL37" s="914"/>
      <c r="BM37" s="1174"/>
      <c r="BN37" s="1169">
        <f t="shared" si="0"/>
        <v>600</v>
      </c>
      <c r="BO37" s="491">
        <f t="shared" si="36"/>
        <v>20</v>
      </c>
      <c r="BP37" s="492">
        <v>18000</v>
      </c>
      <c r="BQ37" s="493">
        <f t="shared" si="2"/>
        <v>12000</v>
      </c>
      <c r="BR37" s="217">
        <f t="shared" si="3"/>
        <v>12000</v>
      </c>
      <c r="BS37" s="217"/>
      <c r="BT37" s="1170">
        <f t="shared" si="4"/>
        <v>0</v>
      </c>
      <c r="BU37" s="1261">
        <v>2700</v>
      </c>
      <c r="BW37" s="1171">
        <f t="shared" si="5"/>
        <v>600</v>
      </c>
      <c r="BX37" s="1171">
        <f t="shared" si="6"/>
        <v>600</v>
      </c>
      <c r="BY37" s="1171">
        <f t="shared" si="7"/>
        <v>0</v>
      </c>
      <c r="BZ37" s="1171">
        <f t="shared" si="8"/>
        <v>0</v>
      </c>
      <c r="CA37" s="1171">
        <f t="shared" si="9"/>
        <v>600</v>
      </c>
      <c r="CB37" s="1171">
        <f t="shared" si="10"/>
        <v>0</v>
      </c>
      <c r="CC37" s="1171">
        <f t="shared" si="11"/>
        <v>600</v>
      </c>
      <c r="CD37" s="1171">
        <f t="shared" si="12"/>
        <v>600</v>
      </c>
      <c r="CE37" s="1171">
        <f t="shared" si="13"/>
        <v>600</v>
      </c>
      <c r="CF37" s="1171">
        <f t="shared" si="14"/>
        <v>600</v>
      </c>
      <c r="CG37" s="1171">
        <f t="shared" si="15"/>
        <v>0</v>
      </c>
      <c r="CH37" s="1171">
        <f t="shared" si="16"/>
        <v>600</v>
      </c>
      <c r="CI37" s="1171">
        <f t="shared" si="17"/>
        <v>600</v>
      </c>
      <c r="CJ37" s="1171">
        <f t="shared" si="18"/>
        <v>600</v>
      </c>
      <c r="CK37" s="1171">
        <f t="shared" si="19"/>
        <v>600</v>
      </c>
      <c r="CL37" s="1171">
        <f t="shared" si="20"/>
        <v>600</v>
      </c>
      <c r="CM37" s="1171">
        <f t="shared" si="21"/>
        <v>600</v>
      </c>
      <c r="CN37" s="1171">
        <f t="shared" si="22"/>
        <v>0</v>
      </c>
      <c r="CO37" s="1171">
        <f t="shared" si="23"/>
        <v>600</v>
      </c>
      <c r="CP37" s="1171">
        <f t="shared" si="24"/>
        <v>0</v>
      </c>
      <c r="CQ37" s="1171">
        <f t="shared" si="25"/>
        <v>600</v>
      </c>
      <c r="CR37" s="1171">
        <f t="shared" si="26"/>
        <v>600</v>
      </c>
      <c r="CS37" s="1171">
        <f t="shared" si="27"/>
        <v>0</v>
      </c>
      <c r="CT37" s="1171">
        <f t="shared" si="28"/>
        <v>600</v>
      </c>
      <c r="CU37" s="1171">
        <f t="shared" si="29"/>
        <v>0</v>
      </c>
      <c r="CV37" s="1171">
        <f t="shared" si="30"/>
        <v>600</v>
      </c>
      <c r="CW37" s="1171">
        <f t="shared" si="31"/>
        <v>600</v>
      </c>
      <c r="CX37" s="1171">
        <f t="shared" si="32"/>
        <v>600</v>
      </c>
      <c r="CY37" s="1171">
        <f t="shared" si="33"/>
        <v>0</v>
      </c>
      <c r="CZ37" s="1171">
        <f t="shared" si="34"/>
        <v>0</v>
      </c>
      <c r="DA37" s="1171">
        <f t="shared" si="35"/>
        <v>0</v>
      </c>
    </row>
    <row r="38" spans="2:105" ht="24.75" thickTop="1" thickBot="1">
      <c r="B38" s="69">
        <v>33</v>
      </c>
      <c r="C38" s="1108" t="s">
        <v>448</v>
      </c>
      <c r="D38" s="914">
        <v>1</v>
      </c>
      <c r="E38" s="1172"/>
      <c r="F38" s="914">
        <v>1</v>
      </c>
      <c r="G38" s="916"/>
      <c r="H38" s="914">
        <v>0</v>
      </c>
      <c r="I38" s="1173"/>
      <c r="J38" s="1232">
        <v>0</v>
      </c>
      <c r="K38" s="1249"/>
      <c r="L38" s="914">
        <v>1</v>
      </c>
      <c r="M38" s="1172"/>
      <c r="N38" s="914">
        <v>0</v>
      </c>
      <c r="O38" s="1173"/>
      <c r="P38" s="914">
        <v>1</v>
      </c>
      <c r="Q38" s="1173">
        <v>2400</v>
      </c>
      <c r="R38" s="914"/>
      <c r="S38" s="1173"/>
      <c r="T38" s="914"/>
      <c r="U38" s="1173"/>
      <c r="V38" s="914"/>
      <c r="W38" s="1173"/>
      <c r="X38" s="1232"/>
      <c r="Y38" s="1234"/>
      <c r="Z38" s="914">
        <v>0</v>
      </c>
      <c r="AA38" s="1173"/>
      <c r="AB38" s="914">
        <v>0</v>
      </c>
      <c r="AC38" s="1173"/>
      <c r="AD38" s="914">
        <v>0</v>
      </c>
      <c r="AE38" s="1173"/>
      <c r="AF38" s="914">
        <v>0</v>
      </c>
      <c r="AG38" s="1173"/>
      <c r="AH38" s="914">
        <v>0</v>
      </c>
      <c r="AI38" s="1173"/>
      <c r="AJ38" s="914">
        <v>1</v>
      </c>
      <c r="AK38" s="1173">
        <v>1000</v>
      </c>
      <c r="AL38" s="1232">
        <v>1</v>
      </c>
      <c r="AM38" s="1234"/>
      <c r="AN38" s="914">
        <v>1</v>
      </c>
      <c r="AO38" s="1173"/>
      <c r="AP38" s="914">
        <v>1</v>
      </c>
      <c r="AQ38" s="1173"/>
      <c r="AR38" s="914">
        <v>1</v>
      </c>
      <c r="AS38" s="1173"/>
      <c r="AT38" s="914">
        <v>1</v>
      </c>
      <c r="AU38" s="1173"/>
      <c r="AV38" s="914">
        <v>1</v>
      </c>
      <c r="AW38" s="1173"/>
      <c r="AX38" s="914">
        <v>1</v>
      </c>
      <c r="AY38" s="1173">
        <v>1000</v>
      </c>
      <c r="AZ38" s="1232">
        <v>1</v>
      </c>
      <c r="BA38" s="1234"/>
      <c r="BB38" s="914">
        <v>1</v>
      </c>
      <c r="BC38" s="1173"/>
      <c r="BD38" s="914">
        <v>1</v>
      </c>
      <c r="BE38" s="1173"/>
      <c r="BF38" s="914">
        <v>1</v>
      </c>
      <c r="BG38" s="1173">
        <v>6400</v>
      </c>
      <c r="BH38" s="914"/>
      <c r="BI38" s="1173"/>
      <c r="BJ38" s="914"/>
      <c r="BK38" s="1173"/>
      <c r="BL38" s="914"/>
      <c r="BM38" s="1174"/>
      <c r="BN38" s="1169">
        <f t="shared" si="0"/>
        <v>700</v>
      </c>
      <c r="BO38" s="491">
        <f t="shared" si="36"/>
        <v>16</v>
      </c>
      <c r="BP38" s="492">
        <v>21000</v>
      </c>
      <c r="BQ38" s="493">
        <f t="shared" si="2"/>
        <v>11200</v>
      </c>
      <c r="BR38" s="217">
        <f t="shared" si="3"/>
        <v>10800</v>
      </c>
      <c r="BS38" s="217"/>
      <c r="BT38" s="1170">
        <f>BQ38-BR38-BS38-400</f>
        <v>0</v>
      </c>
      <c r="BU38" s="1261">
        <v>6400</v>
      </c>
      <c r="BW38" s="1171">
        <f t="shared" si="5"/>
        <v>700</v>
      </c>
      <c r="BX38" s="1171">
        <f t="shared" si="6"/>
        <v>700</v>
      </c>
      <c r="BY38" s="1171">
        <f t="shared" si="7"/>
        <v>0</v>
      </c>
      <c r="BZ38" s="1171">
        <f t="shared" si="8"/>
        <v>0</v>
      </c>
      <c r="CA38" s="1171">
        <f t="shared" si="9"/>
        <v>700</v>
      </c>
      <c r="CB38" s="1171">
        <f t="shared" si="10"/>
        <v>0</v>
      </c>
      <c r="CC38" s="1171">
        <f t="shared" si="11"/>
        <v>700</v>
      </c>
      <c r="CD38" s="1171">
        <f t="shared" si="12"/>
        <v>0</v>
      </c>
      <c r="CE38" s="1171">
        <f t="shared" si="13"/>
        <v>0</v>
      </c>
      <c r="CF38" s="1171">
        <f t="shared" si="14"/>
        <v>0</v>
      </c>
      <c r="CG38" s="1171">
        <f t="shared" si="15"/>
        <v>0</v>
      </c>
      <c r="CH38" s="1171">
        <f t="shared" si="16"/>
        <v>0</v>
      </c>
      <c r="CI38" s="1171">
        <f t="shared" si="17"/>
        <v>0</v>
      </c>
      <c r="CJ38" s="1171">
        <f t="shared" si="18"/>
        <v>0</v>
      </c>
      <c r="CK38" s="1171">
        <f t="shared" si="19"/>
        <v>0</v>
      </c>
      <c r="CL38" s="1171">
        <f t="shared" si="20"/>
        <v>0</v>
      </c>
      <c r="CM38" s="1171">
        <f t="shared" si="21"/>
        <v>700</v>
      </c>
      <c r="CN38" s="1171">
        <f t="shared" si="22"/>
        <v>700</v>
      </c>
      <c r="CO38" s="1171">
        <f t="shared" si="23"/>
        <v>700</v>
      </c>
      <c r="CP38" s="1171">
        <f t="shared" si="24"/>
        <v>700</v>
      </c>
      <c r="CQ38" s="1171">
        <f t="shared" si="25"/>
        <v>700</v>
      </c>
      <c r="CR38" s="1171">
        <f t="shared" si="26"/>
        <v>700</v>
      </c>
      <c r="CS38" s="1171">
        <f t="shared" si="27"/>
        <v>700</v>
      </c>
      <c r="CT38" s="1171">
        <f t="shared" si="28"/>
        <v>700</v>
      </c>
      <c r="CU38" s="1171">
        <f t="shared" si="29"/>
        <v>700</v>
      </c>
      <c r="CV38" s="1171">
        <f t="shared" si="30"/>
        <v>700</v>
      </c>
      <c r="CW38" s="1171">
        <f t="shared" si="31"/>
        <v>700</v>
      </c>
      <c r="CX38" s="1171">
        <f t="shared" si="32"/>
        <v>700</v>
      </c>
      <c r="CY38" s="1171">
        <f t="shared" si="33"/>
        <v>0</v>
      </c>
      <c r="CZ38" s="1171">
        <f t="shared" si="34"/>
        <v>0</v>
      </c>
      <c r="DA38" s="1171">
        <f t="shared" si="35"/>
        <v>0</v>
      </c>
    </row>
    <row r="39" spans="2:105" ht="24.75" thickTop="1" thickBot="1">
      <c r="B39" s="69">
        <v>34</v>
      </c>
      <c r="C39" s="1108" t="s">
        <v>449</v>
      </c>
      <c r="D39" s="914">
        <v>1</v>
      </c>
      <c r="E39" s="1172"/>
      <c r="F39" s="914">
        <v>1</v>
      </c>
      <c r="G39" s="916"/>
      <c r="H39" s="914">
        <v>0</v>
      </c>
      <c r="I39" s="1173"/>
      <c r="J39" s="1232">
        <v>0</v>
      </c>
      <c r="K39" s="1249"/>
      <c r="L39" s="914">
        <v>1</v>
      </c>
      <c r="M39" s="1172"/>
      <c r="N39" s="914">
        <v>0</v>
      </c>
      <c r="O39" s="1173"/>
      <c r="P39" s="914">
        <v>1</v>
      </c>
      <c r="Q39" s="1173">
        <v>2000</v>
      </c>
      <c r="R39" s="914"/>
      <c r="S39" s="1173"/>
      <c r="T39" s="914"/>
      <c r="U39" s="1173"/>
      <c r="V39" s="914"/>
      <c r="W39" s="1173"/>
      <c r="X39" s="1232"/>
      <c r="Y39" s="1234"/>
      <c r="Z39" s="914">
        <v>0</v>
      </c>
      <c r="AA39" s="1173"/>
      <c r="AB39" s="914">
        <v>0</v>
      </c>
      <c r="AC39" s="1173"/>
      <c r="AD39" s="914">
        <v>0</v>
      </c>
      <c r="AE39" s="1173"/>
      <c r="AF39" s="914">
        <v>0</v>
      </c>
      <c r="AG39" s="1173"/>
      <c r="AH39" s="914">
        <v>0</v>
      </c>
      <c r="AI39" s="1173"/>
      <c r="AJ39" s="914">
        <v>0</v>
      </c>
      <c r="AK39" s="1173"/>
      <c r="AL39" s="1232"/>
      <c r="AM39" s="1234"/>
      <c r="AN39" s="914">
        <v>0</v>
      </c>
      <c r="AO39" s="1173"/>
      <c r="AP39" s="914"/>
      <c r="AQ39" s="1173"/>
      <c r="AR39" s="914">
        <v>0</v>
      </c>
      <c r="AS39" s="1173"/>
      <c r="AT39" s="914">
        <v>0</v>
      </c>
      <c r="AU39" s="1173"/>
      <c r="AV39" s="914">
        <v>0</v>
      </c>
      <c r="AW39" s="1173"/>
      <c r="AX39" s="914">
        <v>0</v>
      </c>
      <c r="AY39" s="1173"/>
      <c r="AZ39" s="1232"/>
      <c r="BA39" s="1234"/>
      <c r="BB39" s="914">
        <v>0</v>
      </c>
      <c r="BC39" s="1173"/>
      <c r="BD39" s="914">
        <v>0</v>
      </c>
      <c r="BE39" s="1173"/>
      <c r="BF39" s="914">
        <v>0</v>
      </c>
      <c r="BG39" s="1173"/>
      <c r="BH39" s="914"/>
      <c r="BI39" s="1173"/>
      <c r="BJ39" s="914"/>
      <c r="BK39" s="1173"/>
      <c r="BL39" s="914"/>
      <c r="BM39" s="1174"/>
      <c r="BN39" s="1169">
        <f t="shared" si="0"/>
        <v>500</v>
      </c>
      <c r="BO39" s="491">
        <f t="shared" si="36"/>
        <v>4</v>
      </c>
      <c r="BP39" s="492">
        <v>15000</v>
      </c>
      <c r="BQ39" s="493">
        <f t="shared" si="2"/>
        <v>2000</v>
      </c>
      <c r="BR39" s="217">
        <f t="shared" si="3"/>
        <v>2000</v>
      </c>
      <c r="BS39" s="217"/>
      <c r="BT39" s="1170">
        <f t="shared" si="4"/>
        <v>0</v>
      </c>
      <c r="BU39" s="1261"/>
      <c r="BW39" s="1171">
        <f t="shared" si="5"/>
        <v>500</v>
      </c>
      <c r="BX39" s="1171">
        <f t="shared" si="6"/>
        <v>500</v>
      </c>
      <c r="BY39" s="1171">
        <f t="shared" si="7"/>
        <v>0</v>
      </c>
      <c r="BZ39" s="1171">
        <f t="shared" si="8"/>
        <v>0</v>
      </c>
      <c r="CA39" s="1171">
        <f t="shared" si="9"/>
        <v>500</v>
      </c>
      <c r="CB39" s="1171">
        <f t="shared" si="10"/>
        <v>0</v>
      </c>
      <c r="CC39" s="1171">
        <f t="shared" si="11"/>
        <v>500</v>
      </c>
      <c r="CD39" s="1171">
        <f t="shared" si="12"/>
        <v>0</v>
      </c>
      <c r="CE39" s="1171">
        <f t="shared" si="13"/>
        <v>0</v>
      </c>
      <c r="CF39" s="1171">
        <f t="shared" si="14"/>
        <v>0</v>
      </c>
      <c r="CG39" s="1171">
        <f t="shared" si="15"/>
        <v>0</v>
      </c>
      <c r="CH39" s="1171">
        <f t="shared" si="16"/>
        <v>0</v>
      </c>
      <c r="CI39" s="1171">
        <f t="shared" si="17"/>
        <v>0</v>
      </c>
      <c r="CJ39" s="1171">
        <f t="shared" si="18"/>
        <v>0</v>
      </c>
      <c r="CK39" s="1171">
        <f t="shared" si="19"/>
        <v>0</v>
      </c>
      <c r="CL39" s="1171">
        <f t="shared" si="20"/>
        <v>0</v>
      </c>
      <c r="CM39" s="1171">
        <f t="shared" si="21"/>
        <v>0</v>
      </c>
      <c r="CN39" s="1171">
        <f t="shared" si="22"/>
        <v>0</v>
      </c>
      <c r="CO39" s="1171">
        <f t="shared" si="23"/>
        <v>0</v>
      </c>
      <c r="CP39" s="1171">
        <f t="shared" si="24"/>
        <v>0</v>
      </c>
      <c r="CQ39" s="1171">
        <f t="shared" si="25"/>
        <v>0</v>
      </c>
      <c r="CR39" s="1171">
        <f t="shared" si="26"/>
        <v>0</v>
      </c>
      <c r="CS39" s="1171">
        <f t="shared" si="27"/>
        <v>0</v>
      </c>
      <c r="CT39" s="1171">
        <f t="shared" si="28"/>
        <v>0</v>
      </c>
      <c r="CU39" s="1171">
        <f t="shared" si="29"/>
        <v>0</v>
      </c>
      <c r="CV39" s="1171">
        <f t="shared" si="30"/>
        <v>0</v>
      </c>
      <c r="CW39" s="1171">
        <f t="shared" si="31"/>
        <v>0</v>
      </c>
      <c r="CX39" s="1171">
        <f t="shared" si="32"/>
        <v>0</v>
      </c>
      <c r="CY39" s="1171">
        <f t="shared" si="33"/>
        <v>0</v>
      </c>
      <c r="CZ39" s="1171">
        <f t="shared" si="34"/>
        <v>0</v>
      </c>
      <c r="DA39" s="1171">
        <f t="shared" si="35"/>
        <v>0</v>
      </c>
    </row>
    <row r="40" spans="2:105" ht="24.75" thickTop="1" thickBot="1">
      <c r="B40" s="69">
        <v>35</v>
      </c>
      <c r="C40" s="1108" t="s">
        <v>450</v>
      </c>
      <c r="D40" s="914">
        <v>1</v>
      </c>
      <c r="E40" s="1172"/>
      <c r="F40" s="914">
        <v>1</v>
      </c>
      <c r="G40" s="916"/>
      <c r="H40" s="914">
        <v>0</v>
      </c>
      <c r="I40" s="1173"/>
      <c r="J40" s="1232">
        <v>0</v>
      </c>
      <c r="K40" s="1249"/>
      <c r="L40" s="914">
        <v>1</v>
      </c>
      <c r="M40" s="1172"/>
      <c r="N40" s="914">
        <v>0</v>
      </c>
      <c r="O40" s="1173"/>
      <c r="P40" s="914">
        <v>1</v>
      </c>
      <c r="Q40" s="1173">
        <v>2000</v>
      </c>
      <c r="R40" s="914"/>
      <c r="S40" s="1173"/>
      <c r="T40" s="914"/>
      <c r="U40" s="1173"/>
      <c r="V40" s="914"/>
      <c r="W40" s="1173"/>
      <c r="X40" s="1232"/>
      <c r="Y40" s="1234"/>
      <c r="Z40" s="914">
        <v>0</v>
      </c>
      <c r="AA40" s="1173"/>
      <c r="AB40" s="914">
        <v>0</v>
      </c>
      <c r="AC40" s="1173"/>
      <c r="AD40" s="914">
        <v>0</v>
      </c>
      <c r="AE40" s="1173"/>
      <c r="AF40" s="914">
        <v>0</v>
      </c>
      <c r="AG40" s="1173"/>
      <c r="AH40" s="914">
        <v>0</v>
      </c>
      <c r="AI40" s="1173"/>
      <c r="AJ40" s="914">
        <v>0</v>
      </c>
      <c r="AK40" s="1173"/>
      <c r="AL40" s="1232"/>
      <c r="AM40" s="1234"/>
      <c r="AN40" s="914">
        <v>0</v>
      </c>
      <c r="AO40" s="1173"/>
      <c r="AP40" s="914"/>
      <c r="AQ40" s="1173"/>
      <c r="AR40" s="914">
        <v>0</v>
      </c>
      <c r="AS40" s="1173"/>
      <c r="AT40" s="914">
        <v>0</v>
      </c>
      <c r="AU40" s="1173"/>
      <c r="AV40" s="914">
        <v>0</v>
      </c>
      <c r="AW40" s="1173"/>
      <c r="AX40" s="914">
        <v>0</v>
      </c>
      <c r="AY40" s="1173"/>
      <c r="AZ40" s="1232"/>
      <c r="BA40" s="1234"/>
      <c r="BB40" s="914">
        <v>0</v>
      </c>
      <c r="BC40" s="1173"/>
      <c r="BD40" s="914">
        <v>0</v>
      </c>
      <c r="BE40" s="1173"/>
      <c r="BF40" s="914">
        <v>0</v>
      </c>
      <c r="BG40" s="1173"/>
      <c r="BH40" s="914"/>
      <c r="BI40" s="1173"/>
      <c r="BJ40" s="914"/>
      <c r="BK40" s="1173"/>
      <c r="BL40" s="914"/>
      <c r="BM40" s="1174"/>
      <c r="BN40" s="1169">
        <f t="shared" si="0"/>
        <v>500</v>
      </c>
      <c r="BO40" s="491">
        <f t="shared" si="36"/>
        <v>4</v>
      </c>
      <c r="BP40" s="492">
        <v>15000</v>
      </c>
      <c r="BQ40" s="493">
        <f t="shared" si="2"/>
        <v>2000</v>
      </c>
      <c r="BR40" s="217">
        <f t="shared" si="3"/>
        <v>2000</v>
      </c>
      <c r="BS40" s="217"/>
      <c r="BT40" s="1170">
        <f t="shared" si="4"/>
        <v>0</v>
      </c>
      <c r="BU40" s="1261">
        <v>0</v>
      </c>
      <c r="BW40" s="1171">
        <f t="shared" si="5"/>
        <v>500</v>
      </c>
      <c r="BX40" s="1171">
        <f t="shared" si="6"/>
        <v>500</v>
      </c>
      <c r="BY40" s="1171">
        <f t="shared" si="7"/>
        <v>0</v>
      </c>
      <c r="BZ40" s="1171">
        <f t="shared" si="8"/>
        <v>0</v>
      </c>
      <c r="CA40" s="1171">
        <f t="shared" si="9"/>
        <v>500</v>
      </c>
      <c r="CB40" s="1171">
        <f t="shared" si="10"/>
        <v>0</v>
      </c>
      <c r="CC40" s="1171">
        <f t="shared" si="11"/>
        <v>500</v>
      </c>
      <c r="CD40" s="1171">
        <f t="shared" si="12"/>
        <v>0</v>
      </c>
      <c r="CE40" s="1171">
        <f t="shared" si="13"/>
        <v>0</v>
      </c>
      <c r="CF40" s="1171">
        <f t="shared" si="14"/>
        <v>0</v>
      </c>
      <c r="CG40" s="1171">
        <f t="shared" si="15"/>
        <v>0</v>
      </c>
      <c r="CH40" s="1171">
        <f t="shared" si="16"/>
        <v>0</v>
      </c>
      <c r="CI40" s="1171">
        <f t="shared" si="17"/>
        <v>0</v>
      </c>
      <c r="CJ40" s="1171">
        <f t="shared" si="18"/>
        <v>0</v>
      </c>
      <c r="CK40" s="1171">
        <f t="shared" si="19"/>
        <v>0</v>
      </c>
      <c r="CL40" s="1171">
        <f t="shared" si="20"/>
        <v>0</v>
      </c>
      <c r="CM40" s="1171">
        <f t="shared" si="21"/>
        <v>0</v>
      </c>
      <c r="CN40" s="1171">
        <f t="shared" si="22"/>
        <v>0</v>
      </c>
      <c r="CO40" s="1171">
        <f t="shared" si="23"/>
        <v>0</v>
      </c>
      <c r="CP40" s="1171">
        <f t="shared" si="24"/>
        <v>0</v>
      </c>
      <c r="CQ40" s="1171">
        <f t="shared" si="25"/>
        <v>0</v>
      </c>
      <c r="CR40" s="1171">
        <f t="shared" si="26"/>
        <v>0</v>
      </c>
      <c r="CS40" s="1171">
        <f t="shared" si="27"/>
        <v>0</v>
      </c>
      <c r="CT40" s="1171">
        <f t="shared" si="28"/>
        <v>0</v>
      </c>
      <c r="CU40" s="1171">
        <f t="shared" si="29"/>
        <v>0</v>
      </c>
      <c r="CV40" s="1171">
        <f t="shared" si="30"/>
        <v>0</v>
      </c>
      <c r="CW40" s="1171">
        <f t="shared" si="31"/>
        <v>0</v>
      </c>
      <c r="CX40" s="1171">
        <f t="shared" si="32"/>
        <v>0</v>
      </c>
      <c r="CY40" s="1171">
        <f t="shared" si="33"/>
        <v>0</v>
      </c>
      <c r="CZ40" s="1171">
        <f t="shared" si="34"/>
        <v>0</v>
      </c>
      <c r="DA40" s="1171">
        <f t="shared" si="35"/>
        <v>0</v>
      </c>
    </row>
    <row r="41" spans="2:105" ht="24.75" thickTop="1" thickBot="1">
      <c r="B41" s="69">
        <v>36</v>
      </c>
      <c r="C41" s="1208" t="s">
        <v>451</v>
      </c>
      <c r="D41" s="914">
        <v>1</v>
      </c>
      <c r="E41" s="1172"/>
      <c r="F41" s="914">
        <v>1</v>
      </c>
      <c r="G41" s="916"/>
      <c r="H41" s="914">
        <v>0</v>
      </c>
      <c r="I41" s="1173">
        <v>1000</v>
      </c>
      <c r="J41" s="1232">
        <v>0</v>
      </c>
      <c r="K41" s="1249"/>
      <c r="L41" s="914">
        <v>1</v>
      </c>
      <c r="M41" s="1172"/>
      <c r="N41" s="914">
        <v>0</v>
      </c>
      <c r="O41" s="1173"/>
      <c r="P41" s="914">
        <v>1</v>
      </c>
      <c r="Q41" s="1173"/>
      <c r="R41" s="914">
        <v>1</v>
      </c>
      <c r="S41" s="1173"/>
      <c r="T41" s="914">
        <v>1</v>
      </c>
      <c r="U41" s="1173"/>
      <c r="V41" s="914">
        <v>1</v>
      </c>
      <c r="W41" s="1173">
        <v>2300</v>
      </c>
      <c r="X41" s="1232"/>
      <c r="Y41" s="1234"/>
      <c r="Z41" s="914">
        <v>1</v>
      </c>
      <c r="AA41" s="1173"/>
      <c r="AB41" s="914">
        <v>1</v>
      </c>
      <c r="AC41" s="1173"/>
      <c r="AD41" s="914">
        <v>1</v>
      </c>
      <c r="AE41" s="1173"/>
      <c r="AF41" s="914">
        <v>1</v>
      </c>
      <c r="AG41" s="1173"/>
      <c r="AH41" s="914">
        <v>1</v>
      </c>
      <c r="AI41" s="1173"/>
      <c r="AJ41" s="914">
        <v>1</v>
      </c>
      <c r="AK41" s="1173">
        <v>600</v>
      </c>
      <c r="AL41" s="1232"/>
      <c r="AM41" s="1234"/>
      <c r="AN41" s="914">
        <v>1</v>
      </c>
      <c r="AO41" s="1173"/>
      <c r="AP41" s="914"/>
      <c r="AQ41" s="1173"/>
      <c r="AR41" s="914">
        <v>1</v>
      </c>
      <c r="AS41" s="1173"/>
      <c r="AT41" s="914">
        <v>1</v>
      </c>
      <c r="AU41" s="1173"/>
      <c r="AV41" s="914">
        <v>0</v>
      </c>
      <c r="AW41" s="1173"/>
      <c r="AX41" s="914">
        <v>1</v>
      </c>
      <c r="AY41" s="1173">
        <v>300</v>
      </c>
      <c r="AZ41" s="1232"/>
      <c r="BA41" s="1234"/>
      <c r="BB41" s="914">
        <v>1</v>
      </c>
      <c r="BC41" s="1173"/>
      <c r="BD41" s="914">
        <v>1</v>
      </c>
      <c r="BE41" s="1173"/>
      <c r="BF41" s="914">
        <v>1</v>
      </c>
      <c r="BG41" s="1173">
        <v>5800</v>
      </c>
      <c r="BH41" s="914"/>
      <c r="BI41" s="1173"/>
      <c r="BJ41" s="914"/>
      <c r="BK41" s="1173"/>
      <c r="BL41" s="914"/>
      <c r="BM41" s="1174"/>
      <c r="BN41" s="1169">
        <f t="shared" si="0"/>
        <v>500</v>
      </c>
      <c r="BO41" s="491">
        <f t="shared" si="36"/>
        <v>20</v>
      </c>
      <c r="BP41" s="492">
        <v>15000</v>
      </c>
      <c r="BQ41" s="493">
        <f t="shared" si="2"/>
        <v>10000</v>
      </c>
      <c r="BR41" s="217">
        <f t="shared" si="3"/>
        <v>10000</v>
      </c>
      <c r="BS41" s="217"/>
      <c r="BT41" s="1170">
        <f t="shared" si="4"/>
        <v>0</v>
      </c>
      <c r="BU41" s="1261">
        <v>5800</v>
      </c>
      <c r="BW41" s="1171">
        <f t="shared" si="5"/>
        <v>500</v>
      </c>
      <c r="BX41" s="1171">
        <f t="shared" si="6"/>
        <v>500</v>
      </c>
      <c r="BY41" s="1171">
        <f t="shared" si="7"/>
        <v>0</v>
      </c>
      <c r="BZ41" s="1171">
        <f t="shared" si="8"/>
        <v>0</v>
      </c>
      <c r="CA41" s="1171">
        <f t="shared" si="9"/>
        <v>500</v>
      </c>
      <c r="CB41" s="1171">
        <f t="shared" si="10"/>
        <v>0</v>
      </c>
      <c r="CC41" s="1171">
        <f t="shared" si="11"/>
        <v>500</v>
      </c>
      <c r="CD41" s="1171">
        <f t="shared" si="12"/>
        <v>500</v>
      </c>
      <c r="CE41" s="1171">
        <f t="shared" si="13"/>
        <v>500</v>
      </c>
      <c r="CF41" s="1171">
        <f t="shared" si="14"/>
        <v>500</v>
      </c>
      <c r="CG41" s="1171">
        <f t="shared" si="15"/>
        <v>0</v>
      </c>
      <c r="CH41" s="1171">
        <f t="shared" si="16"/>
        <v>500</v>
      </c>
      <c r="CI41" s="1171">
        <f t="shared" si="17"/>
        <v>500</v>
      </c>
      <c r="CJ41" s="1171">
        <f t="shared" si="18"/>
        <v>500</v>
      </c>
      <c r="CK41" s="1171">
        <f t="shared" si="19"/>
        <v>500</v>
      </c>
      <c r="CL41" s="1171">
        <f t="shared" si="20"/>
        <v>500</v>
      </c>
      <c r="CM41" s="1171">
        <f t="shared" si="21"/>
        <v>500</v>
      </c>
      <c r="CN41" s="1171">
        <f t="shared" si="22"/>
        <v>0</v>
      </c>
      <c r="CO41" s="1171">
        <f t="shared" si="23"/>
        <v>500</v>
      </c>
      <c r="CP41" s="1171">
        <f t="shared" si="24"/>
        <v>0</v>
      </c>
      <c r="CQ41" s="1171">
        <f t="shared" si="25"/>
        <v>500</v>
      </c>
      <c r="CR41" s="1171">
        <f t="shared" si="26"/>
        <v>500</v>
      </c>
      <c r="CS41" s="1171">
        <f t="shared" si="27"/>
        <v>0</v>
      </c>
      <c r="CT41" s="1171">
        <f t="shared" si="28"/>
        <v>500</v>
      </c>
      <c r="CU41" s="1171">
        <f t="shared" si="29"/>
        <v>0</v>
      </c>
      <c r="CV41" s="1171">
        <f t="shared" si="30"/>
        <v>500</v>
      </c>
      <c r="CW41" s="1171">
        <f t="shared" si="31"/>
        <v>500</v>
      </c>
      <c r="CX41" s="1171">
        <f t="shared" si="32"/>
        <v>500</v>
      </c>
      <c r="CY41" s="1171">
        <f t="shared" si="33"/>
        <v>0</v>
      </c>
      <c r="CZ41" s="1171">
        <f t="shared" si="34"/>
        <v>0</v>
      </c>
      <c r="DA41" s="1171">
        <f t="shared" si="35"/>
        <v>0</v>
      </c>
    </row>
    <row r="42" spans="2:105" ht="24.75" thickTop="1" thickBot="1">
      <c r="B42" s="69">
        <v>37</v>
      </c>
      <c r="C42" s="1108" t="s">
        <v>434</v>
      </c>
      <c r="D42" s="914">
        <v>1</v>
      </c>
      <c r="E42" s="1172"/>
      <c r="F42" s="914">
        <v>1</v>
      </c>
      <c r="G42" s="916"/>
      <c r="H42" s="914">
        <v>0</v>
      </c>
      <c r="I42" s="1173"/>
      <c r="J42" s="1232">
        <v>0</v>
      </c>
      <c r="K42" s="1249"/>
      <c r="L42" s="914">
        <v>1</v>
      </c>
      <c r="M42" s="1172"/>
      <c r="N42" s="914">
        <v>0</v>
      </c>
      <c r="O42" s="1173"/>
      <c r="P42" s="914">
        <v>1</v>
      </c>
      <c r="Q42" s="1173">
        <v>1600</v>
      </c>
      <c r="R42" s="914"/>
      <c r="S42" s="1173"/>
      <c r="T42" s="914"/>
      <c r="U42" s="1173"/>
      <c r="V42" s="914"/>
      <c r="W42" s="1173"/>
      <c r="X42" s="1232"/>
      <c r="Y42" s="1234"/>
      <c r="Z42" s="914">
        <v>0</v>
      </c>
      <c r="AA42" s="1173"/>
      <c r="AB42" s="914">
        <v>0</v>
      </c>
      <c r="AC42" s="1173"/>
      <c r="AD42" s="914">
        <v>0</v>
      </c>
      <c r="AE42" s="1173"/>
      <c r="AF42" s="914">
        <v>0</v>
      </c>
      <c r="AG42" s="1173"/>
      <c r="AH42" s="914">
        <v>0</v>
      </c>
      <c r="AI42" s="1173"/>
      <c r="AJ42" s="914">
        <v>0</v>
      </c>
      <c r="AK42" s="1173"/>
      <c r="AL42" s="1232"/>
      <c r="AM42" s="1234"/>
      <c r="AN42" s="914">
        <v>0</v>
      </c>
      <c r="AO42" s="1173"/>
      <c r="AP42" s="914"/>
      <c r="AQ42" s="1173"/>
      <c r="AR42" s="914"/>
      <c r="AS42" s="1173"/>
      <c r="AT42" s="914">
        <v>0</v>
      </c>
      <c r="AU42" s="1173"/>
      <c r="AV42" s="914">
        <v>0</v>
      </c>
      <c r="AW42" s="1173"/>
      <c r="AX42" s="914">
        <v>0</v>
      </c>
      <c r="AY42" s="1173"/>
      <c r="AZ42" s="1232"/>
      <c r="BA42" s="1234"/>
      <c r="BB42" s="914">
        <v>0</v>
      </c>
      <c r="BC42" s="1173"/>
      <c r="BD42" s="914">
        <v>0</v>
      </c>
      <c r="BE42" s="1173"/>
      <c r="BF42" s="914">
        <v>0</v>
      </c>
      <c r="BG42" s="1173"/>
      <c r="BH42" s="914"/>
      <c r="BI42" s="1173"/>
      <c r="BJ42" s="914"/>
      <c r="BK42" s="1173"/>
      <c r="BL42" s="914"/>
      <c r="BM42" s="1174"/>
      <c r="BN42" s="1169">
        <f t="shared" si="0"/>
        <v>400</v>
      </c>
      <c r="BO42" s="491">
        <f t="shared" si="36"/>
        <v>4</v>
      </c>
      <c r="BP42" s="492">
        <v>12000</v>
      </c>
      <c r="BQ42" s="493">
        <f t="shared" si="2"/>
        <v>1600</v>
      </c>
      <c r="BR42" s="217">
        <f t="shared" si="3"/>
        <v>1600</v>
      </c>
      <c r="BS42" s="217"/>
      <c r="BT42" s="1170">
        <f t="shared" si="4"/>
        <v>0</v>
      </c>
      <c r="BU42" s="1261">
        <v>0</v>
      </c>
      <c r="BW42" s="1171">
        <f t="shared" si="5"/>
        <v>400</v>
      </c>
      <c r="BX42" s="1171">
        <f t="shared" si="6"/>
        <v>400</v>
      </c>
      <c r="BY42" s="1171">
        <f t="shared" si="7"/>
        <v>0</v>
      </c>
      <c r="BZ42" s="1171">
        <f t="shared" si="8"/>
        <v>0</v>
      </c>
      <c r="CA42" s="1171">
        <f t="shared" si="9"/>
        <v>400</v>
      </c>
      <c r="CB42" s="1171">
        <f t="shared" si="10"/>
        <v>0</v>
      </c>
      <c r="CC42" s="1171">
        <f t="shared" si="11"/>
        <v>400</v>
      </c>
      <c r="CD42" s="1171">
        <f t="shared" si="12"/>
        <v>0</v>
      </c>
      <c r="CE42" s="1171">
        <f t="shared" si="13"/>
        <v>0</v>
      </c>
      <c r="CF42" s="1171">
        <f t="shared" si="14"/>
        <v>0</v>
      </c>
      <c r="CG42" s="1171">
        <f t="shared" si="15"/>
        <v>0</v>
      </c>
      <c r="CH42" s="1171">
        <f t="shared" si="16"/>
        <v>0</v>
      </c>
      <c r="CI42" s="1171">
        <f t="shared" si="17"/>
        <v>0</v>
      </c>
      <c r="CJ42" s="1171">
        <f t="shared" si="18"/>
        <v>0</v>
      </c>
      <c r="CK42" s="1171">
        <f t="shared" si="19"/>
        <v>0</v>
      </c>
      <c r="CL42" s="1171">
        <f t="shared" si="20"/>
        <v>0</v>
      </c>
      <c r="CM42" s="1171">
        <f t="shared" si="21"/>
        <v>0</v>
      </c>
      <c r="CN42" s="1171">
        <f t="shared" si="22"/>
        <v>0</v>
      </c>
      <c r="CO42" s="1171">
        <f t="shared" si="23"/>
        <v>0</v>
      </c>
      <c r="CP42" s="1171">
        <f t="shared" si="24"/>
        <v>0</v>
      </c>
      <c r="CQ42" s="1171">
        <f t="shared" si="25"/>
        <v>0</v>
      </c>
      <c r="CR42" s="1171">
        <f t="shared" si="26"/>
        <v>0</v>
      </c>
      <c r="CS42" s="1171">
        <f t="shared" si="27"/>
        <v>0</v>
      </c>
      <c r="CT42" s="1171">
        <f t="shared" si="28"/>
        <v>0</v>
      </c>
      <c r="CU42" s="1171">
        <f t="shared" si="29"/>
        <v>0</v>
      </c>
      <c r="CV42" s="1171">
        <f t="shared" si="30"/>
        <v>0</v>
      </c>
      <c r="CW42" s="1171">
        <f t="shared" si="31"/>
        <v>0</v>
      </c>
      <c r="CX42" s="1171">
        <f t="shared" si="32"/>
        <v>0</v>
      </c>
      <c r="CY42" s="1171">
        <f t="shared" si="33"/>
        <v>0</v>
      </c>
      <c r="CZ42" s="1171">
        <f t="shared" si="34"/>
        <v>0</v>
      </c>
      <c r="DA42" s="1171">
        <f t="shared" si="35"/>
        <v>0</v>
      </c>
    </row>
    <row r="43" spans="2:105" ht="24.75" thickTop="1" thickBot="1">
      <c r="B43" s="69">
        <v>38</v>
      </c>
      <c r="C43" s="1108" t="s">
        <v>426</v>
      </c>
      <c r="D43" s="914">
        <v>1</v>
      </c>
      <c r="E43" s="1172"/>
      <c r="F43" s="914">
        <v>1</v>
      </c>
      <c r="G43" s="1172"/>
      <c r="H43" s="914">
        <v>0</v>
      </c>
      <c r="I43" s="1173"/>
      <c r="J43" s="1232">
        <v>0</v>
      </c>
      <c r="K43" s="1249"/>
      <c r="L43" s="914">
        <v>1</v>
      </c>
      <c r="M43" s="1172"/>
      <c r="N43" s="914">
        <v>0</v>
      </c>
      <c r="O43" s="1173"/>
      <c r="P43" s="914">
        <v>1</v>
      </c>
      <c r="Q43" s="1173"/>
      <c r="R43" s="914">
        <v>1</v>
      </c>
      <c r="S43" s="1173"/>
      <c r="T43" s="914">
        <v>1</v>
      </c>
      <c r="U43" s="1173"/>
      <c r="V43" s="914">
        <v>1</v>
      </c>
      <c r="W43" s="1173"/>
      <c r="X43" s="1232"/>
      <c r="Y43" s="1234"/>
      <c r="Z43" s="914">
        <v>1</v>
      </c>
      <c r="AA43" s="1173"/>
      <c r="AB43" s="914">
        <v>1</v>
      </c>
      <c r="AC43" s="1173"/>
      <c r="AD43" s="914">
        <v>1</v>
      </c>
      <c r="AE43" s="1173"/>
      <c r="AF43" s="914">
        <v>1</v>
      </c>
      <c r="AG43" s="1173"/>
      <c r="AH43" s="914">
        <v>1</v>
      </c>
      <c r="AI43" s="1173"/>
      <c r="AJ43" s="914">
        <v>1</v>
      </c>
      <c r="AK43" s="1173">
        <v>200</v>
      </c>
      <c r="AL43" s="1232"/>
      <c r="AM43" s="1234"/>
      <c r="AN43" s="914">
        <v>1</v>
      </c>
      <c r="AO43" s="1173"/>
      <c r="AP43" s="914">
        <v>1</v>
      </c>
      <c r="AQ43" s="1173"/>
      <c r="AR43" s="914">
        <v>1</v>
      </c>
      <c r="AS43" s="1173"/>
      <c r="AT43" s="914">
        <v>1</v>
      </c>
      <c r="AU43" s="1173"/>
      <c r="AV43" s="914">
        <v>0</v>
      </c>
      <c r="AW43" s="1173"/>
      <c r="AX43" s="914">
        <v>1</v>
      </c>
      <c r="AY43" s="1173"/>
      <c r="AZ43" s="1232"/>
      <c r="BA43" s="1234"/>
      <c r="BB43" s="914">
        <v>1</v>
      </c>
      <c r="BC43" s="1173"/>
      <c r="BD43" s="914">
        <v>1</v>
      </c>
      <c r="BE43" s="1173"/>
      <c r="BF43" s="914">
        <v>1</v>
      </c>
      <c r="BG43" s="1173">
        <v>8200</v>
      </c>
      <c r="BH43" s="914"/>
      <c r="BI43" s="1173"/>
      <c r="BJ43" s="914"/>
      <c r="BK43" s="1173"/>
      <c r="BL43" s="914"/>
      <c r="BM43" s="1174"/>
      <c r="BN43" s="1169">
        <f t="shared" si="0"/>
        <v>400</v>
      </c>
      <c r="BO43" s="491">
        <f t="shared" si="36"/>
        <v>21</v>
      </c>
      <c r="BP43" s="492">
        <v>12000</v>
      </c>
      <c r="BQ43" s="493">
        <f t="shared" si="2"/>
        <v>8400</v>
      </c>
      <c r="BR43" s="217">
        <f t="shared" si="3"/>
        <v>8400</v>
      </c>
      <c r="BS43" s="217"/>
      <c r="BT43" s="1170">
        <f t="shared" si="4"/>
        <v>0</v>
      </c>
      <c r="BU43" s="1261">
        <v>8200</v>
      </c>
      <c r="BW43" s="1171">
        <f t="shared" si="5"/>
        <v>400</v>
      </c>
      <c r="BX43" s="1171">
        <f t="shared" si="6"/>
        <v>400</v>
      </c>
      <c r="BY43" s="1171">
        <f t="shared" si="7"/>
        <v>0</v>
      </c>
      <c r="BZ43" s="1171">
        <f t="shared" si="8"/>
        <v>0</v>
      </c>
      <c r="CA43" s="1171">
        <f t="shared" si="9"/>
        <v>400</v>
      </c>
      <c r="CB43" s="1171">
        <f t="shared" si="10"/>
        <v>0</v>
      </c>
      <c r="CC43" s="1171">
        <f t="shared" si="11"/>
        <v>400</v>
      </c>
      <c r="CD43" s="1171">
        <f t="shared" si="12"/>
        <v>400</v>
      </c>
      <c r="CE43" s="1171">
        <f t="shared" si="13"/>
        <v>400</v>
      </c>
      <c r="CF43" s="1171">
        <f t="shared" si="14"/>
        <v>400</v>
      </c>
      <c r="CG43" s="1171">
        <f t="shared" si="15"/>
        <v>0</v>
      </c>
      <c r="CH43" s="1171">
        <f t="shared" si="16"/>
        <v>400</v>
      </c>
      <c r="CI43" s="1171">
        <f t="shared" si="17"/>
        <v>400</v>
      </c>
      <c r="CJ43" s="1171">
        <f t="shared" si="18"/>
        <v>400</v>
      </c>
      <c r="CK43" s="1171">
        <f t="shared" si="19"/>
        <v>400</v>
      </c>
      <c r="CL43" s="1171">
        <f t="shared" si="20"/>
        <v>400</v>
      </c>
      <c r="CM43" s="1171">
        <f t="shared" si="21"/>
        <v>400</v>
      </c>
      <c r="CN43" s="1171">
        <f t="shared" si="22"/>
        <v>0</v>
      </c>
      <c r="CO43" s="1171">
        <f t="shared" si="23"/>
        <v>400</v>
      </c>
      <c r="CP43" s="1171">
        <f t="shared" si="24"/>
        <v>400</v>
      </c>
      <c r="CQ43" s="1171">
        <f t="shared" si="25"/>
        <v>400</v>
      </c>
      <c r="CR43" s="1171">
        <f t="shared" si="26"/>
        <v>400</v>
      </c>
      <c r="CS43" s="1171">
        <f t="shared" si="27"/>
        <v>0</v>
      </c>
      <c r="CT43" s="1171">
        <f t="shared" si="28"/>
        <v>400</v>
      </c>
      <c r="CU43" s="1171">
        <f t="shared" si="29"/>
        <v>0</v>
      </c>
      <c r="CV43" s="1171">
        <f t="shared" si="30"/>
        <v>400</v>
      </c>
      <c r="CW43" s="1171">
        <f t="shared" si="31"/>
        <v>400</v>
      </c>
      <c r="CX43" s="1171">
        <f t="shared" si="32"/>
        <v>400</v>
      </c>
      <c r="CY43" s="1171">
        <f t="shared" si="33"/>
        <v>0</v>
      </c>
      <c r="CZ43" s="1171">
        <f t="shared" si="34"/>
        <v>0</v>
      </c>
      <c r="DA43" s="1171">
        <f t="shared" si="35"/>
        <v>0</v>
      </c>
    </row>
    <row r="44" spans="2:105" ht="24.75" thickTop="1" thickBot="1">
      <c r="B44" s="69">
        <v>39</v>
      </c>
      <c r="C44" s="1108" t="s">
        <v>452</v>
      </c>
      <c r="D44" s="914">
        <v>1</v>
      </c>
      <c r="E44" s="1172"/>
      <c r="F44" s="914">
        <v>1</v>
      </c>
      <c r="G44" s="1172"/>
      <c r="H44" s="914">
        <v>0</v>
      </c>
      <c r="I44" s="1173"/>
      <c r="J44" s="1232">
        <v>0</v>
      </c>
      <c r="K44" s="1249"/>
      <c r="L44" s="914">
        <v>1</v>
      </c>
      <c r="M44" s="1172"/>
      <c r="N44" s="914">
        <v>0</v>
      </c>
      <c r="O44" s="1173"/>
      <c r="P44" s="914">
        <v>1</v>
      </c>
      <c r="Q44" s="1173"/>
      <c r="R44" s="914">
        <v>1</v>
      </c>
      <c r="S44" s="1173"/>
      <c r="T44" s="914">
        <v>1</v>
      </c>
      <c r="U44" s="1173"/>
      <c r="V44" s="914">
        <v>1</v>
      </c>
      <c r="W44" s="1173">
        <v>500</v>
      </c>
      <c r="X44" s="1232"/>
      <c r="Y44" s="1234"/>
      <c r="Z44" s="914">
        <v>1</v>
      </c>
      <c r="AA44" s="1173"/>
      <c r="AB44" s="914">
        <v>1</v>
      </c>
      <c r="AC44" s="1173"/>
      <c r="AD44" s="914">
        <v>1</v>
      </c>
      <c r="AE44" s="1173"/>
      <c r="AF44" s="914">
        <v>1</v>
      </c>
      <c r="AG44" s="1173"/>
      <c r="AH44" s="914">
        <v>1</v>
      </c>
      <c r="AI44" s="1173"/>
      <c r="AJ44" s="914">
        <v>1</v>
      </c>
      <c r="AK44" s="1173">
        <v>500</v>
      </c>
      <c r="AL44" s="1232"/>
      <c r="AM44" s="1234"/>
      <c r="AN44" s="914">
        <v>1</v>
      </c>
      <c r="AO44" s="1173"/>
      <c r="AP44" s="914"/>
      <c r="AQ44" s="1173"/>
      <c r="AR44" s="914">
        <v>1</v>
      </c>
      <c r="AS44" s="1173"/>
      <c r="AT44" s="914">
        <v>1</v>
      </c>
      <c r="AU44" s="1173"/>
      <c r="AV44" s="914">
        <v>0</v>
      </c>
      <c r="AW44" s="1173"/>
      <c r="AX44" s="914">
        <v>1</v>
      </c>
      <c r="AY44" s="1173">
        <v>500</v>
      </c>
      <c r="AZ44" s="1232"/>
      <c r="BA44" s="1234"/>
      <c r="BB44" s="914">
        <v>1</v>
      </c>
      <c r="BC44" s="1173"/>
      <c r="BD44" s="914">
        <v>1</v>
      </c>
      <c r="BE44" s="1173"/>
      <c r="BF44" s="914">
        <v>1</v>
      </c>
      <c r="BG44" s="1173">
        <v>6500</v>
      </c>
      <c r="BH44" s="914"/>
      <c r="BI44" s="1173"/>
      <c r="BJ44" s="914"/>
      <c r="BK44" s="1173"/>
      <c r="BL44" s="914"/>
      <c r="BM44" s="1174"/>
      <c r="BN44" s="1169">
        <f t="shared" si="0"/>
        <v>400</v>
      </c>
      <c r="BO44" s="491">
        <f t="shared" si="36"/>
        <v>20</v>
      </c>
      <c r="BP44" s="492">
        <v>12000</v>
      </c>
      <c r="BQ44" s="493">
        <f t="shared" si="2"/>
        <v>8000</v>
      </c>
      <c r="BR44" s="217">
        <f t="shared" si="3"/>
        <v>8000</v>
      </c>
      <c r="BS44" s="217"/>
      <c r="BT44" s="1170">
        <f t="shared" si="4"/>
        <v>0</v>
      </c>
      <c r="BU44" s="1261">
        <v>6500</v>
      </c>
      <c r="BW44" s="1171">
        <f t="shared" si="5"/>
        <v>400</v>
      </c>
      <c r="BX44" s="1171">
        <f t="shared" si="6"/>
        <v>400</v>
      </c>
      <c r="BY44" s="1171">
        <f t="shared" si="7"/>
        <v>0</v>
      </c>
      <c r="BZ44" s="1171">
        <f t="shared" si="8"/>
        <v>0</v>
      </c>
      <c r="CA44" s="1171">
        <f t="shared" si="9"/>
        <v>400</v>
      </c>
      <c r="CB44" s="1171">
        <f t="shared" si="10"/>
        <v>0</v>
      </c>
      <c r="CC44" s="1171">
        <f t="shared" si="11"/>
        <v>400</v>
      </c>
      <c r="CD44" s="1171">
        <f t="shared" si="12"/>
        <v>400</v>
      </c>
      <c r="CE44" s="1171">
        <f t="shared" si="13"/>
        <v>400</v>
      </c>
      <c r="CF44" s="1171">
        <f t="shared" si="14"/>
        <v>400</v>
      </c>
      <c r="CG44" s="1171">
        <f t="shared" si="15"/>
        <v>0</v>
      </c>
      <c r="CH44" s="1171">
        <f t="shared" si="16"/>
        <v>400</v>
      </c>
      <c r="CI44" s="1171">
        <f t="shared" si="17"/>
        <v>400</v>
      </c>
      <c r="CJ44" s="1171">
        <f t="shared" si="18"/>
        <v>400</v>
      </c>
      <c r="CK44" s="1171">
        <f t="shared" si="19"/>
        <v>400</v>
      </c>
      <c r="CL44" s="1171">
        <f t="shared" si="20"/>
        <v>400</v>
      </c>
      <c r="CM44" s="1171">
        <f t="shared" si="21"/>
        <v>400</v>
      </c>
      <c r="CN44" s="1171">
        <f t="shared" si="22"/>
        <v>0</v>
      </c>
      <c r="CO44" s="1171">
        <f t="shared" si="23"/>
        <v>400</v>
      </c>
      <c r="CP44" s="1171">
        <f t="shared" si="24"/>
        <v>0</v>
      </c>
      <c r="CQ44" s="1171">
        <f t="shared" si="25"/>
        <v>400</v>
      </c>
      <c r="CR44" s="1171">
        <f t="shared" si="26"/>
        <v>400</v>
      </c>
      <c r="CS44" s="1171">
        <f t="shared" si="27"/>
        <v>0</v>
      </c>
      <c r="CT44" s="1171">
        <f t="shared" si="28"/>
        <v>400</v>
      </c>
      <c r="CU44" s="1171">
        <f t="shared" si="29"/>
        <v>0</v>
      </c>
      <c r="CV44" s="1171">
        <f t="shared" si="30"/>
        <v>400</v>
      </c>
      <c r="CW44" s="1171">
        <f t="shared" si="31"/>
        <v>400</v>
      </c>
      <c r="CX44" s="1171">
        <f t="shared" si="32"/>
        <v>400</v>
      </c>
      <c r="CY44" s="1171">
        <f t="shared" si="33"/>
        <v>0</v>
      </c>
      <c r="CZ44" s="1171">
        <f t="shared" si="34"/>
        <v>0</v>
      </c>
      <c r="DA44" s="1171">
        <f t="shared" si="35"/>
        <v>0</v>
      </c>
    </row>
    <row r="45" spans="2:105" ht="24.75" thickTop="1" thickBot="1">
      <c r="B45" s="69">
        <v>40</v>
      </c>
      <c r="C45" s="1108" t="s">
        <v>453</v>
      </c>
      <c r="D45" s="914">
        <v>1</v>
      </c>
      <c r="E45" s="1172"/>
      <c r="F45" s="914">
        <v>1</v>
      </c>
      <c r="G45" s="916"/>
      <c r="H45" s="914">
        <v>0</v>
      </c>
      <c r="I45" s="1173">
        <v>300</v>
      </c>
      <c r="J45" s="1232">
        <v>0</v>
      </c>
      <c r="K45" s="1249"/>
      <c r="L45" s="914">
        <v>1</v>
      </c>
      <c r="M45" s="1172"/>
      <c r="N45" s="914">
        <v>0</v>
      </c>
      <c r="O45" s="1173"/>
      <c r="P45" s="914">
        <v>1</v>
      </c>
      <c r="Q45" s="1173"/>
      <c r="R45" s="914">
        <v>1</v>
      </c>
      <c r="S45" s="1173"/>
      <c r="T45" s="914">
        <v>1</v>
      </c>
      <c r="U45" s="1173"/>
      <c r="V45" s="914">
        <v>1</v>
      </c>
      <c r="W45" s="1173">
        <v>500</v>
      </c>
      <c r="X45" s="1232"/>
      <c r="Y45" s="1234"/>
      <c r="Z45" s="914">
        <v>1</v>
      </c>
      <c r="AA45" s="1173"/>
      <c r="AB45" s="914">
        <v>1</v>
      </c>
      <c r="AC45" s="1173"/>
      <c r="AD45" s="914">
        <v>1</v>
      </c>
      <c r="AE45" s="1173"/>
      <c r="AF45" s="914">
        <v>1</v>
      </c>
      <c r="AG45" s="1173"/>
      <c r="AH45" s="914">
        <v>1</v>
      </c>
      <c r="AI45" s="1173"/>
      <c r="AJ45" s="914">
        <v>1</v>
      </c>
      <c r="AK45" s="1173">
        <v>3700</v>
      </c>
      <c r="AL45" s="1232"/>
      <c r="AM45" s="1234"/>
      <c r="AN45" s="914">
        <v>0</v>
      </c>
      <c r="AO45" s="1173"/>
      <c r="AP45" s="914">
        <v>1</v>
      </c>
      <c r="AQ45" s="1173"/>
      <c r="AR45" s="914">
        <v>1</v>
      </c>
      <c r="AS45" s="1173"/>
      <c r="AT45" s="914">
        <v>1</v>
      </c>
      <c r="AU45" s="1173"/>
      <c r="AV45" s="914">
        <v>0</v>
      </c>
      <c r="AW45" s="1173"/>
      <c r="AX45" s="914">
        <v>1</v>
      </c>
      <c r="AY45" s="1173">
        <v>400</v>
      </c>
      <c r="AZ45" s="1232"/>
      <c r="BA45" s="1234"/>
      <c r="BB45" s="914">
        <v>1</v>
      </c>
      <c r="BC45" s="1173"/>
      <c r="BD45" s="914">
        <v>1</v>
      </c>
      <c r="BE45" s="1173"/>
      <c r="BF45" s="914">
        <v>0</v>
      </c>
      <c r="BG45" s="1173">
        <v>1600</v>
      </c>
      <c r="BH45" s="914"/>
      <c r="BI45" s="1173"/>
      <c r="BJ45" s="914"/>
      <c r="BK45" s="1173"/>
      <c r="BL45" s="914"/>
      <c r="BM45" s="1174"/>
      <c r="BN45" s="1169">
        <f t="shared" si="0"/>
        <v>500</v>
      </c>
      <c r="BO45" s="491">
        <f t="shared" si="36"/>
        <v>19</v>
      </c>
      <c r="BP45" s="492">
        <v>15000</v>
      </c>
      <c r="BQ45" s="493">
        <f t="shared" si="2"/>
        <v>9500</v>
      </c>
      <c r="BR45" s="217">
        <f t="shared" si="3"/>
        <v>6500</v>
      </c>
      <c r="BS45" s="217">
        <v>3000</v>
      </c>
      <c r="BT45" s="1170">
        <f t="shared" si="4"/>
        <v>0</v>
      </c>
      <c r="BU45" s="1261">
        <v>1600</v>
      </c>
      <c r="BW45" s="1171">
        <f t="shared" si="5"/>
        <v>500</v>
      </c>
      <c r="BX45" s="1171">
        <f t="shared" si="6"/>
        <v>500</v>
      </c>
      <c r="BY45" s="1171">
        <f t="shared" si="7"/>
        <v>0</v>
      </c>
      <c r="BZ45" s="1171">
        <f t="shared" si="8"/>
        <v>0</v>
      </c>
      <c r="CA45" s="1171">
        <f t="shared" si="9"/>
        <v>500</v>
      </c>
      <c r="CB45" s="1171">
        <f t="shared" si="10"/>
        <v>0</v>
      </c>
      <c r="CC45" s="1171">
        <f t="shared" si="11"/>
        <v>500</v>
      </c>
      <c r="CD45" s="1171">
        <f t="shared" si="12"/>
        <v>500</v>
      </c>
      <c r="CE45" s="1171">
        <f t="shared" si="13"/>
        <v>500</v>
      </c>
      <c r="CF45" s="1171">
        <f t="shared" si="14"/>
        <v>500</v>
      </c>
      <c r="CG45" s="1171">
        <f t="shared" si="15"/>
        <v>0</v>
      </c>
      <c r="CH45" s="1171">
        <f t="shared" si="16"/>
        <v>500</v>
      </c>
      <c r="CI45" s="1171">
        <f t="shared" si="17"/>
        <v>500</v>
      </c>
      <c r="CJ45" s="1171">
        <f t="shared" si="18"/>
        <v>500</v>
      </c>
      <c r="CK45" s="1171">
        <f t="shared" si="19"/>
        <v>500</v>
      </c>
      <c r="CL45" s="1171">
        <f t="shared" si="20"/>
        <v>500</v>
      </c>
      <c r="CM45" s="1171">
        <f t="shared" si="21"/>
        <v>500</v>
      </c>
      <c r="CN45" s="1171">
        <f t="shared" si="22"/>
        <v>0</v>
      </c>
      <c r="CO45" s="1171">
        <f t="shared" si="23"/>
        <v>0</v>
      </c>
      <c r="CP45" s="1171">
        <f t="shared" si="24"/>
        <v>500</v>
      </c>
      <c r="CQ45" s="1171">
        <f t="shared" si="25"/>
        <v>500</v>
      </c>
      <c r="CR45" s="1171">
        <f t="shared" si="26"/>
        <v>500</v>
      </c>
      <c r="CS45" s="1171">
        <f t="shared" si="27"/>
        <v>0</v>
      </c>
      <c r="CT45" s="1171">
        <f t="shared" si="28"/>
        <v>500</v>
      </c>
      <c r="CU45" s="1171">
        <f t="shared" si="29"/>
        <v>0</v>
      </c>
      <c r="CV45" s="1171">
        <f t="shared" si="30"/>
        <v>500</v>
      </c>
      <c r="CW45" s="1171">
        <f t="shared" si="31"/>
        <v>500</v>
      </c>
      <c r="CX45" s="1171">
        <f t="shared" si="32"/>
        <v>0</v>
      </c>
      <c r="CY45" s="1171">
        <f t="shared" si="33"/>
        <v>0</v>
      </c>
      <c r="CZ45" s="1171">
        <f t="shared" si="34"/>
        <v>0</v>
      </c>
      <c r="DA45" s="1171">
        <f t="shared" si="35"/>
        <v>0</v>
      </c>
    </row>
    <row r="46" spans="2:105" ht="24.75" thickTop="1" thickBot="1">
      <c r="B46" s="69">
        <v>41</v>
      </c>
      <c r="C46" s="1208" t="s">
        <v>438</v>
      </c>
      <c r="D46" s="914">
        <v>1</v>
      </c>
      <c r="E46" s="1172"/>
      <c r="F46" s="914">
        <v>1</v>
      </c>
      <c r="G46" s="916"/>
      <c r="H46" s="914">
        <v>0</v>
      </c>
      <c r="I46" s="1173"/>
      <c r="J46" s="1232">
        <v>0</v>
      </c>
      <c r="K46" s="1249"/>
      <c r="L46" s="914">
        <v>1</v>
      </c>
      <c r="M46" s="1172"/>
      <c r="N46" s="914">
        <v>0</v>
      </c>
      <c r="O46" s="1173"/>
      <c r="P46" s="914">
        <v>1</v>
      </c>
      <c r="Q46" s="1173"/>
      <c r="R46" s="914">
        <v>1</v>
      </c>
      <c r="S46" s="1173"/>
      <c r="T46" s="914">
        <v>1</v>
      </c>
      <c r="U46" s="1173"/>
      <c r="V46" s="914">
        <v>1</v>
      </c>
      <c r="W46" s="1173">
        <v>200</v>
      </c>
      <c r="X46" s="1232"/>
      <c r="Y46" s="1234"/>
      <c r="Z46" s="914">
        <v>1</v>
      </c>
      <c r="AA46" s="1173"/>
      <c r="AB46" s="914">
        <v>0</v>
      </c>
      <c r="AC46" s="1173"/>
      <c r="AD46" s="914">
        <v>1</v>
      </c>
      <c r="AE46" s="1173"/>
      <c r="AF46" s="914">
        <v>1</v>
      </c>
      <c r="AG46" s="1173"/>
      <c r="AH46" s="914">
        <v>1</v>
      </c>
      <c r="AI46" s="1173"/>
      <c r="AJ46" s="914">
        <v>1</v>
      </c>
      <c r="AK46" s="1173">
        <v>1000</v>
      </c>
      <c r="AL46" s="1232"/>
      <c r="AM46" s="1234"/>
      <c r="AN46" s="914">
        <v>1</v>
      </c>
      <c r="AO46" s="1173"/>
      <c r="AP46" s="914"/>
      <c r="AQ46" s="1173"/>
      <c r="AR46" s="914">
        <v>1</v>
      </c>
      <c r="AS46" s="1173"/>
      <c r="AT46" s="914">
        <v>0</v>
      </c>
      <c r="AU46" s="1173"/>
      <c r="AV46" s="914">
        <v>0</v>
      </c>
      <c r="AW46" s="1173"/>
      <c r="AX46" s="914">
        <v>1</v>
      </c>
      <c r="AY46" s="1173">
        <v>4200</v>
      </c>
      <c r="AZ46" s="1232"/>
      <c r="BA46" s="1234"/>
      <c r="BB46" s="914">
        <v>1</v>
      </c>
      <c r="BC46" s="1173"/>
      <c r="BD46" s="914">
        <v>1</v>
      </c>
      <c r="BE46" s="1173"/>
      <c r="BF46" s="914">
        <v>1</v>
      </c>
      <c r="BG46" s="1173">
        <v>1200</v>
      </c>
      <c r="BH46" s="914"/>
      <c r="BI46" s="1173"/>
      <c r="BJ46" s="914"/>
      <c r="BK46" s="1173"/>
      <c r="BL46" s="914"/>
      <c r="BM46" s="1174"/>
      <c r="BN46" s="1169">
        <f t="shared" si="0"/>
        <v>366.66666666666669</v>
      </c>
      <c r="BO46" s="491">
        <f t="shared" si="36"/>
        <v>18</v>
      </c>
      <c r="BP46" s="492">
        <v>11000</v>
      </c>
      <c r="BQ46" s="493">
        <f t="shared" si="2"/>
        <v>6600</v>
      </c>
      <c r="BR46" s="217">
        <f t="shared" si="3"/>
        <v>6600</v>
      </c>
      <c r="BS46" s="217"/>
      <c r="BT46" s="1170">
        <f t="shared" si="4"/>
        <v>0</v>
      </c>
      <c r="BU46" s="1261">
        <v>1200</v>
      </c>
      <c r="BW46" s="1171">
        <f t="shared" si="5"/>
        <v>366.66666666666669</v>
      </c>
      <c r="BX46" s="1171">
        <f t="shared" si="6"/>
        <v>366.66666666666669</v>
      </c>
      <c r="BY46" s="1171">
        <f t="shared" si="7"/>
        <v>0</v>
      </c>
      <c r="BZ46" s="1171">
        <f t="shared" si="8"/>
        <v>0</v>
      </c>
      <c r="CA46" s="1171">
        <f t="shared" si="9"/>
        <v>366.66666666666669</v>
      </c>
      <c r="CB46" s="1171">
        <f t="shared" si="10"/>
        <v>0</v>
      </c>
      <c r="CC46" s="1171">
        <f t="shared" si="11"/>
        <v>366.66666666666669</v>
      </c>
      <c r="CD46" s="1171">
        <f t="shared" si="12"/>
        <v>366.66666666666669</v>
      </c>
      <c r="CE46" s="1171">
        <f t="shared" si="13"/>
        <v>366.66666666666669</v>
      </c>
      <c r="CF46" s="1171">
        <f t="shared" si="14"/>
        <v>366.66666666666669</v>
      </c>
      <c r="CG46" s="1171">
        <f t="shared" si="15"/>
        <v>0</v>
      </c>
      <c r="CH46" s="1171">
        <f t="shared" si="16"/>
        <v>366.66666666666669</v>
      </c>
      <c r="CI46" s="1171">
        <f t="shared" si="17"/>
        <v>0</v>
      </c>
      <c r="CJ46" s="1171">
        <f t="shared" si="18"/>
        <v>366.66666666666669</v>
      </c>
      <c r="CK46" s="1171">
        <f t="shared" si="19"/>
        <v>366.66666666666669</v>
      </c>
      <c r="CL46" s="1171">
        <f t="shared" si="20"/>
        <v>366.66666666666669</v>
      </c>
      <c r="CM46" s="1171">
        <f t="shared" si="21"/>
        <v>366.66666666666669</v>
      </c>
      <c r="CN46" s="1171">
        <f t="shared" si="22"/>
        <v>0</v>
      </c>
      <c r="CO46" s="1171">
        <f t="shared" si="23"/>
        <v>366.66666666666669</v>
      </c>
      <c r="CP46" s="1171">
        <f t="shared" si="24"/>
        <v>0</v>
      </c>
      <c r="CQ46" s="1171">
        <f t="shared" si="25"/>
        <v>366.66666666666669</v>
      </c>
      <c r="CR46" s="1171">
        <f t="shared" si="26"/>
        <v>0</v>
      </c>
      <c r="CS46" s="1171">
        <f t="shared" si="27"/>
        <v>0</v>
      </c>
      <c r="CT46" s="1171">
        <f t="shared" si="28"/>
        <v>366.66666666666669</v>
      </c>
      <c r="CU46" s="1171">
        <f t="shared" si="29"/>
        <v>0</v>
      </c>
      <c r="CV46" s="1171">
        <f t="shared" si="30"/>
        <v>366.66666666666669</v>
      </c>
      <c r="CW46" s="1171">
        <f t="shared" si="31"/>
        <v>366.66666666666669</v>
      </c>
      <c r="CX46" s="1171">
        <f t="shared" si="32"/>
        <v>366.66666666666669</v>
      </c>
      <c r="CY46" s="1171">
        <f t="shared" si="33"/>
        <v>0</v>
      </c>
      <c r="CZ46" s="1171">
        <f t="shared" si="34"/>
        <v>0</v>
      </c>
      <c r="DA46" s="1171">
        <f t="shared" si="35"/>
        <v>0</v>
      </c>
    </row>
    <row r="47" spans="2:105" ht="24.75" thickTop="1" thickBot="1">
      <c r="B47" s="69">
        <v>42</v>
      </c>
      <c r="C47" s="1108" t="s">
        <v>433</v>
      </c>
      <c r="D47" s="914">
        <v>1</v>
      </c>
      <c r="E47" s="1172"/>
      <c r="F47" s="914">
        <v>1</v>
      </c>
      <c r="G47" s="916"/>
      <c r="H47" s="914">
        <v>0</v>
      </c>
      <c r="I47" s="1173"/>
      <c r="J47" s="1232">
        <v>0</v>
      </c>
      <c r="K47" s="1251"/>
      <c r="L47" s="914">
        <v>1</v>
      </c>
      <c r="M47" s="1172"/>
      <c r="N47" s="914">
        <v>0</v>
      </c>
      <c r="O47" s="1173"/>
      <c r="P47" s="914">
        <v>1</v>
      </c>
      <c r="Q47" s="1173">
        <v>1600</v>
      </c>
      <c r="R47" s="914"/>
      <c r="S47" s="1173"/>
      <c r="T47" s="914"/>
      <c r="U47" s="1173"/>
      <c r="V47" s="914"/>
      <c r="W47" s="1173"/>
      <c r="X47" s="1232"/>
      <c r="Y47" s="1234"/>
      <c r="Z47" s="914"/>
      <c r="AA47" s="1173"/>
      <c r="AB47" s="914">
        <v>0</v>
      </c>
      <c r="AC47" s="1173"/>
      <c r="AD47" s="914">
        <v>0</v>
      </c>
      <c r="AE47" s="1173"/>
      <c r="AF47" s="914">
        <v>0</v>
      </c>
      <c r="AG47" s="1173"/>
      <c r="AH47" s="914">
        <v>0</v>
      </c>
      <c r="AI47" s="1173"/>
      <c r="AJ47" s="914">
        <v>0</v>
      </c>
      <c r="AK47" s="1173"/>
      <c r="AL47" s="1232"/>
      <c r="AM47" s="1234"/>
      <c r="AN47" s="914">
        <v>0</v>
      </c>
      <c r="AO47" s="1173"/>
      <c r="AP47" s="914"/>
      <c r="AQ47" s="1173"/>
      <c r="AR47" s="914"/>
      <c r="AS47" s="1173"/>
      <c r="AT47" s="914">
        <v>0</v>
      </c>
      <c r="AU47" s="1173"/>
      <c r="AV47" s="914">
        <v>0</v>
      </c>
      <c r="AW47" s="1173"/>
      <c r="AX47" s="914"/>
      <c r="AY47" s="1173"/>
      <c r="AZ47" s="1232"/>
      <c r="BA47" s="1234"/>
      <c r="BB47" s="914"/>
      <c r="BC47" s="1173"/>
      <c r="BD47" s="914">
        <v>0</v>
      </c>
      <c r="BE47" s="1173"/>
      <c r="BF47" s="914">
        <v>0</v>
      </c>
      <c r="BG47" s="1173"/>
      <c r="BH47" s="914"/>
      <c r="BI47" s="1173"/>
      <c r="BJ47" s="914"/>
      <c r="BK47" s="1173"/>
      <c r="BL47" s="914"/>
      <c r="BM47" s="1174"/>
      <c r="BN47" s="1169">
        <f t="shared" si="0"/>
        <v>400</v>
      </c>
      <c r="BO47" s="491">
        <f t="shared" si="36"/>
        <v>4</v>
      </c>
      <c r="BP47" s="492">
        <v>12000</v>
      </c>
      <c r="BQ47" s="493">
        <f t="shared" si="2"/>
        <v>1600</v>
      </c>
      <c r="BR47" s="217">
        <f t="shared" si="3"/>
        <v>1600</v>
      </c>
      <c r="BS47" s="217"/>
      <c r="BT47" s="1170">
        <f t="shared" si="4"/>
        <v>0</v>
      </c>
      <c r="BU47" s="1261"/>
      <c r="BW47" s="1171">
        <f t="shared" si="5"/>
        <v>400</v>
      </c>
      <c r="BX47" s="1171">
        <f t="shared" si="6"/>
        <v>400</v>
      </c>
      <c r="BY47" s="1171">
        <f t="shared" si="7"/>
        <v>0</v>
      </c>
      <c r="BZ47" s="1171">
        <f t="shared" si="8"/>
        <v>0</v>
      </c>
      <c r="CA47" s="1171">
        <f t="shared" si="9"/>
        <v>400</v>
      </c>
      <c r="CB47" s="1171">
        <f t="shared" si="10"/>
        <v>0</v>
      </c>
      <c r="CC47" s="1171">
        <f t="shared" si="11"/>
        <v>400</v>
      </c>
      <c r="CD47" s="1171">
        <f t="shared" si="12"/>
        <v>0</v>
      </c>
      <c r="CE47" s="1171">
        <f t="shared" si="13"/>
        <v>0</v>
      </c>
      <c r="CF47" s="1171">
        <f t="shared" si="14"/>
        <v>0</v>
      </c>
      <c r="CG47" s="1171">
        <f t="shared" si="15"/>
        <v>0</v>
      </c>
      <c r="CH47" s="1171">
        <f t="shared" si="16"/>
        <v>0</v>
      </c>
      <c r="CI47" s="1171">
        <f t="shared" si="17"/>
        <v>0</v>
      </c>
      <c r="CJ47" s="1171">
        <f t="shared" si="18"/>
        <v>0</v>
      </c>
      <c r="CK47" s="1171">
        <f t="shared" si="19"/>
        <v>0</v>
      </c>
      <c r="CL47" s="1171">
        <f t="shared" si="20"/>
        <v>0</v>
      </c>
      <c r="CM47" s="1171">
        <f t="shared" si="21"/>
        <v>0</v>
      </c>
      <c r="CN47" s="1171">
        <f t="shared" si="22"/>
        <v>0</v>
      </c>
      <c r="CO47" s="1171">
        <f t="shared" si="23"/>
        <v>0</v>
      </c>
      <c r="CP47" s="1171">
        <f t="shared" si="24"/>
        <v>0</v>
      </c>
      <c r="CQ47" s="1171">
        <f t="shared" si="25"/>
        <v>0</v>
      </c>
      <c r="CR47" s="1171">
        <f t="shared" si="26"/>
        <v>0</v>
      </c>
      <c r="CS47" s="1171">
        <f t="shared" si="27"/>
        <v>0</v>
      </c>
      <c r="CT47" s="1171">
        <f t="shared" si="28"/>
        <v>0</v>
      </c>
      <c r="CU47" s="1171">
        <f t="shared" si="29"/>
        <v>0</v>
      </c>
      <c r="CV47" s="1171">
        <f t="shared" si="30"/>
        <v>0</v>
      </c>
      <c r="CW47" s="1171">
        <f t="shared" si="31"/>
        <v>0</v>
      </c>
      <c r="CX47" s="1171">
        <f t="shared" si="32"/>
        <v>0</v>
      </c>
      <c r="CY47" s="1171">
        <f t="shared" si="33"/>
        <v>0</v>
      </c>
      <c r="CZ47" s="1171">
        <f t="shared" si="34"/>
        <v>0</v>
      </c>
      <c r="DA47" s="1171">
        <f t="shared" si="35"/>
        <v>0</v>
      </c>
    </row>
    <row r="48" spans="2:105" ht="24.75" thickTop="1" thickBot="1">
      <c r="B48" s="69">
        <v>43</v>
      </c>
      <c r="C48" s="1108" t="s">
        <v>454</v>
      </c>
      <c r="D48" s="914">
        <v>1</v>
      </c>
      <c r="E48" s="1172"/>
      <c r="F48" s="914">
        <v>1</v>
      </c>
      <c r="G48" s="916"/>
      <c r="H48" s="914">
        <v>0</v>
      </c>
      <c r="I48" s="1173"/>
      <c r="J48" s="1232">
        <v>0</v>
      </c>
      <c r="K48" s="1251"/>
      <c r="L48" s="914">
        <v>1</v>
      </c>
      <c r="M48" s="1172"/>
      <c r="N48" s="914">
        <v>0</v>
      </c>
      <c r="O48" s="1173"/>
      <c r="P48" s="914">
        <v>1</v>
      </c>
      <c r="Q48" s="1173"/>
      <c r="R48" s="914">
        <v>1</v>
      </c>
      <c r="S48" s="1173"/>
      <c r="T48" s="914">
        <v>1</v>
      </c>
      <c r="U48" s="1173"/>
      <c r="V48" s="914">
        <v>1</v>
      </c>
      <c r="W48" s="1173">
        <v>200</v>
      </c>
      <c r="X48" s="1232"/>
      <c r="Y48" s="1234"/>
      <c r="Z48" s="914">
        <v>1</v>
      </c>
      <c r="AA48" s="1173"/>
      <c r="AB48" s="914">
        <v>1</v>
      </c>
      <c r="AC48" s="1173"/>
      <c r="AD48" s="914">
        <v>1</v>
      </c>
      <c r="AE48" s="1173"/>
      <c r="AF48" s="914">
        <v>1</v>
      </c>
      <c r="AG48" s="1173"/>
      <c r="AH48" s="914">
        <v>1</v>
      </c>
      <c r="AI48" s="1173"/>
      <c r="AJ48" s="914">
        <v>1</v>
      </c>
      <c r="AK48" s="1173">
        <v>1000</v>
      </c>
      <c r="AL48" s="1232"/>
      <c r="AM48" s="1234"/>
      <c r="AN48" s="914">
        <v>1</v>
      </c>
      <c r="AO48" s="1173"/>
      <c r="AP48" s="914"/>
      <c r="AQ48" s="1173"/>
      <c r="AR48" s="914">
        <v>1</v>
      </c>
      <c r="AS48" s="1173"/>
      <c r="AT48" s="914">
        <v>1</v>
      </c>
      <c r="AU48" s="1173"/>
      <c r="AV48" s="914">
        <v>0</v>
      </c>
      <c r="AW48" s="1173"/>
      <c r="AX48" s="914">
        <v>1</v>
      </c>
      <c r="AY48" s="1173"/>
      <c r="AZ48" s="1232"/>
      <c r="BA48" s="1234"/>
      <c r="BB48" s="914">
        <v>1</v>
      </c>
      <c r="BC48" s="1173"/>
      <c r="BD48" s="914">
        <v>1</v>
      </c>
      <c r="BE48" s="1173"/>
      <c r="BF48" s="914">
        <v>1</v>
      </c>
      <c r="BG48" s="1173">
        <v>10800</v>
      </c>
      <c r="BH48" s="914"/>
      <c r="BI48" s="1173"/>
      <c r="BJ48" s="914"/>
      <c r="BK48" s="1173"/>
      <c r="BL48" s="914"/>
      <c r="BM48" s="1174"/>
      <c r="BN48" s="1169">
        <f t="shared" si="0"/>
        <v>600</v>
      </c>
      <c r="BO48" s="491">
        <f t="shared" si="36"/>
        <v>20</v>
      </c>
      <c r="BP48" s="492">
        <v>18000</v>
      </c>
      <c r="BQ48" s="493">
        <f t="shared" si="2"/>
        <v>12000</v>
      </c>
      <c r="BR48" s="217">
        <f t="shared" si="3"/>
        <v>12000</v>
      </c>
      <c r="BS48" s="217"/>
      <c r="BT48" s="1170">
        <f t="shared" si="4"/>
        <v>0</v>
      </c>
      <c r="BU48" s="1261">
        <v>10800</v>
      </c>
      <c r="BW48" s="1171">
        <f t="shared" si="5"/>
        <v>600</v>
      </c>
      <c r="BX48" s="1171">
        <f t="shared" si="6"/>
        <v>600</v>
      </c>
      <c r="BY48" s="1171">
        <f t="shared" si="7"/>
        <v>0</v>
      </c>
      <c r="BZ48" s="1171">
        <f t="shared" si="8"/>
        <v>0</v>
      </c>
      <c r="CA48" s="1171">
        <f t="shared" si="9"/>
        <v>600</v>
      </c>
      <c r="CB48" s="1171">
        <f t="shared" si="10"/>
        <v>0</v>
      </c>
      <c r="CC48" s="1171">
        <f t="shared" si="11"/>
        <v>600</v>
      </c>
      <c r="CD48" s="1171">
        <f t="shared" si="12"/>
        <v>600</v>
      </c>
      <c r="CE48" s="1171">
        <f t="shared" si="13"/>
        <v>600</v>
      </c>
      <c r="CF48" s="1171">
        <f t="shared" si="14"/>
        <v>600</v>
      </c>
      <c r="CG48" s="1171">
        <f t="shared" si="15"/>
        <v>0</v>
      </c>
      <c r="CH48" s="1171">
        <f t="shared" si="16"/>
        <v>600</v>
      </c>
      <c r="CI48" s="1171">
        <f t="shared" si="17"/>
        <v>600</v>
      </c>
      <c r="CJ48" s="1171">
        <f t="shared" si="18"/>
        <v>600</v>
      </c>
      <c r="CK48" s="1171">
        <f t="shared" si="19"/>
        <v>600</v>
      </c>
      <c r="CL48" s="1171">
        <f t="shared" si="20"/>
        <v>600</v>
      </c>
      <c r="CM48" s="1171">
        <f t="shared" si="21"/>
        <v>600</v>
      </c>
      <c r="CN48" s="1171">
        <f t="shared" si="22"/>
        <v>0</v>
      </c>
      <c r="CO48" s="1171">
        <f t="shared" si="23"/>
        <v>600</v>
      </c>
      <c r="CP48" s="1171">
        <f t="shared" si="24"/>
        <v>0</v>
      </c>
      <c r="CQ48" s="1171">
        <f t="shared" si="25"/>
        <v>600</v>
      </c>
      <c r="CR48" s="1171">
        <f t="shared" si="26"/>
        <v>600</v>
      </c>
      <c r="CS48" s="1171">
        <f t="shared" si="27"/>
        <v>0</v>
      </c>
      <c r="CT48" s="1171">
        <f t="shared" si="28"/>
        <v>600</v>
      </c>
      <c r="CU48" s="1171">
        <f t="shared" si="29"/>
        <v>0</v>
      </c>
      <c r="CV48" s="1171">
        <f t="shared" si="30"/>
        <v>600</v>
      </c>
      <c r="CW48" s="1171">
        <f t="shared" si="31"/>
        <v>600</v>
      </c>
      <c r="CX48" s="1171">
        <f t="shared" si="32"/>
        <v>600</v>
      </c>
      <c r="CY48" s="1171">
        <f t="shared" si="33"/>
        <v>0</v>
      </c>
      <c r="CZ48" s="1171">
        <f t="shared" si="34"/>
        <v>0</v>
      </c>
      <c r="DA48" s="1171">
        <f t="shared" si="35"/>
        <v>0</v>
      </c>
    </row>
    <row r="49" spans="2:105" ht="24.75" thickTop="1" thickBot="1">
      <c r="B49" s="69">
        <v>44</v>
      </c>
      <c r="C49" s="1108" t="s">
        <v>469</v>
      </c>
      <c r="D49" s="914"/>
      <c r="E49" s="1172"/>
      <c r="F49" s="914"/>
      <c r="G49" s="916"/>
      <c r="H49" s="914"/>
      <c r="I49" s="1173"/>
      <c r="J49" s="1232"/>
      <c r="K49" s="1251"/>
      <c r="L49" s="914"/>
      <c r="M49" s="1172"/>
      <c r="N49" s="914">
        <v>0</v>
      </c>
      <c r="O49" s="1173"/>
      <c r="P49" s="914">
        <v>0</v>
      </c>
      <c r="Q49" s="1173"/>
      <c r="R49" s="914"/>
      <c r="S49" s="1173"/>
      <c r="T49" s="914">
        <v>1</v>
      </c>
      <c r="U49" s="1173"/>
      <c r="V49" s="914">
        <v>1</v>
      </c>
      <c r="W49" s="1173">
        <v>400</v>
      </c>
      <c r="X49" s="1232"/>
      <c r="Y49" s="1234"/>
      <c r="Z49" s="914">
        <v>1</v>
      </c>
      <c r="AA49" s="1173"/>
      <c r="AB49" s="914">
        <v>1</v>
      </c>
      <c r="AC49" s="1173"/>
      <c r="AD49" s="914">
        <v>1</v>
      </c>
      <c r="AE49" s="1173"/>
      <c r="AF49" s="914">
        <v>1</v>
      </c>
      <c r="AG49" s="1173"/>
      <c r="AH49" s="914">
        <v>1</v>
      </c>
      <c r="AI49" s="1173"/>
      <c r="AJ49" s="914">
        <v>1</v>
      </c>
      <c r="AK49" s="1173">
        <v>800</v>
      </c>
      <c r="AL49" s="1232"/>
      <c r="AM49" s="1234"/>
      <c r="AN49" s="914">
        <v>0</v>
      </c>
      <c r="AO49" s="1173"/>
      <c r="AP49" s="914">
        <v>1</v>
      </c>
      <c r="AQ49" s="1173"/>
      <c r="AR49" s="914">
        <v>1</v>
      </c>
      <c r="AS49" s="1173"/>
      <c r="AT49" s="914">
        <v>1</v>
      </c>
      <c r="AU49" s="1173"/>
      <c r="AV49" s="914">
        <v>0</v>
      </c>
      <c r="AW49" s="1173"/>
      <c r="AX49" s="914">
        <v>1</v>
      </c>
      <c r="AY49" s="1173">
        <v>500</v>
      </c>
      <c r="AZ49" s="1232"/>
      <c r="BA49" s="1234"/>
      <c r="BB49" s="914">
        <v>1</v>
      </c>
      <c r="BC49" s="1173"/>
      <c r="BD49" s="914">
        <v>1</v>
      </c>
      <c r="BE49" s="1173"/>
      <c r="BF49" s="914">
        <v>0</v>
      </c>
      <c r="BG49" s="1173">
        <v>3900</v>
      </c>
      <c r="BH49" s="914"/>
      <c r="BI49" s="1173"/>
      <c r="BJ49" s="914"/>
      <c r="BK49" s="1173"/>
      <c r="BL49" s="914"/>
      <c r="BM49" s="1174"/>
      <c r="BN49" s="1169">
        <f t="shared" si="0"/>
        <v>400</v>
      </c>
      <c r="BO49" s="491">
        <f t="shared" si="36"/>
        <v>14</v>
      </c>
      <c r="BP49" s="492">
        <v>12000</v>
      </c>
      <c r="BQ49" s="493">
        <f t="shared" si="2"/>
        <v>5600</v>
      </c>
      <c r="BR49" s="217">
        <f t="shared" si="3"/>
        <v>5600</v>
      </c>
      <c r="BS49" s="217"/>
      <c r="BT49" s="1170">
        <f t="shared" si="4"/>
        <v>0</v>
      </c>
      <c r="BU49" s="1261">
        <v>3900</v>
      </c>
      <c r="BW49" s="1171">
        <f t="shared" si="5"/>
        <v>0</v>
      </c>
      <c r="BX49" s="1171">
        <f t="shared" si="6"/>
        <v>0</v>
      </c>
      <c r="BY49" s="1171">
        <f t="shared" si="7"/>
        <v>0</v>
      </c>
      <c r="BZ49" s="1171">
        <f t="shared" si="8"/>
        <v>0</v>
      </c>
      <c r="CA49" s="1171">
        <f t="shared" si="9"/>
        <v>0</v>
      </c>
      <c r="CB49" s="1171">
        <f t="shared" si="10"/>
        <v>0</v>
      </c>
      <c r="CC49" s="1171">
        <f t="shared" si="11"/>
        <v>0</v>
      </c>
      <c r="CD49" s="1171">
        <f t="shared" si="12"/>
        <v>0</v>
      </c>
      <c r="CE49" s="1171">
        <f t="shared" si="13"/>
        <v>400</v>
      </c>
      <c r="CF49" s="1171">
        <f t="shared" si="14"/>
        <v>400</v>
      </c>
      <c r="CG49" s="1171">
        <f t="shared" si="15"/>
        <v>0</v>
      </c>
      <c r="CH49" s="1171">
        <f t="shared" si="16"/>
        <v>400</v>
      </c>
      <c r="CI49" s="1171">
        <f t="shared" si="17"/>
        <v>400</v>
      </c>
      <c r="CJ49" s="1171">
        <f t="shared" si="18"/>
        <v>400</v>
      </c>
      <c r="CK49" s="1171">
        <f t="shared" si="19"/>
        <v>400</v>
      </c>
      <c r="CL49" s="1171">
        <f t="shared" si="20"/>
        <v>400</v>
      </c>
      <c r="CM49" s="1171">
        <f t="shared" si="21"/>
        <v>400</v>
      </c>
      <c r="CN49" s="1171">
        <f t="shared" si="22"/>
        <v>0</v>
      </c>
      <c r="CO49" s="1171">
        <f t="shared" si="23"/>
        <v>0</v>
      </c>
      <c r="CP49" s="1171">
        <f t="shared" si="24"/>
        <v>400</v>
      </c>
      <c r="CQ49" s="1171">
        <f t="shared" si="25"/>
        <v>400</v>
      </c>
      <c r="CR49" s="1171">
        <f t="shared" si="26"/>
        <v>400</v>
      </c>
      <c r="CS49" s="1171">
        <f t="shared" si="27"/>
        <v>0</v>
      </c>
      <c r="CT49" s="1171">
        <f t="shared" si="28"/>
        <v>400</v>
      </c>
      <c r="CU49" s="1171">
        <f t="shared" si="29"/>
        <v>0</v>
      </c>
      <c r="CV49" s="1171">
        <f t="shared" si="30"/>
        <v>400</v>
      </c>
      <c r="CW49" s="1171">
        <f t="shared" si="31"/>
        <v>400</v>
      </c>
      <c r="CX49" s="1171">
        <f t="shared" si="32"/>
        <v>0</v>
      </c>
      <c r="CY49" s="1171">
        <f t="shared" si="33"/>
        <v>0</v>
      </c>
      <c r="CZ49" s="1171">
        <f t="shared" si="34"/>
        <v>0</v>
      </c>
      <c r="DA49" s="1171">
        <f t="shared" si="35"/>
        <v>0</v>
      </c>
    </row>
    <row r="50" spans="2:105" ht="24.75" thickTop="1" thickBot="1">
      <c r="B50" s="69">
        <v>45</v>
      </c>
      <c r="C50" s="1108" t="s">
        <v>489</v>
      </c>
      <c r="D50" s="914"/>
      <c r="E50" s="1172"/>
      <c r="F50" s="914"/>
      <c r="G50" s="916"/>
      <c r="H50" s="914"/>
      <c r="I50" s="1173"/>
      <c r="J50" s="1232"/>
      <c r="K50" s="1251"/>
      <c r="L50" s="914"/>
      <c r="M50" s="1172"/>
      <c r="N50" s="914">
        <v>0</v>
      </c>
      <c r="O50" s="1173"/>
      <c r="P50" s="914">
        <v>0</v>
      </c>
      <c r="Q50" s="1173"/>
      <c r="R50" s="914"/>
      <c r="S50" s="1173"/>
      <c r="T50" s="914"/>
      <c r="U50" s="1173"/>
      <c r="V50" s="914"/>
      <c r="W50" s="1173"/>
      <c r="X50" s="1232"/>
      <c r="Y50" s="1234"/>
      <c r="Z50" s="914"/>
      <c r="AA50" s="1173"/>
      <c r="AB50" s="914">
        <v>0</v>
      </c>
      <c r="AC50" s="1173"/>
      <c r="AD50" s="914">
        <v>1</v>
      </c>
      <c r="AE50" s="1173"/>
      <c r="AF50" s="914">
        <v>1</v>
      </c>
      <c r="AG50" s="1173"/>
      <c r="AH50" s="914">
        <v>1</v>
      </c>
      <c r="AI50" s="1173"/>
      <c r="AJ50" s="914">
        <v>1</v>
      </c>
      <c r="AK50" s="1173"/>
      <c r="AL50" s="1232"/>
      <c r="AM50" s="1234"/>
      <c r="AN50" s="914">
        <v>1</v>
      </c>
      <c r="AO50" s="1173"/>
      <c r="AP50" s="914"/>
      <c r="AQ50" s="1173"/>
      <c r="AR50" s="914">
        <v>1</v>
      </c>
      <c r="AS50" s="1173"/>
      <c r="AT50" s="914">
        <v>1</v>
      </c>
      <c r="AU50" s="1173"/>
      <c r="AV50" s="914">
        <v>0</v>
      </c>
      <c r="AW50" s="1173"/>
      <c r="AX50" s="914">
        <v>1</v>
      </c>
      <c r="AY50" s="1173"/>
      <c r="AZ50" s="1232"/>
      <c r="BA50" s="1234"/>
      <c r="BB50" s="914">
        <v>1</v>
      </c>
      <c r="BC50" s="1173"/>
      <c r="BD50" s="914">
        <v>1</v>
      </c>
      <c r="BE50" s="1173"/>
      <c r="BF50" s="914">
        <v>1</v>
      </c>
      <c r="BG50" s="1173">
        <v>3670</v>
      </c>
      <c r="BH50" s="914"/>
      <c r="BI50" s="1173"/>
      <c r="BJ50" s="914"/>
      <c r="BK50" s="1173"/>
      <c r="BL50" s="914"/>
      <c r="BM50" s="1174"/>
      <c r="BN50" s="1169">
        <f t="shared" si="0"/>
        <v>333.33333333333331</v>
      </c>
      <c r="BO50" s="491">
        <f t="shared" si="36"/>
        <v>11</v>
      </c>
      <c r="BP50" s="492">
        <v>10000</v>
      </c>
      <c r="BQ50" s="493">
        <f t="shared" si="2"/>
        <v>3666.6666666666665</v>
      </c>
      <c r="BR50" s="217">
        <f t="shared" si="3"/>
        <v>3670</v>
      </c>
      <c r="BS50" s="217"/>
      <c r="BT50" s="1170">
        <f t="shared" si="4"/>
        <v>-3.3333333333334849</v>
      </c>
      <c r="BU50" s="1261">
        <v>3670</v>
      </c>
      <c r="BW50" s="1171">
        <f t="shared" si="5"/>
        <v>0</v>
      </c>
      <c r="BX50" s="1171">
        <f t="shared" si="6"/>
        <v>0</v>
      </c>
      <c r="BY50" s="1171">
        <f t="shared" si="7"/>
        <v>0</v>
      </c>
      <c r="BZ50" s="1171">
        <f t="shared" si="8"/>
        <v>0</v>
      </c>
      <c r="CA50" s="1171">
        <f t="shared" si="9"/>
        <v>0</v>
      </c>
      <c r="CB50" s="1171">
        <f t="shared" si="10"/>
        <v>0</v>
      </c>
      <c r="CC50" s="1171">
        <f t="shared" si="11"/>
        <v>0</v>
      </c>
      <c r="CD50" s="1171">
        <f t="shared" si="12"/>
        <v>0</v>
      </c>
      <c r="CE50" s="1171">
        <f t="shared" si="13"/>
        <v>0</v>
      </c>
      <c r="CF50" s="1171">
        <f t="shared" si="14"/>
        <v>0</v>
      </c>
      <c r="CG50" s="1171">
        <f t="shared" si="15"/>
        <v>0</v>
      </c>
      <c r="CH50" s="1171">
        <f t="shared" si="16"/>
        <v>0</v>
      </c>
      <c r="CI50" s="1171">
        <f t="shared" si="17"/>
        <v>0</v>
      </c>
      <c r="CJ50" s="1171">
        <f t="shared" si="18"/>
        <v>333.33333333333331</v>
      </c>
      <c r="CK50" s="1171">
        <f t="shared" si="19"/>
        <v>333.33333333333331</v>
      </c>
      <c r="CL50" s="1171">
        <f t="shared" si="20"/>
        <v>333.33333333333331</v>
      </c>
      <c r="CM50" s="1171">
        <f t="shared" si="21"/>
        <v>333.33333333333331</v>
      </c>
      <c r="CN50" s="1171">
        <f t="shared" si="22"/>
        <v>0</v>
      </c>
      <c r="CO50" s="1171">
        <f t="shared" si="23"/>
        <v>333.33333333333331</v>
      </c>
      <c r="CP50" s="1171">
        <f t="shared" si="24"/>
        <v>0</v>
      </c>
      <c r="CQ50" s="1171">
        <f t="shared" si="25"/>
        <v>333.33333333333331</v>
      </c>
      <c r="CR50" s="1171">
        <f t="shared" si="26"/>
        <v>333.33333333333331</v>
      </c>
      <c r="CS50" s="1171">
        <f t="shared" si="27"/>
        <v>0</v>
      </c>
      <c r="CT50" s="1171">
        <f t="shared" si="28"/>
        <v>333.33333333333331</v>
      </c>
      <c r="CU50" s="1171">
        <f t="shared" si="29"/>
        <v>0</v>
      </c>
      <c r="CV50" s="1171">
        <f t="shared" si="30"/>
        <v>333.33333333333331</v>
      </c>
      <c r="CW50" s="1171">
        <f t="shared" si="31"/>
        <v>333.33333333333331</v>
      </c>
      <c r="CX50" s="1171">
        <f t="shared" si="32"/>
        <v>333.33333333333331</v>
      </c>
      <c r="CY50" s="1171">
        <f t="shared" si="33"/>
        <v>0</v>
      </c>
      <c r="CZ50" s="1171">
        <f t="shared" si="34"/>
        <v>0</v>
      </c>
      <c r="DA50" s="1171">
        <f t="shared" si="35"/>
        <v>0</v>
      </c>
    </row>
    <row r="51" spans="2:105" ht="24.75" thickTop="1" thickBot="1">
      <c r="B51" s="69">
        <v>46</v>
      </c>
      <c r="C51" s="1108" t="s">
        <v>455</v>
      </c>
      <c r="D51" s="914">
        <v>1</v>
      </c>
      <c r="E51" s="1172"/>
      <c r="F51" s="914">
        <v>1</v>
      </c>
      <c r="G51" s="916"/>
      <c r="H51" s="914">
        <v>1</v>
      </c>
      <c r="I51" s="1173"/>
      <c r="J51" s="1232">
        <v>1</v>
      </c>
      <c r="K51" s="1251"/>
      <c r="L51" s="914">
        <v>1</v>
      </c>
      <c r="M51" s="1172"/>
      <c r="N51" s="914">
        <v>1</v>
      </c>
      <c r="O51" s="1173"/>
      <c r="P51" s="914">
        <v>1</v>
      </c>
      <c r="Q51" s="1173"/>
      <c r="R51" s="914">
        <v>1</v>
      </c>
      <c r="S51" s="1173"/>
      <c r="T51" s="914">
        <v>1</v>
      </c>
      <c r="U51" s="1173"/>
      <c r="V51" s="914">
        <v>1</v>
      </c>
      <c r="W51" s="1173">
        <v>15500</v>
      </c>
      <c r="X51" s="1232">
        <v>1</v>
      </c>
      <c r="Y51" s="1234"/>
      <c r="Z51" s="914">
        <v>1</v>
      </c>
      <c r="AA51" s="1173"/>
      <c r="AB51" s="914">
        <v>1</v>
      </c>
      <c r="AC51" s="1173"/>
      <c r="AD51" s="914">
        <v>1</v>
      </c>
      <c r="AE51" s="1173">
        <v>3000</v>
      </c>
      <c r="AF51" s="914">
        <v>1</v>
      </c>
      <c r="AG51" s="1173"/>
      <c r="AH51" s="914">
        <v>1</v>
      </c>
      <c r="AI51" s="1173"/>
      <c r="AJ51" s="914">
        <v>1</v>
      </c>
      <c r="AK51" s="1173">
        <v>800</v>
      </c>
      <c r="AL51" s="1232">
        <v>1</v>
      </c>
      <c r="AM51" s="1234"/>
      <c r="AN51" s="914">
        <v>1</v>
      </c>
      <c r="AO51" s="1173"/>
      <c r="AP51" s="914">
        <v>1</v>
      </c>
      <c r="AQ51" s="1173"/>
      <c r="AR51" s="914">
        <v>1</v>
      </c>
      <c r="AS51" s="1173"/>
      <c r="AT51" s="914">
        <v>1</v>
      </c>
      <c r="AU51" s="1173"/>
      <c r="AV51" s="914">
        <v>1</v>
      </c>
      <c r="AW51" s="1173"/>
      <c r="AX51" s="914">
        <v>1</v>
      </c>
      <c r="AY51" s="1173">
        <v>500</v>
      </c>
      <c r="AZ51" s="1232">
        <v>1</v>
      </c>
      <c r="BA51" s="1234"/>
      <c r="BB51" s="914">
        <v>1</v>
      </c>
      <c r="BC51" s="1173"/>
      <c r="BD51" s="914">
        <v>1</v>
      </c>
      <c r="BE51" s="1173"/>
      <c r="BF51" s="914">
        <v>1</v>
      </c>
      <c r="BG51" s="1173">
        <v>4200</v>
      </c>
      <c r="BH51" s="914">
        <v>1</v>
      </c>
      <c r="BI51" s="1173"/>
      <c r="BJ51" s="914">
        <v>1</v>
      </c>
      <c r="BK51" s="1173"/>
      <c r="BL51" s="914"/>
      <c r="BM51" s="1174"/>
      <c r="BN51" s="1169">
        <f t="shared" si="0"/>
        <v>800</v>
      </c>
      <c r="BO51" s="491">
        <f t="shared" si="36"/>
        <v>30</v>
      </c>
      <c r="BP51" s="492">
        <v>24000</v>
      </c>
      <c r="BQ51" s="493">
        <f t="shared" si="2"/>
        <v>24000</v>
      </c>
      <c r="BR51" s="217">
        <f t="shared" si="3"/>
        <v>24000</v>
      </c>
      <c r="BS51" s="217"/>
      <c r="BT51" s="1170">
        <f t="shared" si="4"/>
        <v>0</v>
      </c>
      <c r="BU51" s="1261">
        <v>4200</v>
      </c>
      <c r="BW51" s="1171">
        <f t="shared" si="5"/>
        <v>800</v>
      </c>
      <c r="BX51" s="1171">
        <f t="shared" si="6"/>
        <v>800</v>
      </c>
      <c r="BY51" s="1171">
        <f t="shared" si="7"/>
        <v>800</v>
      </c>
      <c r="BZ51" s="1171">
        <f t="shared" si="8"/>
        <v>800</v>
      </c>
      <c r="CA51" s="1171">
        <f t="shared" si="9"/>
        <v>800</v>
      </c>
      <c r="CB51" s="1171">
        <f t="shared" si="10"/>
        <v>800</v>
      </c>
      <c r="CC51" s="1171">
        <f t="shared" si="11"/>
        <v>800</v>
      </c>
      <c r="CD51" s="1171">
        <f t="shared" si="12"/>
        <v>800</v>
      </c>
      <c r="CE51" s="1171">
        <f t="shared" si="13"/>
        <v>800</v>
      </c>
      <c r="CF51" s="1171">
        <f t="shared" si="14"/>
        <v>800</v>
      </c>
      <c r="CG51" s="1171">
        <f t="shared" si="15"/>
        <v>800</v>
      </c>
      <c r="CH51" s="1171">
        <f t="shared" si="16"/>
        <v>800</v>
      </c>
      <c r="CI51" s="1171">
        <f t="shared" si="17"/>
        <v>800</v>
      </c>
      <c r="CJ51" s="1171">
        <f t="shared" si="18"/>
        <v>800</v>
      </c>
      <c r="CK51" s="1171">
        <f t="shared" si="19"/>
        <v>800</v>
      </c>
      <c r="CL51" s="1171">
        <f t="shared" si="20"/>
        <v>800</v>
      </c>
      <c r="CM51" s="1171">
        <f t="shared" si="21"/>
        <v>800</v>
      </c>
      <c r="CN51" s="1171">
        <f t="shared" si="22"/>
        <v>800</v>
      </c>
      <c r="CO51" s="1171">
        <f t="shared" si="23"/>
        <v>800</v>
      </c>
      <c r="CP51" s="1171">
        <f t="shared" si="24"/>
        <v>800</v>
      </c>
      <c r="CQ51" s="1171">
        <f t="shared" si="25"/>
        <v>800</v>
      </c>
      <c r="CR51" s="1171">
        <f t="shared" si="26"/>
        <v>800</v>
      </c>
      <c r="CS51" s="1171">
        <f t="shared" si="27"/>
        <v>800</v>
      </c>
      <c r="CT51" s="1171">
        <f t="shared" si="28"/>
        <v>800</v>
      </c>
      <c r="CU51" s="1171">
        <f t="shared" si="29"/>
        <v>800</v>
      </c>
      <c r="CV51" s="1171">
        <f t="shared" si="30"/>
        <v>800</v>
      </c>
      <c r="CW51" s="1171">
        <f t="shared" si="31"/>
        <v>800</v>
      </c>
      <c r="CX51" s="1171">
        <f t="shared" si="32"/>
        <v>800</v>
      </c>
      <c r="CY51" s="1171">
        <f t="shared" si="33"/>
        <v>800</v>
      </c>
      <c r="CZ51" s="1171">
        <f t="shared" si="34"/>
        <v>800</v>
      </c>
      <c r="DA51" s="1171">
        <f t="shared" si="35"/>
        <v>0</v>
      </c>
    </row>
    <row r="52" spans="2:105" ht="24.75" thickTop="1" thickBot="1">
      <c r="B52" s="69">
        <v>47</v>
      </c>
      <c r="C52" s="1108" t="s">
        <v>456</v>
      </c>
      <c r="D52" s="914">
        <v>1</v>
      </c>
      <c r="E52" s="1172"/>
      <c r="F52" s="914">
        <v>1</v>
      </c>
      <c r="G52" s="916"/>
      <c r="H52" s="914">
        <v>1</v>
      </c>
      <c r="I52" s="1173"/>
      <c r="J52" s="1232">
        <v>1</v>
      </c>
      <c r="K52" s="1251"/>
      <c r="L52" s="914">
        <v>1</v>
      </c>
      <c r="M52" s="1172"/>
      <c r="N52" s="914">
        <v>1</v>
      </c>
      <c r="O52" s="1173"/>
      <c r="P52" s="914">
        <v>1</v>
      </c>
      <c r="Q52" s="1173"/>
      <c r="R52" s="914">
        <v>1</v>
      </c>
      <c r="S52" s="1173"/>
      <c r="T52" s="914">
        <v>1</v>
      </c>
      <c r="U52" s="1173"/>
      <c r="V52" s="914">
        <v>1</v>
      </c>
      <c r="W52" s="1173">
        <v>1000</v>
      </c>
      <c r="X52" s="1232">
        <v>0</v>
      </c>
      <c r="Y52" s="1234"/>
      <c r="Z52" s="914">
        <v>1</v>
      </c>
      <c r="AA52" s="1173"/>
      <c r="AB52" s="914">
        <v>1</v>
      </c>
      <c r="AC52" s="1173"/>
      <c r="AD52" s="914">
        <v>1</v>
      </c>
      <c r="AE52" s="1173"/>
      <c r="AF52" s="914">
        <v>0</v>
      </c>
      <c r="AG52" s="1173">
        <v>5500</v>
      </c>
      <c r="AH52" s="914">
        <v>0</v>
      </c>
      <c r="AI52" s="1173"/>
      <c r="AJ52" s="914">
        <v>0</v>
      </c>
      <c r="AK52" s="1173"/>
      <c r="AL52" s="1232"/>
      <c r="AM52" s="1234"/>
      <c r="AN52" s="914">
        <v>0</v>
      </c>
      <c r="AO52" s="1173"/>
      <c r="AP52" s="914"/>
      <c r="AQ52" s="1173"/>
      <c r="AR52" s="914">
        <v>0</v>
      </c>
      <c r="AS52" s="1173"/>
      <c r="AT52" s="914">
        <v>0</v>
      </c>
      <c r="AU52" s="1173"/>
      <c r="AV52" s="914">
        <v>0</v>
      </c>
      <c r="AW52" s="1173"/>
      <c r="AX52" s="914">
        <v>0</v>
      </c>
      <c r="AY52" s="1173"/>
      <c r="AZ52" s="1232"/>
      <c r="BA52" s="1234"/>
      <c r="BB52" s="914"/>
      <c r="BC52" s="1173"/>
      <c r="BD52" s="914">
        <v>0</v>
      </c>
      <c r="BE52" s="1173"/>
      <c r="BF52" s="914">
        <v>0</v>
      </c>
      <c r="BG52" s="1173"/>
      <c r="BH52" s="914"/>
      <c r="BI52" s="1173"/>
      <c r="BJ52" s="914"/>
      <c r="BK52" s="1173"/>
      <c r="BL52" s="914"/>
      <c r="BM52" s="1174"/>
      <c r="BN52" s="1169">
        <f t="shared" si="0"/>
        <v>500</v>
      </c>
      <c r="BO52" s="491">
        <f t="shared" si="36"/>
        <v>13</v>
      </c>
      <c r="BP52" s="492">
        <v>15000</v>
      </c>
      <c r="BQ52" s="493">
        <f t="shared" si="2"/>
        <v>6500</v>
      </c>
      <c r="BR52" s="217">
        <f t="shared" si="3"/>
        <v>6500</v>
      </c>
      <c r="BS52" s="217"/>
      <c r="BT52" s="1170">
        <f t="shared" si="4"/>
        <v>0</v>
      </c>
      <c r="BU52" s="1261"/>
      <c r="BW52" s="1171">
        <f t="shared" si="5"/>
        <v>500</v>
      </c>
      <c r="BX52" s="1171">
        <f t="shared" si="6"/>
        <v>500</v>
      </c>
      <c r="BY52" s="1171">
        <f t="shared" si="7"/>
        <v>500</v>
      </c>
      <c r="BZ52" s="1171">
        <f t="shared" si="8"/>
        <v>500</v>
      </c>
      <c r="CA52" s="1171">
        <f t="shared" si="9"/>
        <v>500</v>
      </c>
      <c r="CB52" s="1171">
        <f t="shared" si="10"/>
        <v>500</v>
      </c>
      <c r="CC52" s="1171">
        <f t="shared" si="11"/>
        <v>500</v>
      </c>
      <c r="CD52" s="1171">
        <f t="shared" si="12"/>
        <v>500</v>
      </c>
      <c r="CE52" s="1171">
        <f t="shared" si="13"/>
        <v>500</v>
      </c>
      <c r="CF52" s="1171">
        <f t="shared" si="14"/>
        <v>500</v>
      </c>
      <c r="CG52" s="1171">
        <f t="shared" si="15"/>
        <v>0</v>
      </c>
      <c r="CH52" s="1171">
        <f t="shared" si="16"/>
        <v>500</v>
      </c>
      <c r="CI52" s="1171">
        <f t="shared" si="17"/>
        <v>500</v>
      </c>
      <c r="CJ52" s="1171">
        <f t="shared" si="18"/>
        <v>500</v>
      </c>
      <c r="CK52" s="1171">
        <f t="shared" si="19"/>
        <v>0</v>
      </c>
      <c r="CL52" s="1171">
        <f t="shared" si="20"/>
        <v>0</v>
      </c>
      <c r="CM52" s="1171">
        <f t="shared" si="21"/>
        <v>0</v>
      </c>
      <c r="CN52" s="1171">
        <f t="shared" si="22"/>
        <v>0</v>
      </c>
      <c r="CO52" s="1171">
        <f t="shared" si="23"/>
        <v>0</v>
      </c>
      <c r="CP52" s="1171">
        <f t="shared" si="24"/>
        <v>0</v>
      </c>
      <c r="CQ52" s="1171">
        <f t="shared" si="25"/>
        <v>0</v>
      </c>
      <c r="CR52" s="1171">
        <f t="shared" si="26"/>
        <v>0</v>
      </c>
      <c r="CS52" s="1171">
        <f t="shared" si="27"/>
        <v>0</v>
      </c>
      <c r="CT52" s="1171">
        <f t="shared" si="28"/>
        <v>0</v>
      </c>
      <c r="CU52" s="1171">
        <f t="shared" si="29"/>
        <v>0</v>
      </c>
      <c r="CV52" s="1171">
        <f t="shared" si="30"/>
        <v>0</v>
      </c>
      <c r="CW52" s="1171">
        <f t="shared" si="31"/>
        <v>0</v>
      </c>
      <c r="CX52" s="1171">
        <f t="shared" si="32"/>
        <v>0</v>
      </c>
      <c r="CY52" s="1171">
        <f t="shared" si="33"/>
        <v>0</v>
      </c>
      <c r="CZ52" s="1171">
        <f t="shared" si="34"/>
        <v>0</v>
      </c>
      <c r="DA52" s="1171">
        <f t="shared" si="35"/>
        <v>0</v>
      </c>
    </row>
    <row r="53" spans="2:105" ht="24.75" thickTop="1" thickBot="1">
      <c r="B53" s="69">
        <v>48</v>
      </c>
      <c r="C53" s="1108" t="s">
        <v>428</v>
      </c>
      <c r="D53" s="914">
        <v>1</v>
      </c>
      <c r="E53" s="1172"/>
      <c r="F53" s="914">
        <v>1</v>
      </c>
      <c r="G53" s="916"/>
      <c r="H53" s="914">
        <v>1</v>
      </c>
      <c r="I53" s="1173"/>
      <c r="J53" s="1232">
        <v>1</v>
      </c>
      <c r="K53" s="1251"/>
      <c r="L53" s="914">
        <v>1</v>
      </c>
      <c r="M53" s="1172"/>
      <c r="N53" s="914">
        <v>1</v>
      </c>
      <c r="O53" s="1173"/>
      <c r="P53" s="914">
        <v>1</v>
      </c>
      <c r="Q53" s="1173"/>
      <c r="R53" s="914">
        <v>1</v>
      </c>
      <c r="S53" s="1173"/>
      <c r="T53" s="914">
        <v>1</v>
      </c>
      <c r="U53" s="1173"/>
      <c r="V53" s="914">
        <v>1</v>
      </c>
      <c r="W53" s="1173"/>
      <c r="X53" s="1232">
        <v>1</v>
      </c>
      <c r="Y53" s="1234"/>
      <c r="Z53" s="914">
        <v>1</v>
      </c>
      <c r="AA53" s="1173"/>
      <c r="AB53" s="914">
        <v>1</v>
      </c>
      <c r="AC53" s="1173"/>
      <c r="AD53" s="914">
        <v>1</v>
      </c>
      <c r="AE53" s="1173"/>
      <c r="AF53" s="914">
        <v>1</v>
      </c>
      <c r="AG53" s="1173">
        <v>10500</v>
      </c>
      <c r="AH53" s="914">
        <v>0</v>
      </c>
      <c r="AI53" s="1173"/>
      <c r="AJ53" s="914">
        <v>0</v>
      </c>
      <c r="AK53" s="1173"/>
      <c r="AL53" s="1232"/>
      <c r="AM53" s="1234"/>
      <c r="AN53" s="914">
        <v>0</v>
      </c>
      <c r="AO53" s="1173"/>
      <c r="AP53" s="914"/>
      <c r="AQ53" s="1173"/>
      <c r="AR53" s="914">
        <v>0</v>
      </c>
      <c r="AS53" s="1173"/>
      <c r="AT53" s="914">
        <v>0</v>
      </c>
      <c r="AU53" s="1173"/>
      <c r="AV53" s="914">
        <v>0</v>
      </c>
      <c r="AW53" s="1173"/>
      <c r="AX53" s="914">
        <v>0</v>
      </c>
      <c r="AY53" s="1173"/>
      <c r="AZ53" s="1232"/>
      <c r="BA53" s="1234"/>
      <c r="BB53" s="914"/>
      <c r="BC53" s="1173"/>
      <c r="BD53" s="914">
        <v>0</v>
      </c>
      <c r="BE53" s="1173"/>
      <c r="BF53" s="914">
        <v>0</v>
      </c>
      <c r="BG53" s="1173"/>
      <c r="BH53" s="914"/>
      <c r="BI53" s="1173"/>
      <c r="BJ53" s="914"/>
      <c r="BK53" s="1173"/>
      <c r="BL53" s="914"/>
      <c r="BM53" s="1174"/>
      <c r="BN53" s="1169">
        <f t="shared" si="0"/>
        <v>700</v>
      </c>
      <c r="BO53" s="491">
        <f t="shared" si="36"/>
        <v>15</v>
      </c>
      <c r="BP53" s="492">
        <v>21000</v>
      </c>
      <c r="BQ53" s="493">
        <f t="shared" si="2"/>
        <v>10500</v>
      </c>
      <c r="BR53" s="217">
        <f t="shared" si="3"/>
        <v>10500</v>
      </c>
      <c r="BS53" s="217"/>
      <c r="BT53" s="1170">
        <f t="shared" si="4"/>
        <v>0</v>
      </c>
      <c r="BU53" s="1261"/>
      <c r="BW53" s="1171">
        <f t="shared" si="5"/>
        <v>700</v>
      </c>
      <c r="BX53" s="1171">
        <f t="shared" si="6"/>
        <v>700</v>
      </c>
      <c r="BY53" s="1171">
        <f t="shared" si="7"/>
        <v>700</v>
      </c>
      <c r="BZ53" s="1171">
        <f t="shared" si="8"/>
        <v>700</v>
      </c>
      <c r="CA53" s="1171">
        <f t="shared" si="9"/>
        <v>700</v>
      </c>
      <c r="CB53" s="1171">
        <f t="shared" si="10"/>
        <v>700</v>
      </c>
      <c r="CC53" s="1171">
        <f t="shared" si="11"/>
        <v>700</v>
      </c>
      <c r="CD53" s="1171">
        <f t="shared" si="12"/>
        <v>700</v>
      </c>
      <c r="CE53" s="1171">
        <f t="shared" si="13"/>
        <v>700</v>
      </c>
      <c r="CF53" s="1171">
        <f t="shared" si="14"/>
        <v>700</v>
      </c>
      <c r="CG53" s="1171">
        <f t="shared" si="15"/>
        <v>700</v>
      </c>
      <c r="CH53" s="1171">
        <f t="shared" si="16"/>
        <v>700</v>
      </c>
      <c r="CI53" s="1171">
        <f t="shared" si="17"/>
        <v>700</v>
      </c>
      <c r="CJ53" s="1171">
        <f t="shared" si="18"/>
        <v>700</v>
      </c>
      <c r="CK53" s="1171">
        <f t="shared" si="19"/>
        <v>700</v>
      </c>
      <c r="CL53" s="1171">
        <f t="shared" si="20"/>
        <v>0</v>
      </c>
      <c r="CM53" s="1171">
        <f t="shared" si="21"/>
        <v>0</v>
      </c>
      <c r="CN53" s="1171">
        <f t="shared" si="22"/>
        <v>0</v>
      </c>
      <c r="CO53" s="1171">
        <f t="shared" si="23"/>
        <v>0</v>
      </c>
      <c r="CP53" s="1171">
        <f t="shared" si="24"/>
        <v>0</v>
      </c>
      <c r="CQ53" s="1171">
        <f t="shared" si="25"/>
        <v>0</v>
      </c>
      <c r="CR53" s="1171">
        <f t="shared" si="26"/>
        <v>0</v>
      </c>
      <c r="CS53" s="1171">
        <f t="shared" si="27"/>
        <v>0</v>
      </c>
      <c r="CT53" s="1171">
        <f t="shared" si="28"/>
        <v>0</v>
      </c>
      <c r="CU53" s="1171">
        <f t="shared" si="29"/>
        <v>0</v>
      </c>
      <c r="CV53" s="1171">
        <f t="shared" si="30"/>
        <v>0</v>
      </c>
      <c r="CW53" s="1171">
        <f t="shared" si="31"/>
        <v>0</v>
      </c>
      <c r="CX53" s="1171">
        <f t="shared" si="32"/>
        <v>0</v>
      </c>
      <c r="CY53" s="1171">
        <f t="shared" si="33"/>
        <v>0</v>
      </c>
      <c r="CZ53" s="1171">
        <f t="shared" si="34"/>
        <v>0</v>
      </c>
      <c r="DA53" s="1171">
        <f t="shared" si="35"/>
        <v>0</v>
      </c>
    </row>
    <row r="54" spans="2:105" ht="24.75" thickTop="1" thickBot="1">
      <c r="B54" s="69">
        <v>49</v>
      </c>
      <c r="C54" s="1108" t="s">
        <v>356</v>
      </c>
      <c r="D54" s="914">
        <v>1</v>
      </c>
      <c r="E54" s="1172"/>
      <c r="F54" s="914">
        <v>1</v>
      </c>
      <c r="G54" s="916"/>
      <c r="H54" s="914">
        <v>0</v>
      </c>
      <c r="I54" s="1173"/>
      <c r="J54" s="1232">
        <v>0</v>
      </c>
      <c r="K54" s="1251"/>
      <c r="L54" s="914">
        <v>1</v>
      </c>
      <c r="M54" s="1172"/>
      <c r="N54" s="914">
        <v>0</v>
      </c>
      <c r="O54" s="1173"/>
      <c r="P54" s="914">
        <v>1</v>
      </c>
      <c r="Q54" s="1173"/>
      <c r="R54" s="914">
        <v>1</v>
      </c>
      <c r="S54" s="1173"/>
      <c r="T54" s="914">
        <v>1</v>
      </c>
      <c r="U54" s="1173"/>
      <c r="V54" s="914">
        <v>1</v>
      </c>
      <c r="W54" s="1173">
        <v>500</v>
      </c>
      <c r="X54" s="1232"/>
      <c r="Y54" s="1234"/>
      <c r="Z54" s="914">
        <v>1</v>
      </c>
      <c r="AA54" s="1173"/>
      <c r="AB54" s="914">
        <v>1</v>
      </c>
      <c r="AC54" s="1173"/>
      <c r="AD54" s="914">
        <v>1</v>
      </c>
      <c r="AE54" s="1173">
        <v>300</v>
      </c>
      <c r="AF54" s="914">
        <v>0</v>
      </c>
      <c r="AG54" s="1173">
        <v>6200</v>
      </c>
      <c r="AH54" s="914">
        <v>0</v>
      </c>
      <c r="AI54" s="1173"/>
      <c r="AJ54" s="914">
        <v>0</v>
      </c>
      <c r="AK54" s="1173"/>
      <c r="AL54" s="1232"/>
      <c r="AM54" s="1234"/>
      <c r="AN54" s="914">
        <v>0</v>
      </c>
      <c r="AO54" s="1173"/>
      <c r="AP54" s="914"/>
      <c r="AQ54" s="1173"/>
      <c r="AR54" s="914">
        <v>0</v>
      </c>
      <c r="AS54" s="1173"/>
      <c r="AT54" s="914">
        <v>0</v>
      </c>
      <c r="AU54" s="1173"/>
      <c r="AV54" s="914">
        <v>0</v>
      </c>
      <c r="AW54" s="1173"/>
      <c r="AX54" s="914">
        <v>0</v>
      </c>
      <c r="AY54" s="1173"/>
      <c r="AZ54" s="1232"/>
      <c r="BA54" s="1234"/>
      <c r="BB54" s="914"/>
      <c r="BC54" s="1173"/>
      <c r="BD54" s="914">
        <v>0</v>
      </c>
      <c r="BE54" s="1173"/>
      <c r="BF54" s="914">
        <v>0</v>
      </c>
      <c r="BG54" s="1173"/>
      <c r="BH54" s="914"/>
      <c r="BI54" s="1173"/>
      <c r="BJ54" s="914"/>
      <c r="BK54" s="1173"/>
      <c r="BL54" s="914"/>
      <c r="BM54" s="1174"/>
      <c r="BN54" s="1169">
        <f t="shared" si="0"/>
        <v>700</v>
      </c>
      <c r="BO54" s="491">
        <f t="shared" si="36"/>
        <v>10</v>
      </c>
      <c r="BP54" s="492">
        <v>21000</v>
      </c>
      <c r="BQ54" s="493">
        <f t="shared" si="2"/>
        <v>7000</v>
      </c>
      <c r="BR54" s="217">
        <f t="shared" si="3"/>
        <v>7000</v>
      </c>
      <c r="BS54" s="217"/>
      <c r="BT54" s="1170">
        <f t="shared" si="4"/>
        <v>0</v>
      </c>
      <c r="BU54" s="1261">
        <v>0</v>
      </c>
      <c r="BW54" s="1171">
        <f t="shared" si="5"/>
        <v>700</v>
      </c>
      <c r="BX54" s="1171">
        <f t="shared" si="6"/>
        <v>700</v>
      </c>
      <c r="BY54" s="1171">
        <f t="shared" si="7"/>
        <v>0</v>
      </c>
      <c r="BZ54" s="1171">
        <f t="shared" si="8"/>
        <v>0</v>
      </c>
      <c r="CA54" s="1171">
        <f t="shared" si="9"/>
        <v>700</v>
      </c>
      <c r="CB54" s="1171">
        <f t="shared" si="10"/>
        <v>0</v>
      </c>
      <c r="CC54" s="1171">
        <f t="shared" si="11"/>
        <v>700</v>
      </c>
      <c r="CD54" s="1171">
        <f t="shared" si="12"/>
        <v>700</v>
      </c>
      <c r="CE54" s="1171">
        <f t="shared" si="13"/>
        <v>700</v>
      </c>
      <c r="CF54" s="1171">
        <f t="shared" si="14"/>
        <v>700</v>
      </c>
      <c r="CG54" s="1171">
        <f t="shared" si="15"/>
        <v>0</v>
      </c>
      <c r="CH54" s="1171">
        <f t="shared" si="16"/>
        <v>700</v>
      </c>
      <c r="CI54" s="1171">
        <f t="shared" si="17"/>
        <v>700</v>
      </c>
      <c r="CJ54" s="1171">
        <f t="shared" si="18"/>
        <v>700</v>
      </c>
      <c r="CK54" s="1171">
        <f t="shared" si="19"/>
        <v>0</v>
      </c>
      <c r="CL54" s="1171">
        <f t="shared" si="20"/>
        <v>0</v>
      </c>
      <c r="CM54" s="1171">
        <f t="shared" si="21"/>
        <v>0</v>
      </c>
      <c r="CN54" s="1171">
        <f t="shared" si="22"/>
        <v>0</v>
      </c>
      <c r="CO54" s="1171">
        <f t="shared" si="23"/>
        <v>0</v>
      </c>
      <c r="CP54" s="1171">
        <f t="shared" si="24"/>
        <v>0</v>
      </c>
      <c r="CQ54" s="1171">
        <f t="shared" si="25"/>
        <v>0</v>
      </c>
      <c r="CR54" s="1171">
        <f t="shared" si="26"/>
        <v>0</v>
      </c>
      <c r="CS54" s="1171">
        <f t="shared" si="27"/>
        <v>0</v>
      </c>
      <c r="CT54" s="1171">
        <f t="shared" si="28"/>
        <v>0</v>
      </c>
      <c r="CU54" s="1171">
        <f t="shared" si="29"/>
        <v>0</v>
      </c>
      <c r="CV54" s="1171">
        <f t="shared" si="30"/>
        <v>0</v>
      </c>
      <c r="CW54" s="1171">
        <f t="shared" si="31"/>
        <v>0</v>
      </c>
      <c r="CX54" s="1171">
        <f t="shared" si="32"/>
        <v>0</v>
      </c>
      <c r="CY54" s="1171">
        <f t="shared" si="33"/>
        <v>0</v>
      </c>
      <c r="CZ54" s="1171">
        <f t="shared" si="34"/>
        <v>0</v>
      </c>
      <c r="DA54" s="1171">
        <f t="shared" si="35"/>
        <v>0</v>
      </c>
    </row>
    <row r="55" spans="2:105" ht="24.75" thickTop="1" thickBot="1">
      <c r="B55" s="69">
        <v>50</v>
      </c>
      <c r="C55" s="1108" t="s">
        <v>457</v>
      </c>
      <c r="D55" s="914">
        <v>1</v>
      </c>
      <c r="E55" s="1172"/>
      <c r="F55" s="914">
        <v>0</v>
      </c>
      <c r="G55" s="916"/>
      <c r="H55" s="914">
        <v>0</v>
      </c>
      <c r="I55" s="1173">
        <v>1000</v>
      </c>
      <c r="J55" s="1232">
        <v>0</v>
      </c>
      <c r="K55" s="1251"/>
      <c r="L55" s="914"/>
      <c r="M55" s="1172"/>
      <c r="N55" s="914">
        <v>0</v>
      </c>
      <c r="O55" s="1173"/>
      <c r="P55" s="914">
        <v>0</v>
      </c>
      <c r="Q55" s="1173"/>
      <c r="R55" s="914"/>
      <c r="S55" s="1173"/>
      <c r="T55" s="914"/>
      <c r="U55" s="1173"/>
      <c r="V55" s="914"/>
      <c r="W55" s="1173"/>
      <c r="X55" s="1232"/>
      <c r="Y55" s="1234"/>
      <c r="Z55" s="914"/>
      <c r="AA55" s="1173"/>
      <c r="AB55" s="914">
        <v>0</v>
      </c>
      <c r="AC55" s="1173"/>
      <c r="AD55" s="914">
        <v>0</v>
      </c>
      <c r="AE55" s="1173"/>
      <c r="AF55" s="914">
        <v>1</v>
      </c>
      <c r="AG55" s="1173"/>
      <c r="AH55" s="914">
        <v>1</v>
      </c>
      <c r="AI55" s="1173"/>
      <c r="AJ55" s="914">
        <v>1</v>
      </c>
      <c r="AK55" s="1173">
        <v>1000</v>
      </c>
      <c r="AL55" s="1232"/>
      <c r="AM55" s="1234"/>
      <c r="AN55" s="914">
        <v>1</v>
      </c>
      <c r="AO55" s="1173"/>
      <c r="AP55" s="914"/>
      <c r="AQ55" s="1173"/>
      <c r="AR55" s="914">
        <v>1</v>
      </c>
      <c r="AS55" s="1173"/>
      <c r="AT55" s="914">
        <v>1</v>
      </c>
      <c r="AU55" s="1173"/>
      <c r="AV55" s="914">
        <v>0</v>
      </c>
      <c r="AW55" s="1173"/>
      <c r="AX55" s="914">
        <v>1</v>
      </c>
      <c r="AY55" s="1173"/>
      <c r="AZ55" s="1232"/>
      <c r="BA55" s="1234"/>
      <c r="BB55" s="914">
        <v>1</v>
      </c>
      <c r="BC55" s="1173"/>
      <c r="BD55" s="914">
        <v>1</v>
      </c>
      <c r="BE55" s="1173"/>
      <c r="BF55" s="914">
        <v>1</v>
      </c>
      <c r="BG55" s="1173">
        <v>3500</v>
      </c>
      <c r="BH55" s="914"/>
      <c r="BI55" s="1173"/>
      <c r="BJ55" s="914"/>
      <c r="BK55" s="1173"/>
      <c r="BL55" s="914"/>
      <c r="BM55" s="1174"/>
      <c r="BN55" s="1169">
        <f t="shared" si="0"/>
        <v>500</v>
      </c>
      <c r="BO55" s="491">
        <f t="shared" si="36"/>
        <v>11</v>
      </c>
      <c r="BP55" s="492">
        <v>15000</v>
      </c>
      <c r="BQ55" s="493">
        <f t="shared" si="2"/>
        <v>5500</v>
      </c>
      <c r="BR55" s="217">
        <f t="shared" si="3"/>
        <v>5500</v>
      </c>
      <c r="BS55" s="217"/>
      <c r="BT55" s="1170">
        <f t="shared" si="4"/>
        <v>0</v>
      </c>
      <c r="BU55" s="1261">
        <v>3500</v>
      </c>
      <c r="BW55" s="1171">
        <f t="shared" si="5"/>
        <v>500</v>
      </c>
      <c r="BX55" s="1171">
        <f t="shared" si="6"/>
        <v>0</v>
      </c>
      <c r="BY55" s="1171">
        <f t="shared" si="7"/>
        <v>0</v>
      </c>
      <c r="BZ55" s="1171">
        <f t="shared" si="8"/>
        <v>0</v>
      </c>
      <c r="CA55" s="1171">
        <f t="shared" si="9"/>
        <v>0</v>
      </c>
      <c r="CB55" s="1171">
        <f t="shared" si="10"/>
        <v>0</v>
      </c>
      <c r="CC55" s="1171">
        <f t="shared" si="11"/>
        <v>0</v>
      </c>
      <c r="CD55" s="1171">
        <f t="shared" si="12"/>
        <v>0</v>
      </c>
      <c r="CE55" s="1171">
        <f t="shared" si="13"/>
        <v>0</v>
      </c>
      <c r="CF55" s="1171">
        <f t="shared" si="14"/>
        <v>0</v>
      </c>
      <c r="CG55" s="1171">
        <f t="shared" si="15"/>
        <v>0</v>
      </c>
      <c r="CH55" s="1171">
        <f t="shared" si="16"/>
        <v>0</v>
      </c>
      <c r="CI55" s="1171">
        <f t="shared" si="17"/>
        <v>0</v>
      </c>
      <c r="CJ55" s="1171">
        <f t="shared" si="18"/>
        <v>0</v>
      </c>
      <c r="CK55" s="1171">
        <f t="shared" si="19"/>
        <v>500</v>
      </c>
      <c r="CL55" s="1171">
        <f t="shared" si="20"/>
        <v>500</v>
      </c>
      <c r="CM55" s="1171">
        <f t="shared" si="21"/>
        <v>500</v>
      </c>
      <c r="CN55" s="1171">
        <f t="shared" si="22"/>
        <v>0</v>
      </c>
      <c r="CO55" s="1171">
        <f t="shared" si="23"/>
        <v>500</v>
      </c>
      <c r="CP55" s="1171">
        <f t="shared" si="24"/>
        <v>0</v>
      </c>
      <c r="CQ55" s="1171">
        <f t="shared" si="25"/>
        <v>500</v>
      </c>
      <c r="CR55" s="1171">
        <f t="shared" si="26"/>
        <v>500</v>
      </c>
      <c r="CS55" s="1171">
        <f t="shared" si="27"/>
        <v>0</v>
      </c>
      <c r="CT55" s="1171">
        <f t="shared" si="28"/>
        <v>500</v>
      </c>
      <c r="CU55" s="1171">
        <f t="shared" si="29"/>
        <v>0</v>
      </c>
      <c r="CV55" s="1171">
        <f t="shared" si="30"/>
        <v>500</v>
      </c>
      <c r="CW55" s="1171">
        <f t="shared" si="31"/>
        <v>500</v>
      </c>
      <c r="CX55" s="1171">
        <f t="shared" si="32"/>
        <v>500</v>
      </c>
      <c r="CY55" s="1171">
        <f t="shared" si="33"/>
        <v>0</v>
      </c>
      <c r="CZ55" s="1171">
        <f t="shared" si="34"/>
        <v>0</v>
      </c>
      <c r="DA55" s="1171">
        <f t="shared" si="35"/>
        <v>0</v>
      </c>
    </row>
    <row r="56" spans="2:105" ht="24.75" thickTop="1" thickBot="1">
      <c r="B56" s="69">
        <v>51</v>
      </c>
      <c r="C56" s="1108" t="s">
        <v>435</v>
      </c>
      <c r="D56" s="914">
        <v>1</v>
      </c>
      <c r="E56" s="1172"/>
      <c r="F56" s="914">
        <v>1</v>
      </c>
      <c r="G56" s="916"/>
      <c r="H56" s="914">
        <v>0</v>
      </c>
      <c r="I56" s="1173"/>
      <c r="J56" s="1232">
        <v>0</v>
      </c>
      <c r="K56" s="1251"/>
      <c r="L56" s="914">
        <v>1</v>
      </c>
      <c r="M56" s="1172"/>
      <c r="N56" s="914">
        <v>0</v>
      </c>
      <c r="O56" s="1173"/>
      <c r="P56" s="914">
        <v>1</v>
      </c>
      <c r="Q56" s="1173"/>
      <c r="R56" s="914">
        <v>1</v>
      </c>
      <c r="S56" s="1173"/>
      <c r="T56" s="914">
        <v>1</v>
      </c>
      <c r="U56" s="1173"/>
      <c r="V56" s="914">
        <v>1</v>
      </c>
      <c r="W56" s="1173">
        <v>550</v>
      </c>
      <c r="X56" s="1232"/>
      <c r="Y56" s="1234"/>
      <c r="Z56" s="914">
        <v>1</v>
      </c>
      <c r="AA56" s="1173"/>
      <c r="AB56" s="914">
        <v>1</v>
      </c>
      <c r="AC56" s="1173"/>
      <c r="AD56" s="914">
        <v>1</v>
      </c>
      <c r="AE56" s="1173"/>
      <c r="AF56" s="914">
        <v>1</v>
      </c>
      <c r="AG56" s="1173"/>
      <c r="AH56" s="914">
        <v>1</v>
      </c>
      <c r="AI56" s="1173"/>
      <c r="AJ56" s="914">
        <v>1</v>
      </c>
      <c r="AK56" s="1173">
        <v>2000</v>
      </c>
      <c r="AL56" s="1232"/>
      <c r="AM56" s="1234"/>
      <c r="AN56" s="914">
        <v>1</v>
      </c>
      <c r="AO56" s="1173"/>
      <c r="AP56" s="914"/>
      <c r="AQ56" s="1173"/>
      <c r="AR56" s="914">
        <v>1</v>
      </c>
      <c r="AS56" s="1173"/>
      <c r="AT56" s="914">
        <v>1</v>
      </c>
      <c r="AU56" s="1173"/>
      <c r="AV56" s="914">
        <v>0</v>
      </c>
      <c r="AW56" s="1173"/>
      <c r="AX56" s="914">
        <v>1</v>
      </c>
      <c r="AY56" s="1173">
        <v>1000</v>
      </c>
      <c r="AZ56" s="1232"/>
      <c r="BA56" s="1234"/>
      <c r="BB56" s="914">
        <v>1</v>
      </c>
      <c r="BC56" s="1173"/>
      <c r="BD56" s="914">
        <v>1</v>
      </c>
      <c r="BE56" s="1173"/>
      <c r="BF56" s="914">
        <v>1</v>
      </c>
      <c r="BG56" s="1173">
        <v>6450</v>
      </c>
      <c r="BH56" s="914"/>
      <c r="BI56" s="1173"/>
      <c r="BJ56" s="914"/>
      <c r="BK56" s="1173"/>
      <c r="BL56" s="914"/>
      <c r="BM56" s="1174"/>
      <c r="BN56" s="1169">
        <f t="shared" si="0"/>
        <v>500</v>
      </c>
      <c r="BO56" s="491">
        <f t="shared" si="36"/>
        <v>20</v>
      </c>
      <c r="BP56" s="492">
        <v>15000</v>
      </c>
      <c r="BQ56" s="493">
        <f t="shared" si="2"/>
        <v>10000</v>
      </c>
      <c r="BR56" s="217">
        <f t="shared" si="3"/>
        <v>10000</v>
      </c>
      <c r="BS56" s="217"/>
      <c r="BT56" s="1170">
        <f t="shared" si="4"/>
        <v>0</v>
      </c>
      <c r="BU56" s="1261">
        <v>6450</v>
      </c>
      <c r="BW56" s="1171">
        <f t="shared" si="5"/>
        <v>500</v>
      </c>
      <c r="BX56" s="1171">
        <f t="shared" si="6"/>
        <v>500</v>
      </c>
      <c r="BY56" s="1171">
        <f t="shared" si="7"/>
        <v>0</v>
      </c>
      <c r="BZ56" s="1171">
        <f t="shared" si="8"/>
        <v>0</v>
      </c>
      <c r="CA56" s="1171">
        <f t="shared" si="9"/>
        <v>500</v>
      </c>
      <c r="CB56" s="1171">
        <f t="shared" si="10"/>
        <v>0</v>
      </c>
      <c r="CC56" s="1171">
        <f t="shared" si="11"/>
        <v>500</v>
      </c>
      <c r="CD56" s="1171">
        <f t="shared" si="12"/>
        <v>500</v>
      </c>
      <c r="CE56" s="1171">
        <f t="shared" si="13"/>
        <v>500</v>
      </c>
      <c r="CF56" s="1171">
        <f t="shared" si="14"/>
        <v>500</v>
      </c>
      <c r="CG56" s="1171">
        <f t="shared" si="15"/>
        <v>0</v>
      </c>
      <c r="CH56" s="1171">
        <f t="shared" si="16"/>
        <v>500</v>
      </c>
      <c r="CI56" s="1171">
        <f t="shared" si="17"/>
        <v>500</v>
      </c>
      <c r="CJ56" s="1171">
        <f t="shared" si="18"/>
        <v>500</v>
      </c>
      <c r="CK56" s="1171">
        <f t="shared" si="19"/>
        <v>500</v>
      </c>
      <c r="CL56" s="1171">
        <f t="shared" si="20"/>
        <v>500</v>
      </c>
      <c r="CM56" s="1171">
        <f t="shared" si="21"/>
        <v>500</v>
      </c>
      <c r="CN56" s="1171">
        <f t="shared" si="22"/>
        <v>0</v>
      </c>
      <c r="CO56" s="1171">
        <f t="shared" si="23"/>
        <v>500</v>
      </c>
      <c r="CP56" s="1171">
        <f t="shared" si="24"/>
        <v>0</v>
      </c>
      <c r="CQ56" s="1171">
        <f t="shared" si="25"/>
        <v>500</v>
      </c>
      <c r="CR56" s="1171">
        <f t="shared" si="26"/>
        <v>500</v>
      </c>
      <c r="CS56" s="1171">
        <f t="shared" si="27"/>
        <v>0</v>
      </c>
      <c r="CT56" s="1171">
        <f t="shared" si="28"/>
        <v>500</v>
      </c>
      <c r="CU56" s="1171">
        <f t="shared" si="29"/>
        <v>0</v>
      </c>
      <c r="CV56" s="1171">
        <f t="shared" si="30"/>
        <v>500</v>
      </c>
      <c r="CW56" s="1171">
        <f t="shared" si="31"/>
        <v>500</v>
      </c>
      <c r="CX56" s="1171">
        <f t="shared" si="32"/>
        <v>500</v>
      </c>
      <c r="CY56" s="1171">
        <f t="shared" si="33"/>
        <v>0</v>
      </c>
      <c r="CZ56" s="1171">
        <f t="shared" si="34"/>
        <v>0</v>
      </c>
      <c r="DA56" s="1171">
        <f t="shared" si="35"/>
        <v>0</v>
      </c>
    </row>
    <row r="57" spans="2:105" ht="24.75" thickTop="1" thickBot="1">
      <c r="B57" s="69">
        <v>52</v>
      </c>
      <c r="C57" s="1108" t="s">
        <v>458</v>
      </c>
      <c r="D57" s="914">
        <v>1</v>
      </c>
      <c r="E57" s="1172"/>
      <c r="F57" s="914">
        <v>1</v>
      </c>
      <c r="G57" s="916"/>
      <c r="H57" s="914">
        <v>0</v>
      </c>
      <c r="I57" s="1173"/>
      <c r="J57" s="1232">
        <v>0</v>
      </c>
      <c r="K57" s="1251"/>
      <c r="L57" s="914">
        <v>1</v>
      </c>
      <c r="M57" s="1172"/>
      <c r="N57" s="914">
        <v>0</v>
      </c>
      <c r="O57" s="1173"/>
      <c r="P57" s="914">
        <v>1</v>
      </c>
      <c r="Q57" s="1173">
        <v>2400</v>
      </c>
      <c r="R57" s="914"/>
      <c r="S57" s="1173"/>
      <c r="T57" s="914"/>
      <c r="U57" s="1173"/>
      <c r="V57" s="914"/>
      <c r="W57" s="1173"/>
      <c r="X57" s="1232"/>
      <c r="Y57" s="1234"/>
      <c r="Z57" s="914"/>
      <c r="AA57" s="1173"/>
      <c r="AB57" s="914">
        <v>0</v>
      </c>
      <c r="AC57" s="1173"/>
      <c r="AD57" s="914">
        <v>0</v>
      </c>
      <c r="AE57" s="1173">
        <v>2000</v>
      </c>
      <c r="AF57" s="914">
        <v>0</v>
      </c>
      <c r="AG57" s="1173"/>
      <c r="AH57" s="914"/>
      <c r="AI57" s="1173"/>
      <c r="AJ57" s="914">
        <v>0</v>
      </c>
      <c r="AK57" s="1173"/>
      <c r="AL57" s="1232"/>
      <c r="AM57" s="1234"/>
      <c r="AN57" s="914">
        <v>0</v>
      </c>
      <c r="AO57" s="1173"/>
      <c r="AP57" s="914"/>
      <c r="AQ57" s="1173"/>
      <c r="AR57" s="914">
        <v>1</v>
      </c>
      <c r="AS57" s="1173">
        <v>700</v>
      </c>
      <c r="AT57" s="914">
        <v>1</v>
      </c>
      <c r="AU57" s="1173"/>
      <c r="AV57" s="914">
        <v>0</v>
      </c>
      <c r="AW57" s="1173"/>
      <c r="AX57" s="914">
        <v>1</v>
      </c>
      <c r="AY57" s="1173">
        <v>500</v>
      </c>
      <c r="AZ57" s="1232"/>
      <c r="BA57" s="1234"/>
      <c r="BB57" s="914">
        <v>1</v>
      </c>
      <c r="BC57" s="1173"/>
      <c r="BD57" s="914">
        <v>1</v>
      </c>
      <c r="BE57" s="1173"/>
      <c r="BF57" s="914">
        <v>1</v>
      </c>
      <c r="BG57" s="1173">
        <v>400</v>
      </c>
      <c r="BH57" s="914"/>
      <c r="BI57" s="1173"/>
      <c r="BJ57" s="914"/>
      <c r="BK57" s="1173"/>
      <c r="BL57" s="914"/>
      <c r="BM57" s="1174"/>
      <c r="BN57" s="1169">
        <f t="shared" si="0"/>
        <v>600</v>
      </c>
      <c r="BO57" s="491">
        <f t="shared" si="36"/>
        <v>10</v>
      </c>
      <c r="BP57" s="492">
        <v>18000</v>
      </c>
      <c r="BQ57" s="493">
        <f t="shared" si="2"/>
        <v>6000</v>
      </c>
      <c r="BR57" s="217">
        <f t="shared" si="3"/>
        <v>6000</v>
      </c>
      <c r="BS57" s="217"/>
      <c r="BT57" s="1170">
        <f t="shared" si="4"/>
        <v>0</v>
      </c>
      <c r="BU57" s="1261">
        <v>400</v>
      </c>
      <c r="BW57" s="1171">
        <f t="shared" si="5"/>
        <v>600</v>
      </c>
      <c r="BX57" s="1171">
        <f t="shared" si="6"/>
        <v>600</v>
      </c>
      <c r="BY57" s="1171">
        <f t="shared" si="7"/>
        <v>0</v>
      </c>
      <c r="BZ57" s="1171">
        <f t="shared" si="8"/>
        <v>0</v>
      </c>
      <c r="CA57" s="1171">
        <f t="shared" si="9"/>
        <v>600</v>
      </c>
      <c r="CB57" s="1171">
        <f t="shared" si="10"/>
        <v>0</v>
      </c>
      <c r="CC57" s="1171">
        <f t="shared" si="11"/>
        <v>600</v>
      </c>
      <c r="CD57" s="1171">
        <f t="shared" si="12"/>
        <v>0</v>
      </c>
      <c r="CE57" s="1171">
        <f t="shared" si="13"/>
        <v>0</v>
      </c>
      <c r="CF57" s="1171">
        <f t="shared" si="14"/>
        <v>0</v>
      </c>
      <c r="CG57" s="1171">
        <f t="shared" si="15"/>
        <v>0</v>
      </c>
      <c r="CH57" s="1171">
        <f t="shared" si="16"/>
        <v>0</v>
      </c>
      <c r="CI57" s="1171">
        <f t="shared" si="17"/>
        <v>0</v>
      </c>
      <c r="CJ57" s="1171">
        <f t="shared" si="18"/>
        <v>0</v>
      </c>
      <c r="CK57" s="1171">
        <f t="shared" si="19"/>
        <v>0</v>
      </c>
      <c r="CL57" s="1171">
        <f t="shared" si="20"/>
        <v>0</v>
      </c>
      <c r="CM57" s="1171">
        <f t="shared" si="21"/>
        <v>0</v>
      </c>
      <c r="CN57" s="1171">
        <f t="shared" si="22"/>
        <v>0</v>
      </c>
      <c r="CO57" s="1171">
        <f t="shared" si="23"/>
        <v>0</v>
      </c>
      <c r="CP57" s="1171">
        <f t="shared" si="24"/>
        <v>0</v>
      </c>
      <c r="CQ57" s="1171">
        <f t="shared" si="25"/>
        <v>600</v>
      </c>
      <c r="CR57" s="1171">
        <f t="shared" si="26"/>
        <v>600</v>
      </c>
      <c r="CS57" s="1171">
        <f t="shared" si="27"/>
        <v>0</v>
      </c>
      <c r="CT57" s="1171">
        <f t="shared" si="28"/>
        <v>600</v>
      </c>
      <c r="CU57" s="1171">
        <f t="shared" si="29"/>
        <v>0</v>
      </c>
      <c r="CV57" s="1171">
        <f t="shared" si="30"/>
        <v>600</v>
      </c>
      <c r="CW57" s="1171">
        <f t="shared" si="31"/>
        <v>600</v>
      </c>
      <c r="CX57" s="1171">
        <f t="shared" si="32"/>
        <v>600</v>
      </c>
      <c r="CY57" s="1171">
        <f t="shared" si="33"/>
        <v>0</v>
      </c>
      <c r="CZ57" s="1171">
        <f t="shared" si="34"/>
        <v>0</v>
      </c>
      <c r="DA57" s="1171">
        <f t="shared" si="35"/>
        <v>0</v>
      </c>
    </row>
    <row r="58" spans="2:105" ht="24.75" thickTop="1" thickBot="1">
      <c r="B58" s="69">
        <v>53</v>
      </c>
      <c r="C58" s="1108" t="s">
        <v>459</v>
      </c>
      <c r="D58" s="914">
        <v>1</v>
      </c>
      <c r="E58" s="1172"/>
      <c r="F58" s="914">
        <v>1</v>
      </c>
      <c r="G58" s="916"/>
      <c r="H58" s="914">
        <v>0</v>
      </c>
      <c r="I58" s="1173"/>
      <c r="J58" s="1232">
        <v>0</v>
      </c>
      <c r="K58" s="1251"/>
      <c r="L58" s="914">
        <v>1</v>
      </c>
      <c r="M58" s="1172"/>
      <c r="N58" s="914">
        <v>0</v>
      </c>
      <c r="O58" s="1173"/>
      <c r="P58" s="914">
        <v>1</v>
      </c>
      <c r="Q58" s="1173">
        <v>2400</v>
      </c>
      <c r="R58" s="914"/>
      <c r="S58" s="1173"/>
      <c r="T58" s="914"/>
      <c r="U58" s="1173"/>
      <c r="V58" s="914"/>
      <c r="W58" s="1173"/>
      <c r="X58" s="1232"/>
      <c r="Y58" s="1234"/>
      <c r="Z58" s="914"/>
      <c r="AA58" s="1173"/>
      <c r="AB58" s="914">
        <v>0</v>
      </c>
      <c r="AC58" s="1173"/>
      <c r="AD58" s="914">
        <v>0</v>
      </c>
      <c r="AE58" s="1173"/>
      <c r="AF58" s="914">
        <v>0</v>
      </c>
      <c r="AG58" s="1173"/>
      <c r="AH58" s="914"/>
      <c r="AI58" s="1173"/>
      <c r="AJ58" s="914">
        <v>0</v>
      </c>
      <c r="AK58" s="1173"/>
      <c r="AL58" s="1232"/>
      <c r="AM58" s="1234"/>
      <c r="AN58" s="914">
        <v>0</v>
      </c>
      <c r="AO58" s="1173"/>
      <c r="AP58" s="914"/>
      <c r="AQ58" s="1173"/>
      <c r="AR58" s="914">
        <v>1</v>
      </c>
      <c r="AS58" s="1173">
        <v>700</v>
      </c>
      <c r="AT58" s="914">
        <v>1</v>
      </c>
      <c r="AU58" s="1173"/>
      <c r="AV58" s="914">
        <v>0</v>
      </c>
      <c r="AW58" s="1173"/>
      <c r="AX58" s="914">
        <v>1</v>
      </c>
      <c r="AY58" s="1173">
        <v>500</v>
      </c>
      <c r="AZ58" s="1232"/>
      <c r="BA58" s="1234"/>
      <c r="BB58" s="914">
        <v>1</v>
      </c>
      <c r="BC58" s="1173"/>
      <c r="BD58" s="914">
        <v>1</v>
      </c>
      <c r="BE58" s="1173"/>
      <c r="BF58" s="914">
        <v>1</v>
      </c>
      <c r="BG58" s="1173">
        <v>2400</v>
      </c>
      <c r="BH58" s="914"/>
      <c r="BI58" s="1173"/>
      <c r="BJ58" s="914"/>
      <c r="BK58" s="1173"/>
      <c r="BL58" s="914"/>
      <c r="BM58" s="1174"/>
      <c r="BN58" s="1169">
        <f t="shared" si="0"/>
        <v>600</v>
      </c>
      <c r="BO58" s="491">
        <f t="shared" si="36"/>
        <v>10</v>
      </c>
      <c r="BP58" s="492">
        <v>18000</v>
      </c>
      <c r="BQ58" s="493">
        <f t="shared" si="2"/>
        <v>6000</v>
      </c>
      <c r="BR58" s="217">
        <f t="shared" si="3"/>
        <v>6000</v>
      </c>
      <c r="BS58" s="217"/>
      <c r="BT58" s="1170">
        <f t="shared" si="4"/>
        <v>0</v>
      </c>
      <c r="BU58" s="1261">
        <v>2400</v>
      </c>
      <c r="BW58" s="1171">
        <f t="shared" si="5"/>
        <v>600</v>
      </c>
      <c r="BX58" s="1171">
        <f t="shared" si="6"/>
        <v>600</v>
      </c>
      <c r="BY58" s="1171">
        <f t="shared" si="7"/>
        <v>0</v>
      </c>
      <c r="BZ58" s="1171">
        <f t="shared" si="8"/>
        <v>0</v>
      </c>
      <c r="CA58" s="1171">
        <f t="shared" si="9"/>
        <v>600</v>
      </c>
      <c r="CB58" s="1171">
        <f t="shared" si="10"/>
        <v>0</v>
      </c>
      <c r="CC58" s="1171">
        <f t="shared" si="11"/>
        <v>600</v>
      </c>
      <c r="CD58" s="1171">
        <f t="shared" si="12"/>
        <v>0</v>
      </c>
      <c r="CE58" s="1171">
        <f t="shared" si="13"/>
        <v>0</v>
      </c>
      <c r="CF58" s="1171">
        <f t="shared" si="14"/>
        <v>0</v>
      </c>
      <c r="CG58" s="1171">
        <f t="shared" si="15"/>
        <v>0</v>
      </c>
      <c r="CH58" s="1171">
        <f t="shared" si="16"/>
        <v>0</v>
      </c>
      <c r="CI58" s="1171">
        <f t="shared" si="17"/>
        <v>0</v>
      </c>
      <c r="CJ58" s="1171">
        <f t="shared" si="18"/>
        <v>0</v>
      </c>
      <c r="CK58" s="1171">
        <f t="shared" si="19"/>
        <v>0</v>
      </c>
      <c r="CL58" s="1171">
        <f t="shared" si="20"/>
        <v>0</v>
      </c>
      <c r="CM58" s="1171">
        <f t="shared" si="21"/>
        <v>0</v>
      </c>
      <c r="CN58" s="1171">
        <f t="shared" si="22"/>
        <v>0</v>
      </c>
      <c r="CO58" s="1171">
        <f t="shared" si="23"/>
        <v>0</v>
      </c>
      <c r="CP58" s="1171">
        <f t="shared" si="24"/>
        <v>0</v>
      </c>
      <c r="CQ58" s="1171">
        <f t="shared" si="25"/>
        <v>600</v>
      </c>
      <c r="CR58" s="1171">
        <f t="shared" si="26"/>
        <v>600</v>
      </c>
      <c r="CS58" s="1171">
        <f t="shared" si="27"/>
        <v>0</v>
      </c>
      <c r="CT58" s="1171">
        <f t="shared" si="28"/>
        <v>600</v>
      </c>
      <c r="CU58" s="1171">
        <f t="shared" si="29"/>
        <v>0</v>
      </c>
      <c r="CV58" s="1171">
        <f t="shared" si="30"/>
        <v>600</v>
      </c>
      <c r="CW58" s="1171">
        <f t="shared" si="31"/>
        <v>600</v>
      </c>
      <c r="CX58" s="1171">
        <f t="shared" si="32"/>
        <v>600</v>
      </c>
      <c r="CY58" s="1171">
        <f t="shared" si="33"/>
        <v>0</v>
      </c>
      <c r="CZ58" s="1171">
        <f t="shared" si="34"/>
        <v>0</v>
      </c>
      <c r="DA58" s="1171">
        <f t="shared" si="35"/>
        <v>0</v>
      </c>
    </row>
    <row r="59" spans="2:105" ht="24.75" thickTop="1" thickBot="1">
      <c r="B59" s="69">
        <v>54</v>
      </c>
      <c r="C59" s="1108" t="s">
        <v>460</v>
      </c>
      <c r="D59" s="914">
        <v>1</v>
      </c>
      <c r="E59" s="1172"/>
      <c r="F59" s="914">
        <v>0</v>
      </c>
      <c r="G59" s="916"/>
      <c r="H59" s="914">
        <v>0</v>
      </c>
      <c r="I59" s="1173"/>
      <c r="J59" s="1232">
        <v>0</v>
      </c>
      <c r="K59" s="1251"/>
      <c r="L59" s="914">
        <v>0</v>
      </c>
      <c r="M59" s="1172"/>
      <c r="N59" s="914">
        <v>0</v>
      </c>
      <c r="O59" s="1173"/>
      <c r="P59" s="914">
        <v>0</v>
      </c>
      <c r="Q59" s="1173"/>
      <c r="R59" s="914"/>
      <c r="S59" s="1173"/>
      <c r="T59" s="914"/>
      <c r="U59" s="1173"/>
      <c r="V59" s="914"/>
      <c r="W59" s="1173"/>
      <c r="X59" s="1232"/>
      <c r="Y59" s="1234"/>
      <c r="Z59" s="914"/>
      <c r="AA59" s="1173"/>
      <c r="AB59" s="914">
        <v>0</v>
      </c>
      <c r="AC59" s="1173"/>
      <c r="AD59" s="914">
        <v>0</v>
      </c>
      <c r="AE59" s="1173"/>
      <c r="AF59" s="914">
        <v>0</v>
      </c>
      <c r="AG59" s="1173"/>
      <c r="AH59" s="914"/>
      <c r="AI59" s="1173"/>
      <c r="AJ59" s="914">
        <v>0</v>
      </c>
      <c r="AK59" s="1173"/>
      <c r="AL59" s="1232"/>
      <c r="AM59" s="1234"/>
      <c r="AN59" s="914">
        <v>0</v>
      </c>
      <c r="AO59" s="1173"/>
      <c r="AP59" s="914"/>
      <c r="AQ59" s="1173"/>
      <c r="AR59" s="914">
        <v>0</v>
      </c>
      <c r="AS59" s="1173"/>
      <c r="AT59" s="914">
        <v>0</v>
      </c>
      <c r="AU59" s="1173"/>
      <c r="AV59" s="914">
        <v>0</v>
      </c>
      <c r="AW59" s="1173"/>
      <c r="AX59" s="914">
        <v>0</v>
      </c>
      <c r="AY59" s="1173"/>
      <c r="AZ59" s="1232"/>
      <c r="BA59" s="1234"/>
      <c r="BB59" s="914">
        <v>1</v>
      </c>
      <c r="BC59" s="1173">
        <v>2000</v>
      </c>
      <c r="BD59" s="914">
        <v>0</v>
      </c>
      <c r="BE59" s="1173"/>
      <c r="BF59" s="914">
        <v>0</v>
      </c>
      <c r="BG59" s="1173"/>
      <c r="BH59" s="914"/>
      <c r="BI59" s="1173"/>
      <c r="BJ59" s="914"/>
      <c r="BK59" s="1173"/>
      <c r="BL59" s="914"/>
      <c r="BM59" s="1174"/>
      <c r="BN59" s="1169">
        <f t="shared" si="0"/>
        <v>500</v>
      </c>
      <c r="BO59" s="491">
        <f t="shared" si="36"/>
        <v>2</v>
      </c>
      <c r="BP59" s="492">
        <v>15000</v>
      </c>
      <c r="BQ59" s="493">
        <f t="shared" si="2"/>
        <v>1000</v>
      </c>
      <c r="BR59" s="217">
        <f t="shared" si="3"/>
        <v>2000</v>
      </c>
      <c r="BS59" s="217"/>
      <c r="BT59" s="1170">
        <f t="shared" si="4"/>
        <v>-1000</v>
      </c>
      <c r="BU59" s="1261">
        <v>0</v>
      </c>
      <c r="BW59" s="1171">
        <f t="shared" si="5"/>
        <v>500</v>
      </c>
      <c r="BX59" s="1171">
        <f t="shared" si="6"/>
        <v>0</v>
      </c>
      <c r="BY59" s="1171">
        <f t="shared" si="7"/>
        <v>0</v>
      </c>
      <c r="BZ59" s="1171">
        <f t="shared" si="8"/>
        <v>0</v>
      </c>
      <c r="CA59" s="1171">
        <f t="shared" si="9"/>
        <v>0</v>
      </c>
      <c r="CB59" s="1171">
        <f t="shared" si="10"/>
        <v>0</v>
      </c>
      <c r="CC59" s="1171">
        <f t="shared" si="11"/>
        <v>0</v>
      </c>
      <c r="CD59" s="1171">
        <f t="shared" si="12"/>
        <v>0</v>
      </c>
      <c r="CE59" s="1171">
        <f t="shared" si="13"/>
        <v>0</v>
      </c>
      <c r="CF59" s="1171">
        <f t="shared" si="14"/>
        <v>0</v>
      </c>
      <c r="CG59" s="1171">
        <f t="shared" si="15"/>
        <v>0</v>
      </c>
      <c r="CH59" s="1171">
        <f t="shared" si="16"/>
        <v>0</v>
      </c>
      <c r="CI59" s="1171">
        <f t="shared" si="17"/>
        <v>0</v>
      </c>
      <c r="CJ59" s="1171">
        <f t="shared" si="18"/>
        <v>0</v>
      </c>
      <c r="CK59" s="1171">
        <f t="shared" si="19"/>
        <v>0</v>
      </c>
      <c r="CL59" s="1171">
        <f t="shared" si="20"/>
        <v>0</v>
      </c>
      <c r="CM59" s="1171">
        <f t="shared" si="21"/>
        <v>0</v>
      </c>
      <c r="CN59" s="1171">
        <f t="shared" si="22"/>
        <v>0</v>
      </c>
      <c r="CO59" s="1171">
        <f t="shared" si="23"/>
        <v>0</v>
      </c>
      <c r="CP59" s="1171">
        <f t="shared" si="24"/>
        <v>0</v>
      </c>
      <c r="CQ59" s="1171">
        <f t="shared" si="25"/>
        <v>0</v>
      </c>
      <c r="CR59" s="1171">
        <f t="shared" si="26"/>
        <v>0</v>
      </c>
      <c r="CS59" s="1171">
        <f t="shared" si="27"/>
        <v>0</v>
      </c>
      <c r="CT59" s="1171">
        <f t="shared" si="28"/>
        <v>0</v>
      </c>
      <c r="CU59" s="1171">
        <f t="shared" si="29"/>
        <v>0</v>
      </c>
      <c r="CV59" s="1171">
        <f t="shared" si="30"/>
        <v>500</v>
      </c>
      <c r="CW59" s="1171">
        <f t="shared" si="31"/>
        <v>0</v>
      </c>
      <c r="CX59" s="1171">
        <f t="shared" si="32"/>
        <v>0</v>
      </c>
      <c r="CY59" s="1171">
        <f t="shared" si="33"/>
        <v>0</v>
      </c>
      <c r="CZ59" s="1171">
        <f t="shared" si="34"/>
        <v>0</v>
      </c>
      <c r="DA59" s="1171">
        <f t="shared" si="35"/>
        <v>0</v>
      </c>
    </row>
    <row r="60" spans="2:105" ht="24.75" thickTop="1" thickBot="1">
      <c r="B60" s="69">
        <v>55</v>
      </c>
      <c r="C60" s="1108" t="s">
        <v>429</v>
      </c>
      <c r="D60" s="914">
        <v>0</v>
      </c>
      <c r="E60" s="1172"/>
      <c r="F60" s="914">
        <v>0</v>
      </c>
      <c r="G60" s="916"/>
      <c r="H60" s="914">
        <v>0</v>
      </c>
      <c r="I60" s="1173">
        <v>200</v>
      </c>
      <c r="J60" s="1232">
        <v>0</v>
      </c>
      <c r="K60" s="1251"/>
      <c r="L60" s="914">
        <v>1</v>
      </c>
      <c r="M60" s="1172"/>
      <c r="N60" s="914">
        <v>0</v>
      </c>
      <c r="O60" s="1173"/>
      <c r="P60" s="914">
        <v>1</v>
      </c>
      <c r="Q60" s="1173"/>
      <c r="R60" s="914">
        <v>1</v>
      </c>
      <c r="S60" s="1173"/>
      <c r="T60" s="914">
        <v>1</v>
      </c>
      <c r="U60" s="1173"/>
      <c r="V60" s="914">
        <v>1</v>
      </c>
      <c r="W60" s="1173">
        <v>500</v>
      </c>
      <c r="X60" s="1232"/>
      <c r="Y60" s="1234"/>
      <c r="Z60" s="914">
        <v>1</v>
      </c>
      <c r="AA60" s="1173"/>
      <c r="AB60" s="914">
        <v>1</v>
      </c>
      <c r="AC60" s="1173"/>
      <c r="AD60" s="914">
        <v>1</v>
      </c>
      <c r="AE60" s="1173"/>
      <c r="AF60" s="914">
        <v>1</v>
      </c>
      <c r="AG60" s="1173"/>
      <c r="AH60" s="914">
        <v>1</v>
      </c>
      <c r="AI60" s="1173"/>
      <c r="AJ60" s="914">
        <v>1</v>
      </c>
      <c r="AK60" s="1173">
        <v>2500</v>
      </c>
      <c r="AL60" s="1232"/>
      <c r="AM60" s="1234"/>
      <c r="AN60" s="914">
        <v>1</v>
      </c>
      <c r="AO60" s="1173"/>
      <c r="AP60" s="914"/>
      <c r="AQ60" s="1173"/>
      <c r="AR60" s="914">
        <v>1</v>
      </c>
      <c r="AS60" s="1173"/>
      <c r="AT60" s="914">
        <v>1</v>
      </c>
      <c r="AU60" s="1173"/>
      <c r="AV60" s="914">
        <v>0</v>
      </c>
      <c r="AW60" s="1173"/>
      <c r="AX60" s="914">
        <v>1</v>
      </c>
      <c r="AY60" s="1173"/>
      <c r="AZ60" s="1232"/>
      <c r="BA60" s="1234"/>
      <c r="BB60" s="914">
        <v>1</v>
      </c>
      <c r="BC60" s="1173"/>
      <c r="BD60" s="914">
        <v>1</v>
      </c>
      <c r="BE60" s="1173"/>
      <c r="BF60" s="914">
        <v>1</v>
      </c>
      <c r="BG60" s="1173">
        <v>6400</v>
      </c>
      <c r="BH60" s="914"/>
      <c r="BI60" s="1173"/>
      <c r="BJ60" s="914"/>
      <c r="BK60" s="1173"/>
      <c r="BL60" s="914"/>
      <c r="BM60" s="1174"/>
      <c r="BN60" s="1169">
        <f t="shared" si="0"/>
        <v>700</v>
      </c>
      <c r="BO60" s="491">
        <f t="shared" si="36"/>
        <v>18</v>
      </c>
      <c r="BP60" s="492">
        <v>21000</v>
      </c>
      <c r="BQ60" s="493">
        <f t="shared" si="2"/>
        <v>12600</v>
      </c>
      <c r="BR60" s="217">
        <f t="shared" si="3"/>
        <v>9600</v>
      </c>
      <c r="BS60" s="217">
        <v>3000</v>
      </c>
      <c r="BT60" s="1170">
        <f t="shared" si="4"/>
        <v>0</v>
      </c>
      <c r="BU60" s="1261">
        <v>6400</v>
      </c>
      <c r="BW60" s="1171">
        <f t="shared" si="5"/>
        <v>0</v>
      </c>
      <c r="BX60" s="1171">
        <f t="shared" si="6"/>
        <v>0</v>
      </c>
      <c r="BY60" s="1171">
        <f t="shared" si="7"/>
        <v>0</v>
      </c>
      <c r="BZ60" s="1171">
        <f t="shared" si="8"/>
        <v>0</v>
      </c>
      <c r="CA60" s="1171">
        <f t="shared" si="9"/>
        <v>700</v>
      </c>
      <c r="CB60" s="1171">
        <f t="shared" si="10"/>
        <v>0</v>
      </c>
      <c r="CC60" s="1171">
        <f t="shared" si="11"/>
        <v>700</v>
      </c>
      <c r="CD60" s="1171">
        <f t="shared" si="12"/>
        <v>700</v>
      </c>
      <c r="CE60" s="1171">
        <f t="shared" si="13"/>
        <v>700</v>
      </c>
      <c r="CF60" s="1171">
        <f t="shared" si="14"/>
        <v>700</v>
      </c>
      <c r="CG60" s="1171">
        <f t="shared" si="15"/>
        <v>0</v>
      </c>
      <c r="CH60" s="1171">
        <f t="shared" si="16"/>
        <v>700</v>
      </c>
      <c r="CI60" s="1171">
        <f t="shared" si="17"/>
        <v>700</v>
      </c>
      <c r="CJ60" s="1171">
        <f t="shared" si="18"/>
        <v>700</v>
      </c>
      <c r="CK60" s="1171">
        <f t="shared" si="19"/>
        <v>700</v>
      </c>
      <c r="CL60" s="1171">
        <f t="shared" si="20"/>
        <v>700</v>
      </c>
      <c r="CM60" s="1171">
        <f t="shared" si="21"/>
        <v>700</v>
      </c>
      <c r="CN60" s="1171">
        <f t="shared" si="22"/>
        <v>0</v>
      </c>
      <c r="CO60" s="1171">
        <f t="shared" si="23"/>
        <v>700</v>
      </c>
      <c r="CP60" s="1171">
        <f t="shared" si="24"/>
        <v>0</v>
      </c>
      <c r="CQ60" s="1171">
        <f t="shared" si="25"/>
        <v>700</v>
      </c>
      <c r="CR60" s="1171">
        <f t="shared" si="26"/>
        <v>700</v>
      </c>
      <c r="CS60" s="1171">
        <f t="shared" si="27"/>
        <v>0</v>
      </c>
      <c r="CT60" s="1171">
        <f t="shared" si="28"/>
        <v>700</v>
      </c>
      <c r="CU60" s="1171">
        <f t="shared" si="29"/>
        <v>0</v>
      </c>
      <c r="CV60" s="1171">
        <f t="shared" si="30"/>
        <v>700</v>
      </c>
      <c r="CW60" s="1171">
        <f t="shared" si="31"/>
        <v>700</v>
      </c>
      <c r="CX60" s="1171">
        <f t="shared" si="32"/>
        <v>700</v>
      </c>
      <c r="CY60" s="1171">
        <f t="shared" si="33"/>
        <v>0</v>
      </c>
      <c r="CZ60" s="1171">
        <f t="shared" si="34"/>
        <v>0</v>
      </c>
      <c r="DA60" s="1171">
        <f t="shared" si="35"/>
        <v>0</v>
      </c>
    </row>
    <row r="61" spans="2:105" ht="24.75" thickTop="1" thickBot="1">
      <c r="B61" s="69"/>
      <c r="C61" s="1108" t="s">
        <v>477</v>
      </c>
      <c r="D61" s="914"/>
      <c r="E61" s="1172"/>
      <c r="F61" s="914"/>
      <c r="G61" s="916"/>
      <c r="H61" s="914"/>
      <c r="I61" s="1173"/>
      <c r="J61" s="1232"/>
      <c r="K61" s="1251"/>
      <c r="L61" s="914"/>
      <c r="M61" s="1172"/>
      <c r="N61" s="914"/>
      <c r="O61" s="1173"/>
      <c r="P61" s="914"/>
      <c r="Q61" s="1173"/>
      <c r="R61" s="914"/>
      <c r="S61" s="1173"/>
      <c r="T61" s="914"/>
      <c r="U61" s="1173"/>
      <c r="V61" s="914"/>
      <c r="W61" s="1173"/>
      <c r="X61" s="1232"/>
      <c r="Y61" s="1234"/>
      <c r="Z61" s="914"/>
      <c r="AA61" s="1173"/>
      <c r="AB61" s="914"/>
      <c r="AC61" s="1173"/>
      <c r="AD61" s="914"/>
      <c r="AE61" s="1173"/>
      <c r="AF61" s="914">
        <v>1</v>
      </c>
      <c r="AG61" s="1173"/>
      <c r="AH61" s="914">
        <v>1</v>
      </c>
      <c r="AI61" s="1173"/>
      <c r="AJ61" s="914">
        <v>1</v>
      </c>
      <c r="AK61" s="1173"/>
      <c r="AL61" s="1232"/>
      <c r="AM61" s="1234"/>
      <c r="AN61" s="914">
        <v>1</v>
      </c>
      <c r="AO61" s="1173"/>
      <c r="AP61" s="914"/>
      <c r="AQ61" s="1173"/>
      <c r="AR61" s="914">
        <v>1</v>
      </c>
      <c r="AS61" s="1173"/>
      <c r="AT61" s="914">
        <v>1</v>
      </c>
      <c r="AU61" s="1173"/>
      <c r="AV61" s="914">
        <v>0</v>
      </c>
      <c r="AW61" s="1173"/>
      <c r="AX61" s="914">
        <v>1</v>
      </c>
      <c r="AY61" s="1173"/>
      <c r="AZ61" s="1232"/>
      <c r="BA61" s="1234"/>
      <c r="BB61" s="914">
        <v>1</v>
      </c>
      <c r="BC61" s="1173"/>
      <c r="BD61" s="914">
        <v>1</v>
      </c>
      <c r="BE61" s="1173"/>
      <c r="BF61" s="914">
        <v>1</v>
      </c>
      <c r="BG61" s="1173">
        <v>3670</v>
      </c>
      <c r="BH61" s="914"/>
      <c r="BI61" s="1173"/>
      <c r="BJ61" s="914"/>
      <c r="BK61" s="1173"/>
      <c r="BL61" s="914"/>
      <c r="BM61" s="1174"/>
      <c r="BN61" s="1169">
        <f t="shared" si="0"/>
        <v>366.66666666666669</v>
      </c>
      <c r="BO61" s="491">
        <f t="shared" si="36"/>
        <v>10</v>
      </c>
      <c r="BP61" s="492">
        <v>11000</v>
      </c>
      <c r="BQ61" s="493">
        <f t="shared" si="2"/>
        <v>3666.6666666666665</v>
      </c>
      <c r="BR61" s="217">
        <f t="shared" si="3"/>
        <v>3670</v>
      </c>
      <c r="BS61" s="217"/>
      <c r="BT61" s="1170">
        <f t="shared" si="4"/>
        <v>-3.3333333333334849</v>
      </c>
      <c r="BU61" s="1261">
        <v>3670</v>
      </c>
      <c r="BW61" s="1171">
        <f t="shared" si="5"/>
        <v>0</v>
      </c>
      <c r="BX61" s="1171">
        <f t="shared" si="6"/>
        <v>0</v>
      </c>
      <c r="BY61" s="1171">
        <f t="shared" si="7"/>
        <v>0</v>
      </c>
      <c r="BZ61" s="1171">
        <f t="shared" si="8"/>
        <v>0</v>
      </c>
      <c r="CA61" s="1171">
        <f t="shared" si="9"/>
        <v>0</v>
      </c>
      <c r="CB61" s="1171">
        <f t="shared" si="10"/>
        <v>0</v>
      </c>
      <c r="CC61" s="1171">
        <f t="shared" si="11"/>
        <v>0</v>
      </c>
      <c r="CD61" s="1171">
        <f t="shared" si="12"/>
        <v>0</v>
      </c>
      <c r="CE61" s="1171">
        <f t="shared" si="13"/>
        <v>0</v>
      </c>
      <c r="CF61" s="1171">
        <f t="shared" si="14"/>
        <v>0</v>
      </c>
      <c r="CG61" s="1171">
        <f t="shared" si="15"/>
        <v>0</v>
      </c>
      <c r="CH61" s="1171">
        <f t="shared" si="16"/>
        <v>0</v>
      </c>
      <c r="CI61" s="1171">
        <f t="shared" si="17"/>
        <v>0</v>
      </c>
      <c r="CJ61" s="1171">
        <f t="shared" si="18"/>
        <v>0</v>
      </c>
      <c r="CK61" s="1171">
        <f t="shared" si="19"/>
        <v>366.66666666666669</v>
      </c>
      <c r="CL61" s="1171">
        <f t="shared" si="20"/>
        <v>366.66666666666669</v>
      </c>
      <c r="CM61" s="1171">
        <f t="shared" si="21"/>
        <v>366.66666666666669</v>
      </c>
      <c r="CN61" s="1171">
        <f t="shared" si="22"/>
        <v>0</v>
      </c>
      <c r="CO61" s="1171">
        <f t="shared" si="23"/>
        <v>366.66666666666669</v>
      </c>
      <c r="CP61" s="1171">
        <f t="shared" si="24"/>
        <v>0</v>
      </c>
      <c r="CQ61" s="1171">
        <f t="shared" si="25"/>
        <v>366.66666666666669</v>
      </c>
      <c r="CR61" s="1171">
        <f t="shared" si="26"/>
        <v>366.66666666666669</v>
      </c>
      <c r="CS61" s="1171">
        <f t="shared" si="27"/>
        <v>0</v>
      </c>
      <c r="CT61" s="1171">
        <f t="shared" si="28"/>
        <v>366.66666666666669</v>
      </c>
      <c r="CU61" s="1171">
        <f t="shared" si="29"/>
        <v>0</v>
      </c>
      <c r="CV61" s="1171">
        <f t="shared" si="30"/>
        <v>366.66666666666669</v>
      </c>
      <c r="CW61" s="1171">
        <f t="shared" si="31"/>
        <v>366.66666666666669</v>
      </c>
      <c r="CX61" s="1171">
        <f t="shared" si="32"/>
        <v>366.66666666666669</v>
      </c>
      <c r="CY61" s="1171">
        <f t="shared" si="33"/>
        <v>0</v>
      </c>
      <c r="CZ61" s="1171">
        <f t="shared" si="34"/>
        <v>0</v>
      </c>
      <c r="DA61" s="1171">
        <f t="shared" si="35"/>
        <v>0</v>
      </c>
    </row>
    <row r="62" spans="2:105" ht="24.75" thickTop="1" thickBot="1">
      <c r="B62" s="69"/>
      <c r="C62" s="1108" t="s">
        <v>478</v>
      </c>
      <c r="D62" s="914"/>
      <c r="E62" s="1172"/>
      <c r="F62" s="914"/>
      <c r="G62" s="916"/>
      <c r="H62" s="914"/>
      <c r="I62" s="1173"/>
      <c r="J62" s="1232"/>
      <c r="K62" s="1251"/>
      <c r="L62" s="914"/>
      <c r="M62" s="1172"/>
      <c r="N62" s="914"/>
      <c r="O62" s="1173"/>
      <c r="P62" s="914"/>
      <c r="Q62" s="1173"/>
      <c r="R62" s="914"/>
      <c r="S62" s="1173"/>
      <c r="T62" s="914"/>
      <c r="U62" s="1173"/>
      <c r="V62" s="914"/>
      <c r="W62" s="1173"/>
      <c r="X62" s="1232"/>
      <c r="Y62" s="1234"/>
      <c r="Z62" s="914"/>
      <c r="AA62" s="1173"/>
      <c r="AB62" s="914"/>
      <c r="AC62" s="1173"/>
      <c r="AD62" s="914"/>
      <c r="AE62" s="1173"/>
      <c r="AF62" s="914">
        <v>1</v>
      </c>
      <c r="AG62" s="1173"/>
      <c r="AH62" s="914">
        <v>1</v>
      </c>
      <c r="AI62" s="1173"/>
      <c r="AJ62" s="914">
        <v>1</v>
      </c>
      <c r="AK62" s="1173">
        <v>300</v>
      </c>
      <c r="AL62" s="1232"/>
      <c r="AM62" s="1234"/>
      <c r="AN62" s="914">
        <v>0</v>
      </c>
      <c r="AO62" s="1173">
        <v>900</v>
      </c>
      <c r="AP62" s="914"/>
      <c r="AQ62" s="1173"/>
      <c r="AR62" s="914"/>
      <c r="AS62" s="1173"/>
      <c r="AT62" s="914">
        <v>0</v>
      </c>
      <c r="AU62" s="1173"/>
      <c r="AV62" s="914">
        <v>0</v>
      </c>
      <c r="AW62" s="1173"/>
      <c r="AX62" s="914">
        <v>0</v>
      </c>
      <c r="AY62" s="1173"/>
      <c r="AZ62" s="1232"/>
      <c r="BA62" s="1234"/>
      <c r="BB62" s="914">
        <v>0</v>
      </c>
      <c r="BC62" s="1173"/>
      <c r="BD62" s="914">
        <v>0</v>
      </c>
      <c r="BE62" s="1173"/>
      <c r="BF62" s="914">
        <v>0</v>
      </c>
      <c r="BG62" s="1173"/>
      <c r="BH62" s="914"/>
      <c r="BI62" s="1173"/>
      <c r="BJ62" s="914"/>
      <c r="BK62" s="1173"/>
      <c r="BL62" s="914"/>
      <c r="BM62" s="1174"/>
      <c r="BN62" s="1169">
        <f t="shared" si="0"/>
        <v>400</v>
      </c>
      <c r="BO62" s="491">
        <f t="shared" si="36"/>
        <v>3</v>
      </c>
      <c r="BP62" s="492">
        <v>12000</v>
      </c>
      <c r="BQ62" s="493">
        <f t="shared" si="2"/>
        <v>1200</v>
      </c>
      <c r="BR62" s="217">
        <f t="shared" si="3"/>
        <v>1200</v>
      </c>
      <c r="BS62" s="217"/>
      <c r="BT62" s="1170">
        <f t="shared" si="4"/>
        <v>0</v>
      </c>
      <c r="BU62" s="1261"/>
      <c r="BW62" s="1171">
        <f t="shared" si="5"/>
        <v>0</v>
      </c>
      <c r="BX62" s="1171">
        <f t="shared" si="6"/>
        <v>0</v>
      </c>
      <c r="BY62" s="1171">
        <f t="shared" si="7"/>
        <v>0</v>
      </c>
      <c r="BZ62" s="1171">
        <f t="shared" si="8"/>
        <v>0</v>
      </c>
      <c r="CA62" s="1171">
        <f t="shared" si="9"/>
        <v>0</v>
      </c>
      <c r="CB62" s="1171">
        <f t="shared" si="10"/>
        <v>0</v>
      </c>
      <c r="CC62" s="1171">
        <f t="shared" si="11"/>
        <v>0</v>
      </c>
      <c r="CD62" s="1171">
        <f t="shared" si="12"/>
        <v>0</v>
      </c>
      <c r="CE62" s="1171">
        <f t="shared" si="13"/>
        <v>0</v>
      </c>
      <c r="CF62" s="1171">
        <f t="shared" si="14"/>
        <v>0</v>
      </c>
      <c r="CG62" s="1171">
        <f t="shared" si="15"/>
        <v>0</v>
      </c>
      <c r="CH62" s="1171">
        <f t="shared" si="16"/>
        <v>0</v>
      </c>
      <c r="CI62" s="1171">
        <f t="shared" si="17"/>
        <v>0</v>
      </c>
      <c r="CJ62" s="1171">
        <f t="shared" si="18"/>
        <v>0</v>
      </c>
      <c r="CK62" s="1171">
        <f t="shared" si="19"/>
        <v>400</v>
      </c>
      <c r="CL62" s="1171">
        <f t="shared" si="20"/>
        <v>400</v>
      </c>
      <c r="CM62" s="1171">
        <f t="shared" si="21"/>
        <v>400</v>
      </c>
      <c r="CN62" s="1171">
        <f t="shared" si="22"/>
        <v>0</v>
      </c>
      <c r="CO62" s="1171">
        <f t="shared" si="23"/>
        <v>0</v>
      </c>
      <c r="CP62" s="1171">
        <f t="shared" si="24"/>
        <v>0</v>
      </c>
      <c r="CQ62" s="1171">
        <f t="shared" si="25"/>
        <v>0</v>
      </c>
      <c r="CR62" s="1171">
        <f t="shared" si="26"/>
        <v>0</v>
      </c>
      <c r="CS62" s="1171">
        <f t="shared" si="27"/>
        <v>0</v>
      </c>
      <c r="CT62" s="1171">
        <f t="shared" si="28"/>
        <v>0</v>
      </c>
      <c r="CU62" s="1171">
        <f t="shared" si="29"/>
        <v>0</v>
      </c>
      <c r="CV62" s="1171">
        <f t="shared" si="30"/>
        <v>0</v>
      </c>
      <c r="CW62" s="1171">
        <f t="shared" si="31"/>
        <v>0</v>
      </c>
      <c r="CX62" s="1171">
        <f t="shared" si="32"/>
        <v>0</v>
      </c>
      <c r="CY62" s="1171">
        <f t="shared" si="33"/>
        <v>0</v>
      </c>
      <c r="CZ62" s="1171">
        <f t="shared" si="34"/>
        <v>0</v>
      </c>
      <c r="DA62" s="1171">
        <f t="shared" si="35"/>
        <v>0</v>
      </c>
    </row>
    <row r="63" spans="2:105" ht="24.75" thickTop="1" thickBot="1">
      <c r="B63" s="69"/>
      <c r="C63" s="1108" t="s">
        <v>479</v>
      </c>
      <c r="D63" s="914"/>
      <c r="E63" s="1172"/>
      <c r="F63" s="914"/>
      <c r="G63" s="916"/>
      <c r="H63" s="914"/>
      <c r="I63" s="1173"/>
      <c r="J63" s="1232"/>
      <c r="K63" s="1251"/>
      <c r="L63" s="914"/>
      <c r="M63" s="1172"/>
      <c r="N63" s="914"/>
      <c r="O63" s="1173"/>
      <c r="P63" s="914"/>
      <c r="Q63" s="1173"/>
      <c r="R63" s="914"/>
      <c r="S63" s="1173"/>
      <c r="T63" s="914"/>
      <c r="U63" s="1173"/>
      <c r="V63" s="914"/>
      <c r="W63" s="1173"/>
      <c r="X63" s="1232"/>
      <c r="Y63" s="1234"/>
      <c r="Z63" s="914"/>
      <c r="AA63" s="1173"/>
      <c r="AB63" s="914"/>
      <c r="AC63" s="1173"/>
      <c r="AD63" s="914"/>
      <c r="AE63" s="1173"/>
      <c r="AF63" s="914">
        <v>1</v>
      </c>
      <c r="AG63" s="1173"/>
      <c r="AH63" s="914">
        <v>1</v>
      </c>
      <c r="AI63" s="1173"/>
      <c r="AJ63" s="914">
        <v>1</v>
      </c>
      <c r="AK63" s="1173">
        <v>500</v>
      </c>
      <c r="AL63" s="1232"/>
      <c r="AM63" s="1234"/>
      <c r="AN63" s="914">
        <v>1</v>
      </c>
      <c r="AO63" s="1173"/>
      <c r="AP63" s="914"/>
      <c r="AQ63" s="1173"/>
      <c r="AR63" s="914">
        <v>1</v>
      </c>
      <c r="AS63" s="1173"/>
      <c r="AT63" s="914">
        <v>1</v>
      </c>
      <c r="AU63" s="1173"/>
      <c r="AV63" s="914">
        <v>0</v>
      </c>
      <c r="AW63" s="1173"/>
      <c r="AX63" s="914">
        <v>1</v>
      </c>
      <c r="AY63" s="1173">
        <v>250</v>
      </c>
      <c r="AZ63" s="1232"/>
      <c r="BA63" s="1234"/>
      <c r="BB63" s="914">
        <v>1</v>
      </c>
      <c r="BC63" s="1173"/>
      <c r="BD63" s="914">
        <v>1</v>
      </c>
      <c r="BE63" s="1173"/>
      <c r="BF63" s="914">
        <v>1</v>
      </c>
      <c r="BG63" s="1173">
        <v>3590</v>
      </c>
      <c r="BH63" s="914"/>
      <c r="BI63" s="1173"/>
      <c r="BJ63" s="914"/>
      <c r="BK63" s="1173"/>
      <c r="BL63" s="914"/>
      <c r="BM63" s="1174"/>
      <c r="BN63" s="1169">
        <f t="shared" si="0"/>
        <v>433.33333333333331</v>
      </c>
      <c r="BO63" s="491">
        <f t="shared" si="36"/>
        <v>10</v>
      </c>
      <c r="BP63" s="492">
        <v>13000</v>
      </c>
      <c r="BQ63" s="493">
        <f t="shared" si="2"/>
        <v>4333.333333333333</v>
      </c>
      <c r="BR63" s="217">
        <f t="shared" si="3"/>
        <v>4340</v>
      </c>
      <c r="BS63" s="217"/>
      <c r="BT63" s="1170">
        <f t="shared" si="4"/>
        <v>-6.6666666666669698</v>
      </c>
      <c r="BU63" s="1261">
        <v>3590</v>
      </c>
      <c r="BW63" s="1171">
        <f t="shared" si="5"/>
        <v>0</v>
      </c>
      <c r="BX63" s="1171">
        <f t="shared" si="6"/>
        <v>0</v>
      </c>
      <c r="BY63" s="1171">
        <f t="shared" si="7"/>
        <v>0</v>
      </c>
      <c r="BZ63" s="1171">
        <f t="shared" si="8"/>
        <v>0</v>
      </c>
      <c r="CA63" s="1171">
        <f t="shared" si="9"/>
        <v>0</v>
      </c>
      <c r="CB63" s="1171">
        <f t="shared" si="10"/>
        <v>0</v>
      </c>
      <c r="CC63" s="1171">
        <f t="shared" si="11"/>
        <v>0</v>
      </c>
      <c r="CD63" s="1171">
        <f t="shared" si="12"/>
        <v>0</v>
      </c>
      <c r="CE63" s="1171">
        <f t="shared" si="13"/>
        <v>0</v>
      </c>
      <c r="CF63" s="1171">
        <f t="shared" si="14"/>
        <v>0</v>
      </c>
      <c r="CG63" s="1171">
        <f t="shared" si="15"/>
        <v>0</v>
      </c>
      <c r="CH63" s="1171">
        <f t="shared" si="16"/>
        <v>0</v>
      </c>
      <c r="CI63" s="1171">
        <f t="shared" si="17"/>
        <v>0</v>
      </c>
      <c r="CJ63" s="1171">
        <f t="shared" si="18"/>
        <v>0</v>
      </c>
      <c r="CK63" s="1171">
        <f t="shared" si="19"/>
        <v>433.33333333333331</v>
      </c>
      <c r="CL63" s="1171">
        <f t="shared" si="20"/>
        <v>433.33333333333331</v>
      </c>
      <c r="CM63" s="1171">
        <f t="shared" si="21"/>
        <v>433.33333333333331</v>
      </c>
      <c r="CN63" s="1171">
        <f t="shared" si="22"/>
        <v>0</v>
      </c>
      <c r="CO63" s="1171">
        <f t="shared" si="23"/>
        <v>433.33333333333331</v>
      </c>
      <c r="CP63" s="1171">
        <f t="shared" si="24"/>
        <v>0</v>
      </c>
      <c r="CQ63" s="1171">
        <f t="shared" si="25"/>
        <v>433.33333333333331</v>
      </c>
      <c r="CR63" s="1171">
        <f t="shared" si="26"/>
        <v>433.33333333333331</v>
      </c>
      <c r="CS63" s="1171">
        <f t="shared" si="27"/>
        <v>0</v>
      </c>
      <c r="CT63" s="1171">
        <f t="shared" si="28"/>
        <v>433.33333333333331</v>
      </c>
      <c r="CU63" s="1171">
        <f t="shared" si="29"/>
        <v>0</v>
      </c>
      <c r="CV63" s="1171">
        <f t="shared" si="30"/>
        <v>433.33333333333331</v>
      </c>
      <c r="CW63" s="1171">
        <f t="shared" si="31"/>
        <v>433.33333333333331</v>
      </c>
      <c r="CX63" s="1171">
        <f t="shared" si="32"/>
        <v>433.33333333333331</v>
      </c>
      <c r="CY63" s="1171">
        <f t="shared" si="33"/>
        <v>0</v>
      </c>
      <c r="CZ63" s="1171">
        <f t="shared" si="34"/>
        <v>0</v>
      </c>
      <c r="DA63" s="1171">
        <f t="shared" si="35"/>
        <v>0</v>
      </c>
    </row>
    <row r="64" spans="2:105" ht="24.75" thickTop="1" thickBot="1">
      <c r="B64" s="69"/>
      <c r="C64" s="1108" t="s">
        <v>491</v>
      </c>
      <c r="D64" s="914"/>
      <c r="E64" s="1172"/>
      <c r="F64" s="914"/>
      <c r="G64" s="916"/>
      <c r="H64" s="914"/>
      <c r="I64" s="1173"/>
      <c r="J64" s="1232"/>
      <c r="K64" s="1251"/>
      <c r="L64" s="914"/>
      <c r="M64" s="1172"/>
      <c r="N64" s="914"/>
      <c r="O64" s="1173"/>
      <c r="P64" s="914"/>
      <c r="Q64" s="1173"/>
      <c r="R64" s="914"/>
      <c r="S64" s="1173"/>
      <c r="T64" s="914"/>
      <c r="U64" s="1173"/>
      <c r="V64" s="914"/>
      <c r="W64" s="1173"/>
      <c r="X64" s="1232"/>
      <c r="Y64" s="1234"/>
      <c r="Z64" s="914"/>
      <c r="AA64" s="1173"/>
      <c r="AB64" s="914"/>
      <c r="AC64" s="1173"/>
      <c r="AD64" s="914"/>
      <c r="AE64" s="1173"/>
      <c r="AF64" s="914"/>
      <c r="AG64" s="1173"/>
      <c r="AH64" s="914"/>
      <c r="AI64" s="1173"/>
      <c r="AJ64" s="914"/>
      <c r="AK64" s="1173"/>
      <c r="AL64" s="1232"/>
      <c r="AM64" s="1234"/>
      <c r="AN64" s="914"/>
      <c r="AO64" s="1173"/>
      <c r="AP64" s="914"/>
      <c r="AQ64" s="1173"/>
      <c r="AR64" s="914">
        <v>1</v>
      </c>
      <c r="AS64" s="1173">
        <v>700</v>
      </c>
      <c r="AT64" s="914">
        <v>1</v>
      </c>
      <c r="AU64" s="1173"/>
      <c r="AV64" s="914"/>
      <c r="AW64" s="1173"/>
      <c r="AX64" s="914">
        <v>1</v>
      </c>
      <c r="AY64" s="1173">
        <v>300</v>
      </c>
      <c r="AZ64" s="1232"/>
      <c r="BA64" s="1234"/>
      <c r="BB64" s="914">
        <v>1</v>
      </c>
      <c r="BC64" s="1173"/>
      <c r="BD64" s="914">
        <v>1</v>
      </c>
      <c r="BE64" s="1173"/>
      <c r="BF64" s="914">
        <v>1</v>
      </c>
      <c r="BG64" s="1173">
        <v>1600</v>
      </c>
      <c r="BH64" s="914"/>
      <c r="BI64" s="1173"/>
      <c r="BJ64" s="914"/>
      <c r="BK64" s="1173"/>
      <c r="BL64" s="914"/>
      <c r="BM64" s="1174"/>
      <c r="BN64" s="1169">
        <f t="shared" si="0"/>
        <v>433.33333333333331</v>
      </c>
      <c r="BO64" s="491">
        <f t="shared" si="36"/>
        <v>6</v>
      </c>
      <c r="BP64" s="492">
        <v>13000</v>
      </c>
      <c r="BQ64" s="493">
        <f t="shared" si="2"/>
        <v>2600</v>
      </c>
      <c r="BR64" s="217">
        <f t="shared" si="3"/>
        <v>2600</v>
      </c>
      <c r="BS64" s="217"/>
      <c r="BT64" s="1170">
        <f t="shared" si="4"/>
        <v>0</v>
      </c>
      <c r="BU64" s="1261">
        <v>1600</v>
      </c>
      <c r="BW64" s="1171">
        <f t="shared" si="5"/>
        <v>0</v>
      </c>
      <c r="BX64" s="1171">
        <f t="shared" si="6"/>
        <v>0</v>
      </c>
      <c r="BY64" s="1171">
        <f t="shared" si="7"/>
        <v>0</v>
      </c>
      <c r="BZ64" s="1171">
        <f t="shared" si="8"/>
        <v>0</v>
      </c>
      <c r="CA64" s="1171">
        <f t="shared" si="9"/>
        <v>0</v>
      </c>
      <c r="CB64" s="1171">
        <f t="shared" si="10"/>
        <v>0</v>
      </c>
      <c r="CC64" s="1171">
        <f t="shared" si="11"/>
        <v>0</v>
      </c>
      <c r="CD64" s="1171">
        <f t="shared" si="12"/>
        <v>0</v>
      </c>
      <c r="CE64" s="1171">
        <f t="shared" si="13"/>
        <v>0</v>
      </c>
      <c r="CF64" s="1171">
        <f t="shared" si="14"/>
        <v>0</v>
      </c>
      <c r="CG64" s="1171">
        <f t="shared" si="15"/>
        <v>0</v>
      </c>
      <c r="CH64" s="1171">
        <f t="shared" si="16"/>
        <v>0</v>
      </c>
      <c r="CI64" s="1171">
        <f t="shared" si="17"/>
        <v>0</v>
      </c>
      <c r="CJ64" s="1171">
        <f t="shared" si="18"/>
        <v>0</v>
      </c>
      <c r="CK64" s="1171">
        <f t="shared" si="19"/>
        <v>0</v>
      </c>
      <c r="CL64" s="1171">
        <f t="shared" si="20"/>
        <v>0</v>
      </c>
      <c r="CM64" s="1171">
        <f t="shared" si="21"/>
        <v>0</v>
      </c>
      <c r="CN64" s="1171">
        <f t="shared" si="22"/>
        <v>0</v>
      </c>
      <c r="CO64" s="1171">
        <f t="shared" si="23"/>
        <v>0</v>
      </c>
      <c r="CP64" s="1171">
        <f t="shared" si="24"/>
        <v>0</v>
      </c>
      <c r="CQ64" s="1171">
        <f t="shared" si="25"/>
        <v>433.33333333333331</v>
      </c>
      <c r="CR64" s="1171">
        <f t="shared" si="26"/>
        <v>433.33333333333331</v>
      </c>
      <c r="CS64" s="1171">
        <f t="shared" si="27"/>
        <v>0</v>
      </c>
      <c r="CT64" s="1171">
        <f t="shared" si="28"/>
        <v>433.33333333333331</v>
      </c>
      <c r="CU64" s="1171">
        <f t="shared" si="29"/>
        <v>0</v>
      </c>
      <c r="CV64" s="1171">
        <f t="shared" si="30"/>
        <v>433.33333333333331</v>
      </c>
      <c r="CW64" s="1171">
        <f t="shared" si="31"/>
        <v>433.33333333333331</v>
      </c>
      <c r="CX64" s="1171">
        <f t="shared" si="32"/>
        <v>433.33333333333331</v>
      </c>
      <c r="CY64" s="1171">
        <f t="shared" si="33"/>
        <v>0</v>
      </c>
      <c r="CZ64" s="1171">
        <f t="shared" si="34"/>
        <v>0</v>
      </c>
      <c r="DA64" s="1171">
        <f t="shared" si="35"/>
        <v>0</v>
      </c>
    </row>
    <row r="65" spans="2:105" ht="24.75" thickTop="1" thickBot="1">
      <c r="B65" s="69"/>
      <c r="C65" s="1108" t="s">
        <v>492</v>
      </c>
      <c r="D65" s="914"/>
      <c r="E65" s="1172"/>
      <c r="F65" s="914"/>
      <c r="G65" s="916"/>
      <c r="H65" s="914"/>
      <c r="I65" s="1173"/>
      <c r="J65" s="1232"/>
      <c r="K65" s="1234"/>
      <c r="L65" s="914"/>
      <c r="M65" s="1172"/>
      <c r="N65" s="914"/>
      <c r="O65" s="1173"/>
      <c r="P65" s="914"/>
      <c r="Q65" s="1173"/>
      <c r="R65" s="914"/>
      <c r="S65" s="1173"/>
      <c r="T65" s="914"/>
      <c r="U65" s="1173"/>
      <c r="V65" s="914"/>
      <c r="W65" s="1173"/>
      <c r="X65" s="1232"/>
      <c r="Y65" s="1234"/>
      <c r="Z65" s="914"/>
      <c r="AA65" s="1173"/>
      <c r="AB65" s="914"/>
      <c r="AC65" s="1173"/>
      <c r="AD65" s="914"/>
      <c r="AE65" s="1173"/>
      <c r="AF65" s="914"/>
      <c r="AG65" s="1173"/>
      <c r="AH65" s="914"/>
      <c r="AI65" s="1173"/>
      <c r="AJ65" s="914"/>
      <c r="AK65" s="1173"/>
      <c r="AL65" s="1232"/>
      <c r="AM65" s="1234"/>
      <c r="AN65" s="914"/>
      <c r="AO65" s="1173"/>
      <c r="AP65" s="914"/>
      <c r="AQ65" s="1173"/>
      <c r="AR65" s="914">
        <v>1</v>
      </c>
      <c r="AS65" s="1173">
        <v>700</v>
      </c>
      <c r="AT65" s="914">
        <v>1</v>
      </c>
      <c r="AU65" s="1173"/>
      <c r="AV65" s="914"/>
      <c r="AW65" s="1173"/>
      <c r="AX65" s="914">
        <v>1</v>
      </c>
      <c r="AY65" s="1173">
        <v>500</v>
      </c>
      <c r="AZ65" s="1232"/>
      <c r="BA65" s="1234"/>
      <c r="BB65" s="914">
        <v>1</v>
      </c>
      <c r="BC65" s="1173"/>
      <c r="BD65" s="914">
        <v>1</v>
      </c>
      <c r="BE65" s="1173"/>
      <c r="BF65" s="914">
        <v>0</v>
      </c>
      <c r="BG65" s="1173">
        <v>1800</v>
      </c>
      <c r="BH65" s="914"/>
      <c r="BI65" s="1173"/>
      <c r="BJ65" s="914"/>
      <c r="BK65" s="1173"/>
      <c r="BL65" s="914"/>
      <c r="BM65" s="1174"/>
      <c r="BN65" s="1169">
        <f t="shared" si="0"/>
        <v>600</v>
      </c>
      <c r="BO65" s="491">
        <f t="shared" si="36"/>
        <v>5</v>
      </c>
      <c r="BP65" s="492">
        <v>18000</v>
      </c>
      <c r="BQ65" s="493">
        <f t="shared" si="2"/>
        <v>3000</v>
      </c>
      <c r="BR65" s="217">
        <f t="shared" si="3"/>
        <v>3000</v>
      </c>
      <c r="BS65" s="217"/>
      <c r="BT65" s="1170">
        <f t="shared" si="4"/>
        <v>0</v>
      </c>
      <c r="BU65" s="1261">
        <v>1800</v>
      </c>
      <c r="BW65" s="1171">
        <f t="shared" si="5"/>
        <v>0</v>
      </c>
      <c r="BX65" s="1171">
        <f t="shared" si="6"/>
        <v>0</v>
      </c>
      <c r="BY65" s="1171">
        <f t="shared" si="7"/>
        <v>0</v>
      </c>
      <c r="BZ65" s="1171">
        <f t="shared" si="8"/>
        <v>0</v>
      </c>
      <c r="CA65" s="1171">
        <f t="shared" si="9"/>
        <v>0</v>
      </c>
      <c r="CB65" s="1171">
        <f t="shared" si="10"/>
        <v>0</v>
      </c>
      <c r="CC65" s="1171">
        <f t="shared" si="11"/>
        <v>0</v>
      </c>
      <c r="CD65" s="1171">
        <f t="shared" si="12"/>
        <v>0</v>
      </c>
      <c r="CE65" s="1171">
        <f t="shared" si="13"/>
        <v>0</v>
      </c>
      <c r="CF65" s="1171">
        <f t="shared" si="14"/>
        <v>0</v>
      </c>
      <c r="CG65" s="1171">
        <f t="shared" si="15"/>
        <v>0</v>
      </c>
      <c r="CH65" s="1171">
        <f t="shared" si="16"/>
        <v>0</v>
      </c>
      <c r="CI65" s="1171">
        <f t="shared" si="17"/>
        <v>0</v>
      </c>
      <c r="CJ65" s="1171">
        <f t="shared" si="18"/>
        <v>0</v>
      </c>
      <c r="CK65" s="1171">
        <f t="shared" si="19"/>
        <v>0</v>
      </c>
      <c r="CL65" s="1171">
        <f t="shared" si="20"/>
        <v>0</v>
      </c>
      <c r="CM65" s="1171">
        <f t="shared" si="21"/>
        <v>0</v>
      </c>
      <c r="CN65" s="1171">
        <f t="shared" si="22"/>
        <v>0</v>
      </c>
      <c r="CO65" s="1171">
        <f t="shared" si="23"/>
        <v>0</v>
      </c>
      <c r="CP65" s="1171">
        <f t="shared" si="24"/>
        <v>0</v>
      </c>
      <c r="CQ65" s="1171">
        <f t="shared" si="25"/>
        <v>600</v>
      </c>
      <c r="CR65" s="1171">
        <f t="shared" si="26"/>
        <v>600</v>
      </c>
      <c r="CS65" s="1171">
        <f t="shared" si="27"/>
        <v>0</v>
      </c>
      <c r="CT65" s="1171">
        <f t="shared" si="28"/>
        <v>600</v>
      </c>
      <c r="CU65" s="1171">
        <f t="shared" si="29"/>
        <v>0</v>
      </c>
      <c r="CV65" s="1171">
        <f t="shared" si="30"/>
        <v>600</v>
      </c>
      <c r="CW65" s="1171">
        <f t="shared" si="31"/>
        <v>600</v>
      </c>
      <c r="CX65" s="1171">
        <f t="shared" si="32"/>
        <v>0</v>
      </c>
      <c r="CY65" s="1171">
        <f t="shared" si="33"/>
        <v>0</v>
      </c>
      <c r="CZ65" s="1171">
        <f t="shared" si="34"/>
        <v>0</v>
      </c>
      <c r="DA65" s="1171">
        <f t="shared" si="35"/>
        <v>0</v>
      </c>
    </row>
    <row r="66" spans="2:105" ht="24.75" thickTop="1" thickBot="1">
      <c r="B66" s="69"/>
      <c r="C66" s="1108"/>
      <c r="D66" s="914"/>
      <c r="E66" s="1172"/>
      <c r="F66" s="914"/>
      <c r="G66" s="916"/>
      <c r="H66" s="914"/>
      <c r="I66" s="1173"/>
      <c r="J66" s="1232"/>
      <c r="K66" s="1234"/>
      <c r="L66" s="914"/>
      <c r="M66" s="1172"/>
      <c r="N66" s="914"/>
      <c r="O66" s="1173"/>
      <c r="P66" s="914"/>
      <c r="Q66" s="1173"/>
      <c r="R66" s="914"/>
      <c r="S66" s="1173"/>
      <c r="T66" s="914"/>
      <c r="U66" s="1173"/>
      <c r="V66" s="914"/>
      <c r="W66" s="1173"/>
      <c r="X66" s="1232"/>
      <c r="Y66" s="1234"/>
      <c r="Z66" s="914"/>
      <c r="AA66" s="1173"/>
      <c r="AB66" s="914"/>
      <c r="AC66" s="1173"/>
      <c r="AD66" s="914"/>
      <c r="AE66" s="1173"/>
      <c r="AF66" s="914"/>
      <c r="AG66" s="1173"/>
      <c r="AH66" s="914"/>
      <c r="AI66" s="1173"/>
      <c r="AJ66" s="914"/>
      <c r="AK66" s="1173"/>
      <c r="AL66" s="1232"/>
      <c r="AM66" s="1234"/>
      <c r="AN66" s="914"/>
      <c r="AO66" s="1173"/>
      <c r="AP66" s="914"/>
      <c r="AQ66" s="1173"/>
      <c r="AR66" s="914"/>
      <c r="AS66" s="1173"/>
      <c r="AT66" s="914"/>
      <c r="AU66" s="1173"/>
      <c r="AV66" s="914"/>
      <c r="AW66" s="1173"/>
      <c r="AX66" s="914"/>
      <c r="AY66" s="1173"/>
      <c r="AZ66" s="1232"/>
      <c r="BA66" s="1234"/>
      <c r="BB66" s="914"/>
      <c r="BC66" s="1173"/>
      <c r="BD66" s="914"/>
      <c r="BE66" s="1173"/>
      <c r="BF66" s="914"/>
      <c r="BG66" s="1173"/>
      <c r="BH66" s="914"/>
      <c r="BI66" s="1173"/>
      <c r="BJ66" s="914"/>
      <c r="BK66" s="1173"/>
      <c r="BL66" s="914"/>
      <c r="BM66" s="1174"/>
      <c r="BN66" s="1169">
        <f t="shared" si="0"/>
        <v>0</v>
      </c>
      <c r="BO66" s="491">
        <f t="shared" si="36"/>
        <v>0</v>
      </c>
      <c r="BP66" s="492"/>
      <c r="BQ66" s="493">
        <f t="shared" si="2"/>
        <v>0</v>
      </c>
      <c r="BR66" s="217">
        <f t="shared" si="3"/>
        <v>0</v>
      </c>
      <c r="BS66" s="217"/>
      <c r="BT66" s="1170">
        <f t="shared" si="4"/>
        <v>0</v>
      </c>
      <c r="BW66" s="1171">
        <f t="shared" si="5"/>
        <v>0</v>
      </c>
      <c r="BX66" s="1171">
        <f t="shared" si="6"/>
        <v>0</v>
      </c>
      <c r="BY66" s="1171">
        <f t="shared" si="7"/>
        <v>0</v>
      </c>
      <c r="BZ66" s="1171">
        <f t="shared" si="8"/>
        <v>0</v>
      </c>
      <c r="CA66" s="1171">
        <f t="shared" si="9"/>
        <v>0</v>
      </c>
      <c r="CB66" s="1171">
        <f t="shared" si="10"/>
        <v>0</v>
      </c>
      <c r="CC66" s="1171">
        <f t="shared" si="11"/>
        <v>0</v>
      </c>
      <c r="CD66" s="1171">
        <f t="shared" si="12"/>
        <v>0</v>
      </c>
      <c r="CE66" s="1171">
        <f t="shared" si="13"/>
        <v>0</v>
      </c>
      <c r="CF66" s="1171">
        <f t="shared" si="14"/>
        <v>0</v>
      </c>
      <c r="CG66" s="1171">
        <f t="shared" si="15"/>
        <v>0</v>
      </c>
      <c r="CH66" s="1171">
        <f t="shared" si="16"/>
        <v>0</v>
      </c>
      <c r="CI66" s="1171">
        <f t="shared" si="17"/>
        <v>0</v>
      </c>
      <c r="CJ66" s="1171">
        <f t="shared" si="18"/>
        <v>0</v>
      </c>
      <c r="CK66" s="1171">
        <f t="shared" si="19"/>
        <v>0</v>
      </c>
      <c r="CL66" s="1171">
        <f t="shared" si="20"/>
        <v>0</v>
      </c>
      <c r="CM66" s="1171">
        <f t="shared" si="21"/>
        <v>0</v>
      </c>
      <c r="CN66" s="1171">
        <f t="shared" si="22"/>
        <v>0</v>
      </c>
      <c r="CO66" s="1171">
        <f t="shared" si="23"/>
        <v>0</v>
      </c>
      <c r="CP66" s="1171">
        <f t="shared" si="24"/>
        <v>0</v>
      </c>
      <c r="CQ66" s="1171">
        <f t="shared" si="25"/>
        <v>0</v>
      </c>
      <c r="CR66" s="1171">
        <f t="shared" si="26"/>
        <v>0</v>
      </c>
      <c r="CS66" s="1171">
        <f t="shared" si="27"/>
        <v>0</v>
      </c>
      <c r="CT66" s="1171">
        <f t="shared" si="28"/>
        <v>0</v>
      </c>
      <c r="CU66" s="1171">
        <f t="shared" si="29"/>
        <v>0</v>
      </c>
      <c r="CV66" s="1171">
        <f t="shared" si="30"/>
        <v>0</v>
      </c>
      <c r="CW66" s="1171">
        <f t="shared" si="31"/>
        <v>0</v>
      </c>
      <c r="CX66" s="1171">
        <f t="shared" si="32"/>
        <v>0</v>
      </c>
      <c r="CY66" s="1171">
        <f t="shared" si="33"/>
        <v>0</v>
      </c>
      <c r="CZ66" s="1171">
        <f t="shared" si="34"/>
        <v>0</v>
      </c>
      <c r="DA66" s="1171">
        <f t="shared" si="35"/>
        <v>0</v>
      </c>
    </row>
    <row r="67" spans="2:105" ht="24.75" thickTop="1" thickBot="1">
      <c r="B67" s="69"/>
      <c r="C67" s="1108"/>
      <c r="D67" s="914"/>
      <c r="E67" s="1172"/>
      <c r="F67" s="914"/>
      <c r="G67" s="916"/>
      <c r="H67" s="914"/>
      <c r="I67" s="1173"/>
      <c r="J67" s="1232"/>
      <c r="K67" s="1234"/>
      <c r="L67" s="914"/>
      <c r="M67" s="1172"/>
      <c r="N67" s="914"/>
      <c r="O67" s="1173"/>
      <c r="P67" s="914"/>
      <c r="Q67" s="1173"/>
      <c r="R67" s="914"/>
      <c r="S67" s="1173"/>
      <c r="T67" s="914"/>
      <c r="U67" s="1173"/>
      <c r="V67" s="914"/>
      <c r="W67" s="1173"/>
      <c r="X67" s="1232"/>
      <c r="Y67" s="1234"/>
      <c r="Z67" s="914"/>
      <c r="AA67" s="1173"/>
      <c r="AB67" s="914"/>
      <c r="AC67" s="1173"/>
      <c r="AD67" s="914"/>
      <c r="AE67" s="1173"/>
      <c r="AF67" s="914"/>
      <c r="AG67" s="1173"/>
      <c r="AH67" s="914"/>
      <c r="AI67" s="1173"/>
      <c r="AJ67" s="914"/>
      <c r="AK67" s="1173"/>
      <c r="AL67" s="1232"/>
      <c r="AM67" s="1234"/>
      <c r="AN67" s="914"/>
      <c r="AO67" s="1173"/>
      <c r="AP67" s="914"/>
      <c r="AQ67" s="1173"/>
      <c r="AR67" s="914"/>
      <c r="AS67" s="1173"/>
      <c r="AT67" s="914"/>
      <c r="AU67" s="1173"/>
      <c r="AV67" s="914"/>
      <c r="AW67" s="1173"/>
      <c r="AX67" s="914"/>
      <c r="AY67" s="1173"/>
      <c r="AZ67" s="1232"/>
      <c r="BA67" s="1234"/>
      <c r="BB67" s="914"/>
      <c r="BC67" s="1173"/>
      <c r="BD67" s="914"/>
      <c r="BE67" s="1173"/>
      <c r="BF67" s="914"/>
      <c r="BG67" s="1173"/>
      <c r="BH67" s="914"/>
      <c r="BI67" s="1173"/>
      <c r="BJ67" s="914"/>
      <c r="BK67" s="1173"/>
      <c r="BL67" s="914"/>
      <c r="BM67" s="1174"/>
      <c r="BN67" s="1169">
        <f t="shared" si="0"/>
        <v>0</v>
      </c>
      <c r="BO67" s="491">
        <f t="shared" si="36"/>
        <v>0</v>
      </c>
      <c r="BP67" s="492"/>
      <c r="BQ67" s="493">
        <f t="shared" si="2"/>
        <v>0</v>
      </c>
      <c r="BR67" s="217">
        <f t="shared" si="3"/>
        <v>0</v>
      </c>
      <c r="BS67" s="217"/>
      <c r="BT67" s="1170">
        <f t="shared" si="4"/>
        <v>0</v>
      </c>
      <c r="BW67" s="1171">
        <f t="shared" si="5"/>
        <v>0</v>
      </c>
      <c r="BX67" s="1171">
        <f t="shared" si="6"/>
        <v>0</v>
      </c>
      <c r="BY67" s="1171">
        <f t="shared" si="7"/>
        <v>0</v>
      </c>
      <c r="BZ67" s="1171">
        <f t="shared" si="8"/>
        <v>0</v>
      </c>
      <c r="CA67" s="1171">
        <f t="shared" si="9"/>
        <v>0</v>
      </c>
      <c r="CB67" s="1171">
        <f t="shared" si="10"/>
        <v>0</v>
      </c>
      <c r="CC67" s="1171">
        <f t="shared" si="11"/>
        <v>0</v>
      </c>
      <c r="CD67" s="1171">
        <f t="shared" si="12"/>
        <v>0</v>
      </c>
      <c r="CE67" s="1171">
        <f t="shared" si="13"/>
        <v>0</v>
      </c>
      <c r="CF67" s="1171">
        <f t="shared" si="14"/>
        <v>0</v>
      </c>
      <c r="CG67" s="1171">
        <f t="shared" si="15"/>
        <v>0</v>
      </c>
      <c r="CH67" s="1171">
        <f t="shared" si="16"/>
        <v>0</v>
      </c>
      <c r="CI67" s="1171">
        <f t="shared" si="17"/>
        <v>0</v>
      </c>
      <c r="CJ67" s="1171">
        <f t="shared" si="18"/>
        <v>0</v>
      </c>
      <c r="CK67" s="1171">
        <f t="shared" si="19"/>
        <v>0</v>
      </c>
      <c r="CL67" s="1171">
        <f t="shared" si="20"/>
        <v>0</v>
      </c>
      <c r="CM67" s="1171">
        <f t="shared" si="21"/>
        <v>0</v>
      </c>
      <c r="CN67" s="1171">
        <f t="shared" si="22"/>
        <v>0</v>
      </c>
      <c r="CO67" s="1171">
        <f t="shared" si="23"/>
        <v>0</v>
      </c>
      <c r="CP67" s="1171">
        <f t="shared" si="24"/>
        <v>0</v>
      </c>
      <c r="CQ67" s="1171">
        <f t="shared" si="25"/>
        <v>0</v>
      </c>
      <c r="CR67" s="1171">
        <f t="shared" si="26"/>
        <v>0</v>
      </c>
      <c r="CS67" s="1171">
        <f t="shared" si="27"/>
        <v>0</v>
      </c>
      <c r="CT67" s="1171">
        <f t="shared" si="28"/>
        <v>0</v>
      </c>
      <c r="CU67" s="1171">
        <f t="shared" si="29"/>
        <v>0</v>
      </c>
      <c r="CV67" s="1171">
        <f t="shared" si="30"/>
        <v>0</v>
      </c>
      <c r="CW67" s="1171">
        <f t="shared" si="31"/>
        <v>0</v>
      </c>
      <c r="CX67" s="1171">
        <f t="shared" si="32"/>
        <v>0</v>
      </c>
      <c r="CY67" s="1171">
        <f t="shared" si="33"/>
        <v>0</v>
      </c>
      <c r="CZ67" s="1171">
        <f t="shared" si="34"/>
        <v>0</v>
      </c>
      <c r="DA67" s="1171">
        <f t="shared" si="35"/>
        <v>0</v>
      </c>
    </row>
    <row r="68" spans="2:105" ht="24.75" thickTop="1" thickBot="1">
      <c r="B68" s="69"/>
      <c r="C68" s="1108"/>
      <c r="D68" s="914"/>
      <c r="E68" s="1172"/>
      <c r="F68" s="914"/>
      <c r="G68" s="1172"/>
      <c r="H68" s="914"/>
      <c r="I68" s="1173"/>
      <c r="J68" s="1232"/>
      <c r="K68" s="1234"/>
      <c r="L68" s="914"/>
      <c r="M68" s="1172"/>
      <c r="N68" s="914"/>
      <c r="O68" s="1173"/>
      <c r="P68" s="914"/>
      <c r="Q68" s="1173"/>
      <c r="R68" s="914"/>
      <c r="S68" s="1173"/>
      <c r="T68" s="914"/>
      <c r="U68" s="1173"/>
      <c r="V68" s="914"/>
      <c r="W68" s="1173"/>
      <c r="X68" s="1232"/>
      <c r="Y68" s="1234"/>
      <c r="Z68" s="914"/>
      <c r="AA68" s="1173"/>
      <c r="AB68" s="914"/>
      <c r="AC68" s="1173"/>
      <c r="AD68" s="914"/>
      <c r="AE68" s="1173"/>
      <c r="AF68" s="914"/>
      <c r="AG68" s="1173"/>
      <c r="AH68" s="914"/>
      <c r="AI68" s="1173"/>
      <c r="AJ68" s="914"/>
      <c r="AK68" s="1173"/>
      <c r="AL68" s="1232"/>
      <c r="AM68" s="1234"/>
      <c r="AN68" s="914"/>
      <c r="AO68" s="1173"/>
      <c r="AP68" s="914"/>
      <c r="AQ68" s="1173"/>
      <c r="AR68" s="914"/>
      <c r="AS68" s="1173"/>
      <c r="AT68" s="914"/>
      <c r="AU68" s="1173"/>
      <c r="AV68" s="914"/>
      <c r="AW68" s="1173"/>
      <c r="AX68" s="914"/>
      <c r="AY68" s="1173"/>
      <c r="AZ68" s="1232"/>
      <c r="BA68" s="1234"/>
      <c r="BB68" s="914"/>
      <c r="BC68" s="1173"/>
      <c r="BD68" s="914"/>
      <c r="BE68" s="1173"/>
      <c r="BF68" s="914"/>
      <c r="BG68" s="1173"/>
      <c r="BH68" s="914"/>
      <c r="BI68" s="1173"/>
      <c r="BJ68" s="914"/>
      <c r="BK68" s="1173"/>
      <c r="BL68" s="914"/>
      <c r="BM68" s="1174"/>
      <c r="BN68" s="1169">
        <f t="shared" si="0"/>
        <v>0</v>
      </c>
      <c r="BO68" s="491">
        <f t="shared" si="36"/>
        <v>0</v>
      </c>
      <c r="BP68" s="492"/>
      <c r="BQ68" s="493">
        <f t="shared" si="2"/>
        <v>0</v>
      </c>
      <c r="BR68" s="217">
        <f t="shared" si="3"/>
        <v>0</v>
      </c>
      <c r="BS68" s="217"/>
      <c r="BT68" s="1170">
        <f t="shared" si="4"/>
        <v>0</v>
      </c>
      <c r="BW68" s="1171">
        <f t="shared" si="5"/>
        <v>0</v>
      </c>
      <c r="BX68" s="1171">
        <f t="shared" si="6"/>
        <v>0</v>
      </c>
      <c r="BY68" s="1171">
        <f t="shared" si="7"/>
        <v>0</v>
      </c>
      <c r="BZ68" s="1171">
        <f t="shared" si="8"/>
        <v>0</v>
      </c>
      <c r="CA68" s="1171">
        <f t="shared" si="9"/>
        <v>0</v>
      </c>
      <c r="CB68" s="1171">
        <f t="shared" si="10"/>
        <v>0</v>
      </c>
      <c r="CC68" s="1171">
        <f t="shared" si="11"/>
        <v>0</v>
      </c>
      <c r="CD68" s="1171">
        <f t="shared" si="12"/>
        <v>0</v>
      </c>
      <c r="CE68" s="1171">
        <f t="shared" si="13"/>
        <v>0</v>
      </c>
      <c r="CF68" s="1171">
        <f t="shared" si="14"/>
        <v>0</v>
      </c>
      <c r="CG68" s="1171">
        <f t="shared" si="15"/>
        <v>0</v>
      </c>
      <c r="CH68" s="1171">
        <f t="shared" si="16"/>
        <v>0</v>
      </c>
      <c r="CI68" s="1171">
        <f t="shared" si="17"/>
        <v>0</v>
      </c>
      <c r="CJ68" s="1171">
        <f t="shared" si="18"/>
        <v>0</v>
      </c>
      <c r="CK68" s="1171">
        <f t="shared" si="19"/>
        <v>0</v>
      </c>
      <c r="CL68" s="1171">
        <f t="shared" si="20"/>
        <v>0</v>
      </c>
      <c r="CM68" s="1171">
        <f t="shared" si="21"/>
        <v>0</v>
      </c>
      <c r="CN68" s="1171">
        <f t="shared" si="22"/>
        <v>0</v>
      </c>
      <c r="CO68" s="1171">
        <f t="shared" si="23"/>
        <v>0</v>
      </c>
      <c r="CP68" s="1171">
        <f t="shared" si="24"/>
        <v>0</v>
      </c>
      <c r="CQ68" s="1171">
        <f t="shared" si="25"/>
        <v>0</v>
      </c>
      <c r="CR68" s="1171">
        <f t="shared" si="26"/>
        <v>0</v>
      </c>
      <c r="CS68" s="1171">
        <f t="shared" si="27"/>
        <v>0</v>
      </c>
      <c r="CT68" s="1171">
        <f t="shared" si="28"/>
        <v>0</v>
      </c>
      <c r="CU68" s="1171">
        <f t="shared" si="29"/>
        <v>0</v>
      </c>
      <c r="CV68" s="1171">
        <f t="shared" si="30"/>
        <v>0</v>
      </c>
      <c r="CW68" s="1171">
        <f t="shared" si="31"/>
        <v>0</v>
      </c>
      <c r="CX68" s="1171">
        <f t="shared" si="32"/>
        <v>0</v>
      </c>
      <c r="CY68" s="1171">
        <f t="shared" si="33"/>
        <v>0</v>
      </c>
      <c r="CZ68" s="1171">
        <f t="shared" si="34"/>
        <v>0</v>
      </c>
      <c r="DA68" s="1171">
        <f t="shared" si="35"/>
        <v>0</v>
      </c>
    </row>
    <row r="69" spans="2:105" ht="24.75" thickTop="1" thickBot="1">
      <c r="B69" s="69"/>
      <c r="C69" s="1108"/>
      <c r="D69" s="914"/>
      <c r="E69" s="1172"/>
      <c r="F69" s="914"/>
      <c r="G69" s="1172"/>
      <c r="H69" s="914"/>
      <c r="I69" s="1173"/>
      <c r="J69" s="1232"/>
      <c r="K69" s="1234"/>
      <c r="L69" s="914"/>
      <c r="M69" s="1172"/>
      <c r="N69" s="914"/>
      <c r="O69" s="1173"/>
      <c r="P69" s="914"/>
      <c r="Q69" s="1173"/>
      <c r="R69" s="914"/>
      <c r="S69" s="1173"/>
      <c r="T69" s="914"/>
      <c r="U69" s="1173"/>
      <c r="V69" s="914"/>
      <c r="W69" s="1173"/>
      <c r="X69" s="1232"/>
      <c r="Y69" s="1234"/>
      <c r="Z69" s="914"/>
      <c r="AA69" s="1173"/>
      <c r="AB69" s="914"/>
      <c r="AC69" s="1173"/>
      <c r="AD69" s="914"/>
      <c r="AE69" s="1173"/>
      <c r="AF69" s="914"/>
      <c r="AG69" s="1173"/>
      <c r="AH69" s="914"/>
      <c r="AI69" s="1173"/>
      <c r="AJ69" s="914"/>
      <c r="AK69" s="1173"/>
      <c r="AL69" s="1232"/>
      <c r="AM69" s="1234"/>
      <c r="AN69" s="914"/>
      <c r="AO69" s="1173"/>
      <c r="AP69" s="914"/>
      <c r="AQ69" s="1173"/>
      <c r="AR69" s="914"/>
      <c r="AS69" s="1173"/>
      <c r="AT69" s="914"/>
      <c r="AU69" s="1173"/>
      <c r="AV69" s="914"/>
      <c r="AW69" s="1173"/>
      <c r="AX69" s="914"/>
      <c r="AY69" s="1173"/>
      <c r="AZ69" s="1232"/>
      <c r="BA69" s="1234"/>
      <c r="BB69" s="914"/>
      <c r="BC69" s="1173"/>
      <c r="BD69" s="914"/>
      <c r="BE69" s="1173"/>
      <c r="BF69" s="914"/>
      <c r="BG69" s="1173"/>
      <c r="BH69" s="914"/>
      <c r="BI69" s="1173"/>
      <c r="BJ69" s="914"/>
      <c r="BK69" s="1173"/>
      <c r="BL69" s="914"/>
      <c r="BM69" s="1174"/>
      <c r="BN69" s="1169">
        <f t="shared" si="0"/>
        <v>0</v>
      </c>
      <c r="BO69" s="491">
        <f t="shared" si="36"/>
        <v>0</v>
      </c>
      <c r="BP69" s="492"/>
      <c r="BQ69" s="493">
        <f t="shared" si="2"/>
        <v>0</v>
      </c>
      <c r="BR69" s="217">
        <f t="shared" si="3"/>
        <v>0</v>
      </c>
      <c r="BS69" s="217"/>
      <c r="BT69" s="1170">
        <f t="shared" si="4"/>
        <v>0</v>
      </c>
      <c r="BW69" s="1171">
        <f t="shared" si="5"/>
        <v>0</v>
      </c>
      <c r="BX69" s="1171">
        <f t="shared" si="6"/>
        <v>0</v>
      </c>
      <c r="BY69" s="1171">
        <f t="shared" si="7"/>
        <v>0</v>
      </c>
      <c r="BZ69" s="1171">
        <f t="shared" si="8"/>
        <v>0</v>
      </c>
      <c r="CA69" s="1171">
        <f t="shared" si="9"/>
        <v>0</v>
      </c>
      <c r="CB69" s="1171">
        <f t="shared" si="10"/>
        <v>0</v>
      </c>
      <c r="CC69" s="1171">
        <f t="shared" si="11"/>
        <v>0</v>
      </c>
      <c r="CD69" s="1171">
        <f t="shared" si="12"/>
        <v>0</v>
      </c>
      <c r="CE69" s="1171">
        <f t="shared" si="13"/>
        <v>0</v>
      </c>
      <c r="CF69" s="1171">
        <f t="shared" si="14"/>
        <v>0</v>
      </c>
      <c r="CG69" s="1171">
        <f t="shared" si="15"/>
        <v>0</v>
      </c>
      <c r="CH69" s="1171">
        <f t="shared" si="16"/>
        <v>0</v>
      </c>
      <c r="CI69" s="1171">
        <f t="shared" si="17"/>
        <v>0</v>
      </c>
      <c r="CJ69" s="1171">
        <f t="shared" si="18"/>
        <v>0</v>
      </c>
      <c r="CK69" s="1171">
        <f t="shared" si="19"/>
        <v>0</v>
      </c>
      <c r="CL69" s="1171">
        <f t="shared" si="20"/>
        <v>0</v>
      </c>
      <c r="CM69" s="1171">
        <f t="shared" si="21"/>
        <v>0</v>
      </c>
      <c r="CN69" s="1171">
        <f t="shared" si="22"/>
        <v>0</v>
      </c>
      <c r="CO69" s="1171">
        <f t="shared" si="23"/>
        <v>0</v>
      </c>
      <c r="CP69" s="1171">
        <f t="shared" si="24"/>
        <v>0</v>
      </c>
      <c r="CQ69" s="1171">
        <f t="shared" si="25"/>
        <v>0</v>
      </c>
      <c r="CR69" s="1171">
        <f t="shared" si="26"/>
        <v>0</v>
      </c>
      <c r="CS69" s="1171">
        <f t="shared" si="27"/>
        <v>0</v>
      </c>
      <c r="CT69" s="1171">
        <f t="shared" si="28"/>
        <v>0</v>
      </c>
      <c r="CU69" s="1171">
        <f t="shared" si="29"/>
        <v>0</v>
      </c>
      <c r="CV69" s="1171">
        <f t="shared" si="30"/>
        <v>0</v>
      </c>
      <c r="CW69" s="1171">
        <f t="shared" si="31"/>
        <v>0</v>
      </c>
      <c r="CX69" s="1171">
        <f t="shared" si="32"/>
        <v>0</v>
      </c>
      <c r="CY69" s="1171">
        <f t="shared" si="33"/>
        <v>0</v>
      </c>
      <c r="CZ69" s="1171">
        <f t="shared" si="34"/>
        <v>0</v>
      </c>
      <c r="DA69" s="1171">
        <f t="shared" si="35"/>
        <v>0</v>
      </c>
    </row>
    <row r="70" spans="2:105" ht="24.75" thickTop="1" thickBot="1">
      <c r="B70" s="69"/>
      <c r="C70" s="1108"/>
      <c r="D70" s="914"/>
      <c r="E70" s="1172"/>
      <c r="F70" s="914"/>
      <c r="G70" s="1172"/>
      <c r="H70" s="914"/>
      <c r="I70" s="1173"/>
      <c r="J70" s="1232"/>
      <c r="K70" s="1234"/>
      <c r="L70" s="914"/>
      <c r="M70" s="1172"/>
      <c r="N70" s="914"/>
      <c r="O70" s="1173"/>
      <c r="P70" s="914"/>
      <c r="Q70" s="1173"/>
      <c r="R70" s="914"/>
      <c r="S70" s="1173"/>
      <c r="T70" s="914"/>
      <c r="U70" s="1173"/>
      <c r="V70" s="914"/>
      <c r="W70" s="1173"/>
      <c r="X70" s="1232"/>
      <c r="Y70" s="1234"/>
      <c r="Z70" s="914"/>
      <c r="AA70" s="1173"/>
      <c r="AB70" s="914"/>
      <c r="AC70" s="1173"/>
      <c r="AD70" s="914"/>
      <c r="AE70" s="1173"/>
      <c r="AF70" s="914"/>
      <c r="AG70" s="1173"/>
      <c r="AH70" s="914"/>
      <c r="AI70" s="1173"/>
      <c r="AJ70" s="914"/>
      <c r="AK70" s="1173"/>
      <c r="AL70" s="1232"/>
      <c r="AM70" s="1234"/>
      <c r="AN70" s="914"/>
      <c r="AO70" s="1173"/>
      <c r="AP70" s="914"/>
      <c r="AQ70" s="1173"/>
      <c r="AR70" s="914"/>
      <c r="AS70" s="1173"/>
      <c r="AT70" s="914"/>
      <c r="AU70" s="1173"/>
      <c r="AV70" s="914"/>
      <c r="AW70" s="1173"/>
      <c r="AX70" s="914"/>
      <c r="AY70" s="1173"/>
      <c r="AZ70" s="1232"/>
      <c r="BA70" s="1234"/>
      <c r="BB70" s="914"/>
      <c r="BC70" s="1173"/>
      <c r="BD70" s="914"/>
      <c r="BE70" s="1173"/>
      <c r="BF70" s="914"/>
      <c r="BG70" s="1173"/>
      <c r="BH70" s="914"/>
      <c r="BI70" s="1173"/>
      <c r="BJ70" s="914"/>
      <c r="BK70" s="1173"/>
      <c r="BL70" s="914"/>
      <c r="BM70" s="1174"/>
      <c r="BN70" s="1169">
        <f t="shared" si="0"/>
        <v>0</v>
      </c>
      <c r="BO70" s="491">
        <f t="shared" si="36"/>
        <v>0</v>
      </c>
      <c r="BP70" s="492"/>
      <c r="BQ70" s="493">
        <f t="shared" si="2"/>
        <v>0</v>
      </c>
      <c r="BR70" s="217">
        <f t="shared" si="3"/>
        <v>0</v>
      </c>
      <c r="BS70" s="217"/>
      <c r="BT70" s="1170">
        <f t="shared" si="4"/>
        <v>0</v>
      </c>
      <c r="BW70" s="1171">
        <f t="shared" ref="BW70:BW96" si="37">D70*BN70</f>
        <v>0</v>
      </c>
      <c r="BX70" s="1171">
        <f t="shared" ref="BX70:BX96" si="38">F70*BN70</f>
        <v>0</v>
      </c>
      <c r="BY70" s="1171">
        <f t="shared" ref="BY70:BY96" si="39">H70*BN70</f>
        <v>0</v>
      </c>
      <c r="BZ70" s="1171">
        <f t="shared" ref="BZ70:BZ96" si="40">J70*BN70</f>
        <v>0</v>
      </c>
      <c r="CA70" s="1171">
        <f t="shared" ref="CA70:CA96" si="41">L70*BN70</f>
        <v>0</v>
      </c>
      <c r="CB70" s="1171">
        <f t="shared" ref="CB70:CB96" si="42">N70*BN70</f>
        <v>0</v>
      </c>
      <c r="CC70" s="1171">
        <f t="shared" ref="CC70:CC96" si="43">P70*BN70</f>
        <v>0</v>
      </c>
      <c r="CD70" s="1171">
        <f t="shared" ref="CD70:CD96" si="44">R70*BN70</f>
        <v>0</v>
      </c>
      <c r="CE70" s="1171">
        <f t="shared" ref="CE70:CE96" si="45">T70*BN70</f>
        <v>0</v>
      </c>
      <c r="CF70" s="1171">
        <f t="shared" ref="CF70:CF96" si="46">V70*BN70</f>
        <v>0</v>
      </c>
      <c r="CG70" s="1171">
        <f t="shared" ref="CG70:CG96" si="47">X70*BN70</f>
        <v>0</v>
      </c>
      <c r="CH70" s="1171">
        <f t="shared" ref="CH70:CH96" si="48">Z70*BN70</f>
        <v>0</v>
      </c>
      <c r="CI70" s="1171">
        <f t="shared" ref="CI70:CI96" si="49">AB70*BN70</f>
        <v>0</v>
      </c>
      <c r="CJ70" s="1171">
        <f t="shared" ref="CJ70:CJ96" si="50">AD70*BN70</f>
        <v>0</v>
      </c>
      <c r="CK70" s="1171">
        <f t="shared" ref="CK70:CK96" si="51">AF70*BN70</f>
        <v>0</v>
      </c>
      <c r="CL70" s="1171">
        <f t="shared" ref="CL70:CL96" si="52">AH70*BN70</f>
        <v>0</v>
      </c>
      <c r="CM70" s="1171">
        <f t="shared" ref="CM70:CM96" si="53">AJ70*BN70</f>
        <v>0</v>
      </c>
      <c r="CN70" s="1171">
        <f t="shared" ref="CN70:CN96" si="54">AL70*BN70</f>
        <v>0</v>
      </c>
      <c r="CO70" s="1171">
        <f t="shared" ref="CO70:CO96" si="55">AN70*BN70</f>
        <v>0</v>
      </c>
      <c r="CP70" s="1171">
        <f t="shared" ref="CP70:CP96" si="56">AP70*BN70</f>
        <v>0</v>
      </c>
      <c r="CQ70" s="1171">
        <f t="shared" ref="CQ70:CQ96" si="57">AR70*BN70</f>
        <v>0</v>
      </c>
      <c r="CR70" s="1171">
        <f t="shared" ref="CR70:CR96" si="58">AT70*BN70</f>
        <v>0</v>
      </c>
      <c r="CS70" s="1171">
        <f t="shared" ref="CS70:CS96" si="59">AV70*BN70</f>
        <v>0</v>
      </c>
      <c r="CT70" s="1171">
        <f t="shared" ref="CT70:CT96" si="60">AX70*BN70</f>
        <v>0</v>
      </c>
      <c r="CU70" s="1171">
        <f t="shared" ref="CU70:CU96" si="61">AZ70*BN70</f>
        <v>0</v>
      </c>
      <c r="CV70" s="1171">
        <f t="shared" ref="CV70:CV96" si="62">BB70*BN70</f>
        <v>0</v>
      </c>
      <c r="CW70" s="1171">
        <f t="shared" ref="CW70:CW96" si="63">BD70*BN70</f>
        <v>0</v>
      </c>
      <c r="CX70" s="1171">
        <f t="shared" ref="CX70:CX96" si="64">BF70*BN70</f>
        <v>0</v>
      </c>
      <c r="CY70" s="1171">
        <f t="shared" ref="CY70:CY96" si="65">BH70*BN70</f>
        <v>0</v>
      </c>
      <c r="CZ70" s="1171">
        <f t="shared" ref="CZ70:CZ96" si="66">BJ70*BN70</f>
        <v>0</v>
      </c>
      <c r="DA70" s="1171">
        <f t="shared" ref="DA70:DA96" si="67">BL70*BN70</f>
        <v>0</v>
      </c>
    </row>
    <row r="71" spans="2:105" ht="24.75" thickTop="1" thickBot="1">
      <c r="B71" s="69"/>
      <c r="C71" s="1108"/>
      <c r="D71" s="914"/>
      <c r="E71" s="1172"/>
      <c r="F71" s="914"/>
      <c r="G71" s="1172"/>
      <c r="H71" s="914"/>
      <c r="I71" s="1173"/>
      <c r="J71" s="1232"/>
      <c r="K71" s="1234"/>
      <c r="L71" s="914"/>
      <c r="M71" s="1172"/>
      <c r="N71" s="914"/>
      <c r="O71" s="1173"/>
      <c r="P71" s="914"/>
      <c r="Q71" s="1173"/>
      <c r="R71" s="914"/>
      <c r="S71" s="1173"/>
      <c r="T71" s="914"/>
      <c r="U71" s="1173"/>
      <c r="V71" s="914"/>
      <c r="W71" s="1173"/>
      <c r="X71" s="1232"/>
      <c r="Y71" s="1234"/>
      <c r="Z71" s="914"/>
      <c r="AA71" s="1173"/>
      <c r="AB71" s="914"/>
      <c r="AC71" s="1173"/>
      <c r="AD71" s="914"/>
      <c r="AE71" s="1173"/>
      <c r="AF71" s="914"/>
      <c r="AG71" s="1173"/>
      <c r="AH71" s="914"/>
      <c r="AI71" s="1173"/>
      <c r="AJ71" s="914"/>
      <c r="AK71" s="1173"/>
      <c r="AL71" s="1232"/>
      <c r="AM71" s="1234"/>
      <c r="AN71" s="914"/>
      <c r="AO71" s="1173"/>
      <c r="AP71" s="914"/>
      <c r="AQ71" s="1173"/>
      <c r="AR71" s="914"/>
      <c r="AS71" s="1173"/>
      <c r="AT71" s="914"/>
      <c r="AU71" s="1173"/>
      <c r="AV71" s="914"/>
      <c r="AW71" s="1173"/>
      <c r="AX71" s="914"/>
      <c r="AY71" s="1173"/>
      <c r="AZ71" s="1232"/>
      <c r="BA71" s="1234"/>
      <c r="BB71" s="914"/>
      <c r="BC71" s="1173"/>
      <c r="BD71" s="914"/>
      <c r="BE71" s="1173"/>
      <c r="BF71" s="914"/>
      <c r="BG71" s="1173"/>
      <c r="BH71" s="914"/>
      <c r="BI71" s="1173"/>
      <c r="BJ71" s="914"/>
      <c r="BK71" s="1173"/>
      <c r="BL71" s="914"/>
      <c r="BM71" s="1174"/>
      <c r="BN71" s="1169">
        <f t="shared" si="0"/>
        <v>0</v>
      </c>
      <c r="BO71" s="491">
        <f t="shared" si="36"/>
        <v>0</v>
      </c>
      <c r="BP71" s="1225"/>
      <c r="BQ71" s="493">
        <f t="shared" si="2"/>
        <v>0</v>
      </c>
      <c r="BR71" s="217">
        <f t="shared" si="3"/>
        <v>0</v>
      </c>
      <c r="BS71" s="217"/>
      <c r="BT71" s="1170">
        <f t="shared" si="4"/>
        <v>0</v>
      </c>
      <c r="BW71" s="1171">
        <f t="shared" si="37"/>
        <v>0</v>
      </c>
      <c r="BX71" s="1171">
        <f t="shared" si="38"/>
        <v>0</v>
      </c>
      <c r="BY71" s="1171">
        <f t="shared" si="39"/>
        <v>0</v>
      </c>
      <c r="BZ71" s="1171">
        <f t="shared" si="40"/>
        <v>0</v>
      </c>
      <c r="CA71" s="1171">
        <f t="shared" si="41"/>
        <v>0</v>
      </c>
      <c r="CB71" s="1171">
        <f t="shared" si="42"/>
        <v>0</v>
      </c>
      <c r="CC71" s="1171">
        <f t="shared" si="43"/>
        <v>0</v>
      </c>
      <c r="CD71" s="1171">
        <f t="shared" si="44"/>
        <v>0</v>
      </c>
      <c r="CE71" s="1171">
        <f t="shared" si="45"/>
        <v>0</v>
      </c>
      <c r="CF71" s="1171">
        <f t="shared" si="46"/>
        <v>0</v>
      </c>
      <c r="CG71" s="1171">
        <f t="shared" si="47"/>
        <v>0</v>
      </c>
      <c r="CH71" s="1171">
        <f t="shared" si="48"/>
        <v>0</v>
      </c>
      <c r="CI71" s="1171">
        <f t="shared" si="49"/>
        <v>0</v>
      </c>
      <c r="CJ71" s="1171">
        <f t="shared" si="50"/>
        <v>0</v>
      </c>
      <c r="CK71" s="1171">
        <f t="shared" si="51"/>
        <v>0</v>
      </c>
      <c r="CL71" s="1171">
        <f t="shared" si="52"/>
        <v>0</v>
      </c>
      <c r="CM71" s="1171">
        <f t="shared" si="53"/>
        <v>0</v>
      </c>
      <c r="CN71" s="1171">
        <f t="shared" si="54"/>
        <v>0</v>
      </c>
      <c r="CO71" s="1171">
        <f t="shared" si="55"/>
        <v>0</v>
      </c>
      <c r="CP71" s="1171">
        <f t="shared" si="56"/>
        <v>0</v>
      </c>
      <c r="CQ71" s="1171">
        <f t="shared" si="57"/>
        <v>0</v>
      </c>
      <c r="CR71" s="1171">
        <f t="shared" si="58"/>
        <v>0</v>
      </c>
      <c r="CS71" s="1171">
        <f t="shared" si="59"/>
        <v>0</v>
      </c>
      <c r="CT71" s="1171">
        <f t="shared" si="60"/>
        <v>0</v>
      </c>
      <c r="CU71" s="1171">
        <f t="shared" si="61"/>
        <v>0</v>
      </c>
      <c r="CV71" s="1171">
        <f t="shared" si="62"/>
        <v>0</v>
      </c>
      <c r="CW71" s="1171">
        <f t="shared" si="63"/>
        <v>0</v>
      </c>
      <c r="CX71" s="1171">
        <f t="shared" si="64"/>
        <v>0</v>
      </c>
      <c r="CY71" s="1171">
        <f t="shared" si="65"/>
        <v>0</v>
      </c>
      <c r="CZ71" s="1171">
        <f t="shared" si="66"/>
        <v>0</v>
      </c>
      <c r="DA71" s="1171">
        <f t="shared" si="67"/>
        <v>0</v>
      </c>
    </row>
    <row r="72" spans="2:105" ht="24.75" thickTop="1" thickBot="1">
      <c r="B72" s="69"/>
      <c r="C72" s="1108"/>
      <c r="D72" s="914"/>
      <c r="E72" s="916"/>
      <c r="F72" s="914"/>
      <c r="G72" s="1172"/>
      <c r="H72" s="914"/>
      <c r="I72" s="1173"/>
      <c r="J72" s="1232"/>
      <c r="K72" s="1234"/>
      <c r="L72" s="914"/>
      <c r="M72" s="1172"/>
      <c r="N72" s="914"/>
      <c r="O72" s="1173"/>
      <c r="P72" s="914"/>
      <c r="Q72" s="1173"/>
      <c r="R72" s="914"/>
      <c r="S72" s="1173"/>
      <c r="T72" s="914"/>
      <c r="U72" s="1173"/>
      <c r="V72" s="914"/>
      <c r="W72" s="1173"/>
      <c r="X72" s="1232"/>
      <c r="Y72" s="1234"/>
      <c r="Z72" s="914"/>
      <c r="AA72" s="1173"/>
      <c r="AB72" s="914"/>
      <c r="AC72" s="1173"/>
      <c r="AD72" s="914"/>
      <c r="AE72" s="1173"/>
      <c r="AF72" s="914"/>
      <c r="AG72" s="1173"/>
      <c r="AH72" s="914"/>
      <c r="AI72" s="1173"/>
      <c r="AJ72" s="914"/>
      <c r="AK72" s="1173"/>
      <c r="AL72" s="1232"/>
      <c r="AM72" s="1234"/>
      <c r="AN72" s="914"/>
      <c r="AO72" s="1173"/>
      <c r="AP72" s="914"/>
      <c r="AQ72" s="1173"/>
      <c r="AR72" s="914"/>
      <c r="AS72" s="1173"/>
      <c r="AT72" s="914"/>
      <c r="AU72" s="1173"/>
      <c r="AV72" s="914"/>
      <c r="AW72" s="1173"/>
      <c r="AX72" s="914"/>
      <c r="AY72" s="1173"/>
      <c r="AZ72" s="1232"/>
      <c r="BA72" s="1234"/>
      <c r="BB72" s="914"/>
      <c r="BC72" s="1173"/>
      <c r="BD72" s="914"/>
      <c r="BE72" s="1173"/>
      <c r="BF72" s="914"/>
      <c r="BG72" s="1173"/>
      <c r="BH72" s="914"/>
      <c r="BI72" s="1173"/>
      <c r="BJ72" s="914"/>
      <c r="BK72" s="1173"/>
      <c r="BL72" s="914"/>
      <c r="BM72" s="1174"/>
      <c r="BN72" s="1169">
        <f t="shared" si="0"/>
        <v>0</v>
      </c>
      <c r="BO72" s="491">
        <f t="shared" si="36"/>
        <v>0</v>
      </c>
      <c r="BP72" s="1225"/>
      <c r="BQ72" s="493">
        <f t="shared" si="2"/>
        <v>0</v>
      </c>
      <c r="BR72" s="217">
        <f t="shared" si="3"/>
        <v>0</v>
      </c>
      <c r="BS72" s="217"/>
      <c r="BT72" s="1170">
        <f t="shared" si="4"/>
        <v>0</v>
      </c>
      <c r="BW72" s="1171">
        <f t="shared" si="37"/>
        <v>0</v>
      </c>
      <c r="BX72" s="1171">
        <f t="shared" si="38"/>
        <v>0</v>
      </c>
      <c r="BY72" s="1171">
        <f t="shared" si="39"/>
        <v>0</v>
      </c>
      <c r="BZ72" s="1171">
        <f t="shared" si="40"/>
        <v>0</v>
      </c>
      <c r="CA72" s="1171">
        <f t="shared" si="41"/>
        <v>0</v>
      </c>
      <c r="CB72" s="1171">
        <f t="shared" si="42"/>
        <v>0</v>
      </c>
      <c r="CC72" s="1171">
        <f t="shared" si="43"/>
        <v>0</v>
      </c>
      <c r="CD72" s="1171">
        <f t="shared" si="44"/>
        <v>0</v>
      </c>
      <c r="CE72" s="1171">
        <f t="shared" si="45"/>
        <v>0</v>
      </c>
      <c r="CF72" s="1171">
        <f t="shared" si="46"/>
        <v>0</v>
      </c>
      <c r="CG72" s="1171">
        <f t="shared" si="47"/>
        <v>0</v>
      </c>
      <c r="CH72" s="1171">
        <f t="shared" si="48"/>
        <v>0</v>
      </c>
      <c r="CI72" s="1171">
        <f t="shared" si="49"/>
        <v>0</v>
      </c>
      <c r="CJ72" s="1171">
        <f t="shared" si="50"/>
        <v>0</v>
      </c>
      <c r="CK72" s="1171">
        <f t="shared" si="51"/>
        <v>0</v>
      </c>
      <c r="CL72" s="1171">
        <f t="shared" si="52"/>
        <v>0</v>
      </c>
      <c r="CM72" s="1171">
        <f t="shared" si="53"/>
        <v>0</v>
      </c>
      <c r="CN72" s="1171">
        <f t="shared" si="54"/>
        <v>0</v>
      </c>
      <c r="CO72" s="1171">
        <f t="shared" si="55"/>
        <v>0</v>
      </c>
      <c r="CP72" s="1171">
        <f t="shared" si="56"/>
        <v>0</v>
      </c>
      <c r="CQ72" s="1171">
        <f t="shared" si="57"/>
        <v>0</v>
      </c>
      <c r="CR72" s="1171">
        <f t="shared" si="58"/>
        <v>0</v>
      </c>
      <c r="CS72" s="1171">
        <f t="shared" si="59"/>
        <v>0</v>
      </c>
      <c r="CT72" s="1171">
        <f t="shared" si="60"/>
        <v>0</v>
      </c>
      <c r="CU72" s="1171">
        <f t="shared" si="61"/>
        <v>0</v>
      </c>
      <c r="CV72" s="1171">
        <f t="shared" si="62"/>
        <v>0</v>
      </c>
      <c r="CW72" s="1171">
        <f t="shared" si="63"/>
        <v>0</v>
      </c>
      <c r="CX72" s="1171">
        <f t="shared" si="64"/>
        <v>0</v>
      </c>
      <c r="CY72" s="1171">
        <f t="shared" si="65"/>
        <v>0</v>
      </c>
      <c r="CZ72" s="1171">
        <f t="shared" si="66"/>
        <v>0</v>
      </c>
      <c r="DA72" s="1171">
        <f t="shared" si="67"/>
        <v>0</v>
      </c>
    </row>
    <row r="73" spans="2:105" ht="24.75" thickTop="1" thickBot="1">
      <c r="B73" s="69"/>
      <c r="C73" s="1108"/>
      <c r="D73" s="914"/>
      <c r="E73" s="916"/>
      <c r="F73" s="914"/>
      <c r="G73" s="1172"/>
      <c r="H73" s="914"/>
      <c r="I73" s="1173"/>
      <c r="J73" s="1232"/>
      <c r="K73" s="1234"/>
      <c r="L73" s="914"/>
      <c r="M73" s="1172"/>
      <c r="N73" s="914"/>
      <c r="O73" s="1173"/>
      <c r="P73" s="914"/>
      <c r="Q73" s="1173"/>
      <c r="R73" s="914"/>
      <c r="S73" s="1173"/>
      <c r="T73" s="914"/>
      <c r="U73" s="1173"/>
      <c r="V73" s="914"/>
      <c r="W73" s="1173"/>
      <c r="X73" s="1232"/>
      <c r="Y73" s="1234"/>
      <c r="Z73" s="914"/>
      <c r="AA73" s="1173"/>
      <c r="AB73" s="914"/>
      <c r="AC73" s="1173"/>
      <c r="AD73" s="914"/>
      <c r="AE73" s="1173"/>
      <c r="AF73" s="914"/>
      <c r="AG73" s="1173"/>
      <c r="AH73" s="914"/>
      <c r="AI73" s="1173"/>
      <c r="AJ73" s="914"/>
      <c r="AK73" s="1173"/>
      <c r="AL73" s="1232"/>
      <c r="AM73" s="1234"/>
      <c r="AN73" s="914"/>
      <c r="AO73" s="1173"/>
      <c r="AP73" s="914"/>
      <c r="AQ73" s="1173"/>
      <c r="AR73" s="914"/>
      <c r="AS73" s="1173"/>
      <c r="AT73" s="914"/>
      <c r="AU73" s="1173"/>
      <c r="AV73" s="914"/>
      <c r="AW73" s="1173"/>
      <c r="AX73" s="914"/>
      <c r="AY73" s="1173"/>
      <c r="AZ73" s="1232"/>
      <c r="BA73" s="1234"/>
      <c r="BB73" s="914"/>
      <c r="BC73" s="1173"/>
      <c r="BD73" s="914"/>
      <c r="BE73" s="1173"/>
      <c r="BF73" s="914"/>
      <c r="BG73" s="1173"/>
      <c r="BH73" s="914"/>
      <c r="BI73" s="1173"/>
      <c r="BJ73" s="914"/>
      <c r="BK73" s="1173"/>
      <c r="BL73" s="914"/>
      <c r="BM73" s="1174"/>
      <c r="BN73" s="1169">
        <f t="shared" si="0"/>
        <v>0</v>
      </c>
      <c r="BO73" s="491">
        <f t="shared" si="36"/>
        <v>0</v>
      </c>
      <c r="BP73" s="1225"/>
      <c r="BQ73" s="493">
        <f t="shared" si="2"/>
        <v>0</v>
      </c>
      <c r="BR73" s="217">
        <f t="shared" si="3"/>
        <v>0</v>
      </c>
      <c r="BS73" s="217"/>
      <c r="BT73" s="1170">
        <f t="shared" si="4"/>
        <v>0</v>
      </c>
      <c r="BW73" s="1171">
        <f t="shared" si="37"/>
        <v>0</v>
      </c>
      <c r="BX73" s="1171">
        <f t="shared" si="38"/>
        <v>0</v>
      </c>
      <c r="BY73" s="1171">
        <f t="shared" si="39"/>
        <v>0</v>
      </c>
      <c r="BZ73" s="1171">
        <f t="shared" si="40"/>
        <v>0</v>
      </c>
      <c r="CA73" s="1171">
        <f t="shared" si="41"/>
        <v>0</v>
      </c>
      <c r="CB73" s="1171">
        <f t="shared" si="42"/>
        <v>0</v>
      </c>
      <c r="CC73" s="1171">
        <f t="shared" si="43"/>
        <v>0</v>
      </c>
      <c r="CD73" s="1171">
        <f t="shared" si="44"/>
        <v>0</v>
      </c>
      <c r="CE73" s="1171">
        <f t="shared" si="45"/>
        <v>0</v>
      </c>
      <c r="CF73" s="1171">
        <f t="shared" si="46"/>
        <v>0</v>
      </c>
      <c r="CG73" s="1171">
        <f t="shared" si="47"/>
        <v>0</v>
      </c>
      <c r="CH73" s="1171">
        <f t="shared" si="48"/>
        <v>0</v>
      </c>
      <c r="CI73" s="1171">
        <f t="shared" si="49"/>
        <v>0</v>
      </c>
      <c r="CJ73" s="1171">
        <f t="shared" si="50"/>
        <v>0</v>
      </c>
      <c r="CK73" s="1171">
        <f t="shared" si="51"/>
        <v>0</v>
      </c>
      <c r="CL73" s="1171">
        <f t="shared" si="52"/>
        <v>0</v>
      </c>
      <c r="CM73" s="1171">
        <f t="shared" si="53"/>
        <v>0</v>
      </c>
      <c r="CN73" s="1171">
        <f t="shared" si="54"/>
        <v>0</v>
      </c>
      <c r="CO73" s="1171">
        <f t="shared" si="55"/>
        <v>0</v>
      </c>
      <c r="CP73" s="1171">
        <f t="shared" si="56"/>
        <v>0</v>
      </c>
      <c r="CQ73" s="1171">
        <f t="shared" si="57"/>
        <v>0</v>
      </c>
      <c r="CR73" s="1171">
        <f t="shared" si="58"/>
        <v>0</v>
      </c>
      <c r="CS73" s="1171">
        <f t="shared" si="59"/>
        <v>0</v>
      </c>
      <c r="CT73" s="1171">
        <f t="shared" si="60"/>
        <v>0</v>
      </c>
      <c r="CU73" s="1171">
        <f t="shared" si="61"/>
        <v>0</v>
      </c>
      <c r="CV73" s="1171">
        <f t="shared" si="62"/>
        <v>0</v>
      </c>
      <c r="CW73" s="1171">
        <f t="shared" si="63"/>
        <v>0</v>
      </c>
      <c r="CX73" s="1171">
        <f t="shared" si="64"/>
        <v>0</v>
      </c>
      <c r="CY73" s="1171">
        <f t="shared" si="65"/>
        <v>0</v>
      </c>
      <c r="CZ73" s="1171">
        <f t="shared" si="66"/>
        <v>0</v>
      </c>
      <c r="DA73" s="1171">
        <f t="shared" si="67"/>
        <v>0</v>
      </c>
    </row>
    <row r="74" spans="2:105" ht="24.75" thickTop="1" thickBot="1">
      <c r="B74" s="69"/>
      <c r="C74" s="1108"/>
      <c r="D74" s="914"/>
      <c r="E74" s="1172"/>
      <c r="F74" s="914"/>
      <c r="G74" s="1172"/>
      <c r="H74" s="914"/>
      <c r="I74" s="1173"/>
      <c r="J74" s="1232"/>
      <c r="K74" s="1234"/>
      <c r="L74" s="914"/>
      <c r="M74" s="1172"/>
      <c r="N74" s="914"/>
      <c r="O74" s="1173"/>
      <c r="P74" s="914"/>
      <c r="Q74" s="1173"/>
      <c r="R74" s="914"/>
      <c r="S74" s="1173"/>
      <c r="T74" s="914"/>
      <c r="U74" s="1173"/>
      <c r="V74" s="914"/>
      <c r="W74" s="1173"/>
      <c r="X74" s="1232"/>
      <c r="Y74" s="1234"/>
      <c r="Z74" s="914"/>
      <c r="AA74" s="1173"/>
      <c r="AB74" s="914"/>
      <c r="AC74" s="1173"/>
      <c r="AD74" s="914"/>
      <c r="AE74" s="1173"/>
      <c r="AF74" s="914"/>
      <c r="AG74" s="1173"/>
      <c r="AH74" s="914"/>
      <c r="AI74" s="1173"/>
      <c r="AJ74" s="914"/>
      <c r="AK74" s="1173"/>
      <c r="AL74" s="1232"/>
      <c r="AM74" s="1234"/>
      <c r="AN74" s="914"/>
      <c r="AO74" s="1173"/>
      <c r="AP74" s="914"/>
      <c r="AQ74" s="1173"/>
      <c r="AR74" s="914"/>
      <c r="AS74" s="1173"/>
      <c r="AT74" s="914"/>
      <c r="AU74" s="1173"/>
      <c r="AV74" s="914"/>
      <c r="AW74" s="1173"/>
      <c r="AX74" s="914"/>
      <c r="AY74" s="1173"/>
      <c r="AZ74" s="1232"/>
      <c r="BA74" s="1234"/>
      <c r="BB74" s="914"/>
      <c r="BC74" s="1173"/>
      <c r="BD74" s="914"/>
      <c r="BE74" s="1173"/>
      <c r="BF74" s="914"/>
      <c r="BG74" s="1173"/>
      <c r="BH74" s="914"/>
      <c r="BI74" s="1173"/>
      <c r="BJ74" s="914"/>
      <c r="BK74" s="1173"/>
      <c r="BL74" s="914"/>
      <c r="BM74" s="1174"/>
      <c r="BN74" s="1169">
        <f t="shared" si="0"/>
        <v>0</v>
      </c>
      <c r="BO74" s="491">
        <f t="shared" si="36"/>
        <v>0</v>
      </c>
      <c r="BP74" s="1225"/>
      <c r="BQ74" s="493">
        <f t="shared" si="2"/>
        <v>0</v>
      </c>
      <c r="BR74" s="217">
        <f t="shared" si="3"/>
        <v>0</v>
      </c>
      <c r="BS74" s="217"/>
      <c r="BT74" s="1170">
        <f t="shared" si="4"/>
        <v>0</v>
      </c>
      <c r="BW74" s="1171">
        <f t="shared" si="37"/>
        <v>0</v>
      </c>
      <c r="BX74" s="1171">
        <f t="shared" si="38"/>
        <v>0</v>
      </c>
      <c r="BY74" s="1171">
        <f t="shared" si="39"/>
        <v>0</v>
      </c>
      <c r="BZ74" s="1171">
        <f t="shared" si="40"/>
        <v>0</v>
      </c>
      <c r="CA74" s="1171">
        <f t="shared" si="41"/>
        <v>0</v>
      </c>
      <c r="CB74" s="1171">
        <f t="shared" si="42"/>
        <v>0</v>
      </c>
      <c r="CC74" s="1171">
        <f t="shared" si="43"/>
        <v>0</v>
      </c>
      <c r="CD74" s="1171">
        <f t="shared" si="44"/>
        <v>0</v>
      </c>
      <c r="CE74" s="1171">
        <f t="shared" si="45"/>
        <v>0</v>
      </c>
      <c r="CF74" s="1171">
        <f t="shared" si="46"/>
        <v>0</v>
      </c>
      <c r="CG74" s="1171">
        <f t="shared" si="47"/>
        <v>0</v>
      </c>
      <c r="CH74" s="1171">
        <f t="shared" si="48"/>
        <v>0</v>
      </c>
      <c r="CI74" s="1171">
        <f t="shared" si="49"/>
        <v>0</v>
      </c>
      <c r="CJ74" s="1171">
        <f t="shared" si="50"/>
        <v>0</v>
      </c>
      <c r="CK74" s="1171">
        <f t="shared" si="51"/>
        <v>0</v>
      </c>
      <c r="CL74" s="1171">
        <f t="shared" si="52"/>
        <v>0</v>
      </c>
      <c r="CM74" s="1171">
        <f t="shared" si="53"/>
        <v>0</v>
      </c>
      <c r="CN74" s="1171">
        <f t="shared" si="54"/>
        <v>0</v>
      </c>
      <c r="CO74" s="1171">
        <f t="shared" si="55"/>
        <v>0</v>
      </c>
      <c r="CP74" s="1171">
        <f t="shared" si="56"/>
        <v>0</v>
      </c>
      <c r="CQ74" s="1171">
        <f t="shared" si="57"/>
        <v>0</v>
      </c>
      <c r="CR74" s="1171">
        <f t="shared" si="58"/>
        <v>0</v>
      </c>
      <c r="CS74" s="1171">
        <f t="shared" si="59"/>
        <v>0</v>
      </c>
      <c r="CT74" s="1171">
        <f t="shared" si="60"/>
        <v>0</v>
      </c>
      <c r="CU74" s="1171">
        <f t="shared" si="61"/>
        <v>0</v>
      </c>
      <c r="CV74" s="1171">
        <f t="shared" si="62"/>
        <v>0</v>
      </c>
      <c r="CW74" s="1171">
        <f t="shared" si="63"/>
        <v>0</v>
      </c>
      <c r="CX74" s="1171">
        <f t="shared" si="64"/>
        <v>0</v>
      </c>
      <c r="CY74" s="1171">
        <f t="shared" si="65"/>
        <v>0</v>
      </c>
      <c r="CZ74" s="1171">
        <f t="shared" si="66"/>
        <v>0</v>
      </c>
      <c r="DA74" s="1171">
        <f t="shared" si="67"/>
        <v>0</v>
      </c>
    </row>
    <row r="75" spans="2:105" ht="24.75" thickTop="1" thickBot="1">
      <c r="B75" s="69"/>
      <c r="C75" s="1108"/>
      <c r="D75" s="914"/>
      <c r="E75" s="1172"/>
      <c r="F75" s="914"/>
      <c r="G75" s="1172"/>
      <c r="H75" s="914"/>
      <c r="I75" s="1173"/>
      <c r="J75" s="1232"/>
      <c r="K75" s="1234"/>
      <c r="L75" s="914"/>
      <c r="M75" s="1172"/>
      <c r="N75" s="914"/>
      <c r="O75" s="1173"/>
      <c r="P75" s="914"/>
      <c r="Q75" s="1173"/>
      <c r="R75" s="914"/>
      <c r="S75" s="1173"/>
      <c r="T75" s="914"/>
      <c r="U75" s="1173"/>
      <c r="V75" s="914"/>
      <c r="W75" s="1173"/>
      <c r="X75" s="1232"/>
      <c r="Y75" s="1234"/>
      <c r="Z75" s="914"/>
      <c r="AA75" s="1173"/>
      <c r="AB75" s="914"/>
      <c r="AC75" s="1173"/>
      <c r="AD75" s="914"/>
      <c r="AE75" s="1173"/>
      <c r="AF75" s="914"/>
      <c r="AG75" s="1173"/>
      <c r="AH75" s="914"/>
      <c r="AI75" s="1173"/>
      <c r="AJ75" s="914"/>
      <c r="AK75" s="1173"/>
      <c r="AL75" s="1232"/>
      <c r="AM75" s="1234"/>
      <c r="AN75" s="914"/>
      <c r="AO75" s="1173"/>
      <c r="AP75" s="914"/>
      <c r="AQ75" s="1173"/>
      <c r="AR75" s="914"/>
      <c r="AS75" s="1173"/>
      <c r="AT75" s="914"/>
      <c r="AU75" s="1173"/>
      <c r="AV75" s="914"/>
      <c r="AW75" s="1173"/>
      <c r="AX75" s="914"/>
      <c r="AY75" s="1173"/>
      <c r="AZ75" s="1232"/>
      <c r="BA75" s="1234"/>
      <c r="BB75" s="914"/>
      <c r="BC75" s="1173"/>
      <c r="BD75" s="914"/>
      <c r="BE75" s="1173"/>
      <c r="BF75" s="914"/>
      <c r="BG75" s="1173"/>
      <c r="BH75" s="914"/>
      <c r="BI75" s="1173"/>
      <c r="BJ75" s="914"/>
      <c r="BK75" s="1173"/>
      <c r="BL75" s="914"/>
      <c r="BM75" s="1174"/>
      <c r="BN75" s="1169">
        <f t="shared" si="0"/>
        <v>0</v>
      </c>
      <c r="BO75" s="491">
        <f t="shared" si="36"/>
        <v>0</v>
      </c>
      <c r="BP75" s="1225"/>
      <c r="BQ75" s="493">
        <f t="shared" si="2"/>
        <v>0</v>
      </c>
      <c r="BR75" s="217">
        <f t="shared" si="3"/>
        <v>0</v>
      </c>
      <c r="BS75" s="217"/>
      <c r="BT75" s="1170">
        <f t="shared" si="4"/>
        <v>0</v>
      </c>
      <c r="BW75" s="1171">
        <f t="shared" si="37"/>
        <v>0</v>
      </c>
      <c r="BX75" s="1171">
        <f t="shared" si="38"/>
        <v>0</v>
      </c>
      <c r="BY75" s="1171">
        <f t="shared" si="39"/>
        <v>0</v>
      </c>
      <c r="BZ75" s="1171">
        <f t="shared" si="40"/>
        <v>0</v>
      </c>
      <c r="CA75" s="1171">
        <f t="shared" si="41"/>
        <v>0</v>
      </c>
      <c r="CB75" s="1171">
        <f t="shared" si="42"/>
        <v>0</v>
      </c>
      <c r="CC75" s="1171">
        <f t="shared" si="43"/>
        <v>0</v>
      </c>
      <c r="CD75" s="1171">
        <f t="shared" si="44"/>
        <v>0</v>
      </c>
      <c r="CE75" s="1171">
        <f t="shared" si="45"/>
        <v>0</v>
      </c>
      <c r="CF75" s="1171">
        <f t="shared" si="46"/>
        <v>0</v>
      </c>
      <c r="CG75" s="1171">
        <f t="shared" si="47"/>
        <v>0</v>
      </c>
      <c r="CH75" s="1171">
        <f t="shared" si="48"/>
        <v>0</v>
      </c>
      <c r="CI75" s="1171">
        <f t="shared" si="49"/>
        <v>0</v>
      </c>
      <c r="CJ75" s="1171">
        <f t="shared" si="50"/>
        <v>0</v>
      </c>
      <c r="CK75" s="1171">
        <f t="shared" si="51"/>
        <v>0</v>
      </c>
      <c r="CL75" s="1171">
        <f t="shared" si="52"/>
        <v>0</v>
      </c>
      <c r="CM75" s="1171">
        <f t="shared" si="53"/>
        <v>0</v>
      </c>
      <c r="CN75" s="1171">
        <f t="shared" si="54"/>
        <v>0</v>
      </c>
      <c r="CO75" s="1171">
        <f t="shared" si="55"/>
        <v>0</v>
      </c>
      <c r="CP75" s="1171">
        <f t="shared" si="56"/>
        <v>0</v>
      </c>
      <c r="CQ75" s="1171">
        <f t="shared" si="57"/>
        <v>0</v>
      </c>
      <c r="CR75" s="1171">
        <f t="shared" si="58"/>
        <v>0</v>
      </c>
      <c r="CS75" s="1171">
        <f t="shared" si="59"/>
        <v>0</v>
      </c>
      <c r="CT75" s="1171">
        <f t="shared" si="60"/>
        <v>0</v>
      </c>
      <c r="CU75" s="1171">
        <f t="shared" si="61"/>
        <v>0</v>
      </c>
      <c r="CV75" s="1171">
        <f t="shared" si="62"/>
        <v>0</v>
      </c>
      <c r="CW75" s="1171">
        <f t="shared" si="63"/>
        <v>0</v>
      </c>
      <c r="CX75" s="1171">
        <f t="shared" si="64"/>
        <v>0</v>
      </c>
      <c r="CY75" s="1171">
        <f t="shared" si="65"/>
        <v>0</v>
      </c>
      <c r="CZ75" s="1171">
        <f t="shared" si="66"/>
        <v>0</v>
      </c>
      <c r="DA75" s="1171">
        <f t="shared" si="67"/>
        <v>0</v>
      </c>
    </row>
    <row r="76" spans="2:105" ht="24.75" thickTop="1" thickBot="1">
      <c r="B76" s="69"/>
      <c r="C76" s="1108"/>
      <c r="D76" s="914"/>
      <c r="E76" s="1172"/>
      <c r="F76" s="914"/>
      <c r="G76" s="1172"/>
      <c r="H76" s="914"/>
      <c r="I76" s="1173"/>
      <c r="J76" s="1232"/>
      <c r="K76" s="1234"/>
      <c r="L76" s="914"/>
      <c r="M76" s="1172"/>
      <c r="N76" s="914"/>
      <c r="O76" s="1173"/>
      <c r="P76" s="914"/>
      <c r="Q76" s="1173"/>
      <c r="R76" s="914"/>
      <c r="S76" s="1173"/>
      <c r="T76" s="914"/>
      <c r="U76" s="1173"/>
      <c r="V76" s="914"/>
      <c r="W76" s="1173"/>
      <c r="X76" s="1232"/>
      <c r="Y76" s="1234"/>
      <c r="Z76" s="914"/>
      <c r="AA76" s="1173"/>
      <c r="AB76" s="914"/>
      <c r="AC76" s="1173"/>
      <c r="AD76" s="914"/>
      <c r="AE76" s="1173"/>
      <c r="AF76" s="914"/>
      <c r="AG76" s="1173"/>
      <c r="AH76" s="914"/>
      <c r="AI76" s="1173"/>
      <c r="AJ76" s="914"/>
      <c r="AK76" s="1173"/>
      <c r="AL76" s="1232"/>
      <c r="AM76" s="1234"/>
      <c r="AN76" s="914"/>
      <c r="AO76" s="1173"/>
      <c r="AP76" s="914"/>
      <c r="AQ76" s="1173"/>
      <c r="AR76" s="914"/>
      <c r="AS76" s="1173"/>
      <c r="AT76" s="914"/>
      <c r="AU76" s="1173"/>
      <c r="AV76" s="914"/>
      <c r="AW76" s="1173"/>
      <c r="AX76" s="914"/>
      <c r="AY76" s="1173"/>
      <c r="AZ76" s="1232"/>
      <c r="BA76" s="1234"/>
      <c r="BB76" s="914"/>
      <c r="BC76" s="1173"/>
      <c r="BD76" s="914"/>
      <c r="BE76" s="1173"/>
      <c r="BF76" s="914"/>
      <c r="BG76" s="1173"/>
      <c r="BH76" s="914"/>
      <c r="BI76" s="1173"/>
      <c r="BJ76" s="914"/>
      <c r="BK76" s="1173"/>
      <c r="BL76" s="914"/>
      <c r="BM76" s="1174"/>
      <c r="BN76" s="1169">
        <f t="shared" si="0"/>
        <v>0</v>
      </c>
      <c r="BO76" s="491">
        <f t="shared" si="36"/>
        <v>0</v>
      </c>
      <c r="BP76" s="492"/>
      <c r="BQ76" s="493">
        <f t="shared" si="2"/>
        <v>0</v>
      </c>
      <c r="BR76" s="217">
        <f t="shared" si="3"/>
        <v>0</v>
      </c>
      <c r="BS76" s="217"/>
      <c r="BT76" s="1170">
        <f t="shared" si="4"/>
        <v>0</v>
      </c>
      <c r="BW76" s="1171">
        <f t="shared" si="37"/>
        <v>0</v>
      </c>
      <c r="BX76" s="1171">
        <f t="shared" si="38"/>
        <v>0</v>
      </c>
      <c r="BY76" s="1171">
        <f t="shared" si="39"/>
        <v>0</v>
      </c>
      <c r="BZ76" s="1171">
        <f t="shared" si="40"/>
        <v>0</v>
      </c>
      <c r="CA76" s="1171">
        <f t="shared" si="41"/>
        <v>0</v>
      </c>
      <c r="CB76" s="1171">
        <f t="shared" si="42"/>
        <v>0</v>
      </c>
      <c r="CC76" s="1171">
        <f t="shared" si="43"/>
        <v>0</v>
      </c>
      <c r="CD76" s="1171">
        <f t="shared" si="44"/>
        <v>0</v>
      </c>
      <c r="CE76" s="1171">
        <f t="shared" si="45"/>
        <v>0</v>
      </c>
      <c r="CF76" s="1171">
        <f t="shared" si="46"/>
        <v>0</v>
      </c>
      <c r="CG76" s="1171">
        <f t="shared" si="47"/>
        <v>0</v>
      </c>
      <c r="CH76" s="1171">
        <f t="shared" si="48"/>
        <v>0</v>
      </c>
      <c r="CI76" s="1171">
        <f t="shared" si="49"/>
        <v>0</v>
      </c>
      <c r="CJ76" s="1171">
        <f t="shared" si="50"/>
        <v>0</v>
      </c>
      <c r="CK76" s="1171">
        <f t="shared" si="51"/>
        <v>0</v>
      </c>
      <c r="CL76" s="1171">
        <f t="shared" si="52"/>
        <v>0</v>
      </c>
      <c r="CM76" s="1171">
        <f t="shared" si="53"/>
        <v>0</v>
      </c>
      <c r="CN76" s="1171">
        <f t="shared" si="54"/>
        <v>0</v>
      </c>
      <c r="CO76" s="1171">
        <f t="shared" si="55"/>
        <v>0</v>
      </c>
      <c r="CP76" s="1171">
        <f t="shared" si="56"/>
        <v>0</v>
      </c>
      <c r="CQ76" s="1171">
        <f t="shared" si="57"/>
        <v>0</v>
      </c>
      <c r="CR76" s="1171">
        <f t="shared" si="58"/>
        <v>0</v>
      </c>
      <c r="CS76" s="1171">
        <f t="shared" si="59"/>
        <v>0</v>
      </c>
      <c r="CT76" s="1171">
        <f t="shared" si="60"/>
        <v>0</v>
      </c>
      <c r="CU76" s="1171">
        <f t="shared" si="61"/>
        <v>0</v>
      </c>
      <c r="CV76" s="1171">
        <f t="shared" si="62"/>
        <v>0</v>
      </c>
      <c r="CW76" s="1171">
        <f t="shared" si="63"/>
        <v>0</v>
      </c>
      <c r="CX76" s="1171">
        <f t="shared" si="64"/>
        <v>0</v>
      </c>
      <c r="CY76" s="1171">
        <f t="shared" si="65"/>
        <v>0</v>
      </c>
      <c r="CZ76" s="1171">
        <f t="shared" si="66"/>
        <v>0</v>
      </c>
      <c r="DA76" s="1171">
        <f t="shared" si="67"/>
        <v>0</v>
      </c>
    </row>
    <row r="77" spans="2:105" ht="24.75" thickTop="1" thickBot="1">
      <c r="B77" s="69"/>
      <c r="C77" s="1108"/>
      <c r="D77" s="914"/>
      <c r="E77" s="1172"/>
      <c r="F77" s="914"/>
      <c r="G77" s="1172"/>
      <c r="H77" s="914"/>
      <c r="I77" s="1173"/>
      <c r="J77" s="1232"/>
      <c r="K77" s="1234"/>
      <c r="L77" s="914"/>
      <c r="M77" s="1172"/>
      <c r="N77" s="914"/>
      <c r="O77" s="1173"/>
      <c r="P77" s="914"/>
      <c r="Q77" s="1173"/>
      <c r="R77" s="914"/>
      <c r="S77" s="1173"/>
      <c r="T77" s="914"/>
      <c r="U77" s="1173"/>
      <c r="V77" s="914"/>
      <c r="W77" s="1173"/>
      <c r="X77" s="1232"/>
      <c r="Y77" s="1234"/>
      <c r="Z77" s="914"/>
      <c r="AA77" s="1173"/>
      <c r="AB77" s="914"/>
      <c r="AC77" s="1173"/>
      <c r="AD77" s="914"/>
      <c r="AE77" s="1173"/>
      <c r="AF77" s="914"/>
      <c r="AG77" s="1173"/>
      <c r="AH77" s="914"/>
      <c r="AI77" s="1173"/>
      <c r="AJ77" s="914"/>
      <c r="AK77" s="1173"/>
      <c r="AL77" s="1232"/>
      <c r="AM77" s="1234"/>
      <c r="AN77" s="914"/>
      <c r="AO77" s="1173"/>
      <c r="AP77" s="914"/>
      <c r="AQ77" s="1173"/>
      <c r="AR77" s="914"/>
      <c r="AS77" s="1173"/>
      <c r="AT77" s="914"/>
      <c r="AU77" s="1173"/>
      <c r="AV77" s="914"/>
      <c r="AW77" s="1173"/>
      <c r="AX77" s="914"/>
      <c r="AY77" s="1173"/>
      <c r="AZ77" s="1232"/>
      <c r="BA77" s="1234"/>
      <c r="BB77" s="914"/>
      <c r="BC77" s="1173"/>
      <c r="BD77" s="914"/>
      <c r="BE77" s="1173"/>
      <c r="BF77" s="914"/>
      <c r="BG77" s="1173"/>
      <c r="BH77" s="914"/>
      <c r="BI77" s="1173"/>
      <c r="BJ77" s="914"/>
      <c r="BK77" s="1173"/>
      <c r="BL77" s="914"/>
      <c r="BM77" s="1174"/>
      <c r="BN77" s="1169">
        <f t="shared" si="0"/>
        <v>0</v>
      </c>
      <c r="BO77" s="491">
        <f t="shared" si="36"/>
        <v>0</v>
      </c>
      <c r="BP77" s="492"/>
      <c r="BQ77" s="493">
        <f t="shared" si="2"/>
        <v>0</v>
      </c>
      <c r="BR77" s="217">
        <f t="shared" si="3"/>
        <v>0</v>
      </c>
      <c r="BS77" s="217"/>
      <c r="BT77" s="1170">
        <f t="shared" si="4"/>
        <v>0</v>
      </c>
      <c r="BW77" s="1171">
        <f t="shared" si="37"/>
        <v>0</v>
      </c>
      <c r="BX77" s="1171">
        <f t="shared" si="38"/>
        <v>0</v>
      </c>
      <c r="BY77" s="1171">
        <f t="shared" si="39"/>
        <v>0</v>
      </c>
      <c r="BZ77" s="1171">
        <f t="shared" si="40"/>
        <v>0</v>
      </c>
      <c r="CA77" s="1171">
        <f t="shared" si="41"/>
        <v>0</v>
      </c>
      <c r="CB77" s="1171">
        <f t="shared" si="42"/>
        <v>0</v>
      </c>
      <c r="CC77" s="1171">
        <f t="shared" si="43"/>
        <v>0</v>
      </c>
      <c r="CD77" s="1171">
        <f t="shared" si="44"/>
        <v>0</v>
      </c>
      <c r="CE77" s="1171">
        <f t="shared" si="45"/>
        <v>0</v>
      </c>
      <c r="CF77" s="1171">
        <f t="shared" si="46"/>
        <v>0</v>
      </c>
      <c r="CG77" s="1171">
        <f t="shared" si="47"/>
        <v>0</v>
      </c>
      <c r="CH77" s="1171">
        <f t="shared" si="48"/>
        <v>0</v>
      </c>
      <c r="CI77" s="1171">
        <f t="shared" si="49"/>
        <v>0</v>
      </c>
      <c r="CJ77" s="1171">
        <f t="shared" si="50"/>
        <v>0</v>
      </c>
      <c r="CK77" s="1171">
        <f t="shared" si="51"/>
        <v>0</v>
      </c>
      <c r="CL77" s="1171">
        <f t="shared" si="52"/>
        <v>0</v>
      </c>
      <c r="CM77" s="1171">
        <f t="shared" si="53"/>
        <v>0</v>
      </c>
      <c r="CN77" s="1171">
        <f t="shared" si="54"/>
        <v>0</v>
      </c>
      <c r="CO77" s="1171">
        <f t="shared" si="55"/>
        <v>0</v>
      </c>
      <c r="CP77" s="1171">
        <f t="shared" si="56"/>
        <v>0</v>
      </c>
      <c r="CQ77" s="1171">
        <f t="shared" si="57"/>
        <v>0</v>
      </c>
      <c r="CR77" s="1171">
        <f t="shared" si="58"/>
        <v>0</v>
      </c>
      <c r="CS77" s="1171">
        <f t="shared" si="59"/>
        <v>0</v>
      </c>
      <c r="CT77" s="1171">
        <f t="shared" si="60"/>
        <v>0</v>
      </c>
      <c r="CU77" s="1171">
        <f t="shared" si="61"/>
        <v>0</v>
      </c>
      <c r="CV77" s="1171">
        <f t="shared" si="62"/>
        <v>0</v>
      </c>
      <c r="CW77" s="1171">
        <f t="shared" si="63"/>
        <v>0</v>
      </c>
      <c r="CX77" s="1171">
        <f t="shared" si="64"/>
        <v>0</v>
      </c>
      <c r="CY77" s="1171">
        <f t="shared" si="65"/>
        <v>0</v>
      </c>
      <c r="CZ77" s="1171">
        <f t="shared" si="66"/>
        <v>0</v>
      </c>
      <c r="DA77" s="1171">
        <f t="shared" si="67"/>
        <v>0</v>
      </c>
    </row>
    <row r="78" spans="2:105" ht="24.75" thickTop="1" thickBot="1">
      <c r="B78" s="69"/>
      <c r="C78" s="1108"/>
      <c r="D78" s="914"/>
      <c r="E78" s="1172"/>
      <c r="F78" s="914"/>
      <c r="G78" s="1172"/>
      <c r="H78" s="914"/>
      <c r="I78" s="1173"/>
      <c r="J78" s="1232"/>
      <c r="K78" s="1249"/>
      <c r="L78" s="914"/>
      <c r="M78" s="1172"/>
      <c r="N78" s="914"/>
      <c r="O78" s="1173"/>
      <c r="P78" s="914"/>
      <c r="Q78" s="1173"/>
      <c r="R78" s="914"/>
      <c r="S78" s="1173"/>
      <c r="T78" s="914"/>
      <c r="U78" s="1173"/>
      <c r="V78" s="914"/>
      <c r="W78" s="1173"/>
      <c r="X78" s="1232"/>
      <c r="Y78" s="1234"/>
      <c r="Z78" s="914"/>
      <c r="AA78" s="1173"/>
      <c r="AB78" s="914"/>
      <c r="AC78" s="1173"/>
      <c r="AD78" s="914"/>
      <c r="AE78" s="1173"/>
      <c r="AF78" s="914"/>
      <c r="AG78" s="1173"/>
      <c r="AH78" s="914"/>
      <c r="AI78" s="1173"/>
      <c r="AJ78" s="914"/>
      <c r="AK78" s="1173"/>
      <c r="AL78" s="1232"/>
      <c r="AM78" s="1234"/>
      <c r="AN78" s="914"/>
      <c r="AO78" s="1173"/>
      <c r="AP78" s="914"/>
      <c r="AQ78" s="1173"/>
      <c r="AR78" s="914"/>
      <c r="AS78" s="1173"/>
      <c r="AT78" s="914"/>
      <c r="AU78" s="1173"/>
      <c r="AV78" s="914"/>
      <c r="AW78" s="1173"/>
      <c r="AX78" s="914"/>
      <c r="AY78" s="1173"/>
      <c r="AZ78" s="1232"/>
      <c r="BA78" s="1234"/>
      <c r="BB78" s="914"/>
      <c r="BC78" s="1173"/>
      <c r="BD78" s="914"/>
      <c r="BE78" s="1173"/>
      <c r="BF78" s="914"/>
      <c r="BG78" s="1173"/>
      <c r="BH78" s="914"/>
      <c r="BI78" s="1173"/>
      <c r="BJ78" s="914"/>
      <c r="BK78" s="1173"/>
      <c r="BL78" s="914"/>
      <c r="BM78" s="1174"/>
      <c r="BN78" s="1169">
        <f t="shared" si="0"/>
        <v>0</v>
      </c>
      <c r="BO78" s="491">
        <f t="shared" si="36"/>
        <v>0</v>
      </c>
      <c r="BP78" s="492"/>
      <c r="BQ78" s="493">
        <f t="shared" si="2"/>
        <v>0</v>
      </c>
      <c r="BR78" s="217">
        <f t="shared" si="3"/>
        <v>0</v>
      </c>
      <c r="BS78" s="217"/>
      <c r="BT78" s="1170">
        <f t="shared" si="4"/>
        <v>0</v>
      </c>
      <c r="BW78" s="1171">
        <f t="shared" si="37"/>
        <v>0</v>
      </c>
      <c r="BX78" s="1171">
        <f t="shared" si="38"/>
        <v>0</v>
      </c>
      <c r="BY78" s="1171">
        <f t="shared" si="39"/>
        <v>0</v>
      </c>
      <c r="BZ78" s="1171">
        <f t="shared" si="40"/>
        <v>0</v>
      </c>
      <c r="CA78" s="1171">
        <f t="shared" si="41"/>
        <v>0</v>
      </c>
      <c r="CB78" s="1171">
        <f t="shared" si="42"/>
        <v>0</v>
      </c>
      <c r="CC78" s="1171">
        <f t="shared" si="43"/>
        <v>0</v>
      </c>
      <c r="CD78" s="1171">
        <f t="shared" si="44"/>
        <v>0</v>
      </c>
      <c r="CE78" s="1171">
        <f t="shared" si="45"/>
        <v>0</v>
      </c>
      <c r="CF78" s="1171">
        <f t="shared" si="46"/>
        <v>0</v>
      </c>
      <c r="CG78" s="1171">
        <f t="shared" si="47"/>
        <v>0</v>
      </c>
      <c r="CH78" s="1171">
        <f t="shared" si="48"/>
        <v>0</v>
      </c>
      <c r="CI78" s="1171">
        <f t="shared" si="49"/>
        <v>0</v>
      </c>
      <c r="CJ78" s="1171">
        <f t="shared" si="50"/>
        <v>0</v>
      </c>
      <c r="CK78" s="1171">
        <f t="shared" si="51"/>
        <v>0</v>
      </c>
      <c r="CL78" s="1171">
        <f t="shared" si="52"/>
        <v>0</v>
      </c>
      <c r="CM78" s="1171">
        <f t="shared" si="53"/>
        <v>0</v>
      </c>
      <c r="CN78" s="1171">
        <f t="shared" si="54"/>
        <v>0</v>
      </c>
      <c r="CO78" s="1171">
        <f t="shared" si="55"/>
        <v>0</v>
      </c>
      <c r="CP78" s="1171">
        <f t="shared" si="56"/>
        <v>0</v>
      </c>
      <c r="CQ78" s="1171">
        <f t="shared" si="57"/>
        <v>0</v>
      </c>
      <c r="CR78" s="1171">
        <f t="shared" si="58"/>
        <v>0</v>
      </c>
      <c r="CS78" s="1171">
        <f t="shared" si="59"/>
        <v>0</v>
      </c>
      <c r="CT78" s="1171">
        <f t="shared" si="60"/>
        <v>0</v>
      </c>
      <c r="CU78" s="1171">
        <f t="shared" si="61"/>
        <v>0</v>
      </c>
      <c r="CV78" s="1171">
        <f t="shared" si="62"/>
        <v>0</v>
      </c>
      <c r="CW78" s="1171">
        <f t="shared" si="63"/>
        <v>0</v>
      </c>
      <c r="CX78" s="1171">
        <f t="shared" si="64"/>
        <v>0</v>
      </c>
      <c r="CY78" s="1171">
        <f t="shared" si="65"/>
        <v>0</v>
      </c>
      <c r="CZ78" s="1171">
        <f t="shared" si="66"/>
        <v>0</v>
      </c>
      <c r="DA78" s="1171">
        <f t="shared" si="67"/>
        <v>0</v>
      </c>
    </row>
    <row r="79" spans="2:105" ht="24.75" thickTop="1" thickBot="1">
      <c r="B79" s="69"/>
      <c r="C79" s="1108"/>
      <c r="D79" s="914"/>
      <c r="E79" s="1172"/>
      <c r="F79" s="914"/>
      <c r="G79" s="916"/>
      <c r="H79" s="914"/>
      <c r="I79" s="1173"/>
      <c r="J79" s="1232"/>
      <c r="K79" s="1249"/>
      <c r="L79" s="914"/>
      <c r="M79" s="1172"/>
      <c r="N79" s="914"/>
      <c r="O79" s="1173"/>
      <c r="P79" s="914"/>
      <c r="Q79" s="1173"/>
      <c r="R79" s="914"/>
      <c r="S79" s="1173"/>
      <c r="T79" s="914"/>
      <c r="U79" s="1173"/>
      <c r="V79" s="914"/>
      <c r="W79" s="1173"/>
      <c r="X79" s="1232"/>
      <c r="Y79" s="1234"/>
      <c r="Z79" s="914"/>
      <c r="AA79" s="1173"/>
      <c r="AB79" s="914"/>
      <c r="AC79" s="1173"/>
      <c r="AD79" s="914"/>
      <c r="AE79" s="1173"/>
      <c r="AF79" s="914"/>
      <c r="AG79" s="1173"/>
      <c r="AH79" s="914"/>
      <c r="AI79" s="1173"/>
      <c r="AJ79" s="914"/>
      <c r="AK79" s="1173"/>
      <c r="AL79" s="1232"/>
      <c r="AM79" s="1234"/>
      <c r="AN79" s="914"/>
      <c r="AO79" s="1173"/>
      <c r="AP79" s="914"/>
      <c r="AQ79" s="1173"/>
      <c r="AR79" s="914"/>
      <c r="AS79" s="1173"/>
      <c r="AT79" s="914"/>
      <c r="AU79" s="1173"/>
      <c r="AV79" s="914"/>
      <c r="AW79" s="1173"/>
      <c r="AX79" s="914"/>
      <c r="AY79" s="1173"/>
      <c r="AZ79" s="1232"/>
      <c r="BA79" s="1234"/>
      <c r="BB79" s="914"/>
      <c r="BC79" s="1173"/>
      <c r="BD79" s="914"/>
      <c r="BE79" s="1173"/>
      <c r="BF79" s="914"/>
      <c r="BG79" s="1173"/>
      <c r="BH79" s="914"/>
      <c r="BI79" s="1173"/>
      <c r="BJ79" s="914"/>
      <c r="BK79" s="1173"/>
      <c r="BL79" s="914"/>
      <c r="BM79" s="1174"/>
      <c r="BN79" s="1169">
        <f t="shared" si="0"/>
        <v>0</v>
      </c>
      <c r="BO79" s="491">
        <f t="shared" si="36"/>
        <v>0</v>
      </c>
      <c r="BP79" s="492"/>
      <c r="BQ79" s="493">
        <f t="shared" si="2"/>
        <v>0</v>
      </c>
      <c r="BR79" s="217">
        <f t="shared" si="3"/>
        <v>0</v>
      </c>
      <c r="BS79" s="217"/>
      <c r="BT79" s="1170">
        <f t="shared" si="4"/>
        <v>0</v>
      </c>
      <c r="BW79" s="1171">
        <f t="shared" si="37"/>
        <v>0</v>
      </c>
      <c r="BX79" s="1171">
        <f t="shared" si="38"/>
        <v>0</v>
      </c>
      <c r="BY79" s="1171">
        <f t="shared" si="39"/>
        <v>0</v>
      </c>
      <c r="BZ79" s="1171">
        <f t="shared" si="40"/>
        <v>0</v>
      </c>
      <c r="CA79" s="1171">
        <f t="shared" si="41"/>
        <v>0</v>
      </c>
      <c r="CB79" s="1171">
        <f t="shared" si="42"/>
        <v>0</v>
      </c>
      <c r="CC79" s="1171">
        <f t="shared" si="43"/>
        <v>0</v>
      </c>
      <c r="CD79" s="1171">
        <f t="shared" si="44"/>
        <v>0</v>
      </c>
      <c r="CE79" s="1171">
        <f t="shared" si="45"/>
        <v>0</v>
      </c>
      <c r="CF79" s="1171">
        <f t="shared" si="46"/>
        <v>0</v>
      </c>
      <c r="CG79" s="1171">
        <f t="shared" si="47"/>
        <v>0</v>
      </c>
      <c r="CH79" s="1171">
        <f t="shared" si="48"/>
        <v>0</v>
      </c>
      <c r="CI79" s="1171">
        <f t="shared" si="49"/>
        <v>0</v>
      </c>
      <c r="CJ79" s="1171">
        <f t="shared" si="50"/>
        <v>0</v>
      </c>
      <c r="CK79" s="1171">
        <f t="shared" si="51"/>
        <v>0</v>
      </c>
      <c r="CL79" s="1171">
        <f t="shared" si="52"/>
        <v>0</v>
      </c>
      <c r="CM79" s="1171">
        <f t="shared" si="53"/>
        <v>0</v>
      </c>
      <c r="CN79" s="1171">
        <f t="shared" si="54"/>
        <v>0</v>
      </c>
      <c r="CO79" s="1171">
        <f t="shared" si="55"/>
        <v>0</v>
      </c>
      <c r="CP79" s="1171">
        <f t="shared" si="56"/>
        <v>0</v>
      </c>
      <c r="CQ79" s="1171">
        <f t="shared" si="57"/>
        <v>0</v>
      </c>
      <c r="CR79" s="1171">
        <f t="shared" si="58"/>
        <v>0</v>
      </c>
      <c r="CS79" s="1171">
        <f t="shared" si="59"/>
        <v>0</v>
      </c>
      <c r="CT79" s="1171">
        <f t="shared" si="60"/>
        <v>0</v>
      </c>
      <c r="CU79" s="1171">
        <f t="shared" si="61"/>
        <v>0</v>
      </c>
      <c r="CV79" s="1171">
        <f t="shared" si="62"/>
        <v>0</v>
      </c>
      <c r="CW79" s="1171">
        <f t="shared" si="63"/>
        <v>0</v>
      </c>
      <c r="CX79" s="1171">
        <f t="shared" si="64"/>
        <v>0</v>
      </c>
      <c r="CY79" s="1171">
        <f t="shared" si="65"/>
        <v>0</v>
      </c>
      <c r="CZ79" s="1171">
        <f t="shared" si="66"/>
        <v>0</v>
      </c>
      <c r="DA79" s="1171">
        <f t="shared" si="67"/>
        <v>0</v>
      </c>
    </row>
    <row r="80" spans="2:105" ht="24.75" thickTop="1" thickBot="1">
      <c r="B80" s="69"/>
      <c r="C80" s="1108"/>
      <c r="D80" s="914"/>
      <c r="E80" s="1172"/>
      <c r="F80" s="914"/>
      <c r="G80" s="916"/>
      <c r="H80" s="914"/>
      <c r="I80" s="1173"/>
      <c r="J80" s="1232"/>
      <c r="K80" s="1249"/>
      <c r="L80" s="914"/>
      <c r="M80" s="1172"/>
      <c r="N80" s="914"/>
      <c r="O80" s="1173"/>
      <c r="P80" s="914"/>
      <c r="Q80" s="1173"/>
      <c r="R80" s="914"/>
      <c r="S80" s="1173"/>
      <c r="T80" s="914"/>
      <c r="U80" s="1173"/>
      <c r="V80" s="914"/>
      <c r="W80" s="1173"/>
      <c r="X80" s="1232"/>
      <c r="Y80" s="1234"/>
      <c r="Z80" s="914"/>
      <c r="AA80" s="1173"/>
      <c r="AB80" s="914"/>
      <c r="AC80" s="1173"/>
      <c r="AD80" s="914"/>
      <c r="AE80" s="1173"/>
      <c r="AF80" s="914"/>
      <c r="AG80" s="1173"/>
      <c r="AH80" s="914"/>
      <c r="AI80" s="1173"/>
      <c r="AJ80" s="914"/>
      <c r="AK80" s="1173"/>
      <c r="AL80" s="1232"/>
      <c r="AM80" s="1234"/>
      <c r="AN80" s="914"/>
      <c r="AO80" s="1173"/>
      <c r="AP80" s="914"/>
      <c r="AQ80" s="1173"/>
      <c r="AR80" s="914"/>
      <c r="AS80" s="1173"/>
      <c r="AT80" s="914"/>
      <c r="AU80" s="1173"/>
      <c r="AV80" s="914"/>
      <c r="AW80" s="1173"/>
      <c r="AX80" s="914"/>
      <c r="AY80" s="1173"/>
      <c r="AZ80" s="1232"/>
      <c r="BA80" s="1234"/>
      <c r="BB80" s="914"/>
      <c r="BC80" s="1173"/>
      <c r="BD80" s="914"/>
      <c r="BE80" s="1173"/>
      <c r="BF80" s="914"/>
      <c r="BG80" s="1173"/>
      <c r="BH80" s="914"/>
      <c r="BI80" s="1173"/>
      <c r="BJ80" s="914"/>
      <c r="BK80" s="1173"/>
      <c r="BL80" s="914"/>
      <c r="BM80" s="1174"/>
      <c r="BN80" s="1169">
        <f t="shared" si="0"/>
        <v>0</v>
      </c>
      <c r="BO80" s="491">
        <f t="shared" si="36"/>
        <v>0</v>
      </c>
      <c r="BP80" s="492"/>
      <c r="BQ80" s="493">
        <f t="shared" si="2"/>
        <v>0</v>
      </c>
      <c r="BR80" s="217">
        <f t="shared" si="3"/>
        <v>0</v>
      </c>
      <c r="BS80" s="217"/>
      <c r="BT80" s="1170">
        <f t="shared" si="4"/>
        <v>0</v>
      </c>
      <c r="BW80" s="1171">
        <f t="shared" si="37"/>
        <v>0</v>
      </c>
      <c r="BX80" s="1171">
        <f t="shared" si="38"/>
        <v>0</v>
      </c>
      <c r="BY80" s="1171">
        <f t="shared" si="39"/>
        <v>0</v>
      </c>
      <c r="BZ80" s="1171">
        <f t="shared" si="40"/>
        <v>0</v>
      </c>
      <c r="CA80" s="1171">
        <f t="shared" si="41"/>
        <v>0</v>
      </c>
      <c r="CB80" s="1171">
        <f t="shared" si="42"/>
        <v>0</v>
      </c>
      <c r="CC80" s="1171">
        <f t="shared" si="43"/>
        <v>0</v>
      </c>
      <c r="CD80" s="1171">
        <f t="shared" si="44"/>
        <v>0</v>
      </c>
      <c r="CE80" s="1171">
        <f t="shared" si="45"/>
        <v>0</v>
      </c>
      <c r="CF80" s="1171">
        <f t="shared" si="46"/>
        <v>0</v>
      </c>
      <c r="CG80" s="1171">
        <f t="shared" si="47"/>
        <v>0</v>
      </c>
      <c r="CH80" s="1171">
        <f t="shared" si="48"/>
        <v>0</v>
      </c>
      <c r="CI80" s="1171">
        <f t="shared" si="49"/>
        <v>0</v>
      </c>
      <c r="CJ80" s="1171">
        <f t="shared" si="50"/>
        <v>0</v>
      </c>
      <c r="CK80" s="1171">
        <f t="shared" si="51"/>
        <v>0</v>
      </c>
      <c r="CL80" s="1171">
        <f t="shared" si="52"/>
        <v>0</v>
      </c>
      <c r="CM80" s="1171">
        <f t="shared" si="53"/>
        <v>0</v>
      </c>
      <c r="CN80" s="1171">
        <f t="shared" si="54"/>
        <v>0</v>
      </c>
      <c r="CO80" s="1171">
        <f t="shared" si="55"/>
        <v>0</v>
      </c>
      <c r="CP80" s="1171">
        <f t="shared" si="56"/>
        <v>0</v>
      </c>
      <c r="CQ80" s="1171">
        <f t="shared" si="57"/>
        <v>0</v>
      </c>
      <c r="CR80" s="1171">
        <f t="shared" si="58"/>
        <v>0</v>
      </c>
      <c r="CS80" s="1171">
        <f t="shared" si="59"/>
        <v>0</v>
      </c>
      <c r="CT80" s="1171">
        <f t="shared" si="60"/>
        <v>0</v>
      </c>
      <c r="CU80" s="1171">
        <f t="shared" si="61"/>
        <v>0</v>
      </c>
      <c r="CV80" s="1171">
        <f t="shared" si="62"/>
        <v>0</v>
      </c>
      <c r="CW80" s="1171">
        <f t="shared" si="63"/>
        <v>0</v>
      </c>
      <c r="CX80" s="1171">
        <f t="shared" si="64"/>
        <v>0</v>
      </c>
      <c r="CY80" s="1171">
        <f t="shared" si="65"/>
        <v>0</v>
      </c>
      <c r="CZ80" s="1171">
        <f t="shared" si="66"/>
        <v>0</v>
      </c>
      <c r="DA80" s="1171">
        <f t="shared" si="67"/>
        <v>0</v>
      </c>
    </row>
    <row r="81" spans="2:105" ht="24.75" thickTop="1" thickBot="1">
      <c r="B81" s="69"/>
      <c r="C81" s="1108"/>
      <c r="D81" s="914"/>
      <c r="E81" s="1172"/>
      <c r="F81" s="914"/>
      <c r="G81" s="916"/>
      <c r="H81" s="914"/>
      <c r="I81" s="1173"/>
      <c r="J81" s="1232"/>
      <c r="K81" s="1249"/>
      <c r="L81" s="914"/>
      <c r="M81" s="1172"/>
      <c r="N81" s="914"/>
      <c r="O81" s="1173"/>
      <c r="P81" s="914"/>
      <c r="Q81" s="1173"/>
      <c r="R81" s="914"/>
      <c r="S81" s="1173"/>
      <c r="T81" s="914"/>
      <c r="U81" s="1173"/>
      <c r="V81" s="914"/>
      <c r="W81" s="1173"/>
      <c r="X81" s="1232"/>
      <c r="Y81" s="1234"/>
      <c r="Z81" s="914"/>
      <c r="AA81" s="1173"/>
      <c r="AB81" s="914"/>
      <c r="AC81" s="1173"/>
      <c r="AD81" s="914"/>
      <c r="AE81" s="1173"/>
      <c r="AF81" s="914"/>
      <c r="AG81" s="1173"/>
      <c r="AH81" s="914"/>
      <c r="AI81" s="1173"/>
      <c r="AJ81" s="914"/>
      <c r="AK81" s="1173"/>
      <c r="AL81" s="1232"/>
      <c r="AM81" s="1234"/>
      <c r="AN81" s="914"/>
      <c r="AO81" s="1173"/>
      <c r="AP81" s="914"/>
      <c r="AQ81" s="1173"/>
      <c r="AR81" s="914"/>
      <c r="AS81" s="1173"/>
      <c r="AT81" s="914"/>
      <c r="AU81" s="1173"/>
      <c r="AV81" s="914"/>
      <c r="AW81" s="1173"/>
      <c r="AX81" s="914"/>
      <c r="AY81" s="1173"/>
      <c r="AZ81" s="1232"/>
      <c r="BA81" s="1234"/>
      <c r="BB81" s="914"/>
      <c r="BC81" s="1173"/>
      <c r="BD81" s="914"/>
      <c r="BE81" s="1173"/>
      <c r="BF81" s="914"/>
      <c r="BG81" s="1173"/>
      <c r="BH81" s="914"/>
      <c r="BI81" s="1173"/>
      <c r="BJ81" s="914"/>
      <c r="BK81" s="1173"/>
      <c r="BL81" s="914"/>
      <c r="BM81" s="1174"/>
      <c r="BN81" s="1169">
        <f t="shared" si="0"/>
        <v>0</v>
      </c>
      <c r="BO81" s="491">
        <f t="shared" si="36"/>
        <v>0</v>
      </c>
      <c r="BP81" s="492"/>
      <c r="BQ81" s="493">
        <f t="shared" si="2"/>
        <v>0</v>
      </c>
      <c r="BR81" s="217">
        <f t="shared" si="3"/>
        <v>0</v>
      </c>
      <c r="BS81" s="217"/>
      <c r="BT81" s="1170">
        <f t="shared" si="4"/>
        <v>0</v>
      </c>
      <c r="BW81" s="1171">
        <f t="shared" si="37"/>
        <v>0</v>
      </c>
      <c r="BX81" s="1171">
        <f t="shared" si="38"/>
        <v>0</v>
      </c>
      <c r="BY81" s="1171">
        <f t="shared" si="39"/>
        <v>0</v>
      </c>
      <c r="BZ81" s="1171">
        <f t="shared" si="40"/>
        <v>0</v>
      </c>
      <c r="CA81" s="1171">
        <f t="shared" si="41"/>
        <v>0</v>
      </c>
      <c r="CB81" s="1171">
        <f t="shared" si="42"/>
        <v>0</v>
      </c>
      <c r="CC81" s="1171">
        <f t="shared" si="43"/>
        <v>0</v>
      </c>
      <c r="CD81" s="1171">
        <f t="shared" si="44"/>
        <v>0</v>
      </c>
      <c r="CE81" s="1171">
        <f t="shared" si="45"/>
        <v>0</v>
      </c>
      <c r="CF81" s="1171">
        <f t="shared" si="46"/>
        <v>0</v>
      </c>
      <c r="CG81" s="1171">
        <f t="shared" si="47"/>
        <v>0</v>
      </c>
      <c r="CH81" s="1171">
        <f t="shared" si="48"/>
        <v>0</v>
      </c>
      <c r="CI81" s="1171">
        <f t="shared" si="49"/>
        <v>0</v>
      </c>
      <c r="CJ81" s="1171">
        <f t="shared" si="50"/>
        <v>0</v>
      </c>
      <c r="CK81" s="1171">
        <f t="shared" si="51"/>
        <v>0</v>
      </c>
      <c r="CL81" s="1171">
        <f t="shared" si="52"/>
        <v>0</v>
      </c>
      <c r="CM81" s="1171">
        <f t="shared" si="53"/>
        <v>0</v>
      </c>
      <c r="CN81" s="1171">
        <f t="shared" si="54"/>
        <v>0</v>
      </c>
      <c r="CO81" s="1171">
        <f t="shared" si="55"/>
        <v>0</v>
      </c>
      <c r="CP81" s="1171">
        <f t="shared" si="56"/>
        <v>0</v>
      </c>
      <c r="CQ81" s="1171">
        <f t="shared" si="57"/>
        <v>0</v>
      </c>
      <c r="CR81" s="1171">
        <f t="shared" si="58"/>
        <v>0</v>
      </c>
      <c r="CS81" s="1171">
        <f t="shared" si="59"/>
        <v>0</v>
      </c>
      <c r="CT81" s="1171">
        <f t="shared" si="60"/>
        <v>0</v>
      </c>
      <c r="CU81" s="1171">
        <f t="shared" si="61"/>
        <v>0</v>
      </c>
      <c r="CV81" s="1171">
        <f t="shared" si="62"/>
        <v>0</v>
      </c>
      <c r="CW81" s="1171">
        <f t="shared" si="63"/>
        <v>0</v>
      </c>
      <c r="CX81" s="1171">
        <f t="shared" si="64"/>
        <v>0</v>
      </c>
      <c r="CY81" s="1171">
        <f t="shared" si="65"/>
        <v>0</v>
      </c>
      <c r="CZ81" s="1171">
        <f t="shared" si="66"/>
        <v>0</v>
      </c>
      <c r="DA81" s="1171">
        <f t="shared" si="67"/>
        <v>0</v>
      </c>
    </row>
    <row r="82" spans="2:105" ht="24.75" thickTop="1" thickBot="1">
      <c r="B82" s="69"/>
      <c r="C82" s="1108"/>
      <c r="D82" s="914"/>
      <c r="E82" s="1172"/>
      <c r="F82" s="914"/>
      <c r="G82" s="916"/>
      <c r="H82" s="914"/>
      <c r="I82" s="1173"/>
      <c r="J82" s="1232"/>
      <c r="K82" s="1249"/>
      <c r="L82" s="914"/>
      <c r="M82" s="1172"/>
      <c r="N82" s="914"/>
      <c r="O82" s="1173"/>
      <c r="P82" s="914"/>
      <c r="Q82" s="1173"/>
      <c r="R82" s="914"/>
      <c r="S82" s="1173"/>
      <c r="T82" s="914"/>
      <c r="U82" s="1173"/>
      <c r="V82" s="914"/>
      <c r="W82" s="1173"/>
      <c r="X82" s="1232"/>
      <c r="Y82" s="1234"/>
      <c r="Z82" s="914"/>
      <c r="AA82" s="1173"/>
      <c r="AB82" s="914"/>
      <c r="AC82" s="1173"/>
      <c r="AD82" s="914"/>
      <c r="AE82" s="1173"/>
      <c r="AF82" s="914"/>
      <c r="AG82" s="1173"/>
      <c r="AH82" s="914"/>
      <c r="AI82" s="1173"/>
      <c r="AJ82" s="914"/>
      <c r="AK82" s="1173"/>
      <c r="AL82" s="1232"/>
      <c r="AM82" s="1234"/>
      <c r="AN82" s="914"/>
      <c r="AO82" s="1173"/>
      <c r="AP82" s="914"/>
      <c r="AQ82" s="1173"/>
      <c r="AR82" s="914"/>
      <c r="AS82" s="1173"/>
      <c r="AT82" s="914"/>
      <c r="AU82" s="1173"/>
      <c r="AV82" s="914"/>
      <c r="AW82" s="1173"/>
      <c r="AX82" s="914"/>
      <c r="AY82" s="1173"/>
      <c r="AZ82" s="1232"/>
      <c r="BA82" s="1234"/>
      <c r="BB82" s="914"/>
      <c r="BC82" s="1173"/>
      <c r="BD82" s="914"/>
      <c r="BE82" s="1173"/>
      <c r="BF82" s="914"/>
      <c r="BG82" s="1173"/>
      <c r="BH82" s="914"/>
      <c r="BI82" s="1173"/>
      <c r="BJ82" s="914"/>
      <c r="BK82" s="1173"/>
      <c r="BL82" s="914"/>
      <c r="BM82" s="1174"/>
      <c r="BN82" s="1169">
        <f t="shared" si="0"/>
        <v>0</v>
      </c>
      <c r="BO82" s="491">
        <f t="shared" si="36"/>
        <v>0</v>
      </c>
      <c r="BP82" s="492"/>
      <c r="BQ82" s="493">
        <f t="shared" si="2"/>
        <v>0</v>
      </c>
      <c r="BR82" s="217">
        <f t="shared" si="3"/>
        <v>0</v>
      </c>
      <c r="BS82" s="217"/>
      <c r="BT82" s="1170">
        <f t="shared" si="4"/>
        <v>0</v>
      </c>
      <c r="BW82" s="1171">
        <f t="shared" si="37"/>
        <v>0</v>
      </c>
      <c r="BX82" s="1171">
        <f t="shared" si="38"/>
        <v>0</v>
      </c>
      <c r="BY82" s="1171">
        <f t="shared" si="39"/>
        <v>0</v>
      </c>
      <c r="BZ82" s="1171">
        <f t="shared" si="40"/>
        <v>0</v>
      </c>
      <c r="CA82" s="1171">
        <f t="shared" si="41"/>
        <v>0</v>
      </c>
      <c r="CB82" s="1171">
        <f t="shared" si="42"/>
        <v>0</v>
      </c>
      <c r="CC82" s="1171">
        <f t="shared" si="43"/>
        <v>0</v>
      </c>
      <c r="CD82" s="1171">
        <f t="shared" si="44"/>
        <v>0</v>
      </c>
      <c r="CE82" s="1171">
        <f t="shared" si="45"/>
        <v>0</v>
      </c>
      <c r="CF82" s="1171">
        <f t="shared" si="46"/>
        <v>0</v>
      </c>
      <c r="CG82" s="1171">
        <f t="shared" si="47"/>
        <v>0</v>
      </c>
      <c r="CH82" s="1171">
        <f t="shared" si="48"/>
        <v>0</v>
      </c>
      <c r="CI82" s="1171">
        <f t="shared" si="49"/>
        <v>0</v>
      </c>
      <c r="CJ82" s="1171">
        <f t="shared" si="50"/>
        <v>0</v>
      </c>
      <c r="CK82" s="1171">
        <f t="shared" si="51"/>
        <v>0</v>
      </c>
      <c r="CL82" s="1171">
        <f t="shared" si="52"/>
        <v>0</v>
      </c>
      <c r="CM82" s="1171">
        <f t="shared" si="53"/>
        <v>0</v>
      </c>
      <c r="CN82" s="1171">
        <f t="shared" si="54"/>
        <v>0</v>
      </c>
      <c r="CO82" s="1171">
        <f t="shared" si="55"/>
        <v>0</v>
      </c>
      <c r="CP82" s="1171">
        <f t="shared" si="56"/>
        <v>0</v>
      </c>
      <c r="CQ82" s="1171">
        <f t="shared" si="57"/>
        <v>0</v>
      </c>
      <c r="CR82" s="1171">
        <f t="shared" si="58"/>
        <v>0</v>
      </c>
      <c r="CS82" s="1171">
        <f t="shared" si="59"/>
        <v>0</v>
      </c>
      <c r="CT82" s="1171">
        <f t="shared" si="60"/>
        <v>0</v>
      </c>
      <c r="CU82" s="1171">
        <f t="shared" si="61"/>
        <v>0</v>
      </c>
      <c r="CV82" s="1171">
        <f t="shared" si="62"/>
        <v>0</v>
      </c>
      <c r="CW82" s="1171">
        <f t="shared" si="63"/>
        <v>0</v>
      </c>
      <c r="CX82" s="1171">
        <f t="shared" si="64"/>
        <v>0</v>
      </c>
      <c r="CY82" s="1171">
        <f t="shared" si="65"/>
        <v>0</v>
      </c>
      <c r="CZ82" s="1171">
        <f t="shared" si="66"/>
        <v>0</v>
      </c>
      <c r="DA82" s="1171">
        <f t="shared" si="67"/>
        <v>0</v>
      </c>
    </row>
    <row r="83" spans="2:105" ht="24.75" thickTop="1" thickBot="1">
      <c r="B83" s="69"/>
      <c r="C83" s="1108"/>
      <c r="D83" s="914"/>
      <c r="E83" s="916"/>
      <c r="F83" s="914"/>
      <c r="G83" s="916"/>
      <c r="H83" s="914"/>
      <c r="I83" s="1173"/>
      <c r="J83" s="1232"/>
      <c r="K83" s="1251"/>
      <c r="L83" s="914"/>
      <c r="M83" s="916"/>
      <c r="N83" s="914"/>
      <c r="O83" s="1173"/>
      <c r="P83" s="914"/>
      <c r="Q83" s="1173"/>
      <c r="R83" s="914"/>
      <c r="S83" s="1173"/>
      <c r="T83" s="914"/>
      <c r="U83" s="1173"/>
      <c r="V83" s="914"/>
      <c r="W83" s="1173"/>
      <c r="X83" s="1232"/>
      <c r="Y83" s="1234"/>
      <c r="Z83" s="914"/>
      <c r="AA83" s="1173"/>
      <c r="AB83" s="914"/>
      <c r="AC83" s="1173"/>
      <c r="AD83" s="914"/>
      <c r="AE83" s="1173"/>
      <c r="AF83" s="914"/>
      <c r="AG83" s="1173"/>
      <c r="AH83" s="914"/>
      <c r="AI83" s="1173"/>
      <c r="AJ83" s="914"/>
      <c r="AK83" s="1173"/>
      <c r="AL83" s="1232"/>
      <c r="AM83" s="1234"/>
      <c r="AN83" s="914"/>
      <c r="AO83" s="1173"/>
      <c r="AP83" s="914"/>
      <c r="AQ83" s="1173"/>
      <c r="AR83" s="914"/>
      <c r="AS83" s="1173"/>
      <c r="AT83" s="914"/>
      <c r="AU83" s="1173"/>
      <c r="AV83" s="914"/>
      <c r="AW83" s="1173"/>
      <c r="AX83" s="914"/>
      <c r="AY83" s="1173"/>
      <c r="AZ83" s="1232"/>
      <c r="BA83" s="1234"/>
      <c r="BB83" s="914"/>
      <c r="BC83" s="1173"/>
      <c r="BD83" s="914"/>
      <c r="BE83" s="1173"/>
      <c r="BF83" s="914"/>
      <c r="BG83" s="1173"/>
      <c r="BH83" s="914"/>
      <c r="BI83" s="1173"/>
      <c r="BJ83" s="914"/>
      <c r="BK83" s="1173"/>
      <c r="BL83" s="914"/>
      <c r="BM83" s="1174"/>
      <c r="BN83" s="1169">
        <f t="shared" si="0"/>
        <v>0</v>
      </c>
      <c r="BO83" s="213">
        <f t="shared" si="36"/>
        <v>0</v>
      </c>
      <c r="BP83" s="492"/>
      <c r="BQ83" s="493">
        <f t="shared" si="2"/>
        <v>0</v>
      </c>
      <c r="BR83" s="217">
        <f t="shared" si="3"/>
        <v>0</v>
      </c>
      <c r="BS83" s="217"/>
      <c r="BT83" s="1170">
        <f t="shared" si="4"/>
        <v>0</v>
      </c>
      <c r="BW83" s="1171">
        <f t="shared" si="37"/>
        <v>0</v>
      </c>
      <c r="BX83" s="1171">
        <f t="shared" si="38"/>
        <v>0</v>
      </c>
      <c r="BY83" s="1171">
        <f t="shared" si="39"/>
        <v>0</v>
      </c>
      <c r="BZ83" s="1171">
        <f t="shared" si="40"/>
        <v>0</v>
      </c>
      <c r="CA83" s="1171">
        <f t="shared" si="41"/>
        <v>0</v>
      </c>
      <c r="CB83" s="1171">
        <f t="shared" si="42"/>
        <v>0</v>
      </c>
      <c r="CC83" s="1171">
        <f t="shared" si="43"/>
        <v>0</v>
      </c>
      <c r="CD83" s="1171">
        <f t="shared" si="44"/>
        <v>0</v>
      </c>
      <c r="CE83" s="1171">
        <f t="shared" si="45"/>
        <v>0</v>
      </c>
      <c r="CF83" s="1171">
        <f t="shared" si="46"/>
        <v>0</v>
      </c>
      <c r="CG83" s="1171">
        <f t="shared" si="47"/>
        <v>0</v>
      </c>
      <c r="CH83" s="1171">
        <f t="shared" si="48"/>
        <v>0</v>
      </c>
      <c r="CI83" s="1171">
        <f t="shared" si="49"/>
        <v>0</v>
      </c>
      <c r="CJ83" s="1171">
        <f t="shared" si="50"/>
        <v>0</v>
      </c>
      <c r="CK83" s="1171">
        <f t="shared" si="51"/>
        <v>0</v>
      </c>
      <c r="CL83" s="1171">
        <f t="shared" si="52"/>
        <v>0</v>
      </c>
      <c r="CM83" s="1171">
        <f t="shared" si="53"/>
        <v>0</v>
      </c>
      <c r="CN83" s="1171">
        <f t="shared" si="54"/>
        <v>0</v>
      </c>
      <c r="CO83" s="1171">
        <f t="shared" si="55"/>
        <v>0</v>
      </c>
      <c r="CP83" s="1171">
        <f t="shared" si="56"/>
        <v>0</v>
      </c>
      <c r="CQ83" s="1171">
        <f t="shared" si="57"/>
        <v>0</v>
      </c>
      <c r="CR83" s="1171">
        <f t="shared" si="58"/>
        <v>0</v>
      </c>
      <c r="CS83" s="1171">
        <f t="shared" si="59"/>
        <v>0</v>
      </c>
      <c r="CT83" s="1171">
        <f t="shared" si="60"/>
        <v>0</v>
      </c>
      <c r="CU83" s="1171">
        <f t="shared" si="61"/>
        <v>0</v>
      </c>
      <c r="CV83" s="1171">
        <f t="shared" si="62"/>
        <v>0</v>
      </c>
      <c r="CW83" s="1171">
        <f t="shared" si="63"/>
        <v>0</v>
      </c>
      <c r="CX83" s="1171">
        <f t="shared" si="64"/>
        <v>0</v>
      </c>
      <c r="CY83" s="1171">
        <f t="shared" si="65"/>
        <v>0</v>
      </c>
      <c r="CZ83" s="1171">
        <f t="shared" si="66"/>
        <v>0</v>
      </c>
      <c r="DA83" s="1171">
        <f t="shared" si="67"/>
        <v>0</v>
      </c>
    </row>
    <row r="84" spans="2:105" ht="24.75" thickTop="1" thickBot="1">
      <c r="B84" s="69"/>
      <c r="C84" s="1187"/>
      <c r="D84" s="1188"/>
      <c r="E84" s="1189"/>
      <c r="F84" s="1188"/>
      <c r="G84" s="1189"/>
      <c r="H84" s="1188"/>
      <c r="I84" s="1224"/>
      <c r="J84" s="1236"/>
      <c r="K84" s="1252"/>
      <c r="L84" s="1188"/>
      <c r="M84" s="1189"/>
      <c r="N84" s="1188"/>
      <c r="O84" s="1224"/>
      <c r="P84" s="1188"/>
      <c r="Q84" s="1224"/>
      <c r="R84" s="1188"/>
      <c r="S84" s="1224"/>
      <c r="T84" s="1188"/>
      <c r="U84" s="1224"/>
      <c r="V84" s="1188"/>
      <c r="W84" s="1224"/>
      <c r="X84" s="1236"/>
      <c r="Y84" s="1237"/>
      <c r="Z84" s="1188"/>
      <c r="AA84" s="1224"/>
      <c r="AB84" s="1188"/>
      <c r="AC84" s="1224"/>
      <c r="AD84" s="1188"/>
      <c r="AE84" s="1224"/>
      <c r="AF84" s="1188"/>
      <c r="AG84" s="1224"/>
      <c r="AH84" s="1188"/>
      <c r="AI84" s="1224"/>
      <c r="AJ84" s="1188"/>
      <c r="AK84" s="1224"/>
      <c r="AL84" s="1236"/>
      <c r="AM84" s="1237"/>
      <c r="AN84" s="1188"/>
      <c r="AO84" s="1224"/>
      <c r="AP84" s="1188"/>
      <c r="AQ84" s="1224"/>
      <c r="AR84" s="1188"/>
      <c r="AS84" s="1224"/>
      <c r="AT84" s="1188"/>
      <c r="AU84" s="1224"/>
      <c r="AV84" s="1188"/>
      <c r="AW84" s="1224"/>
      <c r="AX84" s="1188"/>
      <c r="AY84" s="1224"/>
      <c r="AZ84" s="1236"/>
      <c r="BA84" s="1237"/>
      <c r="BB84" s="1188"/>
      <c r="BC84" s="1224"/>
      <c r="BD84" s="1188"/>
      <c r="BE84" s="1224"/>
      <c r="BF84" s="1188"/>
      <c r="BG84" s="1224"/>
      <c r="BH84" s="1188"/>
      <c r="BI84" s="1224"/>
      <c r="BJ84" s="1188"/>
      <c r="BK84" s="1224"/>
      <c r="BL84" s="1188"/>
      <c r="BM84" s="1244"/>
      <c r="BN84" s="1190">
        <f t="shared" si="0"/>
        <v>0</v>
      </c>
      <c r="BO84" s="213">
        <f t="shared" si="36"/>
        <v>0</v>
      </c>
      <c r="BP84" s="1192"/>
      <c r="BQ84" s="493">
        <f t="shared" si="2"/>
        <v>0</v>
      </c>
      <c r="BR84" s="217">
        <f t="shared" si="3"/>
        <v>0</v>
      </c>
      <c r="BS84" s="1194"/>
      <c r="BT84" s="1170">
        <f t="shared" si="4"/>
        <v>0</v>
      </c>
      <c r="BW84" s="1171">
        <f t="shared" si="37"/>
        <v>0</v>
      </c>
      <c r="BX84" s="1171">
        <f t="shared" si="38"/>
        <v>0</v>
      </c>
      <c r="BY84" s="1171">
        <f t="shared" si="39"/>
        <v>0</v>
      </c>
      <c r="BZ84" s="1171">
        <f t="shared" si="40"/>
        <v>0</v>
      </c>
      <c r="CA84" s="1171">
        <f t="shared" si="41"/>
        <v>0</v>
      </c>
      <c r="CB84" s="1171">
        <f t="shared" si="42"/>
        <v>0</v>
      </c>
      <c r="CC84" s="1171">
        <f t="shared" si="43"/>
        <v>0</v>
      </c>
      <c r="CD84" s="1171">
        <f t="shared" si="44"/>
        <v>0</v>
      </c>
      <c r="CE84" s="1171">
        <f t="shared" si="45"/>
        <v>0</v>
      </c>
      <c r="CF84" s="1171">
        <f t="shared" si="46"/>
        <v>0</v>
      </c>
      <c r="CG84" s="1171">
        <f t="shared" si="47"/>
        <v>0</v>
      </c>
      <c r="CH84" s="1171">
        <f t="shared" si="48"/>
        <v>0</v>
      </c>
      <c r="CI84" s="1171">
        <f t="shared" si="49"/>
        <v>0</v>
      </c>
      <c r="CJ84" s="1171">
        <f t="shared" si="50"/>
        <v>0</v>
      </c>
      <c r="CK84" s="1171">
        <f t="shared" si="51"/>
        <v>0</v>
      </c>
      <c r="CL84" s="1171">
        <f t="shared" si="52"/>
        <v>0</v>
      </c>
      <c r="CM84" s="1171">
        <f t="shared" si="53"/>
        <v>0</v>
      </c>
      <c r="CN84" s="1171">
        <f t="shared" si="54"/>
        <v>0</v>
      </c>
      <c r="CO84" s="1171">
        <f t="shared" si="55"/>
        <v>0</v>
      </c>
      <c r="CP84" s="1171">
        <f t="shared" si="56"/>
        <v>0</v>
      </c>
      <c r="CQ84" s="1171">
        <f t="shared" si="57"/>
        <v>0</v>
      </c>
      <c r="CR84" s="1171">
        <f t="shared" si="58"/>
        <v>0</v>
      </c>
      <c r="CS84" s="1171">
        <f t="shared" si="59"/>
        <v>0</v>
      </c>
      <c r="CT84" s="1171">
        <f t="shared" si="60"/>
        <v>0</v>
      </c>
      <c r="CU84" s="1171">
        <f t="shared" si="61"/>
        <v>0</v>
      </c>
      <c r="CV84" s="1171">
        <f t="shared" si="62"/>
        <v>0</v>
      </c>
      <c r="CW84" s="1171">
        <f t="shared" si="63"/>
        <v>0</v>
      </c>
      <c r="CX84" s="1171">
        <f t="shared" si="64"/>
        <v>0</v>
      </c>
      <c r="CY84" s="1171">
        <f t="shared" si="65"/>
        <v>0</v>
      </c>
      <c r="CZ84" s="1171">
        <f t="shared" si="66"/>
        <v>0</v>
      </c>
      <c r="DA84" s="1171">
        <f t="shared" si="67"/>
        <v>0</v>
      </c>
    </row>
    <row r="85" spans="2:105" ht="24.75" thickTop="1" thickBot="1">
      <c r="B85" s="69"/>
      <c r="C85" s="1187"/>
      <c r="D85" s="1188"/>
      <c r="E85" s="1189"/>
      <c r="F85" s="1188"/>
      <c r="G85" s="1189"/>
      <c r="H85" s="1188"/>
      <c r="I85" s="1224"/>
      <c r="J85" s="1236"/>
      <c r="K85" s="1252"/>
      <c r="L85" s="1188"/>
      <c r="M85" s="1189"/>
      <c r="N85" s="1188"/>
      <c r="O85" s="1224"/>
      <c r="P85" s="1188"/>
      <c r="Q85" s="1224"/>
      <c r="R85" s="1188"/>
      <c r="S85" s="1224"/>
      <c r="T85" s="1188"/>
      <c r="U85" s="1224"/>
      <c r="V85" s="1188"/>
      <c r="W85" s="1224"/>
      <c r="X85" s="1236"/>
      <c r="Y85" s="1237"/>
      <c r="Z85" s="1188"/>
      <c r="AA85" s="1224"/>
      <c r="AB85" s="1188"/>
      <c r="AC85" s="1224"/>
      <c r="AD85" s="1188"/>
      <c r="AE85" s="1224"/>
      <c r="AF85" s="1188"/>
      <c r="AG85" s="1224"/>
      <c r="AH85" s="1188"/>
      <c r="AI85" s="1224"/>
      <c r="AJ85" s="1188"/>
      <c r="AK85" s="1224"/>
      <c r="AL85" s="1236"/>
      <c r="AM85" s="1237"/>
      <c r="AN85" s="1188"/>
      <c r="AO85" s="1224"/>
      <c r="AP85" s="1188"/>
      <c r="AQ85" s="1224"/>
      <c r="AR85" s="1188"/>
      <c r="AS85" s="1224"/>
      <c r="AT85" s="1188"/>
      <c r="AU85" s="1224"/>
      <c r="AV85" s="1188"/>
      <c r="AW85" s="1224"/>
      <c r="AX85" s="1188"/>
      <c r="AY85" s="1224"/>
      <c r="AZ85" s="1236"/>
      <c r="BA85" s="1237"/>
      <c r="BB85" s="1188"/>
      <c r="BC85" s="1224"/>
      <c r="BD85" s="1188"/>
      <c r="BE85" s="1224"/>
      <c r="BF85" s="1188"/>
      <c r="BG85" s="1224"/>
      <c r="BH85" s="1188"/>
      <c r="BI85" s="1224"/>
      <c r="BJ85" s="1188"/>
      <c r="BK85" s="1224"/>
      <c r="BL85" s="1188"/>
      <c r="BM85" s="1244"/>
      <c r="BN85" s="1190">
        <f t="shared" si="0"/>
        <v>0</v>
      </c>
      <c r="BO85" s="213">
        <f t="shared" si="36"/>
        <v>0</v>
      </c>
      <c r="BP85" s="1192"/>
      <c r="BQ85" s="493">
        <f t="shared" si="2"/>
        <v>0</v>
      </c>
      <c r="BR85" s="217">
        <f t="shared" si="3"/>
        <v>0</v>
      </c>
      <c r="BS85" s="1194"/>
      <c r="BT85" s="1170">
        <f t="shared" si="4"/>
        <v>0</v>
      </c>
      <c r="BW85" s="1171">
        <f t="shared" si="37"/>
        <v>0</v>
      </c>
      <c r="BX85" s="1171">
        <f t="shared" si="38"/>
        <v>0</v>
      </c>
      <c r="BY85" s="1171">
        <f t="shared" si="39"/>
        <v>0</v>
      </c>
      <c r="BZ85" s="1171">
        <f t="shared" si="40"/>
        <v>0</v>
      </c>
      <c r="CA85" s="1171">
        <f t="shared" si="41"/>
        <v>0</v>
      </c>
      <c r="CB85" s="1171">
        <f t="shared" si="42"/>
        <v>0</v>
      </c>
      <c r="CC85" s="1171">
        <f t="shared" si="43"/>
        <v>0</v>
      </c>
      <c r="CD85" s="1171">
        <f t="shared" si="44"/>
        <v>0</v>
      </c>
      <c r="CE85" s="1171">
        <f t="shared" si="45"/>
        <v>0</v>
      </c>
      <c r="CF85" s="1171">
        <f t="shared" si="46"/>
        <v>0</v>
      </c>
      <c r="CG85" s="1171">
        <f t="shared" si="47"/>
        <v>0</v>
      </c>
      <c r="CH85" s="1171">
        <f t="shared" si="48"/>
        <v>0</v>
      </c>
      <c r="CI85" s="1171">
        <f t="shared" si="49"/>
        <v>0</v>
      </c>
      <c r="CJ85" s="1171">
        <f t="shared" si="50"/>
        <v>0</v>
      </c>
      <c r="CK85" s="1171">
        <f t="shared" si="51"/>
        <v>0</v>
      </c>
      <c r="CL85" s="1171">
        <f t="shared" si="52"/>
        <v>0</v>
      </c>
      <c r="CM85" s="1171">
        <f t="shared" si="53"/>
        <v>0</v>
      </c>
      <c r="CN85" s="1171">
        <f t="shared" si="54"/>
        <v>0</v>
      </c>
      <c r="CO85" s="1171">
        <f t="shared" si="55"/>
        <v>0</v>
      </c>
      <c r="CP85" s="1171">
        <f t="shared" si="56"/>
        <v>0</v>
      </c>
      <c r="CQ85" s="1171">
        <f t="shared" si="57"/>
        <v>0</v>
      </c>
      <c r="CR85" s="1171">
        <f t="shared" si="58"/>
        <v>0</v>
      </c>
      <c r="CS85" s="1171">
        <f t="shared" si="59"/>
        <v>0</v>
      </c>
      <c r="CT85" s="1171">
        <f t="shared" si="60"/>
        <v>0</v>
      </c>
      <c r="CU85" s="1171">
        <f t="shared" si="61"/>
        <v>0</v>
      </c>
      <c r="CV85" s="1171">
        <f t="shared" si="62"/>
        <v>0</v>
      </c>
      <c r="CW85" s="1171">
        <f t="shared" si="63"/>
        <v>0</v>
      </c>
      <c r="CX85" s="1171">
        <f t="shared" si="64"/>
        <v>0</v>
      </c>
      <c r="CY85" s="1171">
        <f t="shared" si="65"/>
        <v>0</v>
      </c>
      <c r="CZ85" s="1171">
        <f t="shared" si="66"/>
        <v>0</v>
      </c>
      <c r="DA85" s="1171">
        <f t="shared" si="67"/>
        <v>0</v>
      </c>
    </row>
    <row r="86" spans="2:105" ht="24.75" thickTop="1" thickBot="1">
      <c r="B86" s="69"/>
      <c r="C86" s="1187"/>
      <c r="D86" s="1188"/>
      <c r="E86" s="1189"/>
      <c r="F86" s="1188"/>
      <c r="G86" s="1189"/>
      <c r="H86" s="1188"/>
      <c r="I86" s="1224"/>
      <c r="J86" s="1236"/>
      <c r="K86" s="1252"/>
      <c r="L86" s="1188"/>
      <c r="M86" s="1189"/>
      <c r="N86" s="1188"/>
      <c r="O86" s="1224"/>
      <c r="P86" s="1188"/>
      <c r="Q86" s="1224"/>
      <c r="R86" s="1188"/>
      <c r="S86" s="1224"/>
      <c r="T86" s="1188"/>
      <c r="U86" s="1224"/>
      <c r="V86" s="1188"/>
      <c r="W86" s="1224"/>
      <c r="X86" s="1236"/>
      <c r="Y86" s="1237"/>
      <c r="Z86" s="1188"/>
      <c r="AA86" s="1224"/>
      <c r="AB86" s="1188"/>
      <c r="AC86" s="1224"/>
      <c r="AD86" s="1188"/>
      <c r="AE86" s="1224"/>
      <c r="AF86" s="1188"/>
      <c r="AG86" s="1224"/>
      <c r="AH86" s="1188"/>
      <c r="AI86" s="1224"/>
      <c r="AJ86" s="1188"/>
      <c r="AK86" s="1224"/>
      <c r="AL86" s="1236"/>
      <c r="AM86" s="1237"/>
      <c r="AN86" s="1188"/>
      <c r="AO86" s="1224"/>
      <c r="AP86" s="1188"/>
      <c r="AQ86" s="1224"/>
      <c r="AR86" s="1188"/>
      <c r="AS86" s="1224"/>
      <c r="AT86" s="1188"/>
      <c r="AU86" s="1224"/>
      <c r="AV86" s="1188"/>
      <c r="AW86" s="1224"/>
      <c r="AX86" s="1188"/>
      <c r="AY86" s="1224"/>
      <c r="AZ86" s="1236"/>
      <c r="BA86" s="1237"/>
      <c r="BB86" s="1188"/>
      <c r="BC86" s="1224"/>
      <c r="BD86" s="1188"/>
      <c r="BE86" s="1224"/>
      <c r="BF86" s="1188"/>
      <c r="BG86" s="1224"/>
      <c r="BH86" s="1188"/>
      <c r="BI86" s="1224"/>
      <c r="BJ86" s="1188"/>
      <c r="BK86" s="1224"/>
      <c r="BL86" s="1188"/>
      <c r="BM86" s="1244"/>
      <c r="BN86" s="1190">
        <f t="shared" si="0"/>
        <v>0</v>
      </c>
      <c r="BO86" s="213">
        <f t="shared" si="36"/>
        <v>0</v>
      </c>
      <c r="BP86" s="1192"/>
      <c r="BQ86" s="493">
        <f t="shared" si="2"/>
        <v>0</v>
      </c>
      <c r="BR86" s="217">
        <f t="shared" si="3"/>
        <v>0</v>
      </c>
      <c r="BS86" s="1194"/>
      <c r="BT86" s="1170">
        <f t="shared" si="4"/>
        <v>0</v>
      </c>
      <c r="BW86" s="1171">
        <f t="shared" si="37"/>
        <v>0</v>
      </c>
      <c r="BX86" s="1171">
        <f t="shared" si="38"/>
        <v>0</v>
      </c>
      <c r="BY86" s="1171">
        <f t="shared" si="39"/>
        <v>0</v>
      </c>
      <c r="BZ86" s="1171">
        <f t="shared" si="40"/>
        <v>0</v>
      </c>
      <c r="CA86" s="1171">
        <f t="shared" si="41"/>
        <v>0</v>
      </c>
      <c r="CB86" s="1171">
        <f t="shared" si="42"/>
        <v>0</v>
      </c>
      <c r="CC86" s="1171">
        <f t="shared" si="43"/>
        <v>0</v>
      </c>
      <c r="CD86" s="1171">
        <f t="shared" si="44"/>
        <v>0</v>
      </c>
      <c r="CE86" s="1171">
        <f t="shared" si="45"/>
        <v>0</v>
      </c>
      <c r="CF86" s="1171">
        <f t="shared" si="46"/>
        <v>0</v>
      </c>
      <c r="CG86" s="1171">
        <f t="shared" si="47"/>
        <v>0</v>
      </c>
      <c r="CH86" s="1171">
        <f t="shared" si="48"/>
        <v>0</v>
      </c>
      <c r="CI86" s="1171">
        <f t="shared" si="49"/>
        <v>0</v>
      </c>
      <c r="CJ86" s="1171">
        <f t="shared" si="50"/>
        <v>0</v>
      </c>
      <c r="CK86" s="1171">
        <f t="shared" si="51"/>
        <v>0</v>
      </c>
      <c r="CL86" s="1171">
        <f t="shared" si="52"/>
        <v>0</v>
      </c>
      <c r="CM86" s="1171">
        <f t="shared" si="53"/>
        <v>0</v>
      </c>
      <c r="CN86" s="1171">
        <f t="shared" si="54"/>
        <v>0</v>
      </c>
      <c r="CO86" s="1171">
        <f t="shared" si="55"/>
        <v>0</v>
      </c>
      <c r="CP86" s="1171">
        <f t="shared" si="56"/>
        <v>0</v>
      </c>
      <c r="CQ86" s="1171">
        <f t="shared" si="57"/>
        <v>0</v>
      </c>
      <c r="CR86" s="1171">
        <f t="shared" si="58"/>
        <v>0</v>
      </c>
      <c r="CS86" s="1171">
        <f t="shared" si="59"/>
        <v>0</v>
      </c>
      <c r="CT86" s="1171">
        <f t="shared" si="60"/>
        <v>0</v>
      </c>
      <c r="CU86" s="1171">
        <f t="shared" si="61"/>
        <v>0</v>
      </c>
      <c r="CV86" s="1171">
        <f t="shared" si="62"/>
        <v>0</v>
      </c>
      <c r="CW86" s="1171">
        <f t="shared" si="63"/>
        <v>0</v>
      </c>
      <c r="CX86" s="1171">
        <f t="shared" si="64"/>
        <v>0</v>
      </c>
      <c r="CY86" s="1171">
        <f t="shared" si="65"/>
        <v>0</v>
      </c>
      <c r="CZ86" s="1171">
        <f t="shared" si="66"/>
        <v>0</v>
      </c>
      <c r="DA86" s="1171">
        <f t="shared" si="67"/>
        <v>0</v>
      </c>
    </row>
    <row r="87" spans="2:105" ht="24.75" thickTop="1" thickBot="1">
      <c r="B87" s="69"/>
      <c r="C87" s="1187"/>
      <c r="D87" s="1188"/>
      <c r="E87" s="1189"/>
      <c r="F87" s="1188"/>
      <c r="G87" s="1189"/>
      <c r="H87" s="1188"/>
      <c r="I87" s="1224"/>
      <c r="J87" s="1236"/>
      <c r="K87" s="1252"/>
      <c r="L87" s="1188"/>
      <c r="M87" s="1189"/>
      <c r="N87" s="1188"/>
      <c r="O87" s="1224"/>
      <c r="P87" s="1188"/>
      <c r="Q87" s="1224"/>
      <c r="R87" s="1188"/>
      <c r="S87" s="1224"/>
      <c r="T87" s="1188"/>
      <c r="U87" s="1224"/>
      <c r="V87" s="1188"/>
      <c r="W87" s="1224"/>
      <c r="X87" s="1236"/>
      <c r="Y87" s="1237"/>
      <c r="Z87" s="1188"/>
      <c r="AA87" s="1224"/>
      <c r="AB87" s="1188"/>
      <c r="AC87" s="1224"/>
      <c r="AD87" s="1188"/>
      <c r="AE87" s="1224"/>
      <c r="AF87" s="1188"/>
      <c r="AG87" s="1224"/>
      <c r="AH87" s="1188"/>
      <c r="AI87" s="1224"/>
      <c r="AJ87" s="1188"/>
      <c r="AK87" s="1224"/>
      <c r="AL87" s="1236"/>
      <c r="AM87" s="1237"/>
      <c r="AN87" s="1188"/>
      <c r="AO87" s="1224"/>
      <c r="AP87" s="1188"/>
      <c r="AQ87" s="1224"/>
      <c r="AR87" s="1188"/>
      <c r="AS87" s="1224"/>
      <c r="AT87" s="1188"/>
      <c r="AU87" s="1224"/>
      <c r="AV87" s="1188"/>
      <c r="AW87" s="1224"/>
      <c r="AX87" s="1188"/>
      <c r="AY87" s="1224"/>
      <c r="AZ87" s="1236"/>
      <c r="BA87" s="1237"/>
      <c r="BB87" s="1188"/>
      <c r="BC87" s="1224"/>
      <c r="BD87" s="1188"/>
      <c r="BE87" s="1224"/>
      <c r="BF87" s="1188"/>
      <c r="BG87" s="1224"/>
      <c r="BH87" s="1188"/>
      <c r="BI87" s="1224"/>
      <c r="BJ87" s="1188"/>
      <c r="BK87" s="1224"/>
      <c r="BL87" s="1188"/>
      <c r="BM87" s="1244"/>
      <c r="BN87" s="1190">
        <f t="shared" si="0"/>
        <v>0</v>
      </c>
      <c r="BO87" s="213">
        <f t="shared" si="36"/>
        <v>0</v>
      </c>
      <c r="BP87" s="1192"/>
      <c r="BQ87" s="493">
        <f t="shared" si="2"/>
        <v>0</v>
      </c>
      <c r="BR87" s="217">
        <f t="shared" si="3"/>
        <v>0</v>
      </c>
      <c r="BS87" s="1194"/>
      <c r="BT87" s="1170">
        <f t="shared" si="4"/>
        <v>0</v>
      </c>
      <c r="BW87" s="1171">
        <f t="shared" si="37"/>
        <v>0</v>
      </c>
      <c r="BX87" s="1171">
        <f t="shared" si="38"/>
        <v>0</v>
      </c>
      <c r="BY87" s="1171">
        <f t="shared" si="39"/>
        <v>0</v>
      </c>
      <c r="BZ87" s="1171">
        <f t="shared" si="40"/>
        <v>0</v>
      </c>
      <c r="CA87" s="1171">
        <f t="shared" si="41"/>
        <v>0</v>
      </c>
      <c r="CB87" s="1171">
        <f t="shared" si="42"/>
        <v>0</v>
      </c>
      <c r="CC87" s="1171">
        <f t="shared" si="43"/>
        <v>0</v>
      </c>
      <c r="CD87" s="1171">
        <f t="shared" si="44"/>
        <v>0</v>
      </c>
      <c r="CE87" s="1171">
        <f t="shared" si="45"/>
        <v>0</v>
      </c>
      <c r="CF87" s="1171">
        <f t="shared" si="46"/>
        <v>0</v>
      </c>
      <c r="CG87" s="1171">
        <f t="shared" si="47"/>
        <v>0</v>
      </c>
      <c r="CH87" s="1171">
        <f t="shared" si="48"/>
        <v>0</v>
      </c>
      <c r="CI87" s="1171">
        <f t="shared" si="49"/>
        <v>0</v>
      </c>
      <c r="CJ87" s="1171">
        <f t="shared" si="50"/>
        <v>0</v>
      </c>
      <c r="CK87" s="1171">
        <f t="shared" si="51"/>
        <v>0</v>
      </c>
      <c r="CL87" s="1171">
        <f t="shared" si="52"/>
        <v>0</v>
      </c>
      <c r="CM87" s="1171">
        <f t="shared" si="53"/>
        <v>0</v>
      </c>
      <c r="CN87" s="1171">
        <f t="shared" si="54"/>
        <v>0</v>
      </c>
      <c r="CO87" s="1171">
        <f t="shared" si="55"/>
        <v>0</v>
      </c>
      <c r="CP87" s="1171">
        <f t="shared" si="56"/>
        <v>0</v>
      </c>
      <c r="CQ87" s="1171">
        <f t="shared" si="57"/>
        <v>0</v>
      </c>
      <c r="CR87" s="1171">
        <f t="shared" si="58"/>
        <v>0</v>
      </c>
      <c r="CS87" s="1171">
        <f t="shared" si="59"/>
        <v>0</v>
      </c>
      <c r="CT87" s="1171">
        <f t="shared" si="60"/>
        <v>0</v>
      </c>
      <c r="CU87" s="1171">
        <f t="shared" si="61"/>
        <v>0</v>
      </c>
      <c r="CV87" s="1171">
        <f t="shared" si="62"/>
        <v>0</v>
      </c>
      <c r="CW87" s="1171">
        <f t="shared" si="63"/>
        <v>0</v>
      </c>
      <c r="CX87" s="1171">
        <f t="shared" si="64"/>
        <v>0</v>
      </c>
      <c r="CY87" s="1171">
        <f t="shared" si="65"/>
        <v>0</v>
      </c>
      <c r="CZ87" s="1171">
        <f t="shared" si="66"/>
        <v>0</v>
      </c>
      <c r="DA87" s="1171">
        <f t="shared" si="67"/>
        <v>0</v>
      </c>
    </row>
    <row r="88" spans="2:105" ht="24.75" thickTop="1" thickBot="1">
      <c r="B88" s="69"/>
      <c r="C88" s="1187"/>
      <c r="D88" s="1188"/>
      <c r="E88" s="1189"/>
      <c r="F88" s="1188"/>
      <c r="G88" s="1189"/>
      <c r="H88" s="1188"/>
      <c r="I88" s="1224"/>
      <c r="J88" s="1236"/>
      <c r="K88" s="1252"/>
      <c r="L88" s="1188"/>
      <c r="M88" s="1189"/>
      <c r="N88" s="1188"/>
      <c r="O88" s="1224"/>
      <c r="P88" s="1188"/>
      <c r="Q88" s="1224"/>
      <c r="R88" s="1188"/>
      <c r="S88" s="1224"/>
      <c r="T88" s="1188"/>
      <c r="U88" s="1224"/>
      <c r="V88" s="1188"/>
      <c r="W88" s="1224"/>
      <c r="X88" s="1236"/>
      <c r="Y88" s="1237"/>
      <c r="Z88" s="1188"/>
      <c r="AA88" s="1224"/>
      <c r="AB88" s="1188"/>
      <c r="AC88" s="1224"/>
      <c r="AD88" s="1188"/>
      <c r="AE88" s="1224"/>
      <c r="AF88" s="1188"/>
      <c r="AG88" s="1224"/>
      <c r="AH88" s="1188"/>
      <c r="AI88" s="1224"/>
      <c r="AJ88" s="1188"/>
      <c r="AK88" s="1224"/>
      <c r="AL88" s="1236"/>
      <c r="AM88" s="1237"/>
      <c r="AN88" s="1188"/>
      <c r="AO88" s="1224"/>
      <c r="AP88" s="1188"/>
      <c r="AQ88" s="1224"/>
      <c r="AR88" s="1188"/>
      <c r="AS88" s="1224"/>
      <c r="AT88" s="1188"/>
      <c r="AU88" s="1224"/>
      <c r="AV88" s="1188"/>
      <c r="AW88" s="1224"/>
      <c r="AX88" s="1188"/>
      <c r="AY88" s="1224"/>
      <c r="AZ88" s="1236"/>
      <c r="BA88" s="1237"/>
      <c r="BB88" s="1188"/>
      <c r="BC88" s="1224"/>
      <c r="BD88" s="1188"/>
      <c r="BE88" s="1224"/>
      <c r="BF88" s="1188"/>
      <c r="BG88" s="1224"/>
      <c r="BH88" s="1188"/>
      <c r="BI88" s="1224"/>
      <c r="BJ88" s="1188"/>
      <c r="BK88" s="1224"/>
      <c r="BL88" s="1188"/>
      <c r="BM88" s="1244"/>
      <c r="BN88" s="1190">
        <f t="shared" si="0"/>
        <v>0</v>
      </c>
      <c r="BO88" s="213">
        <f t="shared" si="36"/>
        <v>0</v>
      </c>
      <c r="BP88" s="1192"/>
      <c r="BQ88" s="493">
        <f t="shared" si="2"/>
        <v>0</v>
      </c>
      <c r="BR88" s="217">
        <f t="shared" si="3"/>
        <v>0</v>
      </c>
      <c r="BS88" s="1194"/>
      <c r="BT88" s="1170">
        <f t="shared" si="4"/>
        <v>0</v>
      </c>
      <c r="BW88" s="1171">
        <f t="shared" si="37"/>
        <v>0</v>
      </c>
      <c r="BX88" s="1171">
        <f t="shared" si="38"/>
        <v>0</v>
      </c>
      <c r="BY88" s="1171">
        <f t="shared" si="39"/>
        <v>0</v>
      </c>
      <c r="BZ88" s="1171">
        <f t="shared" si="40"/>
        <v>0</v>
      </c>
      <c r="CA88" s="1171">
        <f t="shared" si="41"/>
        <v>0</v>
      </c>
      <c r="CB88" s="1171">
        <f t="shared" si="42"/>
        <v>0</v>
      </c>
      <c r="CC88" s="1171">
        <f t="shared" si="43"/>
        <v>0</v>
      </c>
      <c r="CD88" s="1171">
        <f t="shared" si="44"/>
        <v>0</v>
      </c>
      <c r="CE88" s="1171">
        <f t="shared" si="45"/>
        <v>0</v>
      </c>
      <c r="CF88" s="1171">
        <f t="shared" si="46"/>
        <v>0</v>
      </c>
      <c r="CG88" s="1171">
        <f t="shared" si="47"/>
        <v>0</v>
      </c>
      <c r="CH88" s="1171">
        <f t="shared" si="48"/>
        <v>0</v>
      </c>
      <c r="CI88" s="1171">
        <f t="shared" si="49"/>
        <v>0</v>
      </c>
      <c r="CJ88" s="1171">
        <f t="shared" si="50"/>
        <v>0</v>
      </c>
      <c r="CK88" s="1171">
        <f t="shared" si="51"/>
        <v>0</v>
      </c>
      <c r="CL88" s="1171">
        <f t="shared" si="52"/>
        <v>0</v>
      </c>
      <c r="CM88" s="1171">
        <f t="shared" si="53"/>
        <v>0</v>
      </c>
      <c r="CN88" s="1171">
        <f t="shared" si="54"/>
        <v>0</v>
      </c>
      <c r="CO88" s="1171">
        <f t="shared" si="55"/>
        <v>0</v>
      </c>
      <c r="CP88" s="1171">
        <f t="shared" si="56"/>
        <v>0</v>
      </c>
      <c r="CQ88" s="1171">
        <f t="shared" si="57"/>
        <v>0</v>
      </c>
      <c r="CR88" s="1171">
        <f t="shared" si="58"/>
        <v>0</v>
      </c>
      <c r="CS88" s="1171">
        <f t="shared" si="59"/>
        <v>0</v>
      </c>
      <c r="CT88" s="1171">
        <f t="shared" si="60"/>
        <v>0</v>
      </c>
      <c r="CU88" s="1171">
        <f t="shared" si="61"/>
        <v>0</v>
      </c>
      <c r="CV88" s="1171">
        <f t="shared" si="62"/>
        <v>0</v>
      </c>
      <c r="CW88" s="1171">
        <f t="shared" si="63"/>
        <v>0</v>
      </c>
      <c r="CX88" s="1171">
        <f t="shared" si="64"/>
        <v>0</v>
      </c>
      <c r="CY88" s="1171">
        <f t="shared" si="65"/>
        <v>0</v>
      </c>
      <c r="CZ88" s="1171">
        <f t="shared" si="66"/>
        <v>0</v>
      </c>
      <c r="DA88" s="1171">
        <f t="shared" si="67"/>
        <v>0</v>
      </c>
    </row>
    <row r="89" spans="2:105" ht="24.75" thickTop="1" thickBot="1">
      <c r="B89" s="69"/>
      <c r="C89" s="1187"/>
      <c r="D89" s="1188"/>
      <c r="E89" s="1189"/>
      <c r="F89" s="1188"/>
      <c r="G89" s="1189"/>
      <c r="H89" s="1188"/>
      <c r="I89" s="1224"/>
      <c r="J89" s="1236"/>
      <c r="K89" s="1252"/>
      <c r="L89" s="1188"/>
      <c r="M89" s="1189"/>
      <c r="N89" s="1188"/>
      <c r="O89" s="1224"/>
      <c r="P89" s="1188"/>
      <c r="Q89" s="1224"/>
      <c r="R89" s="1188"/>
      <c r="S89" s="1224"/>
      <c r="T89" s="1188"/>
      <c r="U89" s="1224"/>
      <c r="V89" s="1188"/>
      <c r="W89" s="1224"/>
      <c r="X89" s="1236"/>
      <c r="Y89" s="1237"/>
      <c r="Z89" s="1188"/>
      <c r="AA89" s="1224"/>
      <c r="AB89" s="1188"/>
      <c r="AC89" s="1224"/>
      <c r="AD89" s="1188"/>
      <c r="AE89" s="1224"/>
      <c r="AF89" s="1188"/>
      <c r="AG89" s="1224"/>
      <c r="AH89" s="1188"/>
      <c r="AI89" s="1224"/>
      <c r="AJ89" s="1188"/>
      <c r="AK89" s="1224"/>
      <c r="AL89" s="1236"/>
      <c r="AM89" s="1237"/>
      <c r="AN89" s="1188"/>
      <c r="AO89" s="1224"/>
      <c r="AP89" s="1188"/>
      <c r="AQ89" s="1224"/>
      <c r="AR89" s="1188"/>
      <c r="AS89" s="1224"/>
      <c r="AT89" s="1188"/>
      <c r="AU89" s="1224"/>
      <c r="AV89" s="1188"/>
      <c r="AW89" s="1224"/>
      <c r="AX89" s="1188"/>
      <c r="AY89" s="1224"/>
      <c r="AZ89" s="1236"/>
      <c r="BA89" s="1237"/>
      <c r="BB89" s="1188"/>
      <c r="BC89" s="1224"/>
      <c r="BD89" s="1188"/>
      <c r="BE89" s="1224"/>
      <c r="BF89" s="1188"/>
      <c r="BG89" s="1224"/>
      <c r="BH89" s="1188"/>
      <c r="BI89" s="1224"/>
      <c r="BJ89" s="1188"/>
      <c r="BK89" s="1224"/>
      <c r="BL89" s="1188"/>
      <c r="BM89" s="1244"/>
      <c r="BN89" s="1190">
        <f t="shared" si="0"/>
        <v>0</v>
      </c>
      <c r="BO89" s="213">
        <f t="shared" si="36"/>
        <v>0</v>
      </c>
      <c r="BP89" s="1192"/>
      <c r="BQ89" s="493">
        <f t="shared" si="2"/>
        <v>0</v>
      </c>
      <c r="BR89" s="217">
        <f t="shared" si="3"/>
        <v>0</v>
      </c>
      <c r="BS89" s="1194"/>
      <c r="BT89" s="1170">
        <f t="shared" si="4"/>
        <v>0</v>
      </c>
      <c r="BW89" s="1171">
        <f t="shared" si="37"/>
        <v>0</v>
      </c>
      <c r="BX89" s="1171">
        <f t="shared" si="38"/>
        <v>0</v>
      </c>
      <c r="BY89" s="1171">
        <f t="shared" si="39"/>
        <v>0</v>
      </c>
      <c r="BZ89" s="1171">
        <f t="shared" si="40"/>
        <v>0</v>
      </c>
      <c r="CA89" s="1171">
        <f t="shared" si="41"/>
        <v>0</v>
      </c>
      <c r="CB89" s="1171">
        <f t="shared" si="42"/>
        <v>0</v>
      </c>
      <c r="CC89" s="1171">
        <f t="shared" si="43"/>
        <v>0</v>
      </c>
      <c r="CD89" s="1171">
        <f t="shared" si="44"/>
        <v>0</v>
      </c>
      <c r="CE89" s="1171">
        <f t="shared" si="45"/>
        <v>0</v>
      </c>
      <c r="CF89" s="1171">
        <f t="shared" si="46"/>
        <v>0</v>
      </c>
      <c r="CG89" s="1171">
        <f t="shared" si="47"/>
        <v>0</v>
      </c>
      <c r="CH89" s="1171">
        <f t="shared" si="48"/>
        <v>0</v>
      </c>
      <c r="CI89" s="1171">
        <f t="shared" si="49"/>
        <v>0</v>
      </c>
      <c r="CJ89" s="1171">
        <f t="shared" si="50"/>
        <v>0</v>
      </c>
      <c r="CK89" s="1171">
        <f t="shared" si="51"/>
        <v>0</v>
      </c>
      <c r="CL89" s="1171">
        <f t="shared" si="52"/>
        <v>0</v>
      </c>
      <c r="CM89" s="1171">
        <f t="shared" si="53"/>
        <v>0</v>
      </c>
      <c r="CN89" s="1171">
        <f t="shared" si="54"/>
        <v>0</v>
      </c>
      <c r="CO89" s="1171">
        <f t="shared" si="55"/>
        <v>0</v>
      </c>
      <c r="CP89" s="1171">
        <f t="shared" si="56"/>
        <v>0</v>
      </c>
      <c r="CQ89" s="1171">
        <f t="shared" si="57"/>
        <v>0</v>
      </c>
      <c r="CR89" s="1171">
        <f t="shared" si="58"/>
        <v>0</v>
      </c>
      <c r="CS89" s="1171">
        <f t="shared" si="59"/>
        <v>0</v>
      </c>
      <c r="CT89" s="1171">
        <f t="shared" si="60"/>
        <v>0</v>
      </c>
      <c r="CU89" s="1171">
        <f t="shared" si="61"/>
        <v>0</v>
      </c>
      <c r="CV89" s="1171">
        <f t="shared" si="62"/>
        <v>0</v>
      </c>
      <c r="CW89" s="1171">
        <f t="shared" si="63"/>
        <v>0</v>
      </c>
      <c r="CX89" s="1171">
        <f t="shared" si="64"/>
        <v>0</v>
      </c>
      <c r="CY89" s="1171">
        <f t="shared" si="65"/>
        <v>0</v>
      </c>
      <c r="CZ89" s="1171">
        <f t="shared" si="66"/>
        <v>0</v>
      </c>
      <c r="DA89" s="1171">
        <f t="shared" si="67"/>
        <v>0</v>
      </c>
    </row>
    <row r="90" spans="2:105" ht="24.75" thickTop="1" thickBot="1">
      <c r="B90" s="69"/>
      <c r="C90" s="1187"/>
      <c r="D90" s="1188"/>
      <c r="E90" s="1189"/>
      <c r="F90" s="1188"/>
      <c r="G90" s="1189"/>
      <c r="H90" s="1188"/>
      <c r="I90" s="1224"/>
      <c r="J90" s="1236"/>
      <c r="K90" s="1252"/>
      <c r="L90" s="1188"/>
      <c r="M90" s="1189"/>
      <c r="N90" s="1188"/>
      <c r="O90" s="1224"/>
      <c r="P90" s="1188"/>
      <c r="Q90" s="1224"/>
      <c r="R90" s="1188"/>
      <c r="S90" s="1224"/>
      <c r="T90" s="1188"/>
      <c r="U90" s="1224"/>
      <c r="V90" s="1188"/>
      <c r="W90" s="1224"/>
      <c r="X90" s="1236"/>
      <c r="Y90" s="1237"/>
      <c r="Z90" s="1188"/>
      <c r="AA90" s="1224"/>
      <c r="AB90" s="1188"/>
      <c r="AC90" s="1224"/>
      <c r="AD90" s="1188"/>
      <c r="AE90" s="1224"/>
      <c r="AF90" s="1188"/>
      <c r="AG90" s="1224"/>
      <c r="AH90" s="1188"/>
      <c r="AI90" s="1224"/>
      <c r="AJ90" s="1188"/>
      <c r="AK90" s="1224"/>
      <c r="AL90" s="1236"/>
      <c r="AM90" s="1237"/>
      <c r="AN90" s="1188"/>
      <c r="AO90" s="1224"/>
      <c r="AP90" s="1188"/>
      <c r="AQ90" s="1224"/>
      <c r="AR90" s="1188"/>
      <c r="AS90" s="1224"/>
      <c r="AT90" s="1188"/>
      <c r="AU90" s="1224"/>
      <c r="AV90" s="1188"/>
      <c r="AW90" s="1224"/>
      <c r="AX90" s="1188"/>
      <c r="AY90" s="1224"/>
      <c r="AZ90" s="1236"/>
      <c r="BA90" s="1237"/>
      <c r="BB90" s="1188"/>
      <c r="BC90" s="1224"/>
      <c r="BD90" s="1188"/>
      <c r="BE90" s="1224"/>
      <c r="BF90" s="1188"/>
      <c r="BG90" s="1224"/>
      <c r="BH90" s="1188"/>
      <c r="BI90" s="1224"/>
      <c r="BJ90" s="1188"/>
      <c r="BK90" s="1224"/>
      <c r="BL90" s="1188"/>
      <c r="BM90" s="1244"/>
      <c r="BN90" s="1190">
        <f t="shared" si="0"/>
        <v>0</v>
      </c>
      <c r="BO90" s="213">
        <f t="shared" si="36"/>
        <v>0</v>
      </c>
      <c r="BP90" s="1192"/>
      <c r="BQ90" s="493">
        <f t="shared" si="2"/>
        <v>0</v>
      </c>
      <c r="BR90" s="217">
        <f t="shared" si="3"/>
        <v>0</v>
      </c>
      <c r="BS90" s="1194"/>
      <c r="BT90" s="1170">
        <f t="shared" si="4"/>
        <v>0</v>
      </c>
      <c r="BW90" s="1171">
        <f t="shared" si="37"/>
        <v>0</v>
      </c>
      <c r="BX90" s="1171">
        <f t="shared" si="38"/>
        <v>0</v>
      </c>
      <c r="BY90" s="1171">
        <f t="shared" si="39"/>
        <v>0</v>
      </c>
      <c r="BZ90" s="1171">
        <f t="shared" si="40"/>
        <v>0</v>
      </c>
      <c r="CA90" s="1171">
        <f t="shared" si="41"/>
        <v>0</v>
      </c>
      <c r="CB90" s="1171">
        <f t="shared" si="42"/>
        <v>0</v>
      </c>
      <c r="CC90" s="1171">
        <f t="shared" si="43"/>
        <v>0</v>
      </c>
      <c r="CD90" s="1171">
        <f t="shared" si="44"/>
        <v>0</v>
      </c>
      <c r="CE90" s="1171">
        <f t="shared" si="45"/>
        <v>0</v>
      </c>
      <c r="CF90" s="1171">
        <f t="shared" si="46"/>
        <v>0</v>
      </c>
      <c r="CG90" s="1171">
        <f t="shared" si="47"/>
        <v>0</v>
      </c>
      <c r="CH90" s="1171">
        <f t="shared" si="48"/>
        <v>0</v>
      </c>
      <c r="CI90" s="1171">
        <f t="shared" si="49"/>
        <v>0</v>
      </c>
      <c r="CJ90" s="1171">
        <f t="shared" si="50"/>
        <v>0</v>
      </c>
      <c r="CK90" s="1171">
        <f t="shared" si="51"/>
        <v>0</v>
      </c>
      <c r="CL90" s="1171">
        <f t="shared" si="52"/>
        <v>0</v>
      </c>
      <c r="CM90" s="1171">
        <f t="shared" si="53"/>
        <v>0</v>
      </c>
      <c r="CN90" s="1171">
        <f t="shared" si="54"/>
        <v>0</v>
      </c>
      <c r="CO90" s="1171">
        <f t="shared" si="55"/>
        <v>0</v>
      </c>
      <c r="CP90" s="1171">
        <f t="shared" si="56"/>
        <v>0</v>
      </c>
      <c r="CQ90" s="1171">
        <f t="shared" si="57"/>
        <v>0</v>
      </c>
      <c r="CR90" s="1171">
        <f t="shared" si="58"/>
        <v>0</v>
      </c>
      <c r="CS90" s="1171">
        <f t="shared" si="59"/>
        <v>0</v>
      </c>
      <c r="CT90" s="1171">
        <f t="shared" si="60"/>
        <v>0</v>
      </c>
      <c r="CU90" s="1171">
        <f t="shared" si="61"/>
        <v>0</v>
      </c>
      <c r="CV90" s="1171">
        <f t="shared" si="62"/>
        <v>0</v>
      </c>
      <c r="CW90" s="1171">
        <f t="shared" si="63"/>
        <v>0</v>
      </c>
      <c r="CX90" s="1171">
        <f t="shared" si="64"/>
        <v>0</v>
      </c>
      <c r="CY90" s="1171">
        <f t="shared" si="65"/>
        <v>0</v>
      </c>
      <c r="CZ90" s="1171">
        <f t="shared" si="66"/>
        <v>0</v>
      </c>
      <c r="DA90" s="1171">
        <f t="shared" si="67"/>
        <v>0</v>
      </c>
    </row>
    <row r="91" spans="2:105" ht="24.75" thickTop="1" thickBot="1">
      <c r="B91" s="69"/>
      <c r="C91" s="1187"/>
      <c r="D91" s="1188"/>
      <c r="E91" s="1189"/>
      <c r="F91" s="1188"/>
      <c r="G91" s="1189"/>
      <c r="H91" s="1188"/>
      <c r="I91" s="1224"/>
      <c r="J91" s="1236"/>
      <c r="K91" s="1252"/>
      <c r="L91" s="1188"/>
      <c r="M91" s="1189"/>
      <c r="N91" s="1188"/>
      <c r="O91" s="1224"/>
      <c r="P91" s="1188"/>
      <c r="Q91" s="1224"/>
      <c r="R91" s="1188"/>
      <c r="S91" s="1224"/>
      <c r="T91" s="1188"/>
      <c r="U91" s="1224"/>
      <c r="V91" s="1188"/>
      <c r="W91" s="1224"/>
      <c r="X91" s="1236"/>
      <c r="Y91" s="1237"/>
      <c r="Z91" s="1188"/>
      <c r="AA91" s="1224"/>
      <c r="AB91" s="1188"/>
      <c r="AC91" s="1224"/>
      <c r="AD91" s="1188"/>
      <c r="AE91" s="1224"/>
      <c r="AF91" s="1188"/>
      <c r="AG91" s="1224"/>
      <c r="AH91" s="1188"/>
      <c r="AI91" s="1224"/>
      <c r="AJ91" s="1188"/>
      <c r="AK91" s="1224"/>
      <c r="AL91" s="1236"/>
      <c r="AM91" s="1237"/>
      <c r="AN91" s="1188"/>
      <c r="AO91" s="1224"/>
      <c r="AP91" s="1188"/>
      <c r="AQ91" s="1224"/>
      <c r="AR91" s="1188"/>
      <c r="AS91" s="1224"/>
      <c r="AT91" s="1188"/>
      <c r="AU91" s="1224"/>
      <c r="AV91" s="1188"/>
      <c r="AW91" s="1224"/>
      <c r="AX91" s="1188"/>
      <c r="AY91" s="1224"/>
      <c r="AZ91" s="1236"/>
      <c r="BA91" s="1237"/>
      <c r="BB91" s="1188"/>
      <c r="BC91" s="1224"/>
      <c r="BD91" s="1188"/>
      <c r="BE91" s="1224"/>
      <c r="BF91" s="1188"/>
      <c r="BG91" s="1224"/>
      <c r="BH91" s="1188"/>
      <c r="BI91" s="1224"/>
      <c r="BJ91" s="1188"/>
      <c r="BK91" s="1224"/>
      <c r="BL91" s="1188"/>
      <c r="BM91" s="1244"/>
      <c r="BN91" s="1190"/>
      <c r="BO91" s="1191">
        <f t="shared" si="36"/>
        <v>0</v>
      </c>
      <c r="BP91" s="1192"/>
      <c r="BQ91" s="1193">
        <f t="shared" si="2"/>
        <v>0</v>
      </c>
      <c r="BR91" s="217">
        <f t="shared" si="3"/>
        <v>0</v>
      </c>
      <c r="BS91" s="1194"/>
      <c r="BT91" s="1170">
        <f t="shared" si="4"/>
        <v>0</v>
      </c>
      <c r="BW91" s="1171">
        <f t="shared" si="37"/>
        <v>0</v>
      </c>
      <c r="BX91" s="1171">
        <f t="shared" si="38"/>
        <v>0</v>
      </c>
      <c r="BY91" s="1171">
        <f t="shared" si="39"/>
        <v>0</v>
      </c>
      <c r="BZ91" s="1171">
        <f t="shared" si="40"/>
        <v>0</v>
      </c>
      <c r="CA91" s="1171">
        <f t="shared" si="41"/>
        <v>0</v>
      </c>
      <c r="CB91" s="1171">
        <f t="shared" si="42"/>
        <v>0</v>
      </c>
      <c r="CC91" s="1171">
        <f t="shared" si="43"/>
        <v>0</v>
      </c>
      <c r="CD91" s="1171">
        <f t="shared" si="44"/>
        <v>0</v>
      </c>
      <c r="CE91" s="1171">
        <f t="shared" si="45"/>
        <v>0</v>
      </c>
      <c r="CF91" s="1171">
        <f t="shared" si="46"/>
        <v>0</v>
      </c>
      <c r="CG91" s="1171">
        <f t="shared" si="47"/>
        <v>0</v>
      </c>
      <c r="CH91" s="1171">
        <f t="shared" si="48"/>
        <v>0</v>
      </c>
      <c r="CI91" s="1171">
        <f t="shared" si="49"/>
        <v>0</v>
      </c>
      <c r="CJ91" s="1171">
        <f t="shared" si="50"/>
        <v>0</v>
      </c>
      <c r="CK91" s="1171">
        <f t="shared" si="51"/>
        <v>0</v>
      </c>
      <c r="CL91" s="1171">
        <f t="shared" si="52"/>
        <v>0</v>
      </c>
      <c r="CM91" s="1171">
        <f t="shared" si="53"/>
        <v>0</v>
      </c>
      <c r="CN91" s="1171">
        <f t="shared" si="54"/>
        <v>0</v>
      </c>
      <c r="CO91" s="1171">
        <f t="shared" si="55"/>
        <v>0</v>
      </c>
      <c r="CP91" s="1171">
        <f t="shared" si="56"/>
        <v>0</v>
      </c>
      <c r="CQ91" s="1171">
        <f t="shared" si="57"/>
        <v>0</v>
      </c>
      <c r="CR91" s="1171">
        <f t="shared" si="58"/>
        <v>0</v>
      </c>
      <c r="CS91" s="1171">
        <f t="shared" si="59"/>
        <v>0</v>
      </c>
      <c r="CT91" s="1171">
        <f t="shared" si="60"/>
        <v>0</v>
      </c>
      <c r="CU91" s="1171">
        <f t="shared" si="61"/>
        <v>0</v>
      </c>
      <c r="CV91" s="1171">
        <f t="shared" si="62"/>
        <v>0</v>
      </c>
      <c r="CW91" s="1171">
        <f t="shared" si="63"/>
        <v>0</v>
      </c>
      <c r="CX91" s="1171">
        <f t="shared" si="64"/>
        <v>0</v>
      </c>
      <c r="CY91" s="1171">
        <f t="shared" si="65"/>
        <v>0</v>
      </c>
      <c r="CZ91" s="1171">
        <f t="shared" si="66"/>
        <v>0</v>
      </c>
      <c r="DA91" s="1171">
        <f t="shared" si="67"/>
        <v>0</v>
      </c>
    </row>
    <row r="92" spans="2:105" ht="24.75" thickTop="1" thickBot="1">
      <c r="B92" s="69"/>
      <c r="C92" s="1187"/>
      <c r="D92" s="1188"/>
      <c r="E92" s="1189"/>
      <c r="F92" s="1188"/>
      <c r="G92" s="1189"/>
      <c r="H92" s="1188"/>
      <c r="I92" s="1224"/>
      <c r="J92" s="1236"/>
      <c r="K92" s="1252"/>
      <c r="L92" s="1188"/>
      <c r="M92" s="1189"/>
      <c r="N92" s="1188"/>
      <c r="O92" s="1224"/>
      <c r="P92" s="1188"/>
      <c r="Q92" s="1224"/>
      <c r="R92" s="1188"/>
      <c r="S92" s="1224"/>
      <c r="T92" s="1188"/>
      <c r="U92" s="1224"/>
      <c r="V92" s="1188"/>
      <c r="W92" s="1224"/>
      <c r="X92" s="1236"/>
      <c r="Y92" s="1237"/>
      <c r="Z92" s="1188"/>
      <c r="AA92" s="1224"/>
      <c r="AB92" s="1188"/>
      <c r="AC92" s="1224"/>
      <c r="AD92" s="1188"/>
      <c r="AE92" s="1224"/>
      <c r="AF92" s="1188"/>
      <c r="AG92" s="1224"/>
      <c r="AH92" s="1188"/>
      <c r="AI92" s="1224"/>
      <c r="AJ92" s="1188"/>
      <c r="AK92" s="1224"/>
      <c r="AL92" s="1236"/>
      <c r="AM92" s="1237"/>
      <c r="AN92" s="1188"/>
      <c r="AO92" s="1224"/>
      <c r="AP92" s="1188"/>
      <c r="AQ92" s="1224"/>
      <c r="AR92" s="1188"/>
      <c r="AS92" s="1224"/>
      <c r="AT92" s="1188"/>
      <c r="AU92" s="1224"/>
      <c r="AV92" s="1188"/>
      <c r="AW92" s="1224"/>
      <c r="AX92" s="1188"/>
      <c r="AY92" s="1224"/>
      <c r="AZ92" s="1236"/>
      <c r="BA92" s="1237"/>
      <c r="BB92" s="1188"/>
      <c r="BC92" s="1224"/>
      <c r="BD92" s="1188"/>
      <c r="BE92" s="1224"/>
      <c r="BF92" s="1188"/>
      <c r="BG92" s="1224"/>
      <c r="BH92" s="1188"/>
      <c r="BI92" s="1224"/>
      <c r="BJ92" s="1188"/>
      <c r="BK92" s="1224"/>
      <c r="BL92" s="1188"/>
      <c r="BM92" s="1244"/>
      <c r="BN92" s="1190"/>
      <c r="BO92" s="1191">
        <f t="shared" si="36"/>
        <v>0</v>
      </c>
      <c r="BP92" s="1192"/>
      <c r="BQ92" s="1193">
        <f t="shared" si="2"/>
        <v>0</v>
      </c>
      <c r="BR92" s="217">
        <f t="shared" si="3"/>
        <v>0</v>
      </c>
      <c r="BS92" s="1194"/>
      <c r="BT92" s="1170">
        <f t="shared" si="4"/>
        <v>0</v>
      </c>
      <c r="BW92" s="1171">
        <f t="shared" si="37"/>
        <v>0</v>
      </c>
      <c r="BX92" s="1171">
        <f t="shared" si="38"/>
        <v>0</v>
      </c>
      <c r="BY92" s="1171">
        <f t="shared" si="39"/>
        <v>0</v>
      </c>
      <c r="BZ92" s="1171">
        <f t="shared" si="40"/>
        <v>0</v>
      </c>
      <c r="CA92" s="1171">
        <f t="shared" si="41"/>
        <v>0</v>
      </c>
      <c r="CB92" s="1171">
        <f t="shared" si="42"/>
        <v>0</v>
      </c>
      <c r="CC92" s="1171">
        <f t="shared" si="43"/>
        <v>0</v>
      </c>
      <c r="CD92" s="1171">
        <f t="shared" si="44"/>
        <v>0</v>
      </c>
      <c r="CE92" s="1171">
        <f t="shared" si="45"/>
        <v>0</v>
      </c>
      <c r="CF92" s="1171">
        <f t="shared" si="46"/>
        <v>0</v>
      </c>
      <c r="CG92" s="1171">
        <f t="shared" si="47"/>
        <v>0</v>
      </c>
      <c r="CH92" s="1171">
        <f t="shared" si="48"/>
        <v>0</v>
      </c>
      <c r="CI92" s="1171">
        <f t="shared" si="49"/>
        <v>0</v>
      </c>
      <c r="CJ92" s="1171">
        <f t="shared" si="50"/>
        <v>0</v>
      </c>
      <c r="CK92" s="1171">
        <f t="shared" si="51"/>
        <v>0</v>
      </c>
      <c r="CL92" s="1171">
        <f t="shared" si="52"/>
        <v>0</v>
      </c>
      <c r="CM92" s="1171">
        <f t="shared" si="53"/>
        <v>0</v>
      </c>
      <c r="CN92" s="1171">
        <f t="shared" si="54"/>
        <v>0</v>
      </c>
      <c r="CO92" s="1171">
        <f t="shared" si="55"/>
        <v>0</v>
      </c>
      <c r="CP92" s="1171">
        <f t="shared" si="56"/>
        <v>0</v>
      </c>
      <c r="CQ92" s="1171">
        <f t="shared" si="57"/>
        <v>0</v>
      </c>
      <c r="CR92" s="1171">
        <f t="shared" si="58"/>
        <v>0</v>
      </c>
      <c r="CS92" s="1171">
        <f t="shared" si="59"/>
        <v>0</v>
      </c>
      <c r="CT92" s="1171">
        <f t="shared" si="60"/>
        <v>0</v>
      </c>
      <c r="CU92" s="1171">
        <f t="shared" si="61"/>
        <v>0</v>
      </c>
      <c r="CV92" s="1171">
        <f t="shared" si="62"/>
        <v>0</v>
      </c>
      <c r="CW92" s="1171">
        <f t="shared" si="63"/>
        <v>0</v>
      </c>
      <c r="CX92" s="1171">
        <f t="shared" si="64"/>
        <v>0</v>
      </c>
      <c r="CY92" s="1171">
        <f t="shared" si="65"/>
        <v>0</v>
      </c>
      <c r="CZ92" s="1171">
        <f t="shared" si="66"/>
        <v>0</v>
      </c>
      <c r="DA92" s="1171">
        <f t="shared" si="67"/>
        <v>0</v>
      </c>
    </row>
    <row r="93" spans="2:105" ht="24.75" thickTop="1" thickBot="1">
      <c r="B93" s="69"/>
      <c r="C93" s="1187"/>
      <c r="D93" s="1188"/>
      <c r="E93" s="1189"/>
      <c r="F93" s="1188"/>
      <c r="G93" s="1189"/>
      <c r="H93" s="1188"/>
      <c r="I93" s="1224"/>
      <c r="J93" s="1236"/>
      <c r="K93" s="1252"/>
      <c r="L93" s="1188"/>
      <c r="M93" s="1189"/>
      <c r="N93" s="1188"/>
      <c r="O93" s="1224"/>
      <c r="P93" s="1188"/>
      <c r="Q93" s="1224"/>
      <c r="R93" s="1188"/>
      <c r="S93" s="1224"/>
      <c r="T93" s="1188"/>
      <c r="U93" s="1224"/>
      <c r="V93" s="1188"/>
      <c r="W93" s="1224"/>
      <c r="X93" s="1236"/>
      <c r="Y93" s="1237"/>
      <c r="Z93" s="1188"/>
      <c r="AA93" s="1224"/>
      <c r="AB93" s="1188"/>
      <c r="AC93" s="1224"/>
      <c r="AD93" s="1188"/>
      <c r="AE93" s="1224"/>
      <c r="AF93" s="1188"/>
      <c r="AG93" s="1224"/>
      <c r="AH93" s="1188"/>
      <c r="AI93" s="1224"/>
      <c r="AJ93" s="1188"/>
      <c r="AK93" s="1224"/>
      <c r="AL93" s="1236"/>
      <c r="AM93" s="1237"/>
      <c r="AN93" s="1188"/>
      <c r="AO93" s="1224"/>
      <c r="AP93" s="1188"/>
      <c r="AQ93" s="1224"/>
      <c r="AR93" s="1188"/>
      <c r="AS93" s="1224"/>
      <c r="AT93" s="1188"/>
      <c r="AU93" s="1224"/>
      <c r="AV93" s="1188"/>
      <c r="AW93" s="1224"/>
      <c r="AX93" s="1188"/>
      <c r="AY93" s="1224"/>
      <c r="AZ93" s="1236"/>
      <c r="BA93" s="1237"/>
      <c r="BB93" s="1188"/>
      <c r="BC93" s="1224"/>
      <c r="BD93" s="1188"/>
      <c r="BE93" s="1224"/>
      <c r="BF93" s="1188"/>
      <c r="BG93" s="1224"/>
      <c r="BH93" s="1188"/>
      <c r="BI93" s="1224"/>
      <c r="BJ93" s="1188"/>
      <c r="BK93" s="1224"/>
      <c r="BL93" s="1188"/>
      <c r="BM93" s="1244"/>
      <c r="BN93" s="1190"/>
      <c r="BO93" s="1191"/>
      <c r="BP93" s="1192"/>
      <c r="BQ93" s="1193"/>
      <c r="BR93" s="1194"/>
      <c r="BS93" s="1194"/>
      <c r="BT93" s="1195"/>
      <c r="BW93" s="1171">
        <f t="shared" si="37"/>
        <v>0</v>
      </c>
      <c r="BX93" s="1171">
        <f t="shared" si="38"/>
        <v>0</v>
      </c>
      <c r="BY93" s="1171">
        <f t="shared" si="39"/>
        <v>0</v>
      </c>
      <c r="BZ93" s="1171">
        <f t="shared" si="40"/>
        <v>0</v>
      </c>
      <c r="CA93" s="1171">
        <f t="shared" si="41"/>
        <v>0</v>
      </c>
      <c r="CB93" s="1171">
        <f t="shared" si="42"/>
        <v>0</v>
      </c>
      <c r="CC93" s="1171">
        <f t="shared" si="43"/>
        <v>0</v>
      </c>
      <c r="CD93" s="1171">
        <f t="shared" si="44"/>
        <v>0</v>
      </c>
      <c r="CE93" s="1171">
        <f t="shared" si="45"/>
        <v>0</v>
      </c>
      <c r="CF93" s="1171">
        <f t="shared" si="46"/>
        <v>0</v>
      </c>
      <c r="CG93" s="1171">
        <f t="shared" si="47"/>
        <v>0</v>
      </c>
      <c r="CH93" s="1171">
        <f t="shared" si="48"/>
        <v>0</v>
      </c>
      <c r="CI93" s="1171">
        <f t="shared" si="49"/>
        <v>0</v>
      </c>
      <c r="CJ93" s="1171">
        <f t="shared" si="50"/>
        <v>0</v>
      </c>
      <c r="CK93" s="1171">
        <f t="shared" si="51"/>
        <v>0</v>
      </c>
      <c r="CL93" s="1171">
        <f t="shared" si="52"/>
        <v>0</v>
      </c>
      <c r="CM93" s="1171">
        <f t="shared" si="53"/>
        <v>0</v>
      </c>
      <c r="CN93" s="1171">
        <f t="shared" si="54"/>
        <v>0</v>
      </c>
      <c r="CO93" s="1171">
        <f t="shared" si="55"/>
        <v>0</v>
      </c>
      <c r="CP93" s="1171">
        <f t="shared" si="56"/>
        <v>0</v>
      </c>
      <c r="CQ93" s="1171">
        <f t="shared" si="57"/>
        <v>0</v>
      </c>
      <c r="CR93" s="1171">
        <f t="shared" si="58"/>
        <v>0</v>
      </c>
      <c r="CS93" s="1171">
        <f t="shared" si="59"/>
        <v>0</v>
      </c>
      <c r="CT93" s="1171">
        <f t="shared" si="60"/>
        <v>0</v>
      </c>
      <c r="CU93" s="1171">
        <f t="shared" si="61"/>
        <v>0</v>
      </c>
      <c r="CV93" s="1171">
        <f t="shared" si="62"/>
        <v>0</v>
      </c>
      <c r="CW93" s="1171">
        <f t="shared" si="63"/>
        <v>0</v>
      </c>
      <c r="CX93" s="1171">
        <f t="shared" si="64"/>
        <v>0</v>
      </c>
      <c r="CY93" s="1171">
        <f t="shared" si="65"/>
        <v>0</v>
      </c>
      <c r="CZ93" s="1171">
        <f t="shared" si="66"/>
        <v>0</v>
      </c>
      <c r="DA93" s="1171">
        <f t="shared" si="67"/>
        <v>0</v>
      </c>
    </row>
    <row r="94" spans="2:105" ht="24.75" thickTop="1" thickBot="1">
      <c r="B94" s="69"/>
      <c r="C94" s="1187"/>
      <c r="D94" s="1188"/>
      <c r="E94" s="1189"/>
      <c r="F94" s="1188"/>
      <c r="G94" s="1189"/>
      <c r="H94" s="1188"/>
      <c r="I94" s="1224"/>
      <c r="J94" s="1236"/>
      <c r="K94" s="1252"/>
      <c r="L94" s="1188"/>
      <c r="M94" s="1189"/>
      <c r="N94" s="1188"/>
      <c r="O94" s="1224"/>
      <c r="P94" s="1188"/>
      <c r="Q94" s="1224"/>
      <c r="R94" s="1188"/>
      <c r="S94" s="1224"/>
      <c r="T94" s="1188"/>
      <c r="U94" s="1224"/>
      <c r="V94" s="1188"/>
      <c r="W94" s="1224"/>
      <c r="X94" s="1236"/>
      <c r="Y94" s="1237"/>
      <c r="Z94" s="1188"/>
      <c r="AA94" s="1224"/>
      <c r="AB94" s="1188"/>
      <c r="AC94" s="1224"/>
      <c r="AD94" s="1188"/>
      <c r="AE94" s="1224"/>
      <c r="AF94" s="1188"/>
      <c r="AG94" s="1224"/>
      <c r="AH94" s="1188"/>
      <c r="AI94" s="1224"/>
      <c r="AJ94" s="1188"/>
      <c r="AK94" s="1224"/>
      <c r="AL94" s="1236"/>
      <c r="AM94" s="1237"/>
      <c r="AN94" s="1188"/>
      <c r="AO94" s="1224"/>
      <c r="AP94" s="1188"/>
      <c r="AQ94" s="1224"/>
      <c r="AR94" s="1188"/>
      <c r="AS94" s="1224"/>
      <c r="AT94" s="1188"/>
      <c r="AU94" s="1224"/>
      <c r="AV94" s="1188"/>
      <c r="AW94" s="1224"/>
      <c r="AX94" s="1188"/>
      <c r="AY94" s="1224"/>
      <c r="AZ94" s="1236"/>
      <c r="BA94" s="1237"/>
      <c r="BB94" s="1188"/>
      <c r="BC94" s="1224"/>
      <c r="BD94" s="1188"/>
      <c r="BE94" s="1224"/>
      <c r="BF94" s="1188"/>
      <c r="BG94" s="1224"/>
      <c r="BH94" s="1188"/>
      <c r="BI94" s="1224"/>
      <c r="BJ94" s="1188"/>
      <c r="BK94" s="1224"/>
      <c r="BL94" s="1188"/>
      <c r="BM94" s="1244"/>
      <c r="BN94" s="1190"/>
      <c r="BO94" s="1191"/>
      <c r="BP94" s="1192"/>
      <c r="BQ94" s="1193"/>
      <c r="BR94" s="1194"/>
      <c r="BS94" s="1194"/>
      <c r="BT94" s="1195"/>
      <c r="BW94" s="1171">
        <f t="shared" si="37"/>
        <v>0</v>
      </c>
      <c r="BX94" s="1171">
        <f t="shared" si="38"/>
        <v>0</v>
      </c>
      <c r="BY94" s="1171">
        <f t="shared" si="39"/>
        <v>0</v>
      </c>
      <c r="BZ94" s="1171">
        <f t="shared" si="40"/>
        <v>0</v>
      </c>
      <c r="CA94" s="1171">
        <f t="shared" si="41"/>
        <v>0</v>
      </c>
      <c r="CB94" s="1171">
        <f t="shared" si="42"/>
        <v>0</v>
      </c>
      <c r="CC94" s="1171">
        <f t="shared" si="43"/>
        <v>0</v>
      </c>
      <c r="CD94" s="1171">
        <f t="shared" si="44"/>
        <v>0</v>
      </c>
      <c r="CE94" s="1171">
        <f t="shared" si="45"/>
        <v>0</v>
      </c>
      <c r="CF94" s="1171">
        <f t="shared" si="46"/>
        <v>0</v>
      </c>
      <c r="CG94" s="1171">
        <f t="shared" si="47"/>
        <v>0</v>
      </c>
      <c r="CH94" s="1171">
        <f t="shared" si="48"/>
        <v>0</v>
      </c>
      <c r="CI94" s="1171">
        <f t="shared" si="49"/>
        <v>0</v>
      </c>
      <c r="CJ94" s="1171">
        <f t="shared" si="50"/>
        <v>0</v>
      </c>
      <c r="CK94" s="1171">
        <f t="shared" si="51"/>
        <v>0</v>
      </c>
      <c r="CL94" s="1171">
        <f t="shared" si="52"/>
        <v>0</v>
      </c>
      <c r="CM94" s="1171">
        <f t="shared" si="53"/>
        <v>0</v>
      </c>
      <c r="CN94" s="1171">
        <f t="shared" si="54"/>
        <v>0</v>
      </c>
      <c r="CO94" s="1171">
        <f t="shared" si="55"/>
        <v>0</v>
      </c>
      <c r="CP94" s="1171">
        <f t="shared" si="56"/>
        <v>0</v>
      </c>
      <c r="CQ94" s="1171">
        <f t="shared" si="57"/>
        <v>0</v>
      </c>
      <c r="CR94" s="1171">
        <f t="shared" si="58"/>
        <v>0</v>
      </c>
      <c r="CS94" s="1171">
        <f t="shared" si="59"/>
        <v>0</v>
      </c>
      <c r="CT94" s="1171">
        <f t="shared" si="60"/>
        <v>0</v>
      </c>
      <c r="CU94" s="1171">
        <f t="shared" si="61"/>
        <v>0</v>
      </c>
      <c r="CV94" s="1171">
        <f t="shared" si="62"/>
        <v>0</v>
      </c>
      <c r="CW94" s="1171">
        <f t="shared" si="63"/>
        <v>0</v>
      </c>
      <c r="CX94" s="1171">
        <f t="shared" si="64"/>
        <v>0</v>
      </c>
      <c r="CY94" s="1171">
        <f t="shared" si="65"/>
        <v>0</v>
      </c>
      <c r="CZ94" s="1171">
        <f t="shared" si="66"/>
        <v>0</v>
      </c>
      <c r="DA94" s="1171">
        <f t="shared" si="67"/>
        <v>0</v>
      </c>
    </row>
    <row r="95" spans="2:105" ht="24.75" thickTop="1" thickBot="1">
      <c r="B95" s="69"/>
      <c r="C95" s="1187"/>
      <c r="D95" s="1188"/>
      <c r="E95" s="1189"/>
      <c r="F95" s="1188"/>
      <c r="G95" s="1189"/>
      <c r="H95" s="1188"/>
      <c r="I95" s="1224"/>
      <c r="J95" s="1236"/>
      <c r="K95" s="1252"/>
      <c r="L95" s="1188"/>
      <c r="M95" s="1189"/>
      <c r="N95" s="1188"/>
      <c r="O95" s="1224"/>
      <c r="P95" s="1188"/>
      <c r="Q95" s="1224"/>
      <c r="R95" s="1188"/>
      <c r="S95" s="1224"/>
      <c r="T95" s="1188"/>
      <c r="U95" s="1224"/>
      <c r="V95" s="1188"/>
      <c r="W95" s="1224"/>
      <c r="X95" s="1236"/>
      <c r="Y95" s="1237"/>
      <c r="Z95" s="1188"/>
      <c r="AA95" s="1224"/>
      <c r="AB95" s="1188"/>
      <c r="AC95" s="1224"/>
      <c r="AD95" s="1188"/>
      <c r="AE95" s="1224"/>
      <c r="AF95" s="1188"/>
      <c r="AG95" s="1224"/>
      <c r="AH95" s="1188"/>
      <c r="AI95" s="1224"/>
      <c r="AJ95" s="1188"/>
      <c r="AK95" s="1224"/>
      <c r="AL95" s="1236"/>
      <c r="AM95" s="1237"/>
      <c r="AN95" s="1188"/>
      <c r="AO95" s="1224"/>
      <c r="AP95" s="1188"/>
      <c r="AQ95" s="1224"/>
      <c r="AR95" s="1188"/>
      <c r="AS95" s="1224"/>
      <c r="AT95" s="1188"/>
      <c r="AU95" s="1224"/>
      <c r="AV95" s="1188"/>
      <c r="AW95" s="1224"/>
      <c r="AX95" s="1188"/>
      <c r="AY95" s="1224"/>
      <c r="AZ95" s="1236"/>
      <c r="BA95" s="1237"/>
      <c r="BB95" s="1188"/>
      <c r="BC95" s="1224"/>
      <c r="BD95" s="1188"/>
      <c r="BE95" s="1224"/>
      <c r="BF95" s="1188"/>
      <c r="BG95" s="1224"/>
      <c r="BH95" s="1188"/>
      <c r="BI95" s="1224"/>
      <c r="BJ95" s="1188"/>
      <c r="BK95" s="1224"/>
      <c r="BL95" s="1188"/>
      <c r="BM95" s="1244"/>
      <c r="BN95" s="1190"/>
      <c r="BO95" s="1191"/>
      <c r="BP95" s="1192"/>
      <c r="BQ95" s="1193"/>
      <c r="BR95" s="1194"/>
      <c r="BS95" s="1194"/>
      <c r="BT95" s="1195"/>
      <c r="BW95" s="1171">
        <f t="shared" si="37"/>
        <v>0</v>
      </c>
      <c r="BX95" s="1171">
        <f t="shared" si="38"/>
        <v>0</v>
      </c>
      <c r="BY95" s="1171">
        <f t="shared" si="39"/>
        <v>0</v>
      </c>
      <c r="BZ95" s="1171">
        <f t="shared" si="40"/>
        <v>0</v>
      </c>
      <c r="CA95" s="1171">
        <f t="shared" si="41"/>
        <v>0</v>
      </c>
      <c r="CB95" s="1171">
        <f t="shared" si="42"/>
        <v>0</v>
      </c>
      <c r="CC95" s="1171">
        <f t="shared" si="43"/>
        <v>0</v>
      </c>
      <c r="CD95" s="1171">
        <f t="shared" si="44"/>
        <v>0</v>
      </c>
      <c r="CE95" s="1171">
        <f t="shared" si="45"/>
        <v>0</v>
      </c>
      <c r="CF95" s="1171">
        <f t="shared" si="46"/>
        <v>0</v>
      </c>
      <c r="CG95" s="1171">
        <f t="shared" si="47"/>
        <v>0</v>
      </c>
      <c r="CH95" s="1171">
        <f t="shared" si="48"/>
        <v>0</v>
      </c>
      <c r="CI95" s="1171">
        <f t="shared" si="49"/>
        <v>0</v>
      </c>
      <c r="CJ95" s="1171">
        <f t="shared" si="50"/>
        <v>0</v>
      </c>
      <c r="CK95" s="1171">
        <f t="shared" si="51"/>
        <v>0</v>
      </c>
      <c r="CL95" s="1171">
        <f t="shared" si="52"/>
        <v>0</v>
      </c>
      <c r="CM95" s="1171">
        <f t="shared" si="53"/>
        <v>0</v>
      </c>
      <c r="CN95" s="1171">
        <f t="shared" si="54"/>
        <v>0</v>
      </c>
      <c r="CO95" s="1171">
        <f t="shared" si="55"/>
        <v>0</v>
      </c>
      <c r="CP95" s="1171">
        <f t="shared" si="56"/>
        <v>0</v>
      </c>
      <c r="CQ95" s="1171">
        <f t="shared" si="57"/>
        <v>0</v>
      </c>
      <c r="CR95" s="1171">
        <f t="shared" si="58"/>
        <v>0</v>
      </c>
      <c r="CS95" s="1171">
        <f t="shared" si="59"/>
        <v>0</v>
      </c>
      <c r="CT95" s="1171">
        <f t="shared" si="60"/>
        <v>0</v>
      </c>
      <c r="CU95" s="1171">
        <f t="shared" si="61"/>
        <v>0</v>
      </c>
      <c r="CV95" s="1171">
        <f t="shared" si="62"/>
        <v>0</v>
      </c>
      <c r="CW95" s="1171">
        <f t="shared" si="63"/>
        <v>0</v>
      </c>
      <c r="CX95" s="1171">
        <f t="shared" si="64"/>
        <v>0</v>
      </c>
      <c r="CY95" s="1171">
        <f t="shared" si="65"/>
        <v>0</v>
      </c>
      <c r="CZ95" s="1171">
        <f t="shared" si="66"/>
        <v>0</v>
      </c>
      <c r="DA95" s="1171">
        <f t="shared" si="67"/>
        <v>0</v>
      </c>
    </row>
    <row r="96" spans="2:105" ht="24.75" thickTop="1" thickBot="1">
      <c r="B96" s="69"/>
      <c r="C96" s="1187"/>
      <c r="D96" s="1188"/>
      <c r="E96" s="1189"/>
      <c r="F96" s="1188"/>
      <c r="G96" s="1189"/>
      <c r="H96" s="1188"/>
      <c r="I96" s="1224"/>
      <c r="J96" s="1236"/>
      <c r="K96" s="1252"/>
      <c r="L96" s="1188"/>
      <c r="M96" s="1189"/>
      <c r="N96" s="1188"/>
      <c r="O96" s="1224"/>
      <c r="P96" s="1188"/>
      <c r="Q96" s="1224"/>
      <c r="R96" s="1188"/>
      <c r="S96" s="1224"/>
      <c r="T96" s="1188"/>
      <c r="U96" s="1224"/>
      <c r="V96" s="1188"/>
      <c r="W96" s="1224"/>
      <c r="X96" s="1236"/>
      <c r="Y96" s="1237"/>
      <c r="Z96" s="1188"/>
      <c r="AA96" s="1224"/>
      <c r="AB96" s="1188"/>
      <c r="AC96" s="1224"/>
      <c r="AD96" s="1188"/>
      <c r="AE96" s="1224"/>
      <c r="AF96" s="1188"/>
      <c r="AG96" s="1224"/>
      <c r="AH96" s="1188"/>
      <c r="AI96" s="1224"/>
      <c r="AJ96" s="1188"/>
      <c r="AK96" s="1224"/>
      <c r="AL96" s="1236"/>
      <c r="AM96" s="1237"/>
      <c r="AN96" s="1188"/>
      <c r="AO96" s="1224"/>
      <c r="AP96" s="1188"/>
      <c r="AQ96" s="1224"/>
      <c r="AR96" s="1188"/>
      <c r="AS96" s="1224"/>
      <c r="AT96" s="1188"/>
      <c r="AU96" s="1224"/>
      <c r="AV96" s="1188"/>
      <c r="AW96" s="1224"/>
      <c r="AX96" s="1188"/>
      <c r="AY96" s="1224"/>
      <c r="AZ96" s="1236"/>
      <c r="BA96" s="1237"/>
      <c r="BB96" s="1188"/>
      <c r="BC96" s="1224"/>
      <c r="BD96" s="1188"/>
      <c r="BE96" s="1224"/>
      <c r="BF96" s="1188"/>
      <c r="BG96" s="1224"/>
      <c r="BH96" s="1188"/>
      <c r="BI96" s="1224"/>
      <c r="BJ96" s="1188"/>
      <c r="BK96" s="1224"/>
      <c r="BL96" s="1188"/>
      <c r="BM96" s="1244"/>
      <c r="BN96" s="1190"/>
      <c r="BO96" s="1191"/>
      <c r="BP96" s="1192"/>
      <c r="BQ96" s="1193"/>
      <c r="BR96" s="1194"/>
      <c r="BS96" s="1194"/>
      <c r="BT96" s="1195"/>
      <c r="BW96" s="1171">
        <f t="shared" si="37"/>
        <v>0</v>
      </c>
      <c r="BX96" s="1171">
        <f t="shared" si="38"/>
        <v>0</v>
      </c>
      <c r="BY96" s="1171">
        <f t="shared" si="39"/>
        <v>0</v>
      </c>
      <c r="BZ96" s="1171">
        <f t="shared" si="40"/>
        <v>0</v>
      </c>
      <c r="CA96" s="1171">
        <f t="shared" si="41"/>
        <v>0</v>
      </c>
      <c r="CB96" s="1171">
        <f t="shared" si="42"/>
        <v>0</v>
      </c>
      <c r="CC96" s="1171">
        <f t="shared" si="43"/>
        <v>0</v>
      </c>
      <c r="CD96" s="1171">
        <f t="shared" si="44"/>
        <v>0</v>
      </c>
      <c r="CE96" s="1171">
        <f t="shared" si="45"/>
        <v>0</v>
      </c>
      <c r="CF96" s="1171">
        <f t="shared" si="46"/>
        <v>0</v>
      </c>
      <c r="CG96" s="1171">
        <f t="shared" si="47"/>
        <v>0</v>
      </c>
      <c r="CH96" s="1171">
        <f t="shared" si="48"/>
        <v>0</v>
      </c>
      <c r="CI96" s="1171">
        <f t="shared" si="49"/>
        <v>0</v>
      </c>
      <c r="CJ96" s="1171">
        <f t="shared" si="50"/>
        <v>0</v>
      </c>
      <c r="CK96" s="1171">
        <f t="shared" si="51"/>
        <v>0</v>
      </c>
      <c r="CL96" s="1171">
        <f t="shared" si="52"/>
        <v>0</v>
      </c>
      <c r="CM96" s="1171">
        <f t="shared" si="53"/>
        <v>0</v>
      </c>
      <c r="CN96" s="1171">
        <f t="shared" si="54"/>
        <v>0</v>
      </c>
      <c r="CO96" s="1171">
        <f t="shared" si="55"/>
        <v>0</v>
      </c>
      <c r="CP96" s="1171">
        <f t="shared" si="56"/>
        <v>0</v>
      </c>
      <c r="CQ96" s="1171">
        <f t="shared" si="57"/>
        <v>0</v>
      </c>
      <c r="CR96" s="1171">
        <f t="shared" si="58"/>
        <v>0</v>
      </c>
      <c r="CS96" s="1171">
        <f t="shared" si="59"/>
        <v>0</v>
      </c>
      <c r="CT96" s="1171">
        <f t="shared" si="60"/>
        <v>0</v>
      </c>
      <c r="CU96" s="1171">
        <f t="shared" si="61"/>
        <v>0</v>
      </c>
      <c r="CV96" s="1171">
        <f t="shared" si="62"/>
        <v>0</v>
      </c>
      <c r="CW96" s="1171">
        <f t="shared" si="63"/>
        <v>0</v>
      </c>
      <c r="CX96" s="1171">
        <f t="shared" si="64"/>
        <v>0</v>
      </c>
      <c r="CY96" s="1171">
        <f t="shared" si="65"/>
        <v>0</v>
      </c>
      <c r="CZ96" s="1171">
        <f t="shared" si="66"/>
        <v>0</v>
      </c>
      <c r="DA96" s="1171">
        <f t="shared" si="67"/>
        <v>0</v>
      </c>
    </row>
    <row r="97" spans="2:105" ht="27.75" thickTop="1" thickBot="1">
      <c r="C97" s="1109" t="s">
        <v>41</v>
      </c>
      <c r="D97" s="1413">
        <f>SUM(E5:E96)</f>
        <v>0</v>
      </c>
      <c r="E97" s="1414"/>
      <c r="F97" s="1299">
        <f>SUM(G5:G96)</f>
        <v>0</v>
      </c>
      <c r="G97" s="1299"/>
      <c r="H97" s="1299">
        <f>SUM(I5:I96)</f>
        <v>12080</v>
      </c>
      <c r="I97" s="1299"/>
      <c r="J97" s="1299">
        <f>SUM(K5:K96)</f>
        <v>0</v>
      </c>
      <c r="K97" s="1299"/>
      <c r="L97" s="1299">
        <f>SUM(M5:M96)</f>
        <v>0</v>
      </c>
      <c r="M97" s="1299"/>
      <c r="N97" s="1299">
        <f>SUM(O5:O96)</f>
        <v>0</v>
      </c>
      <c r="O97" s="1299"/>
      <c r="P97" s="1299">
        <f>SUM(Q5:Q96)</f>
        <v>23370</v>
      </c>
      <c r="Q97" s="1299"/>
      <c r="R97" s="1299">
        <f>SUM(S5:S96)</f>
        <v>400</v>
      </c>
      <c r="S97" s="1299"/>
      <c r="T97" s="1299">
        <f>SUM(U5:U83)</f>
        <v>0</v>
      </c>
      <c r="U97" s="1299"/>
      <c r="V97" s="1299">
        <f>SUM(W5:W83)</f>
        <v>105550</v>
      </c>
      <c r="W97" s="1299"/>
      <c r="X97" s="1299">
        <f>SUM(Y5:Y96)</f>
        <v>0</v>
      </c>
      <c r="Y97" s="1299"/>
      <c r="Z97" s="1299">
        <f>SUM(AA5:AA83)</f>
        <v>0</v>
      </c>
      <c r="AA97" s="1299"/>
      <c r="AB97" s="1299">
        <f>SUM(AC5:AC96)</f>
        <v>0</v>
      </c>
      <c r="AC97" s="1299"/>
      <c r="AD97" s="1299">
        <f>SUM(AE5:AE83)</f>
        <v>10400</v>
      </c>
      <c r="AE97" s="1299"/>
      <c r="AF97" s="1299">
        <f>SUM(AG5:AG83)</f>
        <v>27900</v>
      </c>
      <c r="AG97" s="1299"/>
      <c r="AH97" s="1299">
        <f>SUM(AI5:AI83)</f>
        <v>0</v>
      </c>
      <c r="AI97" s="1299"/>
      <c r="AJ97" s="1299">
        <f>SUM(AK5:AK83)</f>
        <v>64500</v>
      </c>
      <c r="AK97" s="1299"/>
      <c r="AL97" s="1299">
        <f>SUM(AM5:AM83)</f>
        <v>0</v>
      </c>
      <c r="AM97" s="1299"/>
      <c r="AN97" s="1299">
        <f>SUM(AO5:AO83)</f>
        <v>13170</v>
      </c>
      <c r="AO97" s="1299"/>
      <c r="AP97" s="1299">
        <f>SUM(AQ5:AQ96)</f>
        <v>0</v>
      </c>
      <c r="AQ97" s="1299"/>
      <c r="AR97" s="1299">
        <f>SUM(AS5:AS83)</f>
        <v>10500</v>
      </c>
      <c r="AS97" s="1299"/>
      <c r="AT97" s="1299">
        <f>SUM(AU5:AU83)</f>
        <v>0</v>
      </c>
      <c r="AU97" s="1299"/>
      <c r="AV97" s="1299">
        <f>SUM(AW5:AW83)</f>
        <v>0</v>
      </c>
      <c r="AW97" s="1299"/>
      <c r="AX97" s="1299">
        <f>SUM(AY5:AY83)</f>
        <v>55350</v>
      </c>
      <c r="AY97" s="1299"/>
      <c r="AZ97" s="1299">
        <f>SUM(BA5:BA83)</f>
        <v>0</v>
      </c>
      <c r="BA97" s="1299"/>
      <c r="BB97" s="1299">
        <f>SUM(BC5:BC95)</f>
        <v>4000</v>
      </c>
      <c r="BC97" s="1299"/>
      <c r="BD97" s="1299">
        <f>SUM(BE5:BE96)</f>
        <v>0</v>
      </c>
      <c r="BE97" s="1299"/>
      <c r="BF97" s="1299">
        <f>SUM(BG5:BG83)</f>
        <v>156780</v>
      </c>
      <c r="BG97" s="1299"/>
      <c r="BH97" s="1299">
        <f>SUM(BI5:BI83)</f>
        <v>0</v>
      </c>
      <c r="BI97" s="1299"/>
      <c r="BJ97" s="1299">
        <f>SUM(BK5:BK96)</f>
        <v>0</v>
      </c>
      <c r="BK97" s="1299"/>
      <c r="BL97" s="1300">
        <f>SUM(BM5:BM83)</f>
        <v>0</v>
      </c>
      <c r="BM97" s="1300"/>
      <c r="BN97" s="1221">
        <f>SUM(BN5:BN90)</f>
        <v>34866.666666666672</v>
      </c>
      <c r="BO97" s="1111"/>
      <c r="BP97" s="1112">
        <f>SUM(BP5:BP92)</f>
        <v>1046000</v>
      </c>
      <c r="BQ97" s="1112">
        <f t="shared" ref="BQ97:BV97" si="68">SUM(BQ5:BQ83)</f>
        <v>498533.33333333337</v>
      </c>
      <c r="BR97" s="1112">
        <f t="shared" si="68"/>
        <v>484000</v>
      </c>
      <c r="BS97" s="1112">
        <f t="shared" si="68"/>
        <v>121086</v>
      </c>
      <c r="BT97" s="1112">
        <f t="shared" si="68"/>
        <v>-106952.66666666666</v>
      </c>
      <c r="BU97" s="1179">
        <f>SUM(BU5:BU83)</f>
        <v>156780</v>
      </c>
      <c r="BV97" s="1180">
        <f t="shared" si="68"/>
        <v>0</v>
      </c>
      <c r="BW97" s="1181">
        <f t="shared" ref="BW97:DA97" si="69">SUM(BW5:BW90)</f>
        <v>30100</v>
      </c>
      <c r="BX97" s="1181">
        <f t="shared" si="69"/>
        <v>27900</v>
      </c>
      <c r="BY97" s="1181">
        <f t="shared" si="69"/>
        <v>5166.666666666667</v>
      </c>
      <c r="BZ97" s="1181">
        <f t="shared" si="69"/>
        <v>5166.666666666667</v>
      </c>
      <c r="CA97" s="1181">
        <f t="shared" si="69"/>
        <v>27333.333333333336</v>
      </c>
      <c r="CB97" s="1181">
        <f t="shared" si="69"/>
        <v>5166.666666666667</v>
      </c>
      <c r="CC97" s="1181">
        <f t="shared" si="69"/>
        <v>26033.333333333336</v>
      </c>
      <c r="CD97" s="1181">
        <f t="shared" si="69"/>
        <v>21066.666666666668</v>
      </c>
      <c r="CE97" s="1181">
        <f t="shared" si="69"/>
        <v>21466.666666666668</v>
      </c>
      <c r="CF97" s="1181">
        <f t="shared" si="69"/>
        <v>21466.666666666668</v>
      </c>
      <c r="CG97" s="1181">
        <f t="shared" si="69"/>
        <v>4666.666666666667</v>
      </c>
      <c r="CH97" s="1181">
        <f t="shared" si="69"/>
        <v>20266.666666666668</v>
      </c>
      <c r="CI97" s="1181">
        <f t="shared" si="69"/>
        <v>21500</v>
      </c>
      <c r="CJ97" s="1181">
        <f t="shared" si="69"/>
        <v>22200</v>
      </c>
      <c r="CK97" s="1181">
        <f t="shared" si="69"/>
        <v>22700</v>
      </c>
      <c r="CL97" s="1181">
        <f t="shared" si="69"/>
        <v>21700</v>
      </c>
      <c r="CM97" s="1181">
        <f t="shared" si="69"/>
        <v>21400</v>
      </c>
      <c r="CN97" s="1181">
        <f t="shared" si="69"/>
        <v>4666.666666666667</v>
      </c>
      <c r="CO97" s="1181">
        <f t="shared" si="69"/>
        <v>13900</v>
      </c>
      <c r="CP97" s="1181">
        <f t="shared" si="69"/>
        <v>10666.666666666668</v>
      </c>
      <c r="CQ97" s="1181">
        <f t="shared" si="69"/>
        <v>22300</v>
      </c>
      <c r="CR97" s="1181">
        <f t="shared" si="69"/>
        <v>21933.333333333332</v>
      </c>
      <c r="CS97" s="1181">
        <f t="shared" si="69"/>
        <v>4666.666666666667</v>
      </c>
      <c r="CT97" s="1181">
        <f t="shared" si="69"/>
        <v>22300</v>
      </c>
      <c r="CU97" s="1181">
        <f t="shared" si="69"/>
        <v>4666.666666666667</v>
      </c>
      <c r="CV97" s="1181">
        <f t="shared" si="69"/>
        <v>22400</v>
      </c>
      <c r="CW97" s="1181">
        <f t="shared" si="69"/>
        <v>21900</v>
      </c>
      <c r="CX97" s="1181">
        <f t="shared" si="69"/>
        <v>15900.000000000002</v>
      </c>
      <c r="CY97" s="1181">
        <f t="shared" si="69"/>
        <v>3966.666666666667</v>
      </c>
      <c r="CZ97" s="1181">
        <f t="shared" si="69"/>
        <v>3966.666666666667</v>
      </c>
      <c r="DA97" s="1181">
        <f t="shared" si="69"/>
        <v>0</v>
      </c>
    </row>
    <row r="98" spans="2:105" ht="15.75" thickTop="1"/>
    <row r="99" spans="2:105" ht="21">
      <c r="BP99" s="1222">
        <f>SUM(D97:BM97)</f>
        <v>484000</v>
      </c>
    </row>
    <row r="100" spans="2:105" ht="18.75">
      <c r="C100" s="1182" t="s">
        <v>342</v>
      </c>
      <c r="D100" s="1183">
        <f>SUM(D5:D83)</f>
        <v>49</v>
      </c>
      <c r="E100" s="111">
        <f>BW97</f>
        <v>30100</v>
      </c>
      <c r="F100" s="1183">
        <f>SUM(F5:F83)</f>
        <v>45</v>
      </c>
      <c r="G100" s="111">
        <f>BX97</f>
        <v>27900</v>
      </c>
      <c r="H100" s="1183">
        <f>SUM(H5:H83)</f>
        <v>6</v>
      </c>
      <c r="I100" s="111">
        <f>BY97</f>
        <v>5166.666666666667</v>
      </c>
      <c r="J100" s="1183">
        <f>SUM(J5:J83)</f>
        <v>6</v>
      </c>
      <c r="K100" s="111">
        <f>BZ97</f>
        <v>5166.666666666667</v>
      </c>
      <c r="L100" s="1183">
        <f>SUM(L5:L83)</f>
        <v>44</v>
      </c>
      <c r="M100" s="111">
        <f>CA97</f>
        <v>27333.333333333336</v>
      </c>
      <c r="N100" s="1183">
        <f>SUM(N5:N83)</f>
        <v>6</v>
      </c>
      <c r="O100" s="111">
        <f>CB97</f>
        <v>5166.666666666667</v>
      </c>
      <c r="P100" s="1183">
        <f>SUM(P5:P83)</f>
        <v>42</v>
      </c>
      <c r="Q100" s="111">
        <f>CC97</f>
        <v>26033.333333333336</v>
      </c>
      <c r="R100" s="1183">
        <f>SUM(R5:R83)</f>
        <v>33</v>
      </c>
      <c r="S100" s="111">
        <f>CD97</f>
        <v>21066.666666666668</v>
      </c>
      <c r="T100" s="1183">
        <f>SUM(T5:T83)</f>
        <v>34</v>
      </c>
      <c r="U100" s="111">
        <f>CE97</f>
        <v>21466.666666666668</v>
      </c>
      <c r="V100" s="1183">
        <f>SUM(V5:V83)</f>
        <v>34</v>
      </c>
      <c r="W100" s="111">
        <f>CF97</f>
        <v>21466.666666666668</v>
      </c>
      <c r="X100" s="1183">
        <f>SUM(X5:X83)</f>
        <v>5</v>
      </c>
      <c r="Y100" s="111">
        <f>CG97</f>
        <v>4666.666666666667</v>
      </c>
      <c r="Z100" s="1183">
        <f>SUM(Z5:Z83)</f>
        <v>32</v>
      </c>
      <c r="AA100" s="111">
        <f>CH97</f>
        <v>20266.666666666668</v>
      </c>
      <c r="AB100" s="1183">
        <f>SUM(AB5:AB83)</f>
        <v>34</v>
      </c>
      <c r="AC100" s="111">
        <f>CI97</f>
        <v>21500</v>
      </c>
      <c r="AD100" s="1183">
        <f>SUM(AD5:AD83)</f>
        <v>36</v>
      </c>
      <c r="AE100" s="111">
        <f>CJ97</f>
        <v>22200</v>
      </c>
      <c r="AF100" s="1183">
        <f>SUM(AF5:AF96)</f>
        <v>38</v>
      </c>
      <c r="AG100" s="111">
        <f>CK97</f>
        <v>22700</v>
      </c>
      <c r="AH100" s="1183">
        <f>SUM(AH5:AH96)</f>
        <v>36</v>
      </c>
      <c r="AI100" s="111">
        <f>CL97</f>
        <v>21700</v>
      </c>
      <c r="AJ100" s="1183">
        <f>SUM(AJ5:AJ96)</f>
        <v>36</v>
      </c>
      <c r="AK100" s="111">
        <f>CM97</f>
        <v>21400</v>
      </c>
      <c r="AL100" s="1183">
        <f>SUM(AL5:AL96)</f>
        <v>5</v>
      </c>
      <c r="AM100" s="111">
        <f>CN97</f>
        <v>4666.666666666667</v>
      </c>
      <c r="AN100" s="1183">
        <f>SUM(AN5:AN96)</f>
        <v>23</v>
      </c>
      <c r="AO100" s="111">
        <f>CO97</f>
        <v>13900</v>
      </c>
      <c r="AP100" s="1183">
        <f>SUM(AP5:AP96)</f>
        <v>15</v>
      </c>
      <c r="AQ100" s="111">
        <f>CP97</f>
        <v>10666.666666666668</v>
      </c>
      <c r="AR100" s="1183">
        <f>SUM(AR5:AR96)</f>
        <v>37</v>
      </c>
      <c r="AS100" s="111">
        <f>CQ97</f>
        <v>22300</v>
      </c>
      <c r="AT100" s="1183">
        <f>SUM(AT5:AT96)</f>
        <v>36</v>
      </c>
      <c r="AU100" s="111">
        <f>CR97</f>
        <v>21933.333333333332</v>
      </c>
      <c r="AV100" s="1183">
        <f>SUM(AV5:AV96)</f>
        <v>5</v>
      </c>
      <c r="AW100" s="111">
        <f>CS97</f>
        <v>4666.666666666667</v>
      </c>
      <c r="AX100" s="1183">
        <f>SUM(AX5:AX96)</f>
        <v>37</v>
      </c>
      <c r="AY100" s="111">
        <f>CT97</f>
        <v>22300</v>
      </c>
      <c r="AZ100" s="1183">
        <f>SUM(AZ5:AZ96)</f>
        <v>5</v>
      </c>
      <c r="BA100" s="111">
        <f>CU97</f>
        <v>4666.666666666667</v>
      </c>
      <c r="BB100" s="1183">
        <f>SUM(BB5:BB96)</f>
        <v>37</v>
      </c>
      <c r="BC100" s="111">
        <f>CV97</f>
        <v>22400</v>
      </c>
      <c r="BD100" s="1183">
        <f>SUM(BD5:BD96)</f>
        <v>36</v>
      </c>
      <c r="BE100" s="111">
        <f>CW97</f>
        <v>21900</v>
      </c>
      <c r="BF100" s="1183">
        <f>SUM(BF5:BF96)</f>
        <v>26</v>
      </c>
      <c r="BG100" s="111">
        <f>CX97</f>
        <v>15900.000000000002</v>
      </c>
      <c r="BH100" s="1183">
        <f>SUM(BH5:BH96)</f>
        <v>4</v>
      </c>
      <c r="BI100" s="111">
        <f>CY97</f>
        <v>3966.666666666667</v>
      </c>
      <c r="BJ100" s="1183">
        <f>SUM(BJ5:BJ96)</f>
        <v>4</v>
      </c>
      <c r="BK100" s="111">
        <f>CZ97</f>
        <v>3966.666666666667</v>
      </c>
      <c r="BL100" s="1183">
        <f>SUM(BL5:BL96)</f>
        <v>0</v>
      </c>
      <c r="BM100" s="111">
        <f>DA97</f>
        <v>0</v>
      </c>
    </row>
    <row r="101" spans="2:105" ht="18.75">
      <c r="B101" s="1181">
        <f>E101+G101+I101+K101+M101+O101+Q101+S101+U101+W101+Y101+AA101+AC101+AE101+AG101+AI101+AK101+AM101+AO101+AQ101+AS101+AU101+AW101+AY101+BA101+BC101+BE101+BG101+BI101+BK101+BM101</f>
        <v>257400</v>
      </c>
      <c r="C101" s="754">
        <f>D101+F101+H101+L101+N101+P101+R101+T101+V101+X101+Z101+AB101+AD101+AF101+AH101+AJ101+AL101+AN101+AP101+AR101+AT101+AV101+AX101+AZ101+BB101+BD101+BF101+BH101+BJ101+BL101+J101</f>
        <v>143</v>
      </c>
      <c r="D101">
        <f>'1'!R56</f>
        <v>0</v>
      </c>
      <c r="E101">
        <f>D101*1800</f>
        <v>0</v>
      </c>
      <c r="F101">
        <f>'2'!R56</f>
        <v>0</v>
      </c>
      <c r="G101">
        <f>F101*1800</f>
        <v>0</v>
      </c>
      <c r="H101" s="749">
        <f>'3'!R56</f>
        <v>0</v>
      </c>
      <c r="I101">
        <f>H101*1800</f>
        <v>0</v>
      </c>
      <c r="J101">
        <f>'4'!R56</f>
        <v>0</v>
      </c>
      <c r="K101">
        <f>J101*1800</f>
        <v>0</v>
      </c>
      <c r="L101">
        <f>'5'!R56</f>
        <v>0</v>
      </c>
      <c r="M101">
        <f>L101*1800</f>
        <v>0</v>
      </c>
      <c r="N101">
        <f>'6'!R56</f>
        <v>0</v>
      </c>
      <c r="O101">
        <f>N101*1800</f>
        <v>0</v>
      </c>
      <c r="P101">
        <f>'7'!R56</f>
        <v>0</v>
      </c>
      <c r="Q101">
        <f>P101*1800</f>
        <v>0</v>
      </c>
      <c r="R101">
        <f>'8'!R56</f>
        <v>0</v>
      </c>
      <c r="S101">
        <f>R101*1800</f>
        <v>0</v>
      </c>
      <c r="T101">
        <f>'9'!R56</f>
        <v>0</v>
      </c>
      <c r="U101">
        <f>T101*1800</f>
        <v>0</v>
      </c>
      <c r="V101">
        <f>'10'!R56</f>
        <v>0</v>
      </c>
      <c r="W101">
        <f>V101*1800</f>
        <v>0</v>
      </c>
      <c r="X101">
        <f>'11'!R56</f>
        <v>0</v>
      </c>
      <c r="Y101">
        <f>X101*1800</f>
        <v>0</v>
      </c>
      <c r="Z101">
        <f>'12'!R56</f>
        <v>0</v>
      </c>
      <c r="AA101">
        <f>Z101*1800</f>
        <v>0</v>
      </c>
      <c r="AB101">
        <f>'13'!R56</f>
        <v>0</v>
      </c>
      <c r="AC101">
        <f>AB101*1800</f>
        <v>0</v>
      </c>
      <c r="AD101">
        <f>'14'!R56</f>
        <v>13</v>
      </c>
      <c r="AE101">
        <f>AD101*1800</f>
        <v>23400</v>
      </c>
      <c r="AF101">
        <f>'15'!R56</f>
        <v>13</v>
      </c>
      <c r="AG101">
        <f>AF101*1800</f>
        <v>23400</v>
      </c>
      <c r="AH101">
        <f>'16'!R56</f>
        <v>13</v>
      </c>
      <c r="AI101">
        <f>AH101*1800</f>
        <v>23400</v>
      </c>
      <c r="AJ101">
        <f>'17'!R56</f>
        <v>13</v>
      </c>
      <c r="AK101">
        <f>AJ101*1800</f>
        <v>23400</v>
      </c>
      <c r="AL101">
        <f>'18'!R56</f>
        <v>0</v>
      </c>
      <c r="AM101">
        <f>AL101*1800</f>
        <v>0</v>
      </c>
      <c r="AN101">
        <f>'19'!R56</f>
        <v>13</v>
      </c>
      <c r="AO101">
        <f>AN101*1800</f>
        <v>23400</v>
      </c>
      <c r="AP101">
        <f>'20'!R56</f>
        <v>0</v>
      </c>
      <c r="AQ101">
        <f>AP101*1800</f>
        <v>0</v>
      </c>
      <c r="AR101">
        <f>'21'!R56</f>
        <v>13</v>
      </c>
      <c r="AS101">
        <f>AR101*1800</f>
        <v>23400</v>
      </c>
      <c r="AT101" s="749">
        <f>'22'!R56</f>
        <v>13</v>
      </c>
      <c r="AU101">
        <f>AT101*1800</f>
        <v>23400</v>
      </c>
      <c r="AV101">
        <f>'23'!R56</f>
        <v>0</v>
      </c>
      <c r="AW101">
        <f>AV101*1800</f>
        <v>0</v>
      </c>
      <c r="AX101">
        <f>'24'!R56</f>
        <v>13</v>
      </c>
      <c r="AY101">
        <f>AX101*1800</f>
        <v>23400</v>
      </c>
      <c r="AZ101">
        <f>'25'!R56</f>
        <v>0</v>
      </c>
      <c r="BA101">
        <f>AZ101*1800</f>
        <v>0</v>
      </c>
      <c r="BB101">
        <f>'26'!R56</f>
        <v>13</v>
      </c>
      <c r="BC101">
        <f>BB101*1800</f>
        <v>23400</v>
      </c>
      <c r="BD101">
        <f>'27'!R56</f>
        <v>13</v>
      </c>
      <c r="BE101">
        <f>BD101*1800</f>
        <v>23400</v>
      </c>
      <c r="BF101">
        <f>'28'!R56</f>
        <v>13</v>
      </c>
      <c r="BG101">
        <f>BF101*1800</f>
        <v>23400</v>
      </c>
      <c r="BH101">
        <f>'29'!R56</f>
        <v>0</v>
      </c>
      <c r="BI101">
        <f>BH101*1800</f>
        <v>0</v>
      </c>
      <c r="BJ101">
        <f>'30'!R56</f>
        <v>0</v>
      </c>
      <c r="BK101">
        <f>BJ101*1800</f>
        <v>0</v>
      </c>
      <c r="BL101">
        <f>'31'!BF56</f>
        <v>0</v>
      </c>
      <c r="BM101">
        <f>BL101*1800</f>
        <v>0</v>
      </c>
    </row>
    <row r="102" spans="2:105" ht="18.75">
      <c r="B102" s="1181">
        <f>E102+G102+I102+K102+M102+O102+Q102+S102+U102+W102+Y102+AA102+AC102+AE102+AG102+AI102+AK102+AM102+AQ102+AS102+AU102+AW102+AY102+BA102+BC102+BE102+BG102+BI102+BK102+BM102</f>
        <v>55000</v>
      </c>
      <c r="E102">
        <v>3000</v>
      </c>
      <c r="G102">
        <v>3000</v>
      </c>
      <c r="I102">
        <v>3000</v>
      </c>
      <c r="K102">
        <v>3000</v>
      </c>
      <c r="M102">
        <v>3000</v>
      </c>
      <c r="O102">
        <v>4500</v>
      </c>
      <c r="Q102">
        <v>3500</v>
      </c>
      <c r="S102">
        <v>3000</v>
      </c>
      <c r="U102">
        <v>3000</v>
      </c>
      <c r="W102">
        <v>3000</v>
      </c>
      <c r="Y102">
        <v>3000</v>
      </c>
      <c r="AA102">
        <v>3000</v>
      </c>
      <c r="AC102">
        <v>4500</v>
      </c>
      <c r="AE102">
        <v>3500</v>
      </c>
      <c r="AG102">
        <v>3000</v>
      </c>
      <c r="AI102">
        <v>3000</v>
      </c>
      <c r="AK102">
        <v>3000</v>
      </c>
    </row>
    <row r="103" spans="2:105" ht="18.75">
      <c r="B103" s="1181"/>
    </row>
    <row r="104" spans="2:105">
      <c r="B104" s="111">
        <f>B101-B98</f>
        <v>257400</v>
      </c>
      <c r="E104" s="111"/>
    </row>
    <row r="105" spans="2:105">
      <c r="C105" s="1184">
        <f>SUM(D105:BM105)</f>
        <v>-296133.33333333343</v>
      </c>
      <c r="D105" s="1184"/>
      <c r="E105" s="1185">
        <f>E101-E100-E102</f>
        <v>-33100</v>
      </c>
      <c r="F105" s="1186"/>
      <c r="G105" s="1185">
        <f>G101-G100-G102</f>
        <v>-30900</v>
      </c>
      <c r="H105" s="1186"/>
      <c r="I105" s="1185">
        <f>I101-I100-I102</f>
        <v>-8166.666666666667</v>
      </c>
      <c r="J105" s="1186"/>
      <c r="K105" s="1185">
        <f>K101-K100-K102</f>
        <v>-8166.666666666667</v>
      </c>
      <c r="L105" s="1186"/>
      <c r="M105" s="1185">
        <f>M101-M100-M102</f>
        <v>-30333.333333333336</v>
      </c>
      <c r="N105" s="1186"/>
      <c r="O105" s="1185">
        <f>O101-O100-O102</f>
        <v>-9666.6666666666679</v>
      </c>
      <c r="P105" s="1186"/>
      <c r="Q105" s="1185">
        <f>Q101-Q100-Q102</f>
        <v>-29533.333333333336</v>
      </c>
      <c r="R105" s="1186"/>
      <c r="S105" s="1185">
        <f>S101-S100-S102</f>
        <v>-24066.666666666668</v>
      </c>
      <c r="T105" s="1186"/>
      <c r="U105" s="1185">
        <f>U101-U100-U102</f>
        <v>-24466.666666666668</v>
      </c>
      <c r="V105" s="1186"/>
      <c r="W105" s="1185">
        <f>W101-W100-W102</f>
        <v>-24466.666666666668</v>
      </c>
      <c r="X105" s="1186"/>
      <c r="Y105" s="1185">
        <f>Y101-Y100-Y102</f>
        <v>-7666.666666666667</v>
      </c>
      <c r="Z105" s="1186"/>
      <c r="AA105" s="1185">
        <f>AA101-AA100-AA102</f>
        <v>-23266.666666666668</v>
      </c>
      <c r="AB105" s="1186"/>
      <c r="AC105" s="1185">
        <f>AC101-AC100-AC102</f>
        <v>-26000</v>
      </c>
      <c r="AD105" s="1186"/>
      <c r="AE105" s="1185">
        <f>AE101-AE100-AE102</f>
        <v>-2300</v>
      </c>
      <c r="AF105" s="1186"/>
      <c r="AG105" s="1185">
        <f>AG101-AG100-AG102</f>
        <v>-2300</v>
      </c>
      <c r="AH105" s="1186"/>
      <c r="AI105" s="1185">
        <f>AI101-AI100-AI102</f>
        <v>-1300</v>
      </c>
      <c r="AJ105" s="1186"/>
      <c r="AK105" s="1185">
        <f>AK101-AK100-AK102</f>
        <v>-1000</v>
      </c>
      <c r="AL105" s="1186"/>
      <c r="AM105" s="1185">
        <f>AM101-AM100-AM102</f>
        <v>-4666.666666666667</v>
      </c>
      <c r="AN105" s="1186"/>
      <c r="AO105" s="1185">
        <f>AO101-AO100-AO102</f>
        <v>9500</v>
      </c>
      <c r="AP105" s="1186"/>
      <c r="AQ105" s="1185">
        <f>AQ101-AQ100-AQ102</f>
        <v>-10666.666666666668</v>
      </c>
      <c r="AR105" s="1186"/>
      <c r="AS105" s="1185">
        <f>AS101-AS100-AS102</f>
        <v>1100</v>
      </c>
      <c r="AT105" s="1186"/>
      <c r="AU105" s="1185">
        <f>AU101-AU100-AU102</f>
        <v>1466.6666666666679</v>
      </c>
      <c r="AV105" s="1186"/>
      <c r="AW105" s="1185">
        <f>AW101-AW100-AW102</f>
        <v>-4666.666666666667</v>
      </c>
      <c r="AX105" s="1186"/>
      <c r="AY105" s="1185">
        <f>AY101-AY100-AY102</f>
        <v>1100</v>
      </c>
      <c r="AZ105" s="1186"/>
      <c r="BA105" s="1185">
        <f>BA101-BA100-BA102</f>
        <v>-4666.666666666667</v>
      </c>
      <c r="BB105" s="1186"/>
      <c r="BC105" s="1185">
        <f>BC101-BC100-BC102</f>
        <v>1000</v>
      </c>
      <c r="BD105" s="1186"/>
      <c r="BE105" s="1185">
        <f>BE101-BE100-BE102</f>
        <v>1500</v>
      </c>
      <c r="BF105" s="1186"/>
      <c r="BG105" s="1185">
        <f>BG101-BG100-BG102</f>
        <v>7499.9999999999982</v>
      </c>
      <c r="BH105" s="1186"/>
      <c r="BI105" s="1185">
        <f>BI101-BI100-BI102</f>
        <v>-3966.666666666667</v>
      </c>
      <c r="BJ105" s="1186"/>
      <c r="BK105" s="1185">
        <f>BK101-BK100-BK102</f>
        <v>-3966.666666666667</v>
      </c>
      <c r="BL105" s="1186"/>
      <c r="BM105" s="1185">
        <f>BM101-BM100-BM102</f>
        <v>0</v>
      </c>
    </row>
    <row r="107" spans="2:105">
      <c r="B107" s="111">
        <f>SUM(BW97:DA97)</f>
        <v>498533.33333333337</v>
      </c>
      <c r="C107" s="754" t="s">
        <v>343</v>
      </c>
      <c r="AH107" t="s">
        <v>1</v>
      </c>
    </row>
  </sheetData>
  <mergeCells count="94">
    <mergeCell ref="X1:Y1"/>
    <mergeCell ref="B1:B2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T2:U2"/>
    <mergeCell ref="V2:W2"/>
    <mergeCell ref="X2:Y2"/>
    <mergeCell ref="BF1:BG1"/>
    <mergeCell ref="BH1:BI1"/>
    <mergeCell ref="AV1:AW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X97:Y97"/>
    <mergeCell ref="BD2:BE2"/>
    <mergeCell ref="BJ1:BK1"/>
    <mergeCell ref="BL1:BM1"/>
    <mergeCell ref="D2:E2"/>
    <mergeCell ref="F2:G2"/>
    <mergeCell ref="H2:I2"/>
    <mergeCell ref="J2:K2"/>
    <mergeCell ref="L2:M2"/>
    <mergeCell ref="N2:O2"/>
    <mergeCell ref="P2:Q2"/>
    <mergeCell ref="R2:S2"/>
    <mergeCell ref="AX1:AY1"/>
    <mergeCell ref="AZ1:BA1"/>
    <mergeCell ref="BB1:BC1"/>
    <mergeCell ref="BD1:BE1"/>
    <mergeCell ref="Z2:AA2"/>
    <mergeCell ref="AB2:AC2"/>
    <mergeCell ref="AT97:AU97"/>
    <mergeCell ref="BL2:BM2"/>
    <mergeCell ref="D97:E97"/>
    <mergeCell ref="F97:G97"/>
    <mergeCell ref="H97:I97"/>
    <mergeCell ref="J97:K97"/>
    <mergeCell ref="L97:M97"/>
    <mergeCell ref="AR2:AS2"/>
    <mergeCell ref="AT2:AU2"/>
    <mergeCell ref="AV2:AW2"/>
    <mergeCell ref="AX2:AY2"/>
    <mergeCell ref="AZ2:BA2"/>
    <mergeCell ref="BB2:BC2"/>
    <mergeCell ref="AF2:AG2"/>
    <mergeCell ref="AV97:AW97"/>
    <mergeCell ref="Z97:AA97"/>
    <mergeCell ref="AB97:AC97"/>
    <mergeCell ref="AD97:AE97"/>
    <mergeCell ref="AF97:AG97"/>
    <mergeCell ref="AH97:AI97"/>
    <mergeCell ref="AJ97:AK97"/>
    <mergeCell ref="AL97:AM97"/>
    <mergeCell ref="AN97:AO97"/>
    <mergeCell ref="AP97:AQ97"/>
    <mergeCell ref="AR97:AS97"/>
    <mergeCell ref="BH2:BI2"/>
    <mergeCell ref="BJ2:BK2"/>
    <mergeCell ref="AN2:AO2"/>
    <mergeCell ref="AP2:AQ2"/>
    <mergeCell ref="AD2:AE2"/>
    <mergeCell ref="AJ2:AK2"/>
    <mergeCell ref="AL2:AM2"/>
    <mergeCell ref="BF2:BG2"/>
    <mergeCell ref="AH2:AI2"/>
    <mergeCell ref="N97:O97"/>
    <mergeCell ref="P97:Q97"/>
    <mergeCell ref="R97:S97"/>
    <mergeCell ref="T97:U97"/>
    <mergeCell ref="V97:W97"/>
    <mergeCell ref="BJ97:BK97"/>
    <mergeCell ref="BL97:BM97"/>
    <mergeCell ref="AX97:AY97"/>
    <mergeCell ref="AZ97:BA97"/>
    <mergeCell ref="BB97:BC97"/>
    <mergeCell ref="BD97:BE97"/>
    <mergeCell ref="BF97:BG97"/>
    <mergeCell ref="BH97:BI97"/>
  </mergeCells>
  <conditionalFormatting sqref="D3:BM4 D5:E5 E8:E16 Q8:Q16 S8:S16 U8:U16 W8:W16 W5:W6 Y5:Y6 Y8:Y16 AA8:AA16 AA5:AA6 AC5:AC6 AC8:AC16 AE8:AE16 AE5:AE6 G8:G16 I8:I16 K8:K16 O8:O16 G5:G6 I5:I6 K5:K6 M5:M6 M8:M16 O5:O6 Q5:Q6 S5:S6 U5:U6 U18:U82 W18:W82 Y18:Y82 AA18:AA82 AC18:AC82 AE18:AE82 AG5:AG82 AI5:AI82 AK5:AK82 AM5:AM82 AO5:AO82 AQ5:AQ82 AS5:AS82 AU5:AU82 AW5:AW82 AY5:AY82 BA5:BA82 BC5:BC82 BE5:BE82 BG5:BG82 Q18:Q82 S18:S82 E18:E96 G18:G96 I18:I96 K18:K96 M18:M96 O18:O82 D6:D96 O83:BG96 F5:F96 H5:H96 J5:J96 L5:L96 N5:N96 BH5:BN96 E6">
    <cfRule type="cellIs" dxfId="785" priority="134" operator="equal">
      <formula>0</formula>
    </cfRule>
  </conditionalFormatting>
  <conditionalFormatting sqref="D3:BM4 D5:E5 E8:E16 Q8:Q16 S8:S16 U8:U16 W8:W16 W5:W6 Y5:Y6 Y8:Y16 AA8:AA16 AA5:AA6 AC5:AC6 AC8:AC16 AE8:AE16 AE5:AE6 G8:G16 I8:I16 K8:K16 O8:O16 G5:G6 I5:I6 K5:K6 M5:M6 M8:M16 O5:O6 Q5:Q6 S5:S6 U5:U6 U18:U82 W18:W82 Y18:Y82 AA18:AA82 AC18:AC82 AE18:AE82 AG5:AG82 AI5:AI82 AK5:AK82 AM5:AM82 AO5:AO82 AQ5:AQ82 AS5:AS82 AU5:AU82 AW5:AW82 AY5:AY82 BA5:BA82 BC5:BC82 BE5:BE82 BG5:BG82 Q18:Q82 S18:S82 E18:E96 G18:G96 I18:I96 K18:K96 M18:M96 O18:O82 D6:D96 O83:BG96 F5:F96 H5:H96 J5:J96 L5:L96 N5:N96 BH5:BN96 E6">
    <cfRule type="cellIs" dxfId="784" priority="133" operator="lessThan">
      <formula>0</formula>
    </cfRule>
  </conditionalFormatting>
  <conditionalFormatting sqref="BT5:BT96">
    <cfRule type="cellIs" dxfId="783" priority="117" operator="lessThan">
      <formula>1</formula>
    </cfRule>
    <cfRule type="cellIs" dxfId="782" priority="131" operator="greaterThan">
      <formula>"-"</formula>
    </cfRule>
    <cfRule type="cellIs" dxfId="781" priority="132" operator="equal">
      <formula>"-"</formula>
    </cfRule>
  </conditionalFormatting>
  <conditionalFormatting sqref="E7 O7 Q7 S7 U7 W7 Y7 AA7 AC7 AE7 G7 I7 K7">
    <cfRule type="cellIs" dxfId="780" priority="130" operator="equal">
      <formula>0</formula>
    </cfRule>
  </conditionalFormatting>
  <conditionalFormatting sqref="E7 O7 Q7 S7 U7 W7 Y7 AA7 AC7 AE7 G7 I7 K7">
    <cfRule type="cellIs" dxfId="779" priority="129" operator="lessThan">
      <formula>0</formula>
    </cfRule>
  </conditionalFormatting>
  <conditionalFormatting sqref="E17 O17 Q17 S17 U17 W17 Y17 AA17 AC17 AE17 G17 I17 K17">
    <cfRule type="cellIs" dxfId="778" priority="128" operator="equal">
      <formula>0</formula>
    </cfRule>
  </conditionalFormatting>
  <conditionalFormatting sqref="E17 O17 Q17 S17 U17 W17 Y17 AA17 AC17 AE17 G17 I17 K17">
    <cfRule type="cellIs" dxfId="777" priority="127" operator="lessThan">
      <formula>0</formula>
    </cfRule>
  </conditionalFormatting>
  <conditionalFormatting sqref="M7">
    <cfRule type="cellIs" dxfId="776" priority="126" operator="equal">
      <formula>0</formula>
    </cfRule>
  </conditionalFormatting>
  <conditionalFormatting sqref="M7">
    <cfRule type="cellIs" dxfId="775" priority="125" operator="lessThan">
      <formula>0</formula>
    </cfRule>
  </conditionalFormatting>
  <conditionalFormatting sqref="M17">
    <cfRule type="cellIs" dxfId="774" priority="124" operator="equal">
      <formula>0</formula>
    </cfRule>
  </conditionalFormatting>
  <conditionalFormatting sqref="M17">
    <cfRule type="cellIs" dxfId="773" priority="123" operator="lessThan">
      <formula>0</formula>
    </cfRule>
  </conditionalFormatting>
  <conditionalFormatting sqref="BT5:BT96">
    <cfRule type="cellIs" dxfId="772" priority="120" operator="lessThan">
      <formula>0</formula>
    </cfRule>
    <cfRule type="cellIs" dxfId="771" priority="122" operator="lessThan">
      <formula>0</formula>
    </cfRule>
  </conditionalFormatting>
  <conditionalFormatting sqref="BT18 BT20:BT82">
    <cfRule type="cellIs" dxfId="770" priority="121" operator="lessThan">
      <formula>0</formula>
    </cfRule>
  </conditionalFormatting>
  <conditionalFormatting sqref="D97 F97:BN97">
    <cfRule type="cellIs" dxfId="769" priority="119" operator="lessThan">
      <formula>1</formula>
    </cfRule>
  </conditionalFormatting>
  <conditionalFormatting sqref="U5:U82 W5:W82 Y5:Y82 AA5:AA82 AC5:AC82 AE5:AE82 AG5:AG82 AI5:AI82 AK5:AK82 AM5:AM82 AO5:AO82 AQ5:AQ82 AS5:AS82 AU5:AU82 AW5:AW82 AY5:AY82 BA5:BA82 BC5:BC82 BE5:BE82 BG5:BG82 Q5:Q82 S5:S82 D83:BG96 BH5:BN96 D5:O82">
    <cfRule type="cellIs" dxfId="768" priority="116" operator="equal">
      <formula>1</formula>
    </cfRule>
    <cfRule type="cellIs" dxfId="767" priority="118" operator="lessThan">
      <formula>1</formula>
    </cfRule>
  </conditionalFormatting>
  <conditionalFormatting sqref="U5:U82 W5:W82 Y5:Y82 AA5:AA82 AC5:AC82 AE5:AE82 AG5:AG82 AI5:AI82 AK5:AK82 AM5:AM82 AO5:AO82 AQ5:AQ82 AS5:AS82 AU5:AU82 AW5:AW82 AY5:AY82 BA5:BA82 BC5:BC82 BE5:BE82 Q5:Q82 S5:S82 BG5:BL82 D83:BL96 BM8:BN96 D5:O82">
    <cfRule type="cellIs" dxfId="766" priority="115" operator="equal">
      <formula>1</formula>
    </cfRule>
  </conditionalFormatting>
  <conditionalFormatting sqref="G5:G96 I5:I96 K5:K96 M5:M96 O5:O96 W83:W96 U83:U96 S83:S96 Q83:Q96 Y83:Y96 AA83:AA96 AC83:AC96 AE83:AE96 AG83:AG96 AI83:AI96 AK83:AK96 AM83:AM96 AO83:AO96 AQ83:AQ96 AS83:AS96 AU83:AU96 AW83:AW96 AY83:AY96 BA83:BA96 BC83:BC96 BI5:BI96 BK5:BK96 BM5:BM96 BE83:BE96 BG83:BG96 E5:E96">
    <cfRule type="cellIs" dxfId="765" priority="114" operator="greaterThan">
      <formula>0</formula>
    </cfRule>
  </conditionalFormatting>
  <conditionalFormatting sqref="Q5:Q82 S5:S82 U5:U82 W5:W82 Y5:Y82">
    <cfRule type="cellIs" dxfId="764" priority="113" operator="greaterThan">
      <formula>0</formula>
    </cfRule>
  </conditionalFormatting>
  <conditionalFormatting sqref="AA5:AA82 AC5:AC82 AE5:AE82 AG5:AG82 AI5:AI82 AK5:AK82 AM5:AM82 AO5:AO82 AQ5:AQ82 AS5:AS82 AU5:AU82 AW5:AW82 AY5:AY82 BA5:BA82 BC5:BC82">
    <cfRule type="cellIs" dxfId="763" priority="112" operator="greaterThan">
      <formula>0</formula>
    </cfRule>
  </conditionalFormatting>
  <conditionalFormatting sqref="BE5:BE82 BG5:BG82">
    <cfRule type="cellIs" dxfId="762" priority="111" operator="greaterThan">
      <formula>0</formula>
    </cfRule>
  </conditionalFormatting>
  <conditionalFormatting sqref="P5:P82">
    <cfRule type="cellIs" dxfId="761" priority="110" operator="equal">
      <formula>0</formula>
    </cfRule>
  </conditionalFormatting>
  <conditionalFormatting sqref="P5:P82">
    <cfRule type="cellIs" dxfId="760" priority="109" operator="lessThan">
      <formula>0</formula>
    </cfRule>
  </conditionalFormatting>
  <conditionalFormatting sqref="P5:P82">
    <cfRule type="cellIs" dxfId="759" priority="107" operator="equal">
      <formula>1</formula>
    </cfRule>
    <cfRule type="cellIs" dxfId="758" priority="108" operator="lessThan">
      <formula>1</formula>
    </cfRule>
  </conditionalFormatting>
  <conditionalFormatting sqref="P5:P82">
    <cfRule type="cellIs" dxfId="757" priority="106" operator="equal">
      <formula>1</formula>
    </cfRule>
  </conditionalFormatting>
  <conditionalFormatting sqref="R5:R82">
    <cfRule type="cellIs" dxfId="756" priority="105" operator="equal">
      <formula>0</formula>
    </cfRule>
  </conditionalFormatting>
  <conditionalFormatting sqref="R5:R82">
    <cfRule type="cellIs" dxfId="755" priority="104" operator="lessThan">
      <formula>0</formula>
    </cfRule>
  </conditionalFormatting>
  <conditionalFormatting sqref="R5:R82">
    <cfRule type="cellIs" dxfId="754" priority="102" operator="equal">
      <formula>1</formula>
    </cfRule>
    <cfRule type="cellIs" dxfId="753" priority="103" operator="lessThan">
      <formula>1</formula>
    </cfRule>
  </conditionalFormatting>
  <conditionalFormatting sqref="R5:R82">
    <cfRule type="cellIs" dxfId="752" priority="101" operator="equal">
      <formula>1</formula>
    </cfRule>
  </conditionalFormatting>
  <conditionalFormatting sqref="T5:T82">
    <cfRule type="cellIs" dxfId="751" priority="100" operator="equal">
      <formula>0</formula>
    </cfRule>
  </conditionalFormatting>
  <conditionalFormatting sqref="T5:T82">
    <cfRule type="cellIs" dxfId="750" priority="99" operator="lessThan">
      <formula>0</formula>
    </cfRule>
  </conditionalFormatting>
  <conditionalFormatting sqref="T5:T82">
    <cfRule type="cellIs" dxfId="749" priority="97" operator="equal">
      <formula>1</formula>
    </cfRule>
    <cfRule type="cellIs" dxfId="748" priority="98" operator="lessThan">
      <formula>1</formula>
    </cfRule>
  </conditionalFormatting>
  <conditionalFormatting sqref="T5:T82">
    <cfRule type="cellIs" dxfId="747" priority="96" operator="equal">
      <formula>1</formula>
    </cfRule>
  </conditionalFormatting>
  <conditionalFormatting sqref="V5:V82">
    <cfRule type="cellIs" dxfId="746" priority="95" operator="equal">
      <formula>0</formula>
    </cfRule>
  </conditionalFormatting>
  <conditionalFormatting sqref="V5:V82">
    <cfRule type="cellIs" dxfId="745" priority="94" operator="lessThan">
      <formula>0</formula>
    </cfRule>
  </conditionalFormatting>
  <conditionalFormatting sqref="V5:V82">
    <cfRule type="cellIs" dxfId="744" priority="92" operator="equal">
      <formula>1</formula>
    </cfRule>
    <cfRule type="cellIs" dxfId="743" priority="93" operator="lessThan">
      <formula>1</formula>
    </cfRule>
  </conditionalFormatting>
  <conditionalFormatting sqref="V5:V82">
    <cfRule type="cellIs" dxfId="742" priority="91" operator="equal">
      <formula>1</formula>
    </cfRule>
  </conditionalFormatting>
  <conditionalFormatting sqref="X5:X82">
    <cfRule type="cellIs" dxfId="741" priority="90" operator="equal">
      <formula>0</formula>
    </cfRule>
  </conditionalFormatting>
  <conditionalFormatting sqref="X5:X82">
    <cfRule type="cellIs" dxfId="740" priority="89" operator="lessThan">
      <formula>0</formula>
    </cfRule>
  </conditionalFormatting>
  <conditionalFormatting sqref="X5:X82">
    <cfRule type="cellIs" dxfId="739" priority="87" operator="equal">
      <formula>1</formula>
    </cfRule>
    <cfRule type="cellIs" dxfId="738" priority="88" operator="lessThan">
      <formula>1</formula>
    </cfRule>
  </conditionalFormatting>
  <conditionalFormatting sqref="X5:X82">
    <cfRule type="cellIs" dxfId="737" priority="86" operator="equal">
      <formula>1</formula>
    </cfRule>
  </conditionalFormatting>
  <conditionalFormatting sqref="Z5:Z82">
    <cfRule type="cellIs" dxfId="736" priority="85" operator="equal">
      <formula>0</formula>
    </cfRule>
  </conditionalFormatting>
  <conditionalFormatting sqref="Z5:Z82">
    <cfRule type="cellIs" dxfId="735" priority="84" operator="lessThan">
      <formula>0</formula>
    </cfRule>
  </conditionalFormatting>
  <conditionalFormatting sqref="Z5:Z82">
    <cfRule type="cellIs" dxfId="734" priority="82" operator="equal">
      <formula>1</formula>
    </cfRule>
    <cfRule type="cellIs" dxfId="733" priority="83" operator="lessThan">
      <formula>1</formula>
    </cfRule>
  </conditionalFormatting>
  <conditionalFormatting sqref="Z5:Z82">
    <cfRule type="cellIs" dxfId="732" priority="81" operator="equal">
      <formula>1</formula>
    </cfRule>
  </conditionalFormatting>
  <conditionalFormatting sqref="AB5:AB82">
    <cfRule type="cellIs" dxfId="731" priority="80" operator="equal">
      <formula>0</formula>
    </cfRule>
  </conditionalFormatting>
  <conditionalFormatting sqref="AB5:AB82">
    <cfRule type="cellIs" dxfId="730" priority="79" operator="lessThan">
      <formula>0</formula>
    </cfRule>
  </conditionalFormatting>
  <conditionalFormatting sqref="AB5:AB82">
    <cfRule type="cellIs" dxfId="729" priority="77" operator="equal">
      <formula>1</formula>
    </cfRule>
    <cfRule type="cellIs" dxfId="728" priority="78" operator="lessThan">
      <formula>1</formula>
    </cfRule>
  </conditionalFormatting>
  <conditionalFormatting sqref="AB5:AB82">
    <cfRule type="cellIs" dxfId="727" priority="76" operator="equal">
      <formula>1</formula>
    </cfRule>
  </conditionalFormatting>
  <conditionalFormatting sqref="AD5:AD82">
    <cfRule type="cellIs" dxfId="726" priority="75" operator="equal">
      <formula>0</formula>
    </cfRule>
  </conditionalFormatting>
  <conditionalFormatting sqref="AD5:AD82">
    <cfRule type="cellIs" dxfId="725" priority="74" operator="lessThan">
      <formula>0</formula>
    </cfRule>
  </conditionalFormatting>
  <conditionalFormatting sqref="AD5:AD82">
    <cfRule type="cellIs" dxfId="724" priority="72" operator="equal">
      <formula>1</formula>
    </cfRule>
    <cfRule type="cellIs" dxfId="723" priority="73" operator="lessThan">
      <formula>1</formula>
    </cfRule>
  </conditionalFormatting>
  <conditionalFormatting sqref="AD5:AD82">
    <cfRule type="cellIs" dxfId="722" priority="71" operator="equal">
      <formula>1</formula>
    </cfRule>
  </conditionalFormatting>
  <conditionalFormatting sqref="AF5:AF82">
    <cfRule type="cellIs" dxfId="721" priority="70" operator="equal">
      <formula>0</formula>
    </cfRule>
  </conditionalFormatting>
  <conditionalFormatting sqref="AF5:AF82">
    <cfRule type="cellIs" dxfId="720" priority="69" operator="lessThan">
      <formula>0</formula>
    </cfRule>
  </conditionalFormatting>
  <conditionalFormatting sqref="AF5:AF82">
    <cfRule type="cellIs" dxfId="719" priority="67" operator="equal">
      <formula>1</formula>
    </cfRule>
    <cfRule type="cellIs" dxfId="718" priority="68" operator="lessThan">
      <formula>1</formula>
    </cfRule>
  </conditionalFormatting>
  <conditionalFormatting sqref="AF5:AF82">
    <cfRule type="cellIs" dxfId="717" priority="66" operator="equal">
      <formula>1</formula>
    </cfRule>
  </conditionalFormatting>
  <conditionalFormatting sqref="AH5:AH82">
    <cfRule type="cellIs" dxfId="716" priority="65" operator="equal">
      <formula>0</formula>
    </cfRule>
  </conditionalFormatting>
  <conditionalFormatting sqref="AH5:AH82">
    <cfRule type="cellIs" dxfId="715" priority="64" operator="lessThan">
      <formula>0</formula>
    </cfRule>
  </conditionalFormatting>
  <conditionalFormatting sqref="AH5:AH82">
    <cfRule type="cellIs" dxfId="714" priority="62" operator="equal">
      <formula>1</formula>
    </cfRule>
    <cfRule type="cellIs" dxfId="713" priority="63" operator="lessThan">
      <formula>1</formula>
    </cfRule>
  </conditionalFormatting>
  <conditionalFormatting sqref="AH5:AH82">
    <cfRule type="cellIs" dxfId="712" priority="61" operator="equal">
      <formula>1</formula>
    </cfRule>
  </conditionalFormatting>
  <conditionalFormatting sqref="AJ5:AJ82">
    <cfRule type="cellIs" dxfId="711" priority="60" operator="equal">
      <formula>0</formula>
    </cfRule>
  </conditionalFormatting>
  <conditionalFormatting sqref="AJ5:AJ82">
    <cfRule type="cellIs" dxfId="710" priority="59" operator="lessThan">
      <formula>0</formula>
    </cfRule>
  </conditionalFormatting>
  <conditionalFormatting sqref="AJ5:AJ82">
    <cfRule type="cellIs" dxfId="709" priority="57" operator="equal">
      <formula>1</formula>
    </cfRule>
    <cfRule type="cellIs" dxfId="708" priority="58" operator="lessThan">
      <formula>1</formula>
    </cfRule>
  </conditionalFormatting>
  <conditionalFormatting sqref="AJ5:AJ82">
    <cfRule type="cellIs" dxfId="707" priority="56" operator="equal">
      <formula>1</formula>
    </cfRule>
  </conditionalFormatting>
  <conditionalFormatting sqref="AL5:AL82">
    <cfRule type="cellIs" dxfId="706" priority="55" operator="equal">
      <formula>0</formula>
    </cfRule>
  </conditionalFormatting>
  <conditionalFormatting sqref="AL5:AL82">
    <cfRule type="cellIs" dxfId="705" priority="54" operator="lessThan">
      <formula>0</formula>
    </cfRule>
  </conditionalFormatting>
  <conditionalFormatting sqref="AL5:AL82">
    <cfRule type="cellIs" dxfId="704" priority="52" operator="equal">
      <formula>1</formula>
    </cfRule>
    <cfRule type="cellIs" dxfId="703" priority="53" operator="lessThan">
      <formula>1</formula>
    </cfRule>
  </conditionalFormatting>
  <conditionalFormatting sqref="AL5:AL82">
    <cfRule type="cellIs" dxfId="702" priority="51" operator="equal">
      <formula>1</formula>
    </cfRule>
  </conditionalFormatting>
  <conditionalFormatting sqref="AN5:AN82">
    <cfRule type="cellIs" dxfId="701" priority="50" operator="equal">
      <formula>0</formula>
    </cfRule>
  </conditionalFormatting>
  <conditionalFormatting sqref="AN5:AN82">
    <cfRule type="cellIs" dxfId="700" priority="49" operator="lessThan">
      <formula>0</formula>
    </cfRule>
  </conditionalFormatting>
  <conditionalFormatting sqref="AN5:AN82">
    <cfRule type="cellIs" dxfId="699" priority="47" operator="equal">
      <formula>1</formula>
    </cfRule>
    <cfRule type="cellIs" dxfId="698" priority="48" operator="lessThan">
      <formula>1</formula>
    </cfRule>
  </conditionalFormatting>
  <conditionalFormatting sqref="AN5:AN82">
    <cfRule type="cellIs" dxfId="697" priority="46" operator="equal">
      <formula>1</formula>
    </cfRule>
  </conditionalFormatting>
  <conditionalFormatting sqref="AP5:AP82">
    <cfRule type="cellIs" dxfId="696" priority="45" operator="equal">
      <formula>0</formula>
    </cfRule>
  </conditionalFormatting>
  <conditionalFormatting sqref="AP5:AP82">
    <cfRule type="cellIs" dxfId="695" priority="44" operator="lessThan">
      <formula>0</formula>
    </cfRule>
  </conditionalFormatting>
  <conditionalFormatting sqref="AP5:AP82">
    <cfRule type="cellIs" dxfId="694" priority="42" operator="equal">
      <formula>1</formula>
    </cfRule>
    <cfRule type="cellIs" dxfId="693" priority="43" operator="lessThan">
      <formula>1</formula>
    </cfRule>
  </conditionalFormatting>
  <conditionalFormatting sqref="AP5:AP82">
    <cfRule type="cellIs" dxfId="692" priority="41" operator="equal">
      <formula>1</formula>
    </cfRule>
  </conditionalFormatting>
  <conditionalFormatting sqref="AR5:AR82">
    <cfRule type="cellIs" dxfId="691" priority="40" operator="equal">
      <formula>0</formula>
    </cfRule>
  </conditionalFormatting>
  <conditionalFormatting sqref="AR5:AR82">
    <cfRule type="cellIs" dxfId="690" priority="39" operator="lessThan">
      <formula>0</formula>
    </cfRule>
  </conditionalFormatting>
  <conditionalFormatting sqref="AR5:AR82">
    <cfRule type="cellIs" dxfId="689" priority="37" operator="equal">
      <formula>1</formula>
    </cfRule>
    <cfRule type="cellIs" dxfId="688" priority="38" operator="lessThan">
      <formula>1</formula>
    </cfRule>
  </conditionalFormatting>
  <conditionalFormatting sqref="AR5:AR82">
    <cfRule type="cellIs" dxfId="687" priority="36" operator="equal">
      <formula>1</formula>
    </cfRule>
  </conditionalFormatting>
  <conditionalFormatting sqref="AT5:AT82">
    <cfRule type="cellIs" dxfId="686" priority="35" operator="equal">
      <formula>0</formula>
    </cfRule>
  </conditionalFormatting>
  <conditionalFormatting sqref="AT5:AT82">
    <cfRule type="cellIs" dxfId="685" priority="34" operator="lessThan">
      <formula>0</formula>
    </cfRule>
  </conditionalFormatting>
  <conditionalFormatting sqref="AT5:AT82">
    <cfRule type="cellIs" dxfId="684" priority="32" operator="equal">
      <formula>1</formula>
    </cfRule>
    <cfRule type="cellIs" dxfId="683" priority="33" operator="lessThan">
      <formula>1</formula>
    </cfRule>
  </conditionalFormatting>
  <conditionalFormatting sqref="AT5:AT82">
    <cfRule type="cellIs" dxfId="682" priority="31" operator="equal">
      <formula>1</formula>
    </cfRule>
  </conditionalFormatting>
  <conditionalFormatting sqref="AV5:AV82">
    <cfRule type="cellIs" dxfId="681" priority="30" operator="equal">
      <formula>0</formula>
    </cfRule>
  </conditionalFormatting>
  <conditionalFormatting sqref="AV5:AV82">
    <cfRule type="cellIs" dxfId="680" priority="29" operator="lessThan">
      <formula>0</formula>
    </cfRule>
  </conditionalFormatting>
  <conditionalFormatting sqref="AV5:AV82">
    <cfRule type="cellIs" dxfId="679" priority="27" operator="equal">
      <formula>1</formula>
    </cfRule>
    <cfRule type="cellIs" dxfId="678" priority="28" operator="lessThan">
      <formula>1</formula>
    </cfRule>
  </conditionalFormatting>
  <conditionalFormatting sqref="AV5:AV82">
    <cfRule type="cellIs" dxfId="677" priority="26" operator="equal">
      <formula>1</formula>
    </cfRule>
  </conditionalFormatting>
  <conditionalFormatting sqref="AX5:AX82">
    <cfRule type="cellIs" dxfId="676" priority="25" operator="equal">
      <formula>0</formula>
    </cfRule>
  </conditionalFormatting>
  <conditionalFormatting sqref="AX5:AX82">
    <cfRule type="cellIs" dxfId="675" priority="24" operator="lessThan">
      <formula>0</formula>
    </cfRule>
  </conditionalFormatting>
  <conditionalFormatting sqref="AX5:AX82">
    <cfRule type="cellIs" dxfId="674" priority="22" operator="equal">
      <formula>1</formula>
    </cfRule>
    <cfRule type="cellIs" dxfId="673" priority="23" operator="lessThan">
      <formula>1</formula>
    </cfRule>
  </conditionalFormatting>
  <conditionalFormatting sqref="AX5:AX82">
    <cfRule type="cellIs" dxfId="672" priority="21" operator="equal">
      <formula>1</formula>
    </cfRule>
  </conditionalFormatting>
  <conditionalFormatting sqref="AZ5:AZ82">
    <cfRule type="cellIs" dxfId="671" priority="20" operator="equal">
      <formula>0</formula>
    </cfRule>
  </conditionalFormatting>
  <conditionalFormatting sqref="AZ5:AZ82">
    <cfRule type="cellIs" dxfId="670" priority="19" operator="lessThan">
      <formula>0</formula>
    </cfRule>
  </conditionalFormatting>
  <conditionalFormatting sqref="AZ5:AZ82">
    <cfRule type="cellIs" dxfId="669" priority="17" operator="equal">
      <formula>1</formula>
    </cfRule>
    <cfRule type="cellIs" dxfId="668" priority="18" operator="lessThan">
      <formula>1</formula>
    </cfRule>
  </conditionalFormatting>
  <conditionalFormatting sqref="AZ5:AZ82">
    <cfRule type="cellIs" dxfId="667" priority="16" operator="equal">
      <formula>1</formula>
    </cfRule>
  </conditionalFormatting>
  <conditionalFormatting sqref="BB5:BB82">
    <cfRule type="cellIs" dxfId="666" priority="15" operator="equal">
      <formula>0</formula>
    </cfRule>
  </conditionalFormatting>
  <conditionalFormatting sqref="BB5:BB82">
    <cfRule type="cellIs" dxfId="665" priority="14" operator="lessThan">
      <formula>0</formula>
    </cfRule>
  </conditionalFormatting>
  <conditionalFormatting sqref="BB5:BB82">
    <cfRule type="cellIs" dxfId="664" priority="12" operator="equal">
      <formula>1</formula>
    </cfRule>
    <cfRule type="cellIs" dxfId="663" priority="13" operator="lessThan">
      <formula>1</formula>
    </cfRule>
  </conditionalFormatting>
  <conditionalFormatting sqref="BB5:BB82">
    <cfRule type="cellIs" dxfId="662" priority="11" operator="equal">
      <formula>1</formula>
    </cfRule>
  </conditionalFormatting>
  <conditionalFormatting sqref="BD5:BD82">
    <cfRule type="cellIs" dxfId="661" priority="10" operator="equal">
      <formula>0</formula>
    </cfRule>
  </conditionalFormatting>
  <conditionalFormatting sqref="BD5:BD82">
    <cfRule type="cellIs" dxfId="660" priority="9" operator="lessThan">
      <formula>0</formula>
    </cfRule>
  </conditionalFormatting>
  <conditionalFormatting sqref="BD5:BD82">
    <cfRule type="cellIs" dxfId="659" priority="7" operator="equal">
      <formula>1</formula>
    </cfRule>
    <cfRule type="cellIs" dxfId="658" priority="8" operator="lessThan">
      <formula>1</formula>
    </cfRule>
  </conditionalFormatting>
  <conditionalFormatting sqref="BD5:BD82">
    <cfRule type="cellIs" dxfId="657" priority="6" operator="equal">
      <formula>1</formula>
    </cfRule>
  </conditionalFormatting>
  <conditionalFormatting sqref="BF5:BF82">
    <cfRule type="cellIs" dxfId="656" priority="5" operator="equal">
      <formula>0</formula>
    </cfRule>
  </conditionalFormatting>
  <conditionalFormatting sqref="BF5:BF82">
    <cfRule type="cellIs" dxfId="655" priority="4" operator="lessThan">
      <formula>0</formula>
    </cfRule>
  </conditionalFormatting>
  <conditionalFormatting sqref="BF5:BF82">
    <cfRule type="cellIs" dxfId="654" priority="2" operator="equal">
      <formula>1</formula>
    </cfRule>
    <cfRule type="cellIs" dxfId="653" priority="3" operator="lessThan">
      <formula>1</formula>
    </cfRule>
  </conditionalFormatting>
  <conditionalFormatting sqref="BF5:BF82">
    <cfRule type="cellIs" dxfId="652" priority="1" operator="equal">
      <formula>1</formula>
    </cfRule>
  </conditionalFormatting>
  <pageMargins left="0.7" right="0.7" top="0.75" bottom="0.75" header="0.3" footer="0.3"/>
  <pageSetup orientation="portrait" horizontalDpi="0" verticalDpi="0" r:id="rId1"/>
  <ignoredErrors>
    <ignoredError sqref="M100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4:V44"/>
  <sheetViews>
    <sheetView zoomScaleNormal="100" workbookViewId="0">
      <pane xSplit="1" ySplit="8" topLeftCell="B33" activePane="bottomRight" state="frozen"/>
      <selection pane="topRight" activeCell="B1" sqref="B1"/>
      <selection pane="bottomLeft" activeCell="A9" sqref="A9"/>
      <selection pane="bottomRight" activeCell="D44" sqref="D44"/>
    </sheetView>
  </sheetViews>
  <sheetFormatPr defaultRowHeight="15"/>
  <cols>
    <col min="1" max="2" width="14.85546875" bestFit="1" customWidth="1"/>
    <col min="3" max="3" width="17.140625" bestFit="1" customWidth="1"/>
    <col min="4" max="4" width="14.85546875" bestFit="1" customWidth="1"/>
    <col min="5" max="8" width="17.140625" bestFit="1" customWidth="1"/>
    <col min="9" max="10" width="14.85546875" bestFit="1" customWidth="1"/>
    <col min="11" max="11" width="17.140625" bestFit="1" customWidth="1"/>
    <col min="12" max="12" width="14.85546875" bestFit="1" customWidth="1"/>
    <col min="13" max="13" width="11.42578125" bestFit="1" customWidth="1"/>
    <col min="14" max="14" width="12.28515625" bestFit="1" customWidth="1"/>
    <col min="15" max="15" width="17.140625" bestFit="1" customWidth="1"/>
    <col min="16" max="17" width="17.28515625" bestFit="1" customWidth="1"/>
    <col min="18" max="18" width="17.28515625" customWidth="1"/>
    <col min="19" max="19" width="17.140625" bestFit="1" customWidth="1"/>
    <col min="20" max="20" width="18.5703125" bestFit="1" customWidth="1"/>
    <col min="21" max="21" width="10.5703125" bestFit="1" customWidth="1"/>
    <col min="22" max="22" width="12.5703125" bestFit="1" customWidth="1"/>
  </cols>
  <sheetData>
    <row r="4" spans="1:22">
      <c r="C4" t="s">
        <v>1</v>
      </c>
    </row>
    <row r="5" spans="1:22" ht="15.75" thickBot="1"/>
    <row r="6" spans="1:22" ht="37.5" thickTop="1" thickBot="1">
      <c r="A6" s="342" t="s">
        <v>347</v>
      </c>
      <c r="B6" s="1417" t="s">
        <v>91</v>
      </c>
      <c r="C6" s="1418"/>
      <c r="D6" s="1418"/>
      <c r="E6" s="1418"/>
      <c r="F6" s="1418"/>
      <c r="G6" s="1418"/>
      <c r="H6" s="1418"/>
      <c r="I6" s="1418"/>
      <c r="J6" s="1418"/>
      <c r="K6" s="1418"/>
      <c r="L6" s="1418"/>
      <c r="M6" s="1418"/>
      <c r="N6" s="1418"/>
      <c r="O6" s="1418"/>
      <c r="P6" s="1418"/>
      <c r="Q6" s="1418"/>
      <c r="R6" s="1418"/>
      <c r="S6" s="1419"/>
    </row>
    <row r="7" spans="1:22" ht="21.75" thickTop="1" thickBot="1">
      <c r="A7" s="1420" t="s">
        <v>92</v>
      </c>
      <c r="B7" s="1402" t="s">
        <v>95</v>
      </c>
      <c r="C7" s="1403"/>
      <c r="D7" s="1403"/>
      <c r="E7" s="1404"/>
      <c r="F7" s="1402" t="s">
        <v>7</v>
      </c>
      <c r="G7" s="1403"/>
      <c r="H7" s="1404"/>
      <c r="I7" s="1402" t="s">
        <v>8</v>
      </c>
      <c r="J7" s="1404"/>
      <c r="K7" s="1402" t="s">
        <v>9</v>
      </c>
      <c r="L7" s="1403"/>
      <c r="M7" s="1403"/>
      <c r="N7" s="1403"/>
      <c r="O7" s="1403"/>
      <c r="P7" s="1403"/>
      <c r="Q7" s="1403"/>
      <c r="R7" s="1405" t="s">
        <v>10</v>
      </c>
      <c r="S7" s="1406"/>
      <c r="T7" s="1400" t="s">
        <v>289</v>
      </c>
      <c r="U7" s="1401"/>
      <c r="V7" s="842" t="s">
        <v>290</v>
      </c>
    </row>
    <row r="8" spans="1:22" ht="42" thickTop="1" thickBot="1">
      <c r="A8" s="1421"/>
      <c r="B8" s="482" t="s">
        <v>12</v>
      </c>
      <c r="C8" s="482" t="s">
        <v>13</v>
      </c>
      <c r="D8" s="482" t="s">
        <v>14</v>
      </c>
      <c r="E8" s="958" t="s">
        <v>263</v>
      </c>
      <c r="F8" s="482" t="s">
        <v>12</v>
      </c>
      <c r="G8" s="482" t="s">
        <v>13</v>
      </c>
      <c r="H8" s="482" t="s">
        <v>282</v>
      </c>
      <c r="I8" s="482" t="s">
        <v>12</v>
      </c>
      <c r="J8" s="482" t="s">
        <v>16</v>
      </c>
      <c r="K8" s="482" t="s">
        <v>17</v>
      </c>
      <c r="L8" s="482" t="s">
        <v>18</v>
      </c>
      <c r="M8" s="482" t="s">
        <v>19</v>
      </c>
      <c r="N8" s="484" t="s">
        <v>96</v>
      </c>
      <c r="O8" s="484" t="s">
        <v>257</v>
      </c>
      <c r="P8" s="482" t="s">
        <v>254</v>
      </c>
      <c r="Q8" s="482" t="s">
        <v>20</v>
      </c>
      <c r="R8" s="483" t="s">
        <v>14</v>
      </c>
      <c r="S8" s="482" t="s">
        <v>13</v>
      </c>
      <c r="T8" s="846" t="s">
        <v>284</v>
      </c>
      <c r="U8" s="846" t="s">
        <v>288</v>
      </c>
      <c r="V8" s="484" t="s">
        <v>291</v>
      </c>
    </row>
    <row r="9" spans="1:22" ht="27" thickTop="1">
      <c r="A9" s="206">
        <f>'Main Page'!E17</f>
        <v>44866</v>
      </c>
      <c r="B9" s="233">
        <f>'1'!T51</f>
        <v>0</v>
      </c>
      <c r="C9" s="233">
        <f>'1'!U51</f>
        <v>0</v>
      </c>
      <c r="D9" s="233">
        <f>'1'!V51</f>
        <v>0</v>
      </c>
      <c r="E9" s="233">
        <f>'1'!W51</f>
        <v>0</v>
      </c>
      <c r="F9" s="233">
        <f>'1'!X51</f>
        <v>0</v>
      </c>
      <c r="G9" s="233">
        <f>'1'!Y51</f>
        <v>0</v>
      </c>
      <c r="H9" s="233">
        <f>'1'!Z51</f>
        <v>0</v>
      </c>
      <c r="I9" s="233">
        <f>'1'!AA51</f>
        <v>0</v>
      </c>
      <c r="J9" s="233">
        <f>'1'!AB51</f>
        <v>0</v>
      </c>
      <c r="K9" s="233">
        <f>'1'!AC51</f>
        <v>0</v>
      </c>
      <c r="L9" s="233">
        <f>'1'!AD51</f>
        <v>0</v>
      </c>
      <c r="M9" s="233">
        <f>'1'!AE51</f>
        <v>0</v>
      </c>
      <c r="N9" s="233">
        <f>'1'!AF51</f>
        <v>0</v>
      </c>
      <c r="O9" s="233">
        <f>'1'!AG51</f>
        <v>0</v>
      </c>
      <c r="P9" s="233">
        <f>'1'!AH51</f>
        <v>0</v>
      </c>
      <c r="Q9" s="233">
        <f>'1'!AI51</f>
        <v>0</v>
      </c>
      <c r="R9" s="233">
        <f>'1'!AJ51</f>
        <v>0</v>
      </c>
      <c r="S9" s="233">
        <f>'1'!AK51</f>
        <v>0</v>
      </c>
      <c r="T9" s="233">
        <f>'1'!AL51</f>
        <v>0</v>
      </c>
      <c r="U9" s="233">
        <f>'1'!AM51</f>
        <v>0</v>
      </c>
      <c r="V9" s="233">
        <f>'1'!AN51</f>
        <v>0</v>
      </c>
    </row>
    <row r="10" spans="1:22" ht="26.25">
      <c r="A10" s="207">
        <f>'Main Page'!E18</f>
        <v>44867</v>
      </c>
      <c r="B10" s="234">
        <f>'2'!T51</f>
        <v>0</v>
      </c>
      <c r="C10" s="234">
        <f>'2'!U51</f>
        <v>0</v>
      </c>
      <c r="D10" s="234">
        <f>'2'!V51</f>
        <v>0</v>
      </c>
      <c r="E10" s="234">
        <f>'2'!W51</f>
        <v>0</v>
      </c>
      <c r="F10" s="234">
        <f>'2'!X51</f>
        <v>0</v>
      </c>
      <c r="G10" s="234">
        <f>'2'!Y51</f>
        <v>0</v>
      </c>
      <c r="H10" s="234">
        <f>'2'!Z51</f>
        <v>0</v>
      </c>
      <c r="I10" s="234">
        <f>'2'!AA51</f>
        <v>0</v>
      </c>
      <c r="J10" s="234">
        <f>'2'!AB51</f>
        <v>0</v>
      </c>
      <c r="K10" s="234">
        <f>'2'!AC51</f>
        <v>0</v>
      </c>
      <c r="L10" s="234">
        <f>'2'!AD51</f>
        <v>0</v>
      </c>
      <c r="M10" s="234">
        <f>'2'!AE51</f>
        <v>0</v>
      </c>
      <c r="N10" s="234">
        <f>'2'!AF51</f>
        <v>0</v>
      </c>
      <c r="O10" s="234">
        <f>'2'!AG51</f>
        <v>0</v>
      </c>
      <c r="P10" s="234">
        <f>'2'!AH51</f>
        <v>0</v>
      </c>
      <c r="Q10" s="234">
        <f>'2'!AI51</f>
        <v>0</v>
      </c>
      <c r="R10" s="234">
        <f>'2'!AJ51</f>
        <v>0</v>
      </c>
      <c r="S10" s="234">
        <f>'2'!AK51</f>
        <v>0</v>
      </c>
      <c r="T10" s="234">
        <f>'2'!AL51</f>
        <v>0</v>
      </c>
      <c r="U10" s="234">
        <f>'2'!AM51</f>
        <v>0</v>
      </c>
      <c r="V10" s="234">
        <f>'2'!AN51</f>
        <v>0</v>
      </c>
    </row>
    <row r="11" spans="1:22" ht="26.25">
      <c r="A11" s="207">
        <f>'Main Page'!E19</f>
        <v>44868</v>
      </c>
      <c r="B11" s="234">
        <f>'3'!T51</f>
        <v>0</v>
      </c>
      <c r="C11" s="234">
        <f>'3'!U51</f>
        <v>0</v>
      </c>
      <c r="D11" s="234">
        <f>'3'!V51</f>
        <v>0</v>
      </c>
      <c r="E11" s="234">
        <f>'3'!W51</f>
        <v>0</v>
      </c>
      <c r="F11" s="234">
        <f>'3'!X51</f>
        <v>0</v>
      </c>
      <c r="G11" s="234">
        <f>'3'!Y51</f>
        <v>0</v>
      </c>
      <c r="H11" s="234">
        <f>'3'!Z51</f>
        <v>0</v>
      </c>
      <c r="I11" s="234">
        <f>'3'!AA51</f>
        <v>0</v>
      </c>
      <c r="J11" s="234">
        <f>'3'!AB51</f>
        <v>0</v>
      </c>
      <c r="K11" s="234">
        <f>'3'!AC51</f>
        <v>0</v>
      </c>
      <c r="L11" s="234">
        <f>'3'!AD51</f>
        <v>0</v>
      </c>
      <c r="M11" s="234">
        <f>'3'!AE51</f>
        <v>0</v>
      </c>
      <c r="N11" s="234">
        <f>'3'!AF51</f>
        <v>0</v>
      </c>
      <c r="O11" s="234">
        <f>'3'!AG51</f>
        <v>0</v>
      </c>
      <c r="P11" s="234">
        <f>'3'!AH51</f>
        <v>0</v>
      </c>
      <c r="Q11" s="234">
        <f>'3'!AI51</f>
        <v>0</v>
      </c>
      <c r="R11" s="234">
        <f>'3'!AJ51</f>
        <v>0</v>
      </c>
      <c r="S11" s="234">
        <f>'3'!AK51</f>
        <v>0</v>
      </c>
      <c r="T11" s="234">
        <f>'3'!AL51</f>
        <v>0</v>
      </c>
      <c r="U11" s="234">
        <f>'3'!AM51</f>
        <v>0</v>
      </c>
      <c r="V11" s="234">
        <f>'3'!AN51</f>
        <v>0</v>
      </c>
    </row>
    <row r="12" spans="1:22" ht="26.25">
      <c r="A12" s="207">
        <f>'Main Page'!E20</f>
        <v>44869</v>
      </c>
      <c r="B12" s="234">
        <f>'4'!T51</f>
        <v>0</v>
      </c>
      <c r="C12" s="234">
        <f>'4'!U51</f>
        <v>0</v>
      </c>
      <c r="D12" s="234">
        <f>'4'!V51</f>
        <v>0</v>
      </c>
      <c r="E12" s="234">
        <f>'4'!W51</f>
        <v>0</v>
      </c>
      <c r="F12" s="234">
        <f>'4'!X51</f>
        <v>0</v>
      </c>
      <c r="G12" s="234">
        <f>'4'!Y51</f>
        <v>0</v>
      </c>
      <c r="H12" s="234">
        <f>'4'!Z51</f>
        <v>0</v>
      </c>
      <c r="I12" s="234">
        <f>'4'!AA51</f>
        <v>0</v>
      </c>
      <c r="J12" s="234">
        <f>'4'!AB51</f>
        <v>0</v>
      </c>
      <c r="K12" s="234">
        <f>'4'!AC51</f>
        <v>0</v>
      </c>
      <c r="L12" s="234">
        <f>'4'!AD51</f>
        <v>0</v>
      </c>
      <c r="M12" s="234">
        <f>'4'!AE51</f>
        <v>0</v>
      </c>
      <c r="N12" s="234">
        <f>'4'!AF51</f>
        <v>0</v>
      </c>
      <c r="O12" s="234">
        <f>'4'!AG51</f>
        <v>0</v>
      </c>
      <c r="P12" s="234">
        <f>'4'!AH51</f>
        <v>0</v>
      </c>
      <c r="Q12" s="234">
        <f>'4'!AI51</f>
        <v>0</v>
      </c>
      <c r="R12" s="234">
        <f>'4'!AJ51</f>
        <v>0</v>
      </c>
      <c r="S12" s="234">
        <f>'4'!AK51</f>
        <v>0</v>
      </c>
      <c r="T12" s="234">
        <f>'4'!AL51</f>
        <v>0</v>
      </c>
      <c r="U12" s="234">
        <f>'4'!AM51</f>
        <v>0</v>
      </c>
      <c r="V12" s="234">
        <f>'4'!AN51</f>
        <v>0</v>
      </c>
    </row>
    <row r="13" spans="1:22" ht="26.25">
      <c r="A13" s="207">
        <f>'Main Page'!E21</f>
        <v>44870</v>
      </c>
      <c r="B13" s="234">
        <f>'5'!T51</f>
        <v>0</v>
      </c>
      <c r="C13" s="234">
        <f>'5'!U51</f>
        <v>0</v>
      </c>
      <c r="D13" s="234">
        <f>'5'!V51</f>
        <v>0</v>
      </c>
      <c r="E13" s="234">
        <f>'5'!W51</f>
        <v>0</v>
      </c>
      <c r="F13" s="234">
        <f>'5'!X51</f>
        <v>0</v>
      </c>
      <c r="G13" s="234">
        <f>'5'!Y51</f>
        <v>0</v>
      </c>
      <c r="H13" s="234">
        <f>'5'!Z51</f>
        <v>0</v>
      </c>
      <c r="I13" s="234">
        <f>'5'!AA51</f>
        <v>0</v>
      </c>
      <c r="J13" s="234">
        <f>'5'!AB51</f>
        <v>0</v>
      </c>
      <c r="K13" s="234">
        <f>'5'!AC51</f>
        <v>0</v>
      </c>
      <c r="L13" s="234">
        <f>'5'!AD51</f>
        <v>0</v>
      </c>
      <c r="M13" s="234">
        <f>'5'!AE51</f>
        <v>0</v>
      </c>
      <c r="N13" s="234">
        <f>'5'!AF51</f>
        <v>0</v>
      </c>
      <c r="O13" s="234">
        <f>'5'!AG51</f>
        <v>0</v>
      </c>
      <c r="P13" s="234">
        <f>'5'!AH51</f>
        <v>0</v>
      </c>
      <c r="Q13" s="234">
        <f>'5'!AI51</f>
        <v>0</v>
      </c>
      <c r="R13" s="234">
        <f>'5'!AJ51</f>
        <v>0</v>
      </c>
      <c r="S13" s="234">
        <f>'5'!AK51</f>
        <v>0</v>
      </c>
      <c r="T13" s="234">
        <f>'5'!AL51</f>
        <v>0</v>
      </c>
      <c r="U13" s="234">
        <f>'5'!AM51</f>
        <v>0</v>
      </c>
      <c r="V13" s="234">
        <f>'5'!AN51</f>
        <v>0</v>
      </c>
    </row>
    <row r="14" spans="1:22" ht="26.25">
      <c r="A14" s="207">
        <f>'Main Page'!E22</f>
        <v>44871</v>
      </c>
      <c r="B14" s="234">
        <f>'6'!T51</f>
        <v>0</v>
      </c>
      <c r="C14" s="234">
        <f>'6'!U51</f>
        <v>0</v>
      </c>
      <c r="D14" s="234">
        <f>'6'!V51</f>
        <v>0</v>
      </c>
      <c r="E14" s="234">
        <f>'6'!W51</f>
        <v>0</v>
      </c>
      <c r="F14" s="234">
        <f>'6'!X51</f>
        <v>0</v>
      </c>
      <c r="G14" s="234">
        <f>'6'!Y51</f>
        <v>0</v>
      </c>
      <c r="H14" s="234">
        <f>'6'!Z51</f>
        <v>0</v>
      </c>
      <c r="I14" s="234">
        <f>'6'!AA51</f>
        <v>0</v>
      </c>
      <c r="J14" s="234">
        <f>'6'!AB51</f>
        <v>0</v>
      </c>
      <c r="K14" s="234">
        <f>'6'!AC51</f>
        <v>0</v>
      </c>
      <c r="L14" s="234">
        <f>'6'!AD51</f>
        <v>0</v>
      </c>
      <c r="M14" s="234">
        <f>'6'!AE51</f>
        <v>0</v>
      </c>
      <c r="N14" s="234">
        <f>'6'!AF51</f>
        <v>0</v>
      </c>
      <c r="O14" s="234">
        <f>'6'!AG51</f>
        <v>0</v>
      </c>
      <c r="P14" s="234">
        <f>'6'!AH51</f>
        <v>0</v>
      </c>
      <c r="Q14" s="234">
        <f>'6'!AI51</f>
        <v>0</v>
      </c>
      <c r="R14" s="234">
        <f>'6'!AJ51</f>
        <v>0</v>
      </c>
      <c r="S14" s="234">
        <f>'6'!AK51</f>
        <v>0</v>
      </c>
      <c r="T14" s="234">
        <f>'6'!AL51</f>
        <v>0</v>
      </c>
      <c r="U14" s="234">
        <f>'6'!AM51</f>
        <v>0</v>
      </c>
      <c r="V14" s="234">
        <f>'6'!AN51</f>
        <v>0</v>
      </c>
    </row>
    <row r="15" spans="1:22" ht="26.25">
      <c r="A15" s="207">
        <f>'Main Page'!E23</f>
        <v>44872</v>
      </c>
      <c r="B15" s="234">
        <f>'7'!T51</f>
        <v>0</v>
      </c>
      <c r="C15" s="234">
        <f>'7'!U51</f>
        <v>0</v>
      </c>
      <c r="D15" s="234">
        <f>'7'!V51</f>
        <v>0</v>
      </c>
      <c r="E15" s="234">
        <f>'7'!W51</f>
        <v>0</v>
      </c>
      <c r="F15" s="234">
        <f>'7'!X51</f>
        <v>0</v>
      </c>
      <c r="G15" s="234">
        <f>'7'!Y51</f>
        <v>0</v>
      </c>
      <c r="H15" s="234">
        <f>'7'!Z51</f>
        <v>0</v>
      </c>
      <c r="I15" s="234">
        <f>'7'!AA51</f>
        <v>0</v>
      </c>
      <c r="J15" s="234">
        <f>'7'!AB51</f>
        <v>0</v>
      </c>
      <c r="K15" s="234">
        <f>'7'!AC51</f>
        <v>0</v>
      </c>
      <c r="L15" s="234">
        <f>'7'!AD51</f>
        <v>0</v>
      </c>
      <c r="M15" s="234">
        <f>'7'!AE51</f>
        <v>0</v>
      </c>
      <c r="N15" s="234">
        <f>'7'!AF51</f>
        <v>0</v>
      </c>
      <c r="O15" s="234">
        <f>'7'!AG51</f>
        <v>0</v>
      </c>
      <c r="P15" s="234">
        <f>'7'!AH51</f>
        <v>0</v>
      </c>
      <c r="Q15" s="234">
        <f>'7'!AI51</f>
        <v>0</v>
      </c>
      <c r="R15" s="234">
        <f>'7'!AJ51</f>
        <v>0</v>
      </c>
      <c r="S15" s="234">
        <f>'7'!AK51</f>
        <v>0</v>
      </c>
      <c r="T15" s="234">
        <f>'7'!AL51</f>
        <v>0</v>
      </c>
      <c r="U15" s="234">
        <f>'7'!AM51</f>
        <v>0</v>
      </c>
      <c r="V15" s="234">
        <f>'7'!AN51</f>
        <v>0</v>
      </c>
    </row>
    <row r="16" spans="1:22" ht="26.25">
      <c r="A16" s="207">
        <f>'Main Page'!E24</f>
        <v>44873</v>
      </c>
      <c r="B16" s="234">
        <f>'8'!T51</f>
        <v>0</v>
      </c>
      <c r="C16" s="234">
        <f>'8'!U51</f>
        <v>0</v>
      </c>
      <c r="D16" s="234">
        <f>'8'!V51</f>
        <v>0</v>
      </c>
      <c r="E16" s="234">
        <f>'8'!W51</f>
        <v>0</v>
      </c>
      <c r="F16" s="234">
        <f>'8'!X51</f>
        <v>0</v>
      </c>
      <c r="G16" s="234">
        <f>'8'!Y51</f>
        <v>0</v>
      </c>
      <c r="H16" s="234">
        <f>'8'!Z51</f>
        <v>0</v>
      </c>
      <c r="I16" s="234">
        <f>'8'!AA51</f>
        <v>0</v>
      </c>
      <c r="J16" s="234">
        <f>'8'!AB51</f>
        <v>0</v>
      </c>
      <c r="K16" s="234">
        <f>'8'!AC51</f>
        <v>0</v>
      </c>
      <c r="L16" s="234">
        <f>'8'!AD51</f>
        <v>0</v>
      </c>
      <c r="M16" s="234">
        <f>'8'!AE51</f>
        <v>0</v>
      </c>
      <c r="N16" s="234">
        <f>'8'!AF51</f>
        <v>0</v>
      </c>
      <c r="O16" s="234">
        <f>'8'!AG51</f>
        <v>0</v>
      </c>
      <c r="P16" s="234">
        <f>'8'!AH51</f>
        <v>0</v>
      </c>
      <c r="Q16" s="234">
        <f>'8'!AI51</f>
        <v>0</v>
      </c>
      <c r="R16" s="234">
        <f>'8'!AJ51</f>
        <v>0</v>
      </c>
      <c r="S16" s="234">
        <f>'8'!AK51</f>
        <v>0</v>
      </c>
      <c r="T16" s="234">
        <f>'8'!AL51</f>
        <v>0</v>
      </c>
      <c r="U16" s="234">
        <f>'8'!AM51</f>
        <v>0</v>
      </c>
      <c r="V16" s="234">
        <f>'8'!AN51</f>
        <v>0</v>
      </c>
    </row>
    <row r="17" spans="1:22" ht="26.25">
      <c r="A17" s="207">
        <f>'Main Page'!E25</f>
        <v>44874</v>
      </c>
      <c r="B17" s="234">
        <f>'9'!T51</f>
        <v>0</v>
      </c>
      <c r="C17" s="234">
        <f>'9'!U51</f>
        <v>0</v>
      </c>
      <c r="D17" s="234">
        <f>'9'!V51</f>
        <v>0</v>
      </c>
      <c r="E17" s="234">
        <f>'9'!W51</f>
        <v>0</v>
      </c>
      <c r="F17" s="234">
        <f>'9'!X51</f>
        <v>0</v>
      </c>
      <c r="G17" s="234">
        <f>'9'!Y51</f>
        <v>0</v>
      </c>
      <c r="H17" s="234">
        <f>'9'!Z51</f>
        <v>0</v>
      </c>
      <c r="I17" s="234">
        <f>'9'!AA51</f>
        <v>0</v>
      </c>
      <c r="J17" s="234">
        <f>'9'!AB51</f>
        <v>0</v>
      </c>
      <c r="K17" s="234">
        <f>'9'!AC51</f>
        <v>0</v>
      </c>
      <c r="L17" s="234">
        <f>'9'!AD51</f>
        <v>0</v>
      </c>
      <c r="M17" s="234">
        <f>'9'!AE51</f>
        <v>0</v>
      </c>
      <c r="N17" s="234">
        <f>'9'!AF51</f>
        <v>0</v>
      </c>
      <c r="O17" s="234">
        <f>'9'!AG51</f>
        <v>0</v>
      </c>
      <c r="P17" s="234">
        <f>'9'!AH51</f>
        <v>0</v>
      </c>
      <c r="Q17" s="234">
        <f>'9'!AI51</f>
        <v>0</v>
      </c>
      <c r="R17" s="234">
        <f>'9'!AJ51</f>
        <v>0</v>
      </c>
      <c r="S17" s="234">
        <f>'9'!AK51</f>
        <v>0</v>
      </c>
      <c r="T17" s="234">
        <f>'9'!AL51</f>
        <v>0</v>
      </c>
      <c r="U17" s="234">
        <f>'9'!AM51</f>
        <v>0</v>
      </c>
      <c r="V17" s="234">
        <f>'9'!AN51</f>
        <v>0</v>
      </c>
    </row>
    <row r="18" spans="1:22" ht="26.25">
      <c r="A18" s="207">
        <f>'Main Page'!E26</f>
        <v>44875</v>
      </c>
      <c r="B18" s="234">
        <f>'10'!T51</f>
        <v>0</v>
      </c>
      <c r="C18" s="234">
        <f>'10'!U51</f>
        <v>0</v>
      </c>
      <c r="D18" s="234">
        <f>'10'!V51</f>
        <v>0</v>
      </c>
      <c r="E18" s="234">
        <f>'10'!W51</f>
        <v>0</v>
      </c>
      <c r="F18" s="234">
        <f>'10'!X51</f>
        <v>0</v>
      </c>
      <c r="G18" s="234">
        <f>'10'!Y51</f>
        <v>0</v>
      </c>
      <c r="H18" s="234">
        <f>'10'!Z51</f>
        <v>0</v>
      </c>
      <c r="I18" s="234">
        <f>'10'!AA51</f>
        <v>0</v>
      </c>
      <c r="J18" s="234">
        <f>'10'!AB51</f>
        <v>0</v>
      </c>
      <c r="K18" s="234">
        <f>'10'!AC51</f>
        <v>0</v>
      </c>
      <c r="L18" s="234">
        <f>'10'!AD51</f>
        <v>0</v>
      </c>
      <c r="M18" s="234">
        <f>'10'!AE51</f>
        <v>0</v>
      </c>
      <c r="N18" s="234">
        <f>'10'!AF51</f>
        <v>0</v>
      </c>
      <c r="O18" s="234">
        <f>'10'!AG51</f>
        <v>0</v>
      </c>
      <c r="P18" s="234">
        <f>'10'!AH51</f>
        <v>0</v>
      </c>
      <c r="Q18" s="234">
        <f>'10'!AI51</f>
        <v>0</v>
      </c>
      <c r="R18" s="234">
        <f>'10'!AJ51</f>
        <v>0</v>
      </c>
      <c r="S18" s="234">
        <f>'10'!AK51</f>
        <v>0</v>
      </c>
      <c r="T18" s="234">
        <f>'10'!AL51</f>
        <v>0</v>
      </c>
      <c r="U18" s="234">
        <f>'10'!AM51</f>
        <v>0</v>
      </c>
      <c r="V18" s="234">
        <f>'10'!AN51</f>
        <v>0</v>
      </c>
    </row>
    <row r="19" spans="1:22" ht="26.25">
      <c r="A19" s="207">
        <f>'Main Page'!E27</f>
        <v>44876</v>
      </c>
      <c r="B19" s="234">
        <f>'11'!T51</f>
        <v>0</v>
      </c>
      <c r="C19" s="234">
        <f>'11'!U51</f>
        <v>0</v>
      </c>
      <c r="D19" s="234">
        <f>'11'!V51</f>
        <v>0</v>
      </c>
      <c r="E19" s="234">
        <f>'11'!W51</f>
        <v>0</v>
      </c>
      <c r="F19" s="234">
        <f>'11'!X51</f>
        <v>0</v>
      </c>
      <c r="G19" s="234">
        <f>'11'!Y51</f>
        <v>0</v>
      </c>
      <c r="H19" s="234">
        <f>'11'!Z51</f>
        <v>0</v>
      </c>
      <c r="I19" s="234">
        <f>'11'!AA51</f>
        <v>0</v>
      </c>
      <c r="J19" s="234">
        <f>'11'!AB51</f>
        <v>0</v>
      </c>
      <c r="K19" s="234">
        <f>'11'!AC51</f>
        <v>0</v>
      </c>
      <c r="L19" s="234">
        <f>'11'!AD51</f>
        <v>0</v>
      </c>
      <c r="M19" s="234">
        <f>'11'!AE51</f>
        <v>0</v>
      </c>
      <c r="N19" s="234">
        <f>'11'!AF51</f>
        <v>0</v>
      </c>
      <c r="O19" s="234">
        <f>'11'!AG51</f>
        <v>0</v>
      </c>
      <c r="P19" s="234">
        <f>'11'!AH51</f>
        <v>0</v>
      </c>
      <c r="Q19" s="234">
        <f>'11'!AI51</f>
        <v>0</v>
      </c>
      <c r="R19" s="234">
        <f>'11'!AJ51</f>
        <v>0</v>
      </c>
      <c r="S19" s="234">
        <f>'11'!AK51</f>
        <v>0</v>
      </c>
      <c r="T19" s="234">
        <f>'11'!AL51</f>
        <v>0</v>
      </c>
      <c r="U19" s="234">
        <f>'11'!AM51</f>
        <v>0</v>
      </c>
      <c r="V19" s="234">
        <f>'11'!AN51</f>
        <v>0</v>
      </c>
    </row>
    <row r="20" spans="1:22" ht="26.25">
      <c r="A20" s="207">
        <f>'Main Page'!E28</f>
        <v>44877</v>
      </c>
      <c r="B20" s="234">
        <f>'12'!T51</f>
        <v>0</v>
      </c>
      <c r="C20" s="234">
        <f>'12'!U51</f>
        <v>0</v>
      </c>
      <c r="D20" s="234">
        <f>'12'!V51</f>
        <v>0</v>
      </c>
      <c r="E20" s="234">
        <f>'12'!W51</f>
        <v>0</v>
      </c>
      <c r="F20" s="234">
        <f>'12'!X51</f>
        <v>0</v>
      </c>
      <c r="G20" s="234">
        <f>'12'!Y51</f>
        <v>0</v>
      </c>
      <c r="H20" s="234">
        <f>'12'!Z51</f>
        <v>0</v>
      </c>
      <c r="I20" s="234">
        <f>'12'!AA51</f>
        <v>0</v>
      </c>
      <c r="J20" s="234">
        <f>'12'!AB51</f>
        <v>0</v>
      </c>
      <c r="K20" s="234">
        <f>'12'!AC51</f>
        <v>0</v>
      </c>
      <c r="L20" s="234">
        <f>'12'!AD51</f>
        <v>0</v>
      </c>
      <c r="M20" s="234">
        <f>'12'!AE51</f>
        <v>0</v>
      </c>
      <c r="N20" s="234">
        <f>'12'!AF51</f>
        <v>0</v>
      </c>
      <c r="O20" s="234">
        <f>'12'!AG51</f>
        <v>0</v>
      </c>
      <c r="P20" s="234">
        <f>'12'!AH51</f>
        <v>0</v>
      </c>
      <c r="Q20" s="234">
        <f>'12'!AI51</f>
        <v>0</v>
      </c>
      <c r="R20" s="234">
        <f>'12'!AJ51</f>
        <v>0</v>
      </c>
      <c r="S20" s="234">
        <f>'12'!AK51</f>
        <v>0</v>
      </c>
      <c r="T20" s="234">
        <f>'12'!AL51</f>
        <v>0</v>
      </c>
      <c r="U20" s="234">
        <f>'12'!AM51</f>
        <v>0</v>
      </c>
      <c r="V20" s="234">
        <f>'12'!AN51</f>
        <v>0</v>
      </c>
    </row>
    <row r="21" spans="1:22" ht="26.25">
      <c r="A21" s="207">
        <f>'Main Page'!E29</f>
        <v>44878</v>
      </c>
      <c r="B21" s="234">
        <f>'13'!T51</f>
        <v>0</v>
      </c>
      <c r="C21" s="234">
        <f>'13'!U51</f>
        <v>0</v>
      </c>
      <c r="D21" s="234">
        <f>'13'!V51</f>
        <v>0</v>
      </c>
      <c r="E21" s="234">
        <f>'13'!W51</f>
        <v>0</v>
      </c>
      <c r="F21" s="234">
        <f>'13'!X51</f>
        <v>0</v>
      </c>
      <c r="G21" s="234">
        <f>'13'!Y51</f>
        <v>0</v>
      </c>
      <c r="H21" s="234">
        <f>'13'!Z51</f>
        <v>0</v>
      </c>
      <c r="I21" s="234">
        <f>'13'!AA51</f>
        <v>0</v>
      </c>
      <c r="J21" s="234">
        <f>'13'!AB51</f>
        <v>0</v>
      </c>
      <c r="K21" s="234">
        <f>'13'!AC51</f>
        <v>0</v>
      </c>
      <c r="L21" s="234">
        <f>'13'!AD51</f>
        <v>0</v>
      </c>
      <c r="M21" s="234">
        <f>'13'!AE51</f>
        <v>0</v>
      </c>
      <c r="N21" s="234">
        <f>'13'!AF51</f>
        <v>0</v>
      </c>
      <c r="O21" s="234">
        <f>'13'!AG51</f>
        <v>0</v>
      </c>
      <c r="P21" s="234">
        <f>'13'!AH51</f>
        <v>0</v>
      </c>
      <c r="Q21" s="234">
        <f>'13'!AI51</f>
        <v>0</v>
      </c>
      <c r="R21" s="234">
        <f>'13'!AJ51</f>
        <v>0</v>
      </c>
      <c r="S21" s="234">
        <f>'13'!AK51</f>
        <v>0</v>
      </c>
      <c r="T21" s="234">
        <f>'13'!AL51</f>
        <v>0</v>
      </c>
      <c r="U21" s="234">
        <f>'13'!AM51</f>
        <v>0</v>
      </c>
      <c r="V21" s="234">
        <f>'13'!AN51</f>
        <v>0</v>
      </c>
    </row>
    <row r="22" spans="1:22" ht="26.25">
      <c r="A22" s="207">
        <f>'Main Page'!E30</f>
        <v>44879</v>
      </c>
      <c r="B22" s="234">
        <f>'14'!T51</f>
        <v>0</v>
      </c>
      <c r="C22" s="234">
        <f>'14'!U51</f>
        <v>0</v>
      </c>
      <c r="D22" s="234">
        <f>'14'!V51</f>
        <v>2</v>
      </c>
      <c r="E22" s="234">
        <f>'14'!W51</f>
        <v>0</v>
      </c>
      <c r="F22" s="234">
        <f>'14'!X51</f>
        <v>0</v>
      </c>
      <c r="G22" s="234">
        <f>'14'!Y51</f>
        <v>0</v>
      </c>
      <c r="H22" s="234">
        <f>'14'!Z51</f>
        <v>2</v>
      </c>
      <c r="I22" s="234">
        <f>'14'!AA51</f>
        <v>0</v>
      </c>
      <c r="J22" s="234">
        <f>'14'!AB51</f>
        <v>0</v>
      </c>
      <c r="K22" s="234">
        <f>'14'!AC51</f>
        <v>0</v>
      </c>
      <c r="L22" s="234">
        <f>'14'!AD51</f>
        <v>0</v>
      </c>
      <c r="M22" s="234">
        <f>'14'!AE51</f>
        <v>0</v>
      </c>
      <c r="N22" s="234">
        <f>'14'!AF51</f>
        <v>0</v>
      </c>
      <c r="O22" s="234">
        <f>'14'!AG51</f>
        <v>2</v>
      </c>
      <c r="P22" s="234">
        <f>'14'!AH51</f>
        <v>0</v>
      </c>
      <c r="Q22" s="234">
        <f>'14'!AI51</f>
        <v>0</v>
      </c>
      <c r="R22" s="234">
        <f>'14'!AJ51</f>
        <v>0</v>
      </c>
      <c r="S22" s="234">
        <f>'14'!AK51</f>
        <v>1</v>
      </c>
      <c r="T22" s="234">
        <f>'14'!AL51</f>
        <v>0</v>
      </c>
      <c r="U22" s="234">
        <f>'14'!AM51</f>
        <v>0</v>
      </c>
      <c r="V22" s="234">
        <f>'14'!AN51</f>
        <v>0</v>
      </c>
    </row>
    <row r="23" spans="1:22" ht="26.25">
      <c r="A23" s="207">
        <f>'Main Page'!E31</f>
        <v>44880</v>
      </c>
      <c r="B23" s="234">
        <f>'15'!T51</f>
        <v>0</v>
      </c>
      <c r="C23" s="234">
        <f>'15'!U51</f>
        <v>0</v>
      </c>
      <c r="D23" s="234">
        <f>'15'!V51</f>
        <v>0</v>
      </c>
      <c r="E23" s="234">
        <f>'15'!W51</f>
        <v>0</v>
      </c>
      <c r="F23" s="234">
        <f>'15'!X51</f>
        <v>0</v>
      </c>
      <c r="G23" s="234">
        <f>'15'!Y51</f>
        <v>0</v>
      </c>
      <c r="H23" s="234">
        <f>'15'!Z51</f>
        <v>0</v>
      </c>
      <c r="I23" s="234">
        <f>'15'!AA51</f>
        <v>0</v>
      </c>
      <c r="J23" s="234">
        <f>'15'!AB51</f>
        <v>0</v>
      </c>
      <c r="K23" s="234">
        <f>'15'!AC51</f>
        <v>0</v>
      </c>
      <c r="L23" s="234">
        <f>'15'!AD51</f>
        <v>0</v>
      </c>
      <c r="M23" s="234">
        <f>'15'!AE51</f>
        <v>0</v>
      </c>
      <c r="N23" s="234">
        <f>'15'!AF51</f>
        <v>0</v>
      </c>
      <c r="O23" s="234">
        <f>'15'!AG51</f>
        <v>0</v>
      </c>
      <c r="P23" s="234">
        <f>'15'!AH51</f>
        <v>0</v>
      </c>
      <c r="Q23" s="234">
        <f>'15'!AI51</f>
        <v>0</v>
      </c>
      <c r="R23" s="234">
        <f>'15'!AJ51</f>
        <v>0</v>
      </c>
      <c r="S23" s="234">
        <f>'15'!AK51</f>
        <v>0</v>
      </c>
      <c r="T23" s="234">
        <f>'15'!AL51</f>
        <v>0</v>
      </c>
      <c r="U23" s="234">
        <f>'15'!AM51</f>
        <v>0</v>
      </c>
      <c r="V23" s="234">
        <f>'15'!AN51</f>
        <v>0</v>
      </c>
    </row>
    <row r="24" spans="1:22" ht="26.25">
      <c r="A24" s="207">
        <f>'Main Page'!E32</f>
        <v>44881</v>
      </c>
      <c r="B24" s="234">
        <f>'16'!T51</f>
        <v>0</v>
      </c>
      <c r="C24" s="234">
        <f>'16'!U51</f>
        <v>0</v>
      </c>
      <c r="D24" s="234">
        <f>'16'!V51</f>
        <v>0</v>
      </c>
      <c r="E24" s="234">
        <f>'16'!W51</f>
        <v>0</v>
      </c>
      <c r="F24" s="234">
        <f>'16'!X51</f>
        <v>0</v>
      </c>
      <c r="G24" s="234">
        <f>'16'!Y51</f>
        <v>0</v>
      </c>
      <c r="H24" s="234">
        <f>'16'!Z51</f>
        <v>0</v>
      </c>
      <c r="I24" s="234">
        <f>'16'!AA51</f>
        <v>0</v>
      </c>
      <c r="J24" s="234">
        <f>'16'!AB51</f>
        <v>0</v>
      </c>
      <c r="K24" s="234">
        <f>'16'!AC51</f>
        <v>0</v>
      </c>
      <c r="L24" s="234">
        <f>'16'!AD51</f>
        <v>0</v>
      </c>
      <c r="M24" s="234">
        <f>'16'!AE51</f>
        <v>0</v>
      </c>
      <c r="N24" s="234">
        <f>'16'!AF51</f>
        <v>0</v>
      </c>
      <c r="O24" s="234">
        <f>'16'!AG51</f>
        <v>1</v>
      </c>
      <c r="P24" s="234">
        <f>'16'!AH51</f>
        <v>0</v>
      </c>
      <c r="Q24" s="234">
        <f>'16'!AI51</f>
        <v>0</v>
      </c>
      <c r="R24" s="234">
        <f>'16'!AJ51</f>
        <v>0</v>
      </c>
      <c r="S24" s="234">
        <f>'16'!AK51</f>
        <v>0</v>
      </c>
      <c r="T24" s="234">
        <f>'16'!AL51</f>
        <v>0</v>
      </c>
      <c r="U24" s="234">
        <f>'16'!AM51</f>
        <v>0</v>
      </c>
      <c r="V24" s="234">
        <f>'16'!AN51</f>
        <v>0</v>
      </c>
    </row>
    <row r="25" spans="1:22" ht="26.25">
      <c r="A25" s="207">
        <f>'Main Page'!E33</f>
        <v>44882</v>
      </c>
      <c r="B25" s="234">
        <f>'17'!T51</f>
        <v>0</v>
      </c>
      <c r="C25" s="234">
        <f>'17'!U51</f>
        <v>0</v>
      </c>
      <c r="D25" s="234">
        <f>'17'!V51</f>
        <v>0</v>
      </c>
      <c r="E25" s="234">
        <f>'17'!W51</f>
        <v>0</v>
      </c>
      <c r="F25" s="234">
        <f>'17'!X51</f>
        <v>0</v>
      </c>
      <c r="G25" s="234">
        <f>'17'!Y51</f>
        <v>0</v>
      </c>
      <c r="H25" s="234">
        <f>'17'!Z51</f>
        <v>0</v>
      </c>
      <c r="I25" s="234">
        <f>'17'!AA51</f>
        <v>12</v>
      </c>
      <c r="J25" s="234">
        <f>'17'!AB51</f>
        <v>0</v>
      </c>
      <c r="K25" s="234">
        <f>'17'!AC51</f>
        <v>0</v>
      </c>
      <c r="L25" s="234">
        <f>'17'!AD51</f>
        <v>0</v>
      </c>
      <c r="M25" s="234">
        <f>'17'!AE51</f>
        <v>0</v>
      </c>
      <c r="N25" s="234">
        <f>'17'!AF51</f>
        <v>0</v>
      </c>
      <c r="O25" s="234">
        <f>'17'!AG51</f>
        <v>1</v>
      </c>
      <c r="P25" s="234">
        <f>'17'!AH51</f>
        <v>0</v>
      </c>
      <c r="Q25" s="234">
        <f>'17'!AI51</f>
        <v>0</v>
      </c>
      <c r="R25" s="234">
        <f>'17'!AJ51</f>
        <v>0</v>
      </c>
      <c r="S25" s="234">
        <f>'17'!AK51</f>
        <v>0</v>
      </c>
      <c r="T25" s="234">
        <f>'17'!AL51</f>
        <v>0</v>
      </c>
      <c r="U25" s="234">
        <f>'17'!AM51</f>
        <v>0</v>
      </c>
      <c r="V25" s="234">
        <f>'17'!AN51</f>
        <v>0</v>
      </c>
    </row>
    <row r="26" spans="1:22" ht="26.25">
      <c r="A26" s="207">
        <f>'Main Page'!E34</f>
        <v>44883</v>
      </c>
      <c r="B26" s="234">
        <f>'18'!T51</f>
        <v>0</v>
      </c>
      <c r="C26" s="234">
        <f>'18'!U51</f>
        <v>0</v>
      </c>
      <c r="D26" s="234">
        <f>'18'!V51</f>
        <v>0</v>
      </c>
      <c r="E26" s="234">
        <f>'18'!W51</f>
        <v>0</v>
      </c>
      <c r="F26" s="234">
        <f>'18'!X51</f>
        <v>0</v>
      </c>
      <c r="G26" s="234">
        <f>'18'!Y51</f>
        <v>0</v>
      </c>
      <c r="H26" s="234">
        <f>'18'!Z51</f>
        <v>0</v>
      </c>
      <c r="I26" s="234">
        <f>'18'!AA51</f>
        <v>0</v>
      </c>
      <c r="J26" s="234">
        <f>'18'!AB51</f>
        <v>0</v>
      </c>
      <c r="K26" s="234">
        <f>'18'!AC51</f>
        <v>0</v>
      </c>
      <c r="L26" s="234">
        <f>'18'!AD51</f>
        <v>0</v>
      </c>
      <c r="M26" s="234">
        <f>'18'!AE51</f>
        <v>0</v>
      </c>
      <c r="N26" s="234">
        <f>'18'!AF51</f>
        <v>0</v>
      </c>
      <c r="O26" s="234">
        <f>'18'!AG51</f>
        <v>0</v>
      </c>
      <c r="P26" s="234">
        <f>'18'!AH51</f>
        <v>0</v>
      </c>
      <c r="Q26" s="234">
        <f>'18'!AI51</f>
        <v>0</v>
      </c>
      <c r="R26" s="234">
        <f>'18'!AJ51</f>
        <v>0</v>
      </c>
      <c r="S26" s="234">
        <f>'18'!AK51</f>
        <v>0</v>
      </c>
      <c r="T26" s="234">
        <f>'18'!AL51</f>
        <v>0</v>
      </c>
      <c r="U26" s="234">
        <f>'18'!AM51</f>
        <v>0</v>
      </c>
      <c r="V26" s="234">
        <f>'18'!AN51</f>
        <v>0</v>
      </c>
    </row>
    <row r="27" spans="1:22" ht="26.25">
      <c r="A27" s="207">
        <f>'Main Page'!E35</f>
        <v>44884</v>
      </c>
      <c r="B27" s="234">
        <f>'19'!T51</f>
        <v>0</v>
      </c>
      <c r="C27" s="234">
        <f>'19'!U51</f>
        <v>0</v>
      </c>
      <c r="D27" s="234">
        <f>'19'!V51</f>
        <v>0</v>
      </c>
      <c r="E27" s="234">
        <f>'19'!W51</f>
        <v>0</v>
      </c>
      <c r="F27" s="234">
        <f>'19'!X51</f>
        <v>0</v>
      </c>
      <c r="G27" s="234">
        <f>'19'!Y51</f>
        <v>0</v>
      </c>
      <c r="H27" s="234">
        <f>'19'!Z51</f>
        <v>0</v>
      </c>
      <c r="I27" s="234">
        <f>'19'!AA51</f>
        <v>0</v>
      </c>
      <c r="J27" s="234">
        <f>'19'!AB51</f>
        <v>0</v>
      </c>
      <c r="K27" s="234">
        <f>'19'!AC51</f>
        <v>0</v>
      </c>
      <c r="L27" s="234">
        <f>'19'!AD51</f>
        <v>0</v>
      </c>
      <c r="M27" s="234">
        <f>'19'!AE51</f>
        <v>0</v>
      </c>
      <c r="N27" s="234">
        <f>'19'!AF51</f>
        <v>0</v>
      </c>
      <c r="O27" s="234">
        <f>'19'!AG51</f>
        <v>4</v>
      </c>
      <c r="P27" s="234">
        <f>'19'!AH51</f>
        <v>0</v>
      </c>
      <c r="Q27" s="234">
        <f>'19'!AI51</f>
        <v>0</v>
      </c>
      <c r="R27" s="234">
        <f>'19'!AJ51</f>
        <v>0</v>
      </c>
      <c r="S27" s="234">
        <f>'19'!AK51</f>
        <v>0</v>
      </c>
      <c r="T27" s="234">
        <f>'19'!AL51</f>
        <v>0</v>
      </c>
      <c r="U27" s="234">
        <f>'19'!AM51</f>
        <v>0</v>
      </c>
      <c r="V27" s="234">
        <f>'19'!AN51</f>
        <v>0</v>
      </c>
    </row>
    <row r="28" spans="1:22" ht="26.25">
      <c r="A28" s="207">
        <f>'Main Page'!E36</f>
        <v>44885</v>
      </c>
      <c r="B28" s="234">
        <f>'20'!T51</f>
        <v>0</v>
      </c>
      <c r="C28" s="234">
        <f>'20'!U51</f>
        <v>0</v>
      </c>
      <c r="D28" s="234">
        <f>'20'!V51</f>
        <v>0</v>
      </c>
      <c r="E28" s="234">
        <f>'20'!W51</f>
        <v>0</v>
      </c>
      <c r="F28" s="234">
        <f>'20'!X51</f>
        <v>0</v>
      </c>
      <c r="G28" s="234">
        <f>'20'!Y51</f>
        <v>0</v>
      </c>
      <c r="H28" s="234">
        <f>'20'!Z51</f>
        <v>0</v>
      </c>
      <c r="I28" s="234">
        <f>'20'!AA51</f>
        <v>0</v>
      </c>
      <c r="J28" s="234">
        <f>'20'!AB51</f>
        <v>0</v>
      </c>
      <c r="K28" s="234">
        <f>'20'!AC51</f>
        <v>0</v>
      </c>
      <c r="L28" s="234">
        <f>'20'!AD51</f>
        <v>0</v>
      </c>
      <c r="M28" s="234">
        <f>'20'!AE51</f>
        <v>0</v>
      </c>
      <c r="N28" s="234">
        <f>'20'!AF51</f>
        <v>0</v>
      </c>
      <c r="O28" s="234">
        <f>'20'!AG51</f>
        <v>12</v>
      </c>
      <c r="P28" s="234">
        <f>'20'!AH51</f>
        <v>0</v>
      </c>
      <c r="Q28" s="234">
        <f>'20'!AI51</f>
        <v>0</v>
      </c>
      <c r="R28" s="234">
        <f>'20'!AJ51</f>
        <v>0</v>
      </c>
      <c r="S28" s="234">
        <f>'20'!AK51</f>
        <v>0</v>
      </c>
      <c r="T28" s="234">
        <f>'20'!AL51</f>
        <v>0</v>
      </c>
      <c r="U28" s="234">
        <f>'20'!AM51</f>
        <v>0</v>
      </c>
      <c r="V28" s="234">
        <f>'20'!AN51</f>
        <v>0</v>
      </c>
    </row>
    <row r="29" spans="1:22" ht="26.25">
      <c r="A29" s="207">
        <f>'Main Page'!E37</f>
        <v>44886</v>
      </c>
      <c r="B29" s="234">
        <f>'21'!T51</f>
        <v>0</v>
      </c>
      <c r="C29" s="234">
        <f>'21'!U51</f>
        <v>0</v>
      </c>
      <c r="D29" s="234">
        <f>'21'!V51</f>
        <v>3</v>
      </c>
      <c r="E29" s="234">
        <f>'21'!W51</f>
        <v>0</v>
      </c>
      <c r="F29" s="234">
        <f>'21'!X51</f>
        <v>0</v>
      </c>
      <c r="G29" s="234">
        <f>'21'!Y51</f>
        <v>0</v>
      </c>
      <c r="H29" s="234">
        <f>'21'!Z51</f>
        <v>1</v>
      </c>
      <c r="I29" s="234">
        <f>'21'!AA51</f>
        <v>17</v>
      </c>
      <c r="J29" s="234">
        <f>'21'!AB51</f>
        <v>0</v>
      </c>
      <c r="K29" s="234">
        <f>'21'!AC51</f>
        <v>0</v>
      </c>
      <c r="L29" s="234">
        <f>'21'!AD51</f>
        <v>0</v>
      </c>
      <c r="M29" s="234">
        <f>'21'!AE51</f>
        <v>0</v>
      </c>
      <c r="N29" s="234">
        <f>'21'!AF51</f>
        <v>0</v>
      </c>
      <c r="O29" s="234">
        <f>'21'!AG51</f>
        <v>2</v>
      </c>
      <c r="P29" s="234">
        <f>'21'!AH51</f>
        <v>0</v>
      </c>
      <c r="Q29" s="234">
        <f>'21'!AI51</f>
        <v>0</v>
      </c>
      <c r="R29" s="234">
        <f>'21'!AJ51</f>
        <v>0</v>
      </c>
      <c r="S29" s="234">
        <f>'21'!AK51</f>
        <v>0</v>
      </c>
      <c r="T29" s="234">
        <f>'21'!AL51</f>
        <v>0</v>
      </c>
      <c r="U29" s="234">
        <f>'21'!AM51</f>
        <v>0</v>
      </c>
      <c r="V29" s="234">
        <f>'21'!AN51</f>
        <v>0</v>
      </c>
    </row>
    <row r="30" spans="1:22" ht="26.25">
      <c r="A30" s="207">
        <f>'Main Page'!E38</f>
        <v>44887</v>
      </c>
      <c r="B30" s="234">
        <f>'22'!T51</f>
        <v>0</v>
      </c>
      <c r="C30" s="234">
        <f>'22'!U51</f>
        <v>0</v>
      </c>
      <c r="D30" s="234">
        <f>'22'!V51</f>
        <v>0</v>
      </c>
      <c r="E30" s="234">
        <f>'22'!W51</f>
        <v>0</v>
      </c>
      <c r="F30" s="234">
        <f>'22'!X51</f>
        <v>0</v>
      </c>
      <c r="G30" s="234">
        <f>'22'!Y51</f>
        <v>0</v>
      </c>
      <c r="H30" s="234">
        <f>'22'!Z51</f>
        <v>0</v>
      </c>
      <c r="I30" s="234">
        <f>'22'!AA51</f>
        <v>0</v>
      </c>
      <c r="J30" s="234">
        <f>'22'!AB51</f>
        <v>0</v>
      </c>
      <c r="K30" s="234">
        <f>'22'!AC51</f>
        <v>0</v>
      </c>
      <c r="L30" s="234">
        <f>'22'!AD51</f>
        <v>0</v>
      </c>
      <c r="M30" s="234">
        <f>'22'!AE51</f>
        <v>0</v>
      </c>
      <c r="N30" s="234">
        <f>'22'!AF51</f>
        <v>0</v>
      </c>
      <c r="O30" s="234">
        <f>'22'!AG51</f>
        <v>0</v>
      </c>
      <c r="P30" s="234">
        <f>'22'!AH51</f>
        <v>0</v>
      </c>
      <c r="Q30" s="234">
        <f>'22'!AI51</f>
        <v>0</v>
      </c>
      <c r="R30" s="234">
        <f>'22'!AJ51</f>
        <v>0</v>
      </c>
      <c r="S30" s="234">
        <f>'22'!AK51</f>
        <v>0</v>
      </c>
      <c r="T30" s="234">
        <f>'22'!AL51</f>
        <v>0</v>
      </c>
      <c r="U30" s="234">
        <f>'22'!AM51</f>
        <v>0</v>
      </c>
      <c r="V30" s="234">
        <f>'22'!AN51</f>
        <v>0</v>
      </c>
    </row>
    <row r="31" spans="1:22" ht="26.25">
      <c r="A31" s="207">
        <f>'Main Page'!E39</f>
        <v>44888</v>
      </c>
      <c r="B31" s="234">
        <f>'23'!T51</f>
        <v>0</v>
      </c>
      <c r="C31" s="234">
        <f>'23'!U51</f>
        <v>0</v>
      </c>
      <c r="D31" s="234">
        <f>'23'!V51</f>
        <v>0</v>
      </c>
      <c r="E31" s="234">
        <f>'23'!W51</f>
        <v>0</v>
      </c>
      <c r="F31" s="234">
        <f>'23'!X51</f>
        <v>0</v>
      </c>
      <c r="G31" s="234">
        <f>'23'!Y51</f>
        <v>0</v>
      </c>
      <c r="H31" s="234">
        <f>'23'!Z51</f>
        <v>0</v>
      </c>
      <c r="I31" s="234">
        <f>'23'!AA51</f>
        <v>29</v>
      </c>
      <c r="J31" s="234">
        <f>'23'!AB51</f>
        <v>0</v>
      </c>
      <c r="K31" s="234">
        <f>'23'!AC51</f>
        <v>1</v>
      </c>
      <c r="L31" s="234">
        <f>'23'!AD51</f>
        <v>0</v>
      </c>
      <c r="M31" s="234">
        <f>'23'!AE51</f>
        <v>0</v>
      </c>
      <c r="N31" s="234">
        <f>'23'!AF51</f>
        <v>0</v>
      </c>
      <c r="O31" s="234">
        <f>'23'!AG51</f>
        <v>4</v>
      </c>
      <c r="P31" s="234">
        <f>'23'!AH51</f>
        <v>0</v>
      </c>
      <c r="Q31" s="234">
        <f>'23'!AI51</f>
        <v>0</v>
      </c>
      <c r="R31" s="234">
        <f>'23'!AJ51</f>
        <v>0</v>
      </c>
      <c r="S31" s="234">
        <f>'23'!AK51</f>
        <v>0</v>
      </c>
      <c r="T31" s="234">
        <f>'23'!AL51</f>
        <v>0</v>
      </c>
      <c r="U31" s="234">
        <f>'23'!AM51</f>
        <v>0</v>
      </c>
      <c r="V31" s="234">
        <f>'23'!AN51</f>
        <v>0</v>
      </c>
    </row>
    <row r="32" spans="1:22" ht="26.25">
      <c r="A32" s="207">
        <f>'Main Page'!E40</f>
        <v>44889</v>
      </c>
      <c r="B32" s="234">
        <f>'24'!T51</f>
        <v>0</v>
      </c>
      <c r="C32" s="234">
        <f>'24'!U51</f>
        <v>0</v>
      </c>
      <c r="D32" s="234">
        <f>'24'!V51</f>
        <v>0</v>
      </c>
      <c r="E32" s="234">
        <f>'24'!W51</f>
        <v>0</v>
      </c>
      <c r="F32" s="234">
        <f>'24'!X51</f>
        <v>0</v>
      </c>
      <c r="G32" s="234">
        <f>'24'!Y51</f>
        <v>0</v>
      </c>
      <c r="H32" s="234">
        <f>'24'!Z51</f>
        <v>0</v>
      </c>
      <c r="I32" s="234">
        <f>'24'!AA51</f>
        <v>0</v>
      </c>
      <c r="J32" s="234">
        <f>'24'!AB51</f>
        <v>0</v>
      </c>
      <c r="K32" s="234">
        <f>'24'!AC51</f>
        <v>0</v>
      </c>
      <c r="L32" s="234">
        <f>'24'!AD51</f>
        <v>0</v>
      </c>
      <c r="M32" s="234">
        <f>'24'!AE51</f>
        <v>0</v>
      </c>
      <c r="N32" s="234">
        <f>'24'!AF51</f>
        <v>0</v>
      </c>
      <c r="O32" s="234">
        <f>'24'!AG51</f>
        <v>1</v>
      </c>
      <c r="P32" s="234">
        <f>'24'!AH51</f>
        <v>0</v>
      </c>
      <c r="Q32" s="234">
        <f>'24'!AI51</f>
        <v>0</v>
      </c>
      <c r="R32" s="234">
        <f>'24'!AJ51</f>
        <v>0</v>
      </c>
      <c r="S32" s="234">
        <f>'24'!AK51</f>
        <v>0</v>
      </c>
      <c r="T32" s="234">
        <f>'24'!AL51</f>
        <v>0</v>
      </c>
      <c r="U32" s="234">
        <f>'24'!AM51</f>
        <v>0</v>
      </c>
      <c r="V32" s="234">
        <f>'24'!AN51</f>
        <v>0</v>
      </c>
    </row>
    <row r="33" spans="1:22" ht="26.25">
      <c r="A33" s="207">
        <f>'Main Page'!E41</f>
        <v>44890</v>
      </c>
      <c r="B33" s="234">
        <f>'25'!T51</f>
        <v>0</v>
      </c>
      <c r="C33" s="234">
        <f>'25'!U51</f>
        <v>0</v>
      </c>
      <c r="D33" s="234">
        <f>'25'!V51</f>
        <v>0</v>
      </c>
      <c r="E33" s="234">
        <f>'25'!W51</f>
        <v>0</v>
      </c>
      <c r="F33" s="234">
        <f>'25'!X51</f>
        <v>0</v>
      </c>
      <c r="G33" s="234">
        <f>'25'!Y51</f>
        <v>0</v>
      </c>
      <c r="H33" s="234">
        <f>'25'!Z51</f>
        <v>0</v>
      </c>
      <c r="I33" s="234">
        <f>'25'!AA51</f>
        <v>0</v>
      </c>
      <c r="J33" s="234">
        <f>'25'!AB51</f>
        <v>0</v>
      </c>
      <c r="K33" s="234">
        <f>'25'!AC51</f>
        <v>0</v>
      </c>
      <c r="L33" s="234">
        <f>'25'!AD51</f>
        <v>0</v>
      </c>
      <c r="M33" s="234">
        <f>'25'!AE51</f>
        <v>0</v>
      </c>
      <c r="N33" s="234">
        <f>'25'!AF51</f>
        <v>0</v>
      </c>
      <c r="O33" s="234">
        <f>'25'!AG51</f>
        <v>0</v>
      </c>
      <c r="P33" s="234">
        <f>'25'!AH51</f>
        <v>0</v>
      </c>
      <c r="Q33" s="234">
        <f>'25'!AI51</f>
        <v>0</v>
      </c>
      <c r="R33" s="234">
        <f>'25'!AJ51</f>
        <v>0</v>
      </c>
      <c r="S33" s="234">
        <f>'25'!AK51</f>
        <v>0</v>
      </c>
      <c r="T33" s="234">
        <f>'25'!AL51</f>
        <v>0</v>
      </c>
      <c r="U33" s="234">
        <f>'25'!AM51</f>
        <v>0</v>
      </c>
      <c r="V33" s="234">
        <f>'25'!AN51</f>
        <v>0</v>
      </c>
    </row>
    <row r="34" spans="1:22" ht="26.25">
      <c r="A34" s="207">
        <f>'Main Page'!E42</f>
        <v>44891</v>
      </c>
      <c r="B34" s="234">
        <f>'26'!T51</f>
        <v>0</v>
      </c>
      <c r="C34" s="234">
        <f>'26'!U51</f>
        <v>0</v>
      </c>
      <c r="D34" s="234">
        <f>'26'!V51</f>
        <v>0</v>
      </c>
      <c r="E34" s="234">
        <f>'26'!W51</f>
        <v>0</v>
      </c>
      <c r="F34" s="234">
        <f>'26'!X51</f>
        <v>0</v>
      </c>
      <c r="G34" s="234">
        <f>'26'!Y51</f>
        <v>0</v>
      </c>
      <c r="H34" s="234">
        <f>'26'!Z51</f>
        <v>0</v>
      </c>
      <c r="I34" s="234">
        <f>'26'!AA51</f>
        <v>0</v>
      </c>
      <c r="J34" s="234">
        <f>'26'!AB51</f>
        <v>10</v>
      </c>
      <c r="K34" s="234">
        <f>'26'!AC51</f>
        <v>0</v>
      </c>
      <c r="L34" s="234">
        <f>'26'!AD51</f>
        <v>0</v>
      </c>
      <c r="M34" s="234">
        <f>'26'!AE51</f>
        <v>0</v>
      </c>
      <c r="N34" s="234">
        <f>'26'!AF51</f>
        <v>0</v>
      </c>
      <c r="O34" s="234">
        <f>'26'!AG51</f>
        <v>2</v>
      </c>
      <c r="P34" s="234">
        <f>'26'!AH51</f>
        <v>0</v>
      </c>
      <c r="Q34" s="234">
        <f>'26'!AI51</f>
        <v>0</v>
      </c>
      <c r="R34" s="234">
        <f>'26'!AJ51</f>
        <v>0</v>
      </c>
      <c r="S34" s="234">
        <f>'26'!AK51</f>
        <v>0</v>
      </c>
      <c r="T34" s="234">
        <f>'26'!AL51</f>
        <v>0</v>
      </c>
      <c r="U34" s="234">
        <f>'26'!AM51</f>
        <v>0</v>
      </c>
      <c r="V34" s="234">
        <f>'26'!AN51</f>
        <v>0</v>
      </c>
    </row>
    <row r="35" spans="1:22" ht="26.25">
      <c r="A35" s="207">
        <f>'Main Page'!E43</f>
        <v>44892</v>
      </c>
      <c r="B35" s="234">
        <f>'27'!T51</f>
        <v>0</v>
      </c>
      <c r="C35" s="234">
        <f>'27'!U51</f>
        <v>0</v>
      </c>
      <c r="D35" s="234">
        <f>'27'!V51</f>
        <v>0</v>
      </c>
      <c r="E35" s="234">
        <f>'27'!W51</f>
        <v>0</v>
      </c>
      <c r="F35" s="234">
        <f>'27'!X51</f>
        <v>0</v>
      </c>
      <c r="G35" s="234">
        <f>'27'!Y51</f>
        <v>0</v>
      </c>
      <c r="H35" s="234">
        <f>'27'!Z51</f>
        <v>0</v>
      </c>
      <c r="I35" s="234">
        <f>'27'!AA51</f>
        <v>0</v>
      </c>
      <c r="J35" s="234">
        <f>'27'!AB51</f>
        <v>0</v>
      </c>
      <c r="K35" s="234">
        <f>'27'!AC51</f>
        <v>0</v>
      </c>
      <c r="L35" s="234">
        <f>'27'!AD51</f>
        <v>0</v>
      </c>
      <c r="M35" s="234">
        <f>'27'!AE51</f>
        <v>0</v>
      </c>
      <c r="N35" s="234">
        <f>'27'!AF51</f>
        <v>0</v>
      </c>
      <c r="O35" s="234">
        <f>'27'!AG51</f>
        <v>0</v>
      </c>
      <c r="P35" s="234">
        <f>'27'!AH51</f>
        <v>0</v>
      </c>
      <c r="Q35" s="234">
        <f>'27'!AI51</f>
        <v>0</v>
      </c>
      <c r="R35" s="234">
        <f>'27'!AJ51</f>
        <v>0</v>
      </c>
      <c r="S35" s="234">
        <f>'27'!AK51</f>
        <v>0</v>
      </c>
      <c r="T35" s="234">
        <f>'27'!AL51</f>
        <v>0</v>
      </c>
      <c r="U35" s="234">
        <f>'27'!AM51</f>
        <v>0</v>
      </c>
      <c r="V35" s="234">
        <f>'27'!AN51</f>
        <v>0</v>
      </c>
    </row>
    <row r="36" spans="1:22" ht="26.25">
      <c r="A36" s="207">
        <f>'Main Page'!E44</f>
        <v>44893</v>
      </c>
      <c r="B36" s="234">
        <f>'28'!T51</f>
        <v>0</v>
      </c>
      <c r="C36" s="234">
        <f>'28'!U51</f>
        <v>0</v>
      </c>
      <c r="D36" s="234">
        <f>'28'!V51</f>
        <v>1</v>
      </c>
      <c r="E36" s="234">
        <f>'28'!W51</f>
        <v>0</v>
      </c>
      <c r="F36" s="234">
        <f>'28'!X51</f>
        <v>0</v>
      </c>
      <c r="G36" s="234">
        <f>'28'!Y51</f>
        <v>0</v>
      </c>
      <c r="H36" s="234">
        <f>'28'!Z51</f>
        <v>0</v>
      </c>
      <c r="I36" s="234">
        <f>'28'!AA51</f>
        <v>0</v>
      </c>
      <c r="J36" s="234">
        <f>'28'!AB51</f>
        <v>0</v>
      </c>
      <c r="K36" s="234">
        <f>'28'!AC51</f>
        <v>0</v>
      </c>
      <c r="L36" s="234">
        <f>'28'!AD51</f>
        <v>0</v>
      </c>
      <c r="M36" s="234">
        <f>'28'!AE51</f>
        <v>0</v>
      </c>
      <c r="N36" s="234">
        <f>'28'!AF51</f>
        <v>0</v>
      </c>
      <c r="O36" s="234">
        <f>'28'!AG51</f>
        <v>2</v>
      </c>
      <c r="P36" s="234">
        <f>'28'!AH51</f>
        <v>0</v>
      </c>
      <c r="Q36" s="234">
        <f>'28'!AI51</f>
        <v>0</v>
      </c>
      <c r="R36" s="234">
        <f>'28'!AJ51</f>
        <v>0</v>
      </c>
      <c r="S36" s="234">
        <f>'28'!AK51</f>
        <v>0</v>
      </c>
      <c r="T36" s="234">
        <f>'28'!AL51</f>
        <v>0</v>
      </c>
      <c r="U36" s="234">
        <f>'28'!AM51</f>
        <v>0</v>
      </c>
      <c r="V36" s="234">
        <f>'28'!AN51</f>
        <v>0</v>
      </c>
    </row>
    <row r="37" spans="1:22" ht="26.25">
      <c r="A37" s="207">
        <f>'Main Page'!E45</f>
        <v>44894</v>
      </c>
      <c r="B37" s="234">
        <f>'29'!T51</f>
        <v>0</v>
      </c>
      <c r="C37" s="234">
        <f>'29'!U51</f>
        <v>0</v>
      </c>
      <c r="D37" s="234">
        <f>'29'!V51</f>
        <v>0</v>
      </c>
      <c r="E37" s="234">
        <f>'29'!W51</f>
        <v>0</v>
      </c>
      <c r="F37" s="234">
        <f>'29'!X51</f>
        <v>0</v>
      </c>
      <c r="G37" s="234">
        <f>'29'!Y51</f>
        <v>0</v>
      </c>
      <c r="H37" s="234">
        <f>'29'!Z51</f>
        <v>0</v>
      </c>
      <c r="I37" s="234">
        <f>'29'!AA51</f>
        <v>0</v>
      </c>
      <c r="J37" s="234">
        <f>'29'!AB51</f>
        <v>0</v>
      </c>
      <c r="K37" s="234">
        <f>'29'!AC51</f>
        <v>0</v>
      </c>
      <c r="L37" s="234">
        <f>'29'!AD51</f>
        <v>0</v>
      </c>
      <c r="M37" s="234">
        <f>'29'!AE51</f>
        <v>0</v>
      </c>
      <c r="N37" s="234">
        <f>'29'!AF51</f>
        <v>0</v>
      </c>
      <c r="O37" s="234">
        <f>'29'!AG51</f>
        <v>0</v>
      </c>
      <c r="P37" s="234">
        <f>'29'!AH51</f>
        <v>0</v>
      </c>
      <c r="Q37" s="234">
        <f>'29'!AI51</f>
        <v>0</v>
      </c>
      <c r="R37" s="234">
        <f>'29'!AJ51</f>
        <v>0</v>
      </c>
      <c r="S37" s="234">
        <f>'29'!AK51</f>
        <v>0</v>
      </c>
      <c r="T37" s="234">
        <f>'29'!AL51</f>
        <v>0</v>
      </c>
      <c r="U37" s="234">
        <f>'29'!AM51</f>
        <v>0</v>
      </c>
      <c r="V37" s="234">
        <f>'29'!AN51</f>
        <v>0</v>
      </c>
    </row>
    <row r="38" spans="1:22" ht="26.25">
      <c r="A38" s="207">
        <f>'Main Page'!E46</f>
        <v>44895</v>
      </c>
      <c r="B38" s="234">
        <f>'30'!T51</f>
        <v>0</v>
      </c>
      <c r="C38" s="234">
        <f>'30'!U51</f>
        <v>0</v>
      </c>
      <c r="D38" s="234">
        <f>'30'!V51</f>
        <v>0</v>
      </c>
      <c r="E38" s="234">
        <f>'30'!W51</f>
        <v>0</v>
      </c>
      <c r="F38" s="234">
        <f>'30'!X51</f>
        <v>0</v>
      </c>
      <c r="G38" s="234">
        <f>'30'!Y51</f>
        <v>0</v>
      </c>
      <c r="H38" s="234">
        <f>'30'!Z51</f>
        <v>0</v>
      </c>
      <c r="I38" s="234">
        <f>'30'!AA51</f>
        <v>0</v>
      </c>
      <c r="J38" s="234">
        <f>'30'!AB51</f>
        <v>0</v>
      </c>
      <c r="K38" s="234">
        <f>'30'!AC51</f>
        <v>0</v>
      </c>
      <c r="L38" s="234">
        <f>'30'!AD51</f>
        <v>0</v>
      </c>
      <c r="M38" s="234">
        <f>'30'!AE51</f>
        <v>0</v>
      </c>
      <c r="N38" s="234">
        <f>'30'!AF51</f>
        <v>0</v>
      </c>
      <c r="O38" s="234">
        <f>'30'!AG51</f>
        <v>0</v>
      </c>
      <c r="P38" s="234">
        <f>'30'!AH51</f>
        <v>0</v>
      </c>
      <c r="Q38" s="234">
        <f>'30'!AI51</f>
        <v>0</v>
      </c>
      <c r="R38" s="234">
        <f>'30'!AJ51</f>
        <v>0</v>
      </c>
      <c r="S38" s="234">
        <f>'30'!AK51</f>
        <v>0</v>
      </c>
      <c r="T38" s="234">
        <f>'30'!AL51</f>
        <v>0</v>
      </c>
      <c r="U38" s="234">
        <f>'30'!AM51</f>
        <v>0</v>
      </c>
      <c r="V38" s="234">
        <f>'30'!AN51</f>
        <v>0</v>
      </c>
    </row>
    <row r="39" spans="1:22" ht="27" thickBot="1">
      <c r="A39" s="208">
        <f>'Main Page'!E47</f>
        <v>44896</v>
      </c>
      <c r="B39" s="234">
        <f>'30'!T52</f>
        <v>0</v>
      </c>
      <c r="C39" s="234">
        <f>'30'!U52</f>
        <v>0</v>
      </c>
      <c r="D39" s="234">
        <f>'30'!V52</f>
        <v>0</v>
      </c>
      <c r="E39" s="234">
        <f>'30'!W52</f>
        <v>0</v>
      </c>
      <c r="F39" s="234">
        <f>'30'!X52</f>
        <v>0</v>
      </c>
      <c r="G39" s="234">
        <f>'30'!Y52</f>
        <v>0</v>
      </c>
      <c r="H39" s="234">
        <f>'30'!Z52</f>
        <v>0</v>
      </c>
      <c r="I39" s="234">
        <f>'30'!AA52</f>
        <v>0</v>
      </c>
      <c r="J39" s="234">
        <f>'30'!AB52</f>
        <v>0</v>
      </c>
      <c r="K39" s="234">
        <f>'30'!AC52</f>
        <v>0</v>
      </c>
      <c r="L39" s="234">
        <f>'30'!AD52</f>
        <v>0</v>
      </c>
      <c r="M39" s="234">
        <f>'30'!AE52</f>
        <v>0</v>
      </c>
      <c r="N39" s="234">
        <f>'30'!AF52</f>
        <v>0</v>
      </c>
      <c r="O39" s="234">
        <f>'30'!AG52</f>
        <v>0</v>
      </c>
      <c r="P39" s="234">
        <f>'30'!AH52</f>
        <v>0</v>
      </c>
      <c r="Q39" s="234">
        <f>'30'!AI52</f>
        <v>0</v>
      </c>
      <c r="R39" s="234">
        <f>'30'!AJ52</f>
        <v>0</v>
      </c>
      <c r="S39" s="234">
        <f>'30'!AK52</f>
        <v>0</v>
      </c>
      <c r="T39" s="234">
        <f>'30'!AL52</f>
        <v>0</v>
      </c>
      <c r="U39" s="234">
        <f>'30'!AM52</f>
        <v>0</v>
      </c>
      <c r="V39" s="234">
        <f>'30'!AN52</f>
        <v>0</v>
      </c>
    </row>
    <row r="40" spans="1:22" ht="30" thickTop="1" thickBot="1">
      <c r="A40" s="85" t="s">
        <v>48</v>
      </c>
      <c r="B40" s="235">
        <f>SUM(B9:B39)</f>
        <v>0</v>
      </c>
      <c r="C40" s="235">
        <f t="shared" ref="C40:V40" si="0">SUM(C9:C39)</f>
        <v>0</v>
      </c>
      <c r="D40" s="235">
        <f t="shared" si="0"/>
        <v>6</v>
      </c>
      <c r="E40" s="235">
        <f t="shared" si="0"/>
        <v>0</v>
      </c>
      <c r="F40" s="235">
        <f t="shared" si="0"/>
        <v>0</v>
      </c>
      <c r="G40" s="236">
        <f t="shared" si="0"/>
        <v>0</v>
      </c>
      <c r="H40" s="235">
        <f t="shared" si="0"/>
        <v>3</v>
      </c>
      <c r="I40" s="235">
        <f t="shared" si="0"/>
        <v>58</v>
      </c>
      <c r="J40" s="235">
        <f t="shared" si="0"/>
        <v>10</v>
      </c>
      <c r="K40" s="235">
        <f t="shared" si="0"/>
        <v>1</v>
      </c>
      <c r="L40" s="235">
        <f t="shared" si="0"/>
        <v>0</v>
      </c>
      <c r="M40" s="235">
        <f t="shared" si="0"/>
        <v>0</v>
      </c>
      <c r="N40" s="235">
        <f t="shared" si="0"/>
        <v>0</v>
      </c>
      <c r="O40" s="235">
        <f t="shared" si="0"/>
        <v>31</v>
      </c>
      <c r="P40" s="235">
        <f t="shared" si="0"/>
        <v>0</v>
      </c>
      <c r="Q40" s="235">
        <f t="shared" si="0"/>
        <v>0</v>
      </c>
      <c r="R40" s="235">
        <f t="shared" si="0"/>
        <v>0</v>
      </c>
      <c r="S40" s="235">
        <f t="shared" si="0"/>
        <v>1</v>
      </c>
      <c r="T40" s="235">
        <f t="shared" si="0"/>
        <v>0</v>
      </c>
      <c r="U40" s="235">
        <f t="shared" si="0"/>
        <v>0</v>
      </c>
      <c r="V40" s="235">
        <f t="shared" si="0"/>
        <v>0</v>
      </c>
    </row>
    <row r="41" spans="1:22" ht="33" thickTop="1" thickBot="1">
      <c r="A41" s="148" t="s">
        <v>24</v>
      </c>
      <c r="B41" s="225">
        <v>380</v>
      </c>
      <c r="C41" s="225">
        <v>290</v>
      </c>
      <c r="D41" s="225">
        <v>380</v>
      </c>
      <c r="E41" s="225">
        <v>290</v>
      </c>
      <c r="F41" s="225">
        <v>135</v>
      </c>
      <c r="G41" s="225">
        <v>135</v>
      </c>
      <c r="H41" s="225">
        <v>120</v>
      </c>
      <c r="I41" s="225">
        <v>45</v>
      </c>
      <c r="J41" s="225">
        <v>35</v>
      </c>
      <c r="K41" s="225">
        <v>380</v>
      </c>
      <c r="L41" s="225">
        <v>380</v>
      </c>
      <c r="M41" s="225">
        <v>380</v>
      </c>
      <c r="N41" s="225">
        <v>380</v>
      </c>
      <c r="O41" s="225">
        <v>380</v>
      </c>
      <c r="P41" s="225">
        <v>24</v>
      </c>
      <c r="Q41" s="225">
        <v>48</v>
      </c>
      <c r="R41" s="225">
        <v>270</v>
      </c>
      <c r="S41" s="225">
        <v>380</v>
      </c>
      <c r="T41" s="225">
        <v>35</v>
      </c>
      <c r="U41" s="225">
        <v>45</v>
      </c>
      <c r="V41" s="225">
        <v>48</v>
      </c>
    </row>
    <row r="42" spans="1:22" ht="33" thickTop="1" thickBot="1">
      <c r="A42" s="148" t="s">
        <v>25</v>
      </c>
      <c r="B42" s="237">
        <f>B40*B41</f>
        <v>0</v>
      </c>
      <c r="C42" s="237">
        <f t="shared" ref="C42:V42" si="1">C40*C41</f>
        <v>0</v>
      </c>
      <c r="D42" s="237">
        <f t="shared" si="1"/>
        <v>2280</v>
      </c>
      <c r="E42" s="237">
        <f t="shared" si="1"/>
        <v>0</v>
      </c>
      <c r="F42" s="237">
        <f t="shared" si="1"/>
        <v>0</v>
      </c>
      <c r="G42" s="237">
        <f t="shared" si="1"/>
        <v>0</v>
      </c>
      <c r="H42" s="237">
        <f t="shared" si="1"/>
        <v>360</v>
      </c>
      <c r="I42" s="237">
        <f t="shared" si="1"/>
        <v>2610</v>
      </c>
      <c r="J42" s="237">
        <f t="shared" si="1"/>
        <v>350</v>
      </c>
      <c r="K42" s="237">
        <f t="shared" si="1"/>
        <v>380</v>
      </c>
      <c r="L42" s="237">
        <f t="shared" si="1"/>
        <v>0</v>
      </c>
      <c r="M42" s="237">
        <f t="shared" si="1"/>
        <v>0</v>
      </c>
      <c r="N42" s="237">
        <f t="shared" si="1"/>
        <v>0</v>
      </c>
      <c r="O42" s="237">
        <f t="shared" si="1"/>
        <v>11780</v>
      </c>
      <c r="P42" s="237">
        <f t="shared" si="1"/>
        <v>0</v>
      </c>
      <c r="Q42" s="237">
        <f t="shared" si="1"/>
        <v>0</v>
      </c>
      <c r="R42" s="237">
        <f t="shared" si="1"/>
        <v>0</v>
      </c>
      <c r="S42" s="237">
        <f t="shared" si="1"/>
        <v>380</v>
      </c>
      <c r="T42" s="237">
        <f t="shared" si="1"/>
        <v>0</v>
      </c>
      <c r="U42" s="237">
        <f t="shared" si="1"/>
        <v>0</v>
      </c>
      <c r="V42" s="237">
        <f t="shared" si="1"/>
        <v>0</v>
      </c>
    </row>
    <row r="43" spans="1:22" ht="27.75" thickTop="1" thickBot="1">
      <c r="T43" s="238">
        <f>SUM(B42:S42)</f>
        <v>18140</v>
      </c>
    </row>
    <row r="44" spans="1:22" ht="15.75" thickTop="1">
      <c r="D44" t="s">
        <v>1</v>
      </c>
    </row>
  </sheetData>
  <mergeCells count="8">
    <mergeCell ref="T7:U7"/>
    <mergeCell ref="B6:S6"/>
    <mergeCell ref="A7:A8"/>
    <mergeCell ref="B7:E7"/>
    <mergeCell ref="F7:H7"/>
    <mergeCell ref="I7:J7"/>
    <mergeCell ref="K7:Q7"/>
    <mergeCell ref="R7:S7"/>
  </mergeCells>
  <conditionalFormatting sqref="B9:V42">
    <cfRule type="cellIs" dxfId="651" priority="1" operator="lessThan">
      <formula>1</formula>
    </cfRule>
  </conditionalFormatting>
  <printOptions horizontalCentered="1" verticalCentered="1"/>
  <pageMargins left="0.5" right="0" top="0" bottom="0" header="0" footer="0"/>
  <pageSetup paperSize="9" scale="45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  <pageSetUpPr fitToPage="1"/>
  </sheetPr>
  <dimension ref="A1:AZ1492"/>
  <sheetViews>
    <sheetView zoomScale="59" zoomScaleNormal="59" workbookViewId="0">
      <pane xSplit="1" ySplit="7" topLeftCell="B1485" activePane="bottomRight" state="frozen"/>
      <selection pane="topRight" activeCell="B1" sqref="B1"/>
      <selection pane="bottomLeft" activeCell="A8" sqref="A8"/>
      <selection pane="bottomRight" activeCell="A1500" sqref="A1500"/>
    </sheetView>
  </sheetViews>
  <sheetFormatPr defaultRowHeight="15"/>
  <cols>
    <col min="1" max="1" width="10.5703125" bestFit="1" customWidth="1"/>
    <col min="2" max="2" width="13.7109375" customWidth="1"/>
    <col min="3" max="5" width="12.7109375" customWidth="1"/>
    <col min="6" max="6" width="12.5703125" customWidth="1"/>
    <col min="7" max="7" width="12.7109375" customWidth="1"/>
    <col min="8" max="8" width="14.85546875" customWidth="1"/>
    <col min="9" max="11" width="12.7109375" customWidth="1"/>
    <col min="12" max="13" width="14.85546875" customWidth="1"/>
    <col min="14" max="14" width="12.7109375" customWidth="1"/>
    <col min="15" max="16" width="12.28515625" customWidth="1"/>
    <col min="17" max="18" width="12.7109375" customWidth="1"/>
    <col min="19" max="19" width="12" customWidth="1"/>
    <col min="20" max="24" width="12.7109375" hidden="1" customWidth="1"/>
    <col min="25" max="25" width="24.5703125" customWidth="1"/>
    <col min="26" max="27" width="27.28515625" bestFit="1" customWidth="1"/>
    <col min="28" max="28" width="24.28515625" customWidth="1"/>
    <col min="29" max="29" width="20.7109375" bestFit="1" customWidth="1"/>
    <col min="30" max="30" width="25" bestFit="1" customWidth="1"/>
    <col min="34" max="34" width="11.28515625" bestFit="1" customWidth="1"/>
    <col min="35" max="52" width="15.7109375" customWidth="1"/>
  </cols>
  <sheetData>
    <row r="1" spans="1:52">
      <c r="H1" t="s">
        <v>1</v>
      </c>
    </row>
    <row r="2" spans="1:52" ht="45" customHeight="1">
      <c r="D2" t="s">
        <v>1</v>
      </c>
      <c r="L2" t="s">
        <v>1</v>
      </c>
      <c r="M2" t="s">
        <v>1</v>
      </c>
      <c r="N2" t="s">
        <v>1</v>
      </c>
      <c r="O2" t="s">
        <v>1</v>
      </c>
      <c r="Q2" t="s">
        <v>1</v>
      </c>
      <c r="Y2" t="s">
        <v>1</v>
      </c>
      <c r="Z2" t="s">
        <v>1</v>
      </c>
      <c r="AA2" t="s">
        <v>1</v>
      </c>
      <c r="AD2" t="s">
        <v>1</v>
      </c>
      <c r="AK2" t="s">
        <v>1</v>
      </c>
      <c r="AN2" t="s">
        <v>1</v>
      </c>
    </row>
    <row r="3" spans="1:52">
      <c r="G3" t="s">
        <v>1</v>
      </c>
      <c r="H3" t="s">
        <v>1</v>
      </c>
      <c r="N3" t="s">
        <v>1</v>
      </c>
      <c r="O3" t="s">
        <v>1</v>
      </c>
      <c r="Q3" t="s">
        <v>1</v>
      </c>
      <c r="AT3" t="s">
        <v>1</v>
      </c>
    </row>
    <row r="4" spans="1:52" s="19" customFormat="1" ht="27" thickBot="1">
      <c r="B4" s="937"/>
      <c r="C4" s="937"/>
      <c r="D4" s="937"/>
      <c r="E4" s="938"/>
      <c r="F4" s="937"/>
      <c r="G4" s="937"/>
      <c r="H4" s="937"/>
      <c r="I4" s="937"/>
      <c r="J4" s="937"/>
      <c r="K4" s="937"/>
      <c r="L4" s="937"/>
      <c r="M4" s="937"/>
      <c r="N4" s="937"/>
      <c r="O4" s="937"/>
      <c r="P4" s="937"/>
      <c r="Q4" s="937"/>
      <c r="R4" s="937"/>
      <c r="S4" s="937"/>
      <c r="T4" s="23"/>
      <c r="U4" s="23"/>
      <c r="V4" s="23"/>
      <c r="W4" s="23"/>
      <c r="AH4" s="1427"/>
      <c r="AI4" s="1427"/>
      <c r="AJ4" s="1427"/>
      <c r="AK4" s="1427"/>
      <c r="AL4" s="1427"/>
      <c r="AM4" s="1427"/>
      <c r="AN4" s="1427"/>
      <c r="AO4" s="1427"/>
      <c r="AP4" s="1427"/>
      <c r="AQ4" s="1427"/>
      <c r="AR4" s="1427"/>
      <c r="AS4" s="1427"/>
      <c r="AT4" s="1427"/>
      <c r="AU4" s="1427"/>
      <c r="AV4" s="1427"/>
      <c r="AW4" s="1427"/>
      <c r="AX4" s="1427"/>
      <c r="AY4" s="1427"/>
      <c r="AZ4" s="1427"/>
    </row>
    <row r="5" spans="1:52" ht="39.950000000000003" customHeight="1" thickBot="1">
      <c r="A5" s="934">
        <v>2022</v>
      </c>
      <c r="B5" s="1447"/>
      <c r="C5" s="1448"/>
      <c r="D5" s="1448"/>
      <c r="E5" s="1448"/>
      <c r="F5" s="1448"/>
      <c r="G5" s="1448"/>
      <c r="H5" s="1448"/>
      <c r="I5" s="1448"/>
      <c r="J5" s="1448"/>
      <c r="K5" s="1448"/>
      <c r="L5" s="1448"/>
      <c r="M5" s="1448"/>
      <c r="N5" s="1448"/>
      <c r="O5" s="1448"/>
      <c r="P5" s="1448"/>
      <c r="Q5" s="1448"/>
      <c r="R5" s="1448"/>
      <c r="S5" s="1448"/>
      <c r="T5" s="1448"/>
      <c r="U5" s="1448"/>
      <c r="V5" s="1448"/>
      <c r="W5" s="1448"/>
      <c r="X5" s="1448"/>
      <c r="Y5" s="1449"/>
      <c r="Z5" s="21"/>
      <c r="AA5" s="21" t="s">
        <v>1</v>
      </c>
      <c r="AB5" s="21"/>
      <c r="AC5" s="21" t="s">
        <v>1</v>
      </c>
      <c r="AE5" t="s">
        <v>1</v>
      </c>
      <c r="AF5" s="10"/>
      <c r="AG5" s="34"/>
      <c r="AH5" s="934">
        <v>2018</v>
      </c>
      <c r="AI5" s="1431">
        <f>B5</f>
        <v>0</v>
      </c>
      <c r="AJ5" s="1432"/>
      <c r="AK5" s="1432"/>
      <c r="AL5" s="1432"/>
      <c r="AM5" s="1432"/>
      <c r="AN5" s="1432"/>
      <c r="AO5" s="1432"/>
      <c r="AP5" s="1432"/>
      <c r="AQ5" s="1432"/>
      <c r="AR5" s="1432"/>
      <c r="AS5" s="1432"/>
      <c r="AT5" s="1432"/>
      <c r="AU5" s="1432"/>
      <c r="AV5" s="1432"/>
      <c r="AW5" s="1432"/>
      <c r="AX5" s="1432"/>
      <c r="AY5" s="1432"/>
      <c r="AZ5" s="1432"/>
    </row>
    <row r="6" spans="1:52" ht="60" customHeight="1" thickTop="1" thickBot="1">
      <c r="A6" s="1422" t="s">
        <v>94</v>
      </c>
      <c r="B6" s="1455" t="s">
        <v>95</v>
      </c>
      <c r="C6" s="1456"/>
      <c r="D6" s="1456"/>
      <c r="E6" s="1457"/>
      <c r="F6" s="1455" t="s">
        <v>7</v>
      </c>
      <c r="G6" s="1456"/>
      <c r="H6" s="1457"/>
      <c r="I6" s="1458" t="s">
        <v>8</v>
      </c>
      <c r="J6" s="1459"/>
      <c r="K6" s="1460" t="s">
        <v>9</v>
      </c>
      <c r="L6" s="1461"/>
      <c r="M6" s="1461"/>
      <c r="N6" s="1461"/>
      <c r="O6" s="1461"/>
      <c r="P6" s="1461"/>
      <c r="Q6" s="1461"/>
      <c r="R6" s="1479" t="s">
        <v>10</v>
      </c>
      <c r="S6" s="1480"/>
      <c r="T6" s="1462" t="s">
        <v>289</v>
      </c>
      <c r="U6" s="1463"/>
      <c r="V6" s="1082" t="s">
        <v>258</v>
      </c>
      <c r="W6" s="1082"/>
      <c r="X6" s="1082"/>
      <c r="Y6" s="1083"/>
      <c r="Z6" s="21"/>
      <c r="AA6" s="21"/>
      <c r="AB6" s="21"/>
      <c r="AC6" s="21"/>
      <c r="AF6" s="10"/>
      <c r="AG6" s="34"/>
      <c r="AH6" s="1422" t="s">
        <v>94</v>
      </c>
      <c r="AI6" s="1402" t="s">
        <v>95</v>
      </c>
      <c r="AJ6" s="1403"/>
      <c r="AK6" s="1404"/>
      <c r="AL6" s="1402" t="s">
        <v>7</v>
      </c>
      <c r="AM6" s="1403"/>
      <c r="AN6" s="1404"/>
      <c r="AO6" s="1402" t="s">
        <v>8</v>
      </c>
      <c r="AP6" s="1403"/>
      <c r="AQ6" s="1404"/>
      <c r="AR6" s="1402" t="s">
        <v>9</v>
      </c>
      <c r="AS6" s="1403"/>
      <c r="AT6" s="1404"/>
      <c r="AU6" s="1403" t="s">
        <v>9</v>
      </c>
      <c r="AV6" s="1404"/>
      <c r="AW6" s="1429" t="s">
        <v>10</v>
      </c>
      <c r="AX6" s="1430"/>
      <c r="AY6" s="690"/>
      <c r="AZ6" s="404" t="s">
        <v>11</v>
      </c>
    </row>
    <row r="7" spans="1:52" ht="42" customHeight="1" thickTop="1" thickBot="1">
      <c r="A7" s="1428"/>
      <c r="B7" s="482" t="s">
        <v>12</v>
      </c>
      <c r="C7" s="482" t="s">
        <v>13</v>
      </c>
      <c r="D7" s="482" t="s">
        <v>14</v>
      </c>
      <c r="E7" s="688" t="s">
        <v>198</v>
      </c>
      <c r="F7" s="482" t="s">
        <v>12</v>
      </c>
      <c r="G7" s="482" t="s">
        <v>13</v>
      </c>
      <c r="H7" s="482" t="s">
        <v>282</v>
      </c>
      <c r="I7" s="482" t="s">
        <v>12</v>
      </c>
      <c r="J7" s="482" t="s">
        <v>16</v>
      </c>
      <c r="K7" s="482" t="s">
        <v>17</v>
      </c>
      <c r="L7" s="482" t="s">
        <v>18</v>
      </c>
      <c r="M7" s="482" t="s">
        <v>19</v>
      </c>
      <c r="N7" s="484" t="s">
        <v>96</v>
      </c>
      <c r="O7" s="484" t="s">
        <v>257</v>
      </c>
      <c r="P7" s="484" t="s">
        <v>254</v>
      </c>
      <c r="Q7" s="484" t="s">
        <v>20</v>
      </c>
      <c r="R7" s="483" t="s">
        <v>14</v>
      </c>
      <c r="S7" s="482" t="s">
        <v>13</v>
      </c>
      <c r="T7" s="846" t="s">
        <v>284</v>
      </c>
      <c r="U7" s="846" t="s">
        <v>288</v>
      </c>
      <c r="V7" s="484" t="s">
        <v>259</v>
      </c>
      <c r="W7" s="484"/>
      <c r="X7" s="484"/>
      <c r="Y7" s="847" t="s">
        <v>90</v>
      </c>
      <c r="Z7" s="210" t="s">
        <v>97</v>
      </c>
      <c r="AA7" s="210" t="s">
        <v>74</v>
      </c>
      <c r="AB7" s="210" t="s">
        <v>98</v>
      </c>
      <c r="AC7" s="210" t="s">
        <v>99</v>
      </c>
      <c r="AD7" s="210" t="s">
        <v>100</v>
      </c>
      <c r="AE7" s="61"/>
      <c r="AF7" s="15"/>
      <c r="AG7" s="4"/>
      <c r="AH7" s="1428"/>
      <c r="AI7" s="482" t="s">
        <v>12</v>
      </c>
      <c r="AJ7" s="482" t="s">
        <v>13</v>
      </c>
      <c r="AK7" s="482" t="s">
        <v>14</v>
      </c>
      <c r="AL7" s="482" t="s">
        <v>12</v>
      </c>
      <c r="AM7" s="482" t="s">
        <v>13</v>
      </c>
      <c r="AN7" s="482" t="s">
        <v>15</v>
      </c>
      <c r="AO7" s="482" t="s">
        <v>12</v>
      </c>
      <c r="AP7" s="482" t="s">
        <v>205</v>
      </c>
      <c r="AQ7" s="482" t="s">
        <v>16</v>
      </c>
      <c r="AR7" s="482" t="s">
        <v>17</v>
      </c>
      <c r="AS7" s="482" t="s">
        <v>18</v>
      </c>
      <c r="AT7" s="482" t="s">
        <v>19</v>
      </c>
      <c r="AU7" s="482" t="s">
        <v>201</v>
      </c>
      <c r="AV7" s="482" t="s">
        <v>20</v>
      </c>
      <c r="AW7" s="482" t="s">
        <v>12</v>
      </c>
      <c r="AX7" s="483" t="s">
        <v>13</v>
      </c>
      <c r="AY7" s="688" t="s">
        <v>198</v>
      </c>
      <c r="AZ7" s="484" t="s">
        <v>96</v>
      </c>
    </row>
    <row r="8" spans="1:52" ht="29.25" customHeight="1" thickBot="1">
      <c r="A8" s="63">
        <f>'Main Page'!E17</f>
        <v>44866</v>
      </c>
      <c r="B8" s="134"/>
      <c r="C8" s="135"/>
      <c r="D8" s="135"/>
      <c r="E8" s="135"/>
      <c r="F8" s="135"/>
      <c r="G8" s="135"/>
      <c r="H8" s="135"/>
      <c r="I8" s="135"/>
      <c r="J8" s="135"/>
      <c r="K8" s="135"/>
      <c r="L8" s="135"/>
      <c r="M8" s="135"/>
      <c r="N8" s="135"/>
      <c r="O8" s="135"/>
      <c r="P8" s="135"/>
      <c r="Q8" s="135"/>
      <c r="R8" s="136"/>
      <c r="S8" s="175"/>
      <c r="T8" s="830"/>
      <c r="U8" s="830"/>
      <c r="V8" s="830"/>
      <c r="W8" s="830"/>
      <c r="X8" s="830"/>
      <c r="Y8" s="255">
        <f>B8*400+C8*360+D8*400+E8*360+F8*180+G8*180+H8*140+I8*50+J8*50+K8*400+L8*400+M8*400+N8*22+O8*400+P8*80+Q8*200+R8*360+S8*400+T8*30+U8*60</f>
        <v>0</v>
      </c>
      <c r="Z8" s="308"/>
      <c r="AA8" s="263">
        <f t="shared" ref="AA8:AA38" si="0">Y8+Z8</f>
        <v>0</v>
      </c>
      <c r="AB8" s="308"/>
      <c r="AC8" s="308"/>
      <c r="AD8" s="319">
        <f t="shared" ref="AD8:AD38" si="1">AA8-AB8-AC8</f>
        <v>0</v>
      </c>
      <c r="AF8" s="11"/>
      <c r="AG8" s="24"/>
      <c r="AH8" s="63">
        <v>43374</v>
      </c>
      <c r="AI8" s="694"/>
      <c r="AJ8" s="695"/>
      <c r="AK8" s="695"/>
      <c r="AL8" s="695"/>
      <c r="AM8" s="695"/>
      <c r="AN8" s="695"/>
      <c r="AO8" s="695"/>
      <c r="AP8" s="695"/>
      <c r="AQ8" s="695"/>
      <c r="AR8" s="695"/>
      <c r="AS8" s="695"/>
      <c r="AT8" s="695"/>
      <c r="AU8" s="695"/>
      <c r="AV8" s="695"/>
      <c r="AW8" s="695"/>
      <c r="AX8" s="696">
        <v>1</v>
      </c>
      <c r="AY8" s="696"/>
      <c r="AZ8" s="697"/>
    </row>
    <row r="9" spans="1:52" ht="29.25" customHeight="1" thickBot="1">
      <c r="A9" s="64">
        <f>A8+1</f>
        <v>44867</v>
      </c>
      <c r="B9" s="137"/>
      <c r="C9" s="138"/>
      <c r="D9" s="138"/>
      <c r="E9" s="138"/>
      <c r="F9" s="138"/>
      <c r="G9" s="138"/>
      <c r="H9" s="138"/>
      <c r="I9" s="135"/>
      <c r="J9" s="135"/>
      <c r="K9" s="135"/>
      <c r="L9" s="135"/>
      <c r="M9" s="135"/>
      <c r="N9" s="135"/>
      <c r="O9" s="135"/>
      <c r="P9" s="135"/>
      <c r="Q9" s="135"/>
      <c r="R9" s="136"/>
      <c r="S9" s="175"/>
      <c r="T9" s="830"/>
      <c r="U9" s="830"/>
      <c r="V9" s="830"/>
      <c r="W9" s="830"/>
      <c r="X9" s="830"/>
      <c r="Y9" s="255">
        <f t="shared" ref="Y9:Y38" si="2">B9*400+C9*360+D9*400+E9*360+F9*180+G9*180+H9*140+I9*50+J9*50+K9*400+L9*400+M9*400+N9*22+O9*400+P9*80+Q9*200+R9*360+S9*400+T9*30+U9*60</f>
        <v>0</v>
      </c>
      <c r="Z9" s="309">
        <f t="shared" ref="Z9:Z38" si="3">AD8</f>
        <v>0</v>
      </c>
      <c r="AA9" s="256">
        <f t="shared" si="0"/>
        <v>0</v>
      </c>
      <c r="AB9" s="309"/>
      <c r="AC9" s="309"/>
      <c r="AD9" s="320">
        <f t="shared" si="1"/>
        <v>0</v>
      </c>
      <c r="AF9" s="11"/>
      <c r="AG9" s="24"/>
      <c r="AH9" s="64">
        <f>AH8+1</f>
        <v>43375</v>
      </c>
      <c r="AI9" s="698"/>
      <c r="AJ9" s="699"/>
      <c r="AK9" s="699"/>
      <c r="AL9" s="699"/>
      <c r="AM9" s="699"/>
      <c r="AN9" s="699"/>
      <c r="AO9" s="699"/>
      <c r="AP9" s="699"/>
      <c r="AQ9" s="699"/>
      <c r="AR9" s="699"/>
      <c r="AS9" s="699"/>
      <c r="AT9" s="699"/>
      <c r="AU9" s="699"/>
      <c r="AV9" s="699"/>
      <c r="AW9" s="699"/>
      <c r="AX9" s="700"/>
      <c r="AY9" s="700"/>
      <c r="AZ9" s="701"/>
    </row>
    <row r="10" spans="1:52" ht="29.25" customHeight="1" thickBot="1">
      <c r="A10" s="64">
        <f t="shared" ref="A10:A38" si="4">A9+1</f>
        <v>44868</v>
      </c>
      <c r="B10" s="137"/>
      <c r="C10" s="138"/>
      <c r="D10" s="138"/>
      <c r="E10" s="138"/>
      <c r="F10" s="138"/>
      <c r="G10" s="138"/>
      <c r="H10" s="138"/>
      <c r="I10" s="138"/>
      <c r="J10" s="138"/>
      <c r="K10" s="138"/>
      <c r="L10" s="138"/>
      <c r="M10" s="138"/>
      <c r="N10" s="138"/>
      <c r="O10" s="138"/>
      <c r="P10" s="138"/>
      <c r="Q10" s="138"/>
      <c r="R10" s="139"/>
      <c r="S10" s="176"/>
      <c r="T10" s="830"/>
      <c r="U10" s="830"/>
      <c r="V10" s="830"/>
      <c r="W10" s="830"/>
      <c r="X10" s="830"/>
      <c r="Y10" s="255">
        <f t="shared" si="2"/>
        <v>0</v>
      </c>
      <c r="Z10" s="309">
        <f t="shared" si="3"/>
        <v>0</v>
      </c>
      <c r="AA10" s="256">
        <f t="shared" si="0"/>
        <v>0</v>
      </c>
      <c r="AB10" s="309"/>
      <c r="AC10" s="309"/>
      <c r="AD10" s="320">
        <f t="shared" si="1"/>
        <v>0</v>
      </c>
      <c r="AF10" s="11"/>
      <c r="AG10" s="24"/>
      <c r="AH10" s="64">
        <f t="shared" ref="AH10:AH38" si="5">AH9+1</f>
        <v>43376</v>
      </c>
      <c r="AI10" s="698"/>
      <c r="AJ10" s="699"/>
      <c r="AK10" s="699"/>
      <c r="AL10" s="699"/>
      <c r="AM10" s="699"/>
      <c r="AN10" s="699"/>
      <c r="AO10" s="699"/>
      <c r="AP10" s="699"/>
      <c r="AQ10" s="699"/>
      <c r="AR10" s="699"/>
      <c r="AS10" s="699"/>
      <c r="AT10" s="699"/>
      <c r="AU10" s="699"/>
      <c r="AV10" s="699"/>
      <c r="AW10" s="699"/>
      <c r="AX10" s="700"/>
      <c r="AY10" s="700"/>
      <c r="AZ10" s="701"/>
    </row>
    <row r="11" spans="1:52" ht="29.25" customHeight="1" thickBot="1">
      <c r="A11" s="64">
        <f t="shared" si="4"/>
        <v>44869</v>
      </c>
      <c r="B11" s="137"/>
      <c r="C11" s="138"/>
      <c r="D11" s="138"/>
      <c r="E11" s="138"/>
      <c r="F11" s="138"/>
      <c r="G11" s="138"/>
      <c r="H11" s="138"/>
      <c r="I11" s="138"/>
      <c r="J11" s="138"/>
      <c r="K11" s="138"/>
      <c r="L11" s="138"/>
      <c r="M11" s="138"/>
      <c r="N11" s="138"/>
      <c r="O11" s="138"/>
      <c r="P11" s="138"/>
      <c r="Q11" s="138"/>
      <c r="R11" s="139"/>
      <c r="S11" s="176"/>
      <c r="T11" s="830"/>
      <c r="U11" s="830"/>
      <c r="V11" s="830"/>
      <c r="W11" s="830"/>
      <c r="X11" s="830"/>
      <c r="Y11" s="255">
        <f t="shared" si="2"/>
        <v>0</v>
      </c>
      <c r="Z11" s="309">
        <f t="shared" si="3"/>
        <v>0</v>
      </c>
      <c r="AA11" s="256">
        <f t="shared" si="0"/>
        <v>0</v>
      </c>
      <c r="AB11" s="309"/>
      <c r="AC11" s="309"/>
      <c r="AD11" s="320">
        <f t="shared" si="1"/>
        <v>0</v>
      </c>
      <c r="AF11" s="11"/>
      <c r="AG11" s="24"/>
      <c r="AH11" s="64">
        <f t="shared" si="5"/>
        <v>43377</v>
      </c>
      <c r="AI11" s="698"/>
      <c r="AJ11" s="699"/>
      <c r="AK11" s="699"/>
      <c r="AL11" s="699"/>
      <c r="AM11" s="699"/>
      <c r="AN11" s="699"/>
      <c r="AO11" s="699"/>
      <c r="AP11" s="699"/>
      <c r="AQ11" s="699"/>
      <c r="AR11" s="699"/>
      <c r="AS11" s="699"/>
      <c r="AT11" s="699"/>
      <c r="AU11" s="699"/>
      <c r="AV11" s="699"/>
      <c r="AW11" s="699"/>
      <c r="AX11" s="700"/>
      <c r="AY11" s="700"/>
      <c r="AZ11" s="701"/>
    </row>
    <row r="12" spans="1:52" ht="29.25" customHeight="1" thickBot="1">
      <c r="A12" s="64">
        <f t="shared" si="4"/>
        <v>44870</v>
      </c>
      <c r="B12" s="137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  <c r="R12" s="139"/>
      <c r="S12" s="176"/>
      <c r="T12" s="830"/>
      <c r="U12" s="830"/>
      <c r="V12" s="830"/>
      <c r="W12" s="830"/>
      <c r="X12" s="830"/>
      <c r="Y12" s="255">
        <f t="shared" si="2"/>
        <v>0</v>
      </c>
      <c r="Z12" s="309">
        <f t="shared" si="3"/>
        <v>0</v>
      </c>
      <c r="AA12" s="256">
        <f t="shared" si="0"/>
        <v>0</v>
      </c>
      <c r="AB12" s="309"/>
      <c r="AC12" s="309"/>
      <c r="AD12" s="320">
        <f t="shared" si="1"/>
        <v>0</v>
      </c>
      <c r="AF12" s="11"/>
      <c r="AG12" s="24"/>
      <c r="AH12" s="64">
        <f t="shared" si="5"/>
        <v>43378</v>
      </c>
      <c r="AI12" s="698"/>
      <c r="AJ12" s="699"/>
      <c r="AK12" s="699"/>
      <c r="AL12" s="699"/>
      <c r="AM12" s="699"/>
      <c r="AN12" s="699"/>
      <c r="AO12" s="699"/>
      <c r="AP12" s="699"/>
      <c r="AQ12" s="699"/>
      <c r="AR12" s="699"/>
      <c r="AS12" s="699"/>
      <c r="AT12" s="699"/>
      <c r="AU12" s="699"/>
      <c r="AV12" s="699"/>
      <c r="AW12" s="699"/>
      <c r="AX12" s="700"/>
      <c r="AY12" s="700"/>
      <c r="AZ12" s="701"/>
    </row>
    <row r="13" spans="1:52" ht="29.25" customHeight="1" thickBot="1">
      <c r="A13" s="64">
        <f t="shared" si="4"/>
        <v>44871</v>
      </c>
      <c r="B13" s="137"/>
      <c r="C13" s="138"/>
      <c r="D13" s="138"/>
      <c r="E13" s="138"/>
      <c r="F13" s="138"/>
      <c r="G13" s="138"/>
      <c r="H13" s="138"/>
      <c r="I13" s="138"/>
      <c r="J13" s="138"/>
      <c r="K13" s="138"/>
      <c r="L13" s="138"/>
      <c r="M13" s="138"/>
      <c r="N13" s="138"/>
      <c r="O13" s="138"/>
      <c r="P13" s="138"/>
      <c r="Q13" s="138"/>
      <c r="R13" s="139"/>
      <c r="S13" s="176"/>
      <c r="T13" s="830"/>
      <c r="U13" s="830"/>
      <c r="V13" s="830"/>
      <c r="W13" s="830"/>
      <c r="X13" s="830"/>
      <c r="Y13" s="255">
        <f t="shared" si="2"/>
        <v>0</v>
      </c>
      <c r="Z13" s="309">
        <f t="shared" si="3"/>
        <v>0</v>
      </c>
      <c r="AA13" s="256">
        <f t="shared" si="0"/>
        <v>0</v>
      </c>
      <c r="AB13" s="309"/>
      <c r="AC13" s="309"/>
      <c r="AD13" s="320">
        <f t="shared" si="1"/>
        <v>0</v>
      </c>
      <c r="AF13" s="11"/>
      <c r="AG13" s="24"/>
      <c r="AH13" s="64">
        <f t="shared" si="5"/>
        <v>43379</v>
      </c>
      <c r="AI13" s="698"/>
      <c r="AJ13" s="699"/>
      <c r="AK13" s="699"/>
      <c r="AL13" s="699"/>
      <c r="AM13" s="699"/>
      <c r="AN13" s="699"/>
      <c r="AO13" s="699"/>
      <c r="AP13" s="699"/>
      <c r="AQ13" s="699"/>
      <c r="AR13" s="699"/>
      <c r="AS13" s="699"/>
      <c r="AT13" s="699"/>
      <c r="AU13" s="699"/>
      <c r="AV13" s="699"/>
      <c r="AW13" s="699"/>
      <c r="AX13" s="700"/>
      <c r="AY13" s="700"/>
      <c r="AZ13" s="701"/>
    </row>
    <row r="14" spans="1:52" ht="29.25" customHeight="1" thickBot="1">
      <c r="A14" s="64">
        <f t="shared" si="4"/>
        <v>44872</v>
      </c>
      <c r="B14" s="137"/>
      <c r="C14" s="138"/>
      <c r="D14" s="138"/>
      <c r="E14" s="138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38"/>
      <c r="Q14" s="138"/>
      <c r="R14" s="139"/>
      <c r="S14" s="176"/>
      <c r="T14" s="830"/>
      <c r="U14" s="830"/>
      <c r="V14" s="830"/>
      <c r="W14" s="830"/>
      <c r="X14" s="830"/>
      <c r="Y14" s="255">
        <f t="shared" si="2"/>
        <v>0</v>
      </c>
      <c r="Z14" s="309">
        <f t="shared" si="3"/>
        <v>0</v>
      </c>
      <c r="AA14" s="256">
        <f t="shared" si="0"/>
        <v>0</v>
      </c>
      <c r="AB14" s="309"/>
      <c r="AC14" s="309"/>
      <c r="AD14" s="320">
        <f t="shared" si="1"/>
        <v>0</v>
      </c>
      <c r="AF14" s="11"/>
      <c r="AG14" s="24"/>
      <c r="AH14" s="64">
        <f t="shared" si="5"/>
        <v>43380</v>
      </c>
      <c r="AI14" s="698"/>
      <c r="AJ14" s="699"/>
      <c r="AK14" s="699"/>
      <c r="AL14" s="699"/>
      <c r="AM14" s="699"/>
      <c r="AN14" s="699"/>
      <c r="AO14" s="699"/>
      <c r="AP14" s="699"/>
      <c r="AQ14" s="699"/>
      <c r="AR14" s="699"/>
      <c r="AS14" s="699"/>
      <c r="AT14" s="699"/>
      <c r="AU14" s="699"/>
      <c r="AV14" s="699"/>
      <c r="AW14" s="699"/>
      <c r="AX14" s="700"/>
      <c r="AY14" s="700"/>
      <c r="AZ14" s="701"/>
    </row>
    <row r="15" spans="1:52" ht="29.25" customHeight="1" thickBot="1">
      <c r="A15" s="64">
        <f t="shared" si="4"/>
        <v>44873</v>
      </c>
      <c r="B15" s="889"/>
      <c r="C15" s="138"/>
      <c r="D15" s="138"/>
      <c r="E15" s="138"/>
      <c r="F15" s="138"/>
      <c r="G15" s="138"/>
      <c r="H15" s="138"/>
      <c r="I15" s="138"/>
      <c r="J15" s="138"/>
      <c r="K15" s="138"/>
      <c r="L15" s="138"/>
      <c r="M15" s="138"/>
      <c r="N15" s="138"/>
      <c r="O15" s="138"/>
      <c r="P15" s="138"/>
      <c r="Q15" s="138"/>
      <c r="R15" s="139"/>
      <c r="S15" s="176"/>
      <c r="T15" s="830"/>
      <c r="U15" s="830"/>
      <c r="V15" s="830"/>
      <c r="W15" s="830"/>
      <c r="X15" s="830"/>
      <c r="Y15" s="255">
        <f t="shared" si="2"/>
        <v>0</v>
      </c>
      <c r="Z15" s="309">
        <f t="shared" si="3"/>
        <v>0</v>
      </c>
      <c r="AA15" s="256">
        <f t="shared" si="0"/>
        <v>0</v>
      </c>
      <c r="AB15" s="309"/>
      <c r="AC15" s="309"/>
      <c r="AD15" s="320">
        <f t="shared" si="1"/>
        <v>0</v>
      </c>
      <c r="AE15" t="s">
        <v>1</v>
      </c>
      <c r="AF15" s="11"/>
      <c r="AG15" s="24"/>
      <c r="AH15" s="64">
        <f t="shared" si="5"/>
        <v>43381</v>
      </c>
      <c r="AI15" s="698"/>
      <c r="AJ15" s="699"/>
      <c r="AK15" s="699"/>
      <c r="AL15" s="699"/>
      <c r="AM15" s="699"/>
      <c r="AN15" s="699"/>
      <c r="AO15" s="699"/>
      <c r="AP15" s="699"/>
      <c r="AQ15" s="699"/>
      <c r="AR15" s="699"/>
      <c r="AS15" s="699"/>
      <c r="AT15" s="699"/>
      <c r="AU15" s="699"/>
      <c r="AV15" s="699"/>
      <c r="AW15" s="699"/>
      <c r="AX15" s="700"/>
      <c r="AY15" s="700"/>
      <c r="AZ15" s="701"/>
    </row>
    <row r="16" spans="1:52" ht="29.25" customHeight="1" thickBot="1">
      <c r="A16" s="64">
        <f t="shared" si="4"/>
        <v>44874</v>
      </c>
      <c r="B16" s="137"/>
      <c r="C16" s="138"/>
      <c r="D16" s="138"/>
      <c r="E16" s="138"/>
      <c r="F16" s="138"/>
      <c r="G16" s="138"/>
      <c r="H16" s="138"/>
      <c r="I16" s="138"/>
      <c r="J16" s="138"/>
      <c r="K16" s="138"/>
      <c r="L16" s="138"/>
      <c r="M16" s="138"/>
      <c r="N16" s="138"/>
      <c r="O16" s="138"/>
      <c r="P16" s="138"/>
      <c r="Q16" s="138"/>
      <c r="R16" s="139"/>
      <c r="S16" s="1196"/>
      <c r="T16" s="830"/>
      <c r="U16" s="830"/>
      <c r="V16" s="830"/>
      <c r="W16" s="830"/>
      <c r="X16" s="830"/>
      <c r="Y16" s="255">
        <f t="shared" si="2"/>
        <v>0</v>
      </c>
      <c r="Z16" s="309">
        <f t="shared" si="3"/>
        <v>0</v>
      </c>
      <c r="AA16" s="256">
        <f t="shared" si="0"/>
        <v>0</v>
      </c>
      <c r="AB16" s="309"/>
      <c r="AC16" s="309"/>
      <c r="AD16" s="320">
        <f t="shared" si="1"/>
        <v>0</v>
      </c>
      <c r="AF16" s="11"/>
      <c r="AG16" s="24"/>
      <c r="AH16" s="64">
        <f t="shared" si="5"/>
        <v>43382</v>
      </c>
      <c r="AI16" s="698"/>
      <c r="AJ16" s="699"/>
      <c r="AK16" s="699"/>
      <c r="AL16" s="699"/>
      <c r="AM16" s="699"/>
      <c r="AN16" s="699"/>
      <c r="AO16" s="699"/>
      <c r="AP16" s="699"/>
      <c r="AQ16" s="699"/>
      <c r="AR16" s="699"/>
      <c r="AS16" s="699"/>
      <c r="AT16" s="699"/>
      <c r="AU16" s="699"/>
      <c r="AV16" s="699"/>
      <c r="AW16" s="699"/>
      <c r="AX16" s="700"/>
      <c r="AY16" s="700"/>
      <c r="AZ16" s="701"/>
    </row>
    <row r="17" spans="1:52" ht="29.25" customHeight="1" thickBot="1">
      <c r="A17" s="64">
        <f t="shared" si="4"/>
        <v>44875</v>
      </c>
      <c r="B17" s="137"/>
      <c r="C17" s="138"/>
      <c r="D17" s="138"/>
      <c r="E17" s="138"/>
      <c r="F17" s="138"/>
      <c r="G17" s="138"/>
      <c r="H17" s="138"/>
      <c r="I17" s="138"/>
      <c r="J17" s="138"/>
      <c r="K17" s="138"/>
      <c r="L17" s="138"/>
      <c r="M17" s="138"/>
      <c r="N17" s="138"/>
      <c r="O17" s="138"/>
      <c r="P17" s="138"/>
      <c r="Q17" s="138"/>
      <c r="R17" s="139"/>
      <c r="S17" s="176"/>
      <c r="T17" s="830"/>
      <c r="U17" s="830"/>
      <c r="V17" s="830"/>
      <c r="W17" s="830"/>
      <c r="X17" s="830"/>
      <c r="Y17" s="255">
        <f t="shared" si="2"/>
        <v>0</v>
      </c>
      <c r="Z17" s="309">
        <f t="shared" si="3"/>
        <v>0</v>
      </c>
      <c r="AA17" s="256">
        <f t="shared" si="0"/>
        <v>0</v>
      </c>
      <c r="AB17" s="309"/>
      <c r="AC17" s="309"/>
      <c r="AD17" s="320">
        <f t="shared" si="1"/>
        <v>0</v>
      </c>
      <c r="AF17" s="11"/>
      <c r="AG17" s="24"/>
      <c r="AH17" s="64">
        <f t="shared" si="5"/>
        <v>43383</v>
      </c>
      <c r="AI17" s="698"/>
      <c r="AJ17" s="699"/>
      <c r="AK17" s="699"/>
      <c r="AL17" s="699"/>
      <c r="AM17" s="699"/>
      <c r="AN17" s="699"/>
      <c r="AO17" s="699"/>
      <c r="AP17" s="699"/>
      <c r="AQ17" s="699"/>
      <c r="AR17" s="699"/>
      <c r="AS17" s="699"/>
      <c r="AT17" s="699"/>
      <c r="AU17" s="699"/>
      <c r="AV17" s="699"/>
      <c r="AW17" s="699"/>
      <c r="AX17" s="700"/>
      <c r="AY17" s="700"/>
      <c r="AZ17" s="701"/>
    </row>
    <row r="18" spans="1:52" ht="29.25" customHeight="1" thickBot="1">
      <c r="A18" s="64">
        <f t="shared" si="4"/>
        <v>44876</v>
      </c>
      <c r="B18" s="137"/>
      <c r="C18" s="138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9"/>
      <c r="S18" s="176"/>
      <c r="T18" s="830"/>
      <c r="U18" s="830"/>
      <c r="V18" s="830"/>
      <c r="W18" s="830"/>
      <c r="X18" s="830"/>
      <c r="Y18" s="255">
        <f t="shared" si="2"/>
        <v>0</v>
      </c>
      <c r="Z18" s="309">
        <f t="shared" si="3"/>
        <v>0</v>
      </c>
      <c r="AA18" s="256">
        <f t="shared" si="0"/>
        <v>0</v>
      </c>
      <c r="AB18" s="309"/>
      <c r="AC18" s="309"/>
      <c r="AD18" s="320">
        <f t="shared" si="1"/>
        <v>0</v>
      </c>
      <c r="AF18" s="11"/>
      <c r="AG18" s="24"/>
      <c r="AH18" s="64">
        <f t="shared" si="5"/>
        <v>43384</v>
      </c>
      <c r="AI18" s="698"/>
      <c r="AJ18" s="699"/>
      <c r="AK18" s="699"/>
      <c r="AL18" s="699"/>
      <c r="AM18" s="699"/>
      <c r="AN18" s="699"/>
      <c r="AO18" s="699"/>
      <c r="AP18" s="699"/>
      <c r="AQ18" s="699"/>
      <c r="AR18" s="699"/>
      <c r="AS18" s="699"/>
      <c r="AT18" s="699"/>
      <c r="AU18" s="699"/>
      <c r="AV18" s="699"/>
      <c r="AW18" s="699"/>
      <c r="AX18" s="700"/>
      <c r="AY18" s="700"/>
      <c r="AZ18" s="701"/>
    </row>
    <row r="19" spans="1:52" ht="29.25" customHeight="1" thickBot="1">
      <c r="A19" s="64">
        <f t="shared" si="4"/>
        <v>44877</v>
      </c>
      <c r="B19" s="137"/>
      <c r="C19" s="138"/>
      <c r="D19" s="138"/>
      <c r="E19" s="138"/>
      <c r="F19" s="138"/>
      <c r="G19" s="138"/>
      <c r="H19" s="138"/>
      <c r="I19" s="138"/>
      <c r="J19" s="138"/>
      <c r="K19" s="138"/>
      <c r="L19" s="138"/>
      <c r="M19" s="138"/>
      <c r="N19" s="138"/>
      <c r="O19" s="138"/>
      <c r="P19" s="138"/>
      <c r="Q19" s="138"/>
      <c r="R19" s="139"/>
      <c r="S19" s="176"/>
      <c r="T19" s="830"/>
      <c r="U19" s="830"/>
      <c r="V19" s="830"/>
      <c r="W19" s="830"/>
      <c r="X19" s="830"/>
      <c r="Y19" s="255">
        <f t="shared" si="2"/>
        <v>0</v>
      </c>
      <c r="Z19" s="309">
        <f t="shared" si="3"/>
        <v>0</v>
      </c>
      <c r="AA19" s="256">
        <f t="shared" si="0"/>
        <v>0</v>
      </c>
      <c r="AB19" s="309"/>
      <c r="AC19" s="309"/>
      <c r="AD19" s="320">
        <f t="shared" si="1"/>
        <v>0</v>
      </c>
      <c r="AF19" s="11"/>
      <c r="AG19" s="24"/>
      <c r="AH19" s="64">
        <f t="shared" si="5"/>
        <v>43385</v>
      </c>
      <c r="AI19" s="698"/>
      <c r="AJ19" s="699"/>
      <c r="AK19" s="699"/>
      <c r="AL19" s="699"/>
      <c r="AM19" s="699"/>
      <c r="AN19" s="699"/>
      <c r="AO19" s="699"/>
      <c r="AP19" s="699"/>
      <c r="AQ19" s="699"/>
      <c r="AR19" s="699"/>
      <c r="AS19" s="699"/>
      <c r="AT19" s="699"/>
      <c r="AU19" s="699"/>
      <c r="AV19" s="699"/>
      <c r="AW19" s="699"/>
      <c r="AX19" s="700"/>
      <c r="AY19" s="700"/>
      <c r="AZ19" s="701"/>
    </row>
    <row r="20" spans="1:52" ht="29.25" customHeight="1" thickBot="1">
      <c r="A20" s="64">
        <f t="shared" si="4"/>
        <v>44878</v>
      </c>
      <c r="B20" s="137"/>
      <c r="C20" s="138"/>
      <c r="D20" s="138"/>
      <c r="E20" s="138"/>
      <c r="F20" s="138"/>
      <c r="G20" s="138"/>
      <c r="H20" s="138"/>
      <c r="I20" s="138"/>
      <c r="J20" s="138"/>
      <c r="K20" s="138"/>
      <c r="L20" s="138"/>
      <c r="M20" s="138"/>
      <c r="N20" s="138"/>
      <c r="O20" s="138"/>
      <c r="P20" s="138"/>
      <c r="Q20" s="138"/>
      <c r="R20" s="139"/>
      <c r="S20" s="176"/>
      <c r="T20" s="830"/>
      <c r="U20" s="830"/>
      <c r="V20" s="830"/>
      <c r="W20" s="830"/>
      <c r="X20" s="830"/>
      <c r="Y20" s="255">
        <f t="shared" si="2"/>
        <v>0</v>
      </c>
      <c r="Z20" s="309">
        <f t="shared" si="3"/>
        <v>0</v>
      </c>
      <c r="AA20" s="256">
        <f t="shared" si="0"/>
        <v>0</v>
      </c>
      <c r="AB20" s="309"/>
      <c r="AC20" s="309"/>
      <c r="AD20" s="320">
        <f t="shared" si="1"/>
        <v>0</v>
      </c>
      <c r="AF20" s="11"/>
      <c r="AG20" s="24"/>
      <c r="AH20" s="64">
        <f t="shared" si="5"/>
        <v>43386</v>
      </c>
      <c r="AI20" s="698"/>
      <c r="AJ20" s="699"/>
      <c r="AK20" s="699"/>
      <c r="AL20" s="699"/>
      <c r="AM20" s="699"/>
      <c r="AN20" s="699"/>
      <c r="AO20" s="699"/>
      <c r="AP20" s="699"/>
      <c r="AQ20" s="699"/>
      <c r="AR20" s="699"/>
      <c r="AS20" s="699"/>
      <c r="AT20" s="699"/>
      <c r="AU20" s="699"/>
      <c r="AV20" s="699"/>
      <c r="AW20" s="699"/>
      <c r="AX20" s="700"/>
      <c r="AY20" s="700"/>
      <c r="AZ20" s="701"/>
    </row>
    <row r="21" spans="1:52" ht="29.25" customHeight="1" thickBot="1">
      <c r="A21" s="64">
        <f t="shared" si="4"/>
        <v>44879</v>
      </c>
      <c r="B21" s="137"/>
      <c r="C21" s="138"/>
      <c r="D21" s="138"/>
      <c r="E21" s="138"/>
      <c r="F21" s="138"/>
      <c r="G21" s="138"/>
      <c r="H21" s="138"/>
      <c r="I21" s="138"/>
      <c r="J21" s="138"/>
      <c r="K21" s="138"/>
      <c r="L21" s="138"/>
      <c r="M21" s="138"/>
      <c r="N21" s="138"/>
      <c r="O21" s="138"/>
      <c r="P21" s="138"/>
      <c r="Q21" s="138"/>
      <c r="R21" s="139"/>
      <c r="S21" s="176"/>
      <c r="T21" s="830"/>
      <c r="U21" s="830"/>
      <c r="V21" s="830"/>
      <c r="W21" s="830"/>
      <c r="X21" s="830"/>
      <c r="Y21" s="255">
        <f t="shared" si="2"/>
        <v>0</v>
      </c>
      <c r="Z21" s="309">
        <f t="shared" si="3"/>
        <v>0</v>
      </c>
      <c r="AA21" s="256">
        <f t="shared" si="0"/>
        <v>0</v>
      </c>
      <c r="AB21" s="309"/>
      <c r="AC21" s="309"/>
      <c r="AD21" s="320">
        <f t="shared" si="1"/>
        <v>0</v>
      </c>
      <c r="AF21" s="11"/>
      <c r="AG21" s="24"/>
      <c r="AH21" s="64">
        <f t="shared" si="5"/>
        <v>43387</v>
      </c>
      <c r="AI21" s="698"/>
      <c r="AJ21" s="699"/>
      <c r="AK21" s="699"/>
      <c r="AL21" s="699"/>
      <c r="AM21" s="699"/>
      <c r="AN21" s="699"/>
      <c r="AO21" s="699"/>
      <c r="AP21" s="699"/>
      <c r="AQ21" s="699"/>
      <c r="AR21" s="699"/>
      <c r="AS21" s="699"/>
      <c r="AT21" s="699"/>
      <c r="AU21" s="699"/>
      <c r="AV21" s="699"/>
      <c r="AW21" s="699"/>
      <c r="AX21" s="700"/>
      <c r="AY21" s="700"/>
      <c r="AZ21" s="701"/>
    </row>
    <row r="22" spans="1:52" ht="29.25" customHeight="1" thickBot="1">
      <c r="A22" s="64">
        <f t="shared" si="4"/>
        <v>44880</v>
      </c>
      <c r="B22" s="137"/>
      <c r="C22" s="138"/>
      <c r="D22" s="138"/>
      <c r="E22" s="138"/>
      <c r="F22" s="138"/>
      <c r="G22" s="138"/>
      <c r="H22" s="138"/>
      <c r="I22" s="138"/>
      <c r="J22" s="138"/>
      <c r="K22" s="138"/>
      <c r="L22" s="138"/>
      <c r="M22" s="138"/>
      <c r="N22" s="138"/>
      <c r="O22" s="138"/>
      <c r="P22" s="138"/>
      <c r="Q22" s="138"/>
      <c r="R22" s="139"/>
      <c r="S22" s="176"/>
      <c r="T22" s="830"/>
      <c r="U22" s="830"/>
      <c r="V22" s="830"/>
      <c r="W22" s="830"/>
      <c r="X22" s="830"/>
      <c r="Y22" s="255">
        <f t="shared" si="2"/>
        <v>0</v>
      </c>
      <c r="Z22" s="309">
        <f t="shared" si="3"/>
        <v>0</v>
      </c>
      <c r="AA22" s="256">
        <f t="shared" si="0"/>
        <v>0</v>
      </c>
      <c r="AB22" s="309"/>
      <c r="AC22" s="309"/>
      <c r="AD22" s="320">
        <f t="shared" si="1"/>
        <v>0</v>
      </c>
      <c r="AF22" s="11"/>
      <c r="AG22" s="24"/>
      <c r="AH22" s="64">
        <f t="shared" si="5"/>
        <v>43388</v>
      </c>
      <c r="AI22" s="698"/>
      <c r="AJ22" s="699"/>
      <c r="AK22" s="699"/>
      <c r="AL22" s="699"/>
      <c r="AM22" s="699"/>
      <c r="AN22" s="699"/>
      <c r="AO22" s="699"/>
      <c r="AP22" s="699"/>
      <c r="AQ22" s="699"/>
      <c r="AR22" s="699"/>
      <c r="AS22" s="699"/>
      <c r="AT22" s="699"/>
      <c r="AU22" s="699"/>
      <c r="AV22" s="699"/>
      <c r="AW22" s="699"/>
      <c r="AX22" s="700"/>
      <c r="AY22" s="700"/>
      <c r="AZ22" s="701"/>
    </row>
    <row r="23" spans="1:52" ht="29.25" customHeight="1" thickBot="1">
      <c r="A23" s="64">
        <f t="shared" si="4"/>
        <v>44881</v>
      </c>
      <c r="B23" s="137"/>
      <c r="C23" s="138"/>
      <c r="D23" s="138"/>
      <c r="E23" s="138"/>
      <c r="F23" s="138"/>
      <c r="G23" s="138"/>
      <c r="H23" s="138"/>
      <c r="I23" s="138"/>
      <c r="J23" s="138"/>
      <c r="K23" s="138"/>
      <c r="L23" s="138"/>
      <c r="M23" s="138"/>
      <c r="N23" s="138"/>
      <c r="O23" s="138"/>
      <c r="P23" s="138"/>
      <c r="Q23" s="138"/>
      <c r="R23" s="139"/>
      <c r="S23" s="176"/>
      <c r="T23" s="830"/>
      <c r="U23" s="830"/>
      <c r="V23" s="830"/>
      <c r="W23" s="830"/>
      <c r="X23" s="830"/>
      <c r="Y23" s="255">
        <f t="shared" si="2"/>
        <v>0</v>
      </c>
      <c r="Z23" s="309">
        <f t="shared" si="3"/>
        <v>0</v>
      </c>
      <c r="AA23" s="256">
        <f t="shared" si="0"/>
        <v>0</v>
      </c>
      <c r="AB23" s="309"/>
      <c r="AC23" s="309"/>
      <c r="AD23" s="320">
        <f t="shared" si="1"/>
        <v>0</v>
      </c>
      <c r="AF23" s="11"/>
      <c r="AG23" s="24"/>
      <c r="AH23" s="64">
        <f t="shared" si="5"/>
        <v>43389</v>
      </c>
      <c r="AI23" s="698"/>
      <c r="AJ23" s="699"/>
      <c r="AK23" s="699"/>
      <c r="AL23" s="699"/>
      <c r="AM23" s="699"/>
      <c r="AN23" s="699"/>
      <c r="AO23" s="699"/>
      <c r="AP23" s="699"/>
      <c r="AQ23" s="699"/>
      <c r="AR23" s="699"/>
      <c r="AS23" s="699"/>
      <c r="AT23" s="699"/>
      <c r="AU23" s="699"/>
      <c r="AV23" s="699"/>
      <c r="AW23" s="699"/>
      <c r="AX23" s="700"/>
      <c r="AY23" s="700"/>
      <c r="AZ23" s="701"/>
    </row>
    <row r="24" spans="1:52" ht="29.25" customHeight="1" thickBot="1">
      <c r="A24" s="64">
        <f t="shared" si="4"/>
        <v>44882</v>
      </c>
      <c r="B24" s="137"/>
      <c r="C24" s="138"/>
      <c r="D24" s="138"/>
      <c r="E24" s="138"/>
      <c r="F24" s="138"/>
      <c r="G24" s="138"/>
      <c r="H24" s="138"/>
      <c r="I24" s="138"/>
      <c r="J24" s="138"/>
      <c r="K24" s="138"/>
      <c r="L24" s="138"/>
      <c r="M24" s="138"/>
      <c r="N24" s="138"/>
      <c r="O24" s="138"/>
      <c r="P24" s="138"/>
      <c r="Q24" s="138"/>
      <c r="R24" s="139"/>
      <c r="S24" s="176"/>
      <c r="T24" s="830"/>
      <c r="U24" s="830"/>
      <c r="V24" s="830"/>
      <c r="W24" s="830"/>
      <c r="X24" s="830"/>
      <c r="Y24" s="255">
        <f t="shared" si="2"/>
        <v>0</v>
      </c>
      <c r="Z24" s="309">
        <f t="shared" si="3"/>
        <v>0</v>
      </c>
      <c r="AA24" s="256">
        <f t="shared" si="0"/>
        <v>0</v>
      </c>
      <c r="AB24" s="309"/>
      <c r="AC24" s="309"/>
      <c r="AD24" s="320">
        <f t="shared" si="1"/>
        <v>0</v>
      </c>
      <c r="AF24" s="11"/>
      <c r="AG24" s="24"/>
      <c r="AH24" s="64">
        <f t="shared" si="5"/>
        <v>43390</v>
      </c>
      <c r="AI24" s="698"/>
      <c r="AJ24" s="699"/>
      <c r="AK24" s="699"/>
      <c r="AL24" s="699"/>
      <c r="AM24" s="699"/>
      <c r="AN24" s="699"/>
      <c r="AO24" s="699"/>
      <c r="AP24" s="699"/>
      <c r="AQ24" s="699"/>
      <c r="AR24" s="699"/>
      <c r="AS24" s="699"/>
      <c r="AT24" s="699"/>
      <c r="AU24" s="699"/>
      <c r="AV24" s="699"/>
      <c r="AW24" s="699"/>
      <c r="AX24" s="700"/>
      <c r="AY24" s="700"/>
      <c r="AZ24" s="701"/>
    </row>
    <row r="25" spans="1:52" ht="29.25" customHeight="1" thickBot="1">
      <c r="A25" s="64">
        <f t="shared" si="4"/>
        <v>44883</v>
      </c>
      <c r="B25" s="137"/>
      <c r="C25" s="138"/>
      <c r="D25" s="138"/>
      <c r="E25" s="138"/>
      <c r="F25" s="138"/>
      <c r="G25" s="138"/>
      <c r="H25" s="138"/>
      <c r="I25" s="138"/>
      <c r="J25" s="138"/>
      <c r="K25" s="138"/>
      <c r="L25" s="138"/>
      <c r="M25" s="138"/>
      <c r="N25" s="138"/>
      <c r="O25" s="138"/>
      <c r="P25" s="138"/>
      <c r="Q25" s="138"/>
      <c r="R25" s="139"/>
      <c r="S25" s="176"/>
      <c r="T25" s="830"/>
      <c r="U25" s="830"/>
      <c r="V25" s="830"/>
      <c r="W25" s="830"/>
      <c r="X25" s="830"/>
      <c r="Y25" s="255">
        <f t="shared" si="2"/>
        <v>0</v>
      </c>
      <c r="Z25" s="309">
        <f t="shared" si="3"/>
        <v>0</v>
      </c>
      <c r="AA25" s="256">
        <f t="shared" si="0"/>
        <v>0</v>
      </c>
      <c r="AB25" s="309"/>
      <c r="AC25" s="309"/>
      <c r="AD25" s="320">
        <f t="shared" si="1"/>
        <v>0</v>
      </c>
      <c r="AF25" s="11"/>
      <c r="AG25" s="24"/>
      <c r="AH25" s="64">
        <f t="shared" si="5"/>
        <v>43391</v>
      </c>
      <c r="AI25" s="698"/>
      <c r="AJ25" s="699"/>
      <c r="AK25" s="699"/>
      <c r="AL25" s="699"/>
      <c r="AM25" s="699"/>
      <c r="AN25" s="699"/>
      <c r="AO25" s="699"/>
      <c r="AP25" s="699"/>
      <c r="AQ25" s="699"/>
      <c r="AR25" s="699"/>
      <c r="AS25" s="699"/>
      <c r="AT25" s="699"/>
      <c r="AU25" s="699"/>
      <c r="AV25" s="699"/>
      <c r="AW25" s="699"/>
      <c r="AX25" s="700"/>
      <c r="AY25" s="700"/>
      <c r="AZ25" s="701"/>
    </row>
    <row r="26" spans="1:52" ht="29.25" customHeight="1" thickBot="1">
      <c r="A26" s="64">
        <f t="shared" si="4"/>
        <v>44884</v>
      </c>
      <c r="B26" s="137"/>
      <c r="C26" s="138"/>
      <c r="D26" s="138"/>
      <c r="E26" s="138"/>
      <c r="F26" s="138"/>
      <c r="G26" s="138"/>
      <c r="H26" s="138"/>
      <c r="I26" s="138"/>
      <c r="J26" s="138"/>
      <c r="K26" s="138"/>
      <c r="L26" s="138"/>
      <c r="M26" s="138"/>
      <c r="N26" s="138"/>
      <c r="O26" s="138"/>
      <c r="P26" s="138"/>
      <c r="Q26" s="138"/>
      <c r="R26" s="139"/>
      <c r="S26" s="176"/>
      <c r="T26" s="830"/>
      <c r="U26" s="830"/>
      <c r="V26" s="830"/>
      <c r="W26" s="830"/>
      <c r="X26" s="830"/>
      <c r="Y26" s="255">
        <f t="shared" si="2"/>
        <v>0</v>
      </c>
      <c r="Z26" s="309">
        <f t="shared" si="3"/>
        <v>0</v>
      </c>
      <c r="AA26" s="256">
        <f t="shared" si="0"/>
        <v>0</v>
      </c>
      <c r="AB26" s="309"/>
      <c r="AC26" s="309"/>
      <c r="AD26" s="320">
        <f t="shared" si="1"/>
        <v>0</v>
      </c>
      <c r="AF26" s="11"/>
      <c r="AG26" s="24"/>
      <c r="AH26" s="64">
        <f t="shared" si="5"/>
        <v>43392</v>
      </c>
      <c r="AI26" s="698"/>
      <c r="AJ26" s="699"/>
      <c r="AK26" s="699"/>
      <c r="AL26" s="699"/>
      <c r="AM26" s="699"/>
      <c r="AN26" s="699"/>
      <c r="AO26" s="699"/>
      <c r="AP26" s="699"/>
      <c r="AQ26" s="699"/>
      <c r="AR26" s="699"/>
      <c r="AS26" s="699"/>
      <c r="AT26" s="699"/>
      <c r="AU26" s="699"/>
      <c r="AV26" s="699"/>
      <c r="AW26" s="699"/>
      <c r="AX26" s="700"/>
      <c r="AY26" s="700"/>
      <c r="AZ26" s="701"/>
    </row>
    <row r="27" spans="1:52" ht="29.25" customHeight="1" thickBot="1">
      <c r="A27" s="64">
        <f t="shared" si="4"/>
        <v>44885</v>
      </c>
      <c r="B27" s="137"/>
      <c r="C27" s="138"/>
      <c r="D27" s="138"/>
      <c r="E27" s="138"/>
      <c r="F27" s="138"/>
      <c r="G27" s="138"/>
      <c r="H27" s="138"/>
      <c r="I27" s="138"/>
      <c r="J27" s="138"/>
      <c r="K27" s="138"/>
      <c r="L27" s="138"/>
      <c r="M27" s="138"/>
      <c r="N27" s="138"/>
      <c r="O27" s="138"/>
      <c r="P27" s="138"/>
      <c r="Q27" s="138"/>
      <c r="R27" s="139"/>
      <c r="S27" s="176"/>
      <c r="T27" s="830"/>
      <c r="U27" s="830"/>
      <c r="V27" s="830"/>
      <c r="W27" s="830"/>
      <c r="X27" s="830"/>
      <c r="Y27" s="255">
        <f t="shared" si="2"/>
        <v>0</v>
      </c>
      <c r="Z27" s="309">
        <f t="shared" si="3"/>
        <v>0</v>
      </c>
      <c r="AA27" s="256">
        <f t="shared" si="0"/>
        <v>0</v>
      </c>
      <c r="AB27" s="309"/>
      <c r="AC27" s="309"/>
      <c r="AD27" s="320">
        <f t="shared" si="1"/>
        <v>0</v>
      </c>
      <c r="AF27" s="11"/>
      <c r="AG27" s="24"/>
      <c r="AH27" s="64">
        <f t="shared" si="5"/>
        <v>43393</v>
      </c>
      <c r="AI27" s="698"/>
      <c r="AJ27" s="699"/>
      <c r="AK27" s="699"/>
      <c r="AL27" s="699"/>
      <c r="AM27" s="699"/>
      <c r="AN27" s="699"/>
      <c r="AO27" s="699"/>
      <c r="AP27" s="699"/>
      <c r="AQ27" s="699"/>
      <c r="AR27" s="699"/>
      <c r="AS27" s="699"/>
      <c r="AT27" s="699"/>
      <c r="AU27" s="699"/>
      <c r="AV27" s="699"/>
      <c r="AW27" s="699"/>
      <c r="AX27" s="700"/>
      <c r="AY27" s="700"/>
      <c r="AZ27" s="701"/>
    </row>
    <row r="28" spans="1:52" ht="29.25" customHeight="1" thickBot="1">
      <c r="A28" s="64">
        <f t="shared" si="4"/>
        <v>44886</v>
      </c>
      <c r="B28" s="137"/>
      <c r="C28" s="138"/>
      <c r="D28" s="138"/>
      <c r="E28" s="138"/>
      <c r="F28" s="138"/>
      <c r="G28" s="138"/>
      <c r="H28" s="138"/>
      <c r="I28" s="138"/>
      <c r="J28" s="138"/>
      <c r="K28" s="138"/>
      <c r="L28" s="138"/>
      <c r="M28" s="138"/>
      <c r="N28" s="138"/>
      <c r="O28" s="138"/>
      <c r="P28" s="138"/>
      <c r="Q28" s="138"/>
      <c r="R28" s="139"/>
      <c r="S28" s="176"/>
      <c r="T28" s="830"/>
      <c r="U28" s="830"/>
      <c r="V28" s="830"/>
      <c r="W28" s="830"/>
      <c r="X28" s="830"/>
      <c r="Y28" s="255">
        <f t="shared" si="2"/>
        <v>0</v>
      </c>
      <c r="Z28" s="309">
        <f t="shared" si="3"/>
        <v>0</v>
      </c>
      <c r="AA28" s="256">
        <f t="shared" si="0"/>
        <v>0</v>
      </c>
      <c r="AB28" s="309"/>
      <c r="AC28" s="309"/>
      <c r="AD28" s="320">
        <f t="shared" si="1"/>
        <v>0</v>
      </c>
      <c r="AF28" s="11"/>
      <c r="AG28" s="24"/>
      <c r="AH28" s="64">
        <f t="shared" si="5"/>
        <v>43394</v>
      </c>
      <c r="AI28" s="698"/>
      <c r="AJ28" s="699"/>
      <c r="AK28" s="699" t="s">
        <v>1</v>
      </c>
      <c r="AL28" s="699"/>
      <c r="AM28" s="699"/>
      <c r="AN28" s="699"/>
      <c r="AO28" s="699"/>
      <c r="AP28" s="699"/>
      <c r="AQ28" s="699"/>
      <c r="AR28" s="699"/>
      <c r="AS28" s="699"/>
      <c r="AT28" s="699"/>
      <c r="AU28" s="699"/>
      <c r="AV28" s="699"/>
      <c r="AW28" s="699"/>
      <c r="AX28" s="700"/>
      <c r="AY28" s="700"/>
      <c r="AZ28" s="701"/>
    </row>
    <row r="29" spans="1:52" ht="29.25" customHeight="1" thickBot="1">
      <c r="A29" s="64">
        <f t="shared" si="4"/>
        <v>44887</v>
      </c>
      <c r="B29" s="137"/>
      <c r="C29" s="138"/>
      <c r="D29" s="138"/>
      <c r="E29" s="138"/>
      <c r="F29" s="138"/>
      <c r="G29" s="138"/>
      <c r="H29" s="138"/>
      <c r="I29" s="138"/>
      <c r="J29" s="138"/>
      <c r="K29" s="138"/>
      <c r="L29" s="138"/>
      <c r="M29" s="138"/>
      <c r="N29" s="138"/>
      <c r="O29" s="138"/>
      <c r="P29" s="138"/>
      <c r="Q29" s="138"/>
      <c r="R29" s="139"/>
      <c r="S29" s="176"/>
      <c r="T29" s="830"/>
      <c r="U29" s="830"/>
      <c r="V29" s="830"/>
      <c r="W29" s="830"/>
      <c r="X29" s="830"/>
      <c r="Y29" s="255">
        <f t="shared" si="2"/>
        <v>0</v>
      </c>
      <c r="Z29" s="309">
        <f t="shared" si="3"/>
        <v>0</v>
      </c>
      <c r="AA29" s="256">
        <f t="shared" si="0"/>
        <v>0</v>
      </c>
      <c r="AB29" s="309"/>
      <c r="AC29" s="309"/>
      <c r="AD29" s="320">
        <f t="shared" si="1"/>
        <v>0</v>
      </c>
      <c r="AF29" s="11"/>
      <c r="AG29" s="24"/>
      <c r="AH29" s="64">
        <f t="shared" si="5"/>
        <v>43395</v>
      </c>
      <c r="AI29" s="698"/>
      <c r="AJ29" s="699"/>
      <c r="AK29" s="699"/>
      <c r="AL29" s="699"/>
      <c r="AM29" s="699"/>
      <c r="AN29" s="699"/>
      <c r="AO29" s="699"/>
      <c r="AP29" s="699"/>
      <c r="AQ29" s="699"/>
      <c r="AR29" s="699"/>
      <c r="AS29" s="699"/>
      <c r="AT29" s="699"/>
      <c r="AU29" s="699"/>
      <c r="AV29" s="699"/>
      <c r="AW29" s="699"/>
      <c r="AX29" s="700"/>
      <c r="AY29" s="700"/>
      <c r="AZ29" s="701"/>
    </row>
    <row r="30" spans="1:52" ht="29.25" customHeight="1" thickBot="1">
      <c r="A30" s="64">
        <f t="shared" si="4"/>
        <v>44888</v>
      </c>
      <c r="B30" s="137"/>
      <c r="C30" s="138"/>
      <c r="D30" s="138"/>
      <c r="E30" s="138"/>
      <c r="F30" s="138"/>
      <c r="G30" s="138"/>
      <c r="H30" s="138"/>
      <c r="I30" s="138"/>
      <c r="J30" s="138"/>
      <c r="K30" s="138"/>
      <c r="L30" s="138"/>
      <c r="M30" s="138"/>
      <c r="N30" s="138"/>
      <c r="O30" s="138"/>
      <c r="P30" s="138"/>
      <c r="Q30" s="138"/>
      <c r="R30" s="139"/>
      <c r="S30" s="176"/>
      <c r="T30" s="830"/>
      <c r="U30" s="830"/>
      <c r="V30" s="830"/>
      <c r="W30" s="830"/>
      <c r="X30" s="830"/>
      <c r="Y30" s="255">
        <f t="shared" si="2"/>
        <v>0</v>
      </c>
      <c r="Z30" s="309">
        <f t="shared" si="3"/>
        <v>0</v>
      </c>
      <c r="AA30" s="256">
        <f t="shared" si="0"/>
        <v>0</v>
      </c>
      <c r="AB30" s="309"/>
      <c r="AC30" s="309"/>
      <c r="AD30" s="320">
        <f t="shared" si="1"/>
        <v>0</v>
      </c>
      <c r="AF30" s="11"/>
      <c r="AG30" s="24"/>
      <c r="AH30" s="64">
        <f t="shared" si="5"/>
        <v>43396</v>
      </c>
      <c r="AI30" s="698"/>
      <c r="AJ30" s="699"/>
      <c r="AK30" s="699"/>
      <c r="AL30" s="699"/>
      <c r="AM30" s="699"/>
      <c r="AN30" s="699"/>
      <c r="AO30" s="699"/>
      <c r="AP30" s="699"/>
      <c r="AQ30" s="699"/>
      <c r="AR30" s="699"/>
      <c r="AS30" s="699"/>
      <c r="AT30" s="699"/>
      <c r="AU30" s="699"/>
      <c r="AV30" s="699"/>
      <c r="AW30" s="699"/>
      <c r="AX30" s="700"/>
      <c r="AY30" s="700"/>
      <c r="AZ30" s="701"/>
    </row>
    <row r="31" spans="1:52" ht="29.25" customHeight="1" thickBot="1">
      <c r="A31" s="64">
        <f t="shared" si="4"/>
        <v>44889</v>
      </c>
      <c r="B31" s="137"/>
      <c r="C31" s="138"/>
      <c r="D31" s="138"/>
      <c r="E31" s="138"/>
      <c r="F31" s="138"/>
      <c r="G31" s="138"/>
      <c r="H31" s="138"/>
      <c r="I31" s="138"/>
      <c r="J31" s="138"/>
      <c r="K31" s="138"/>
      <c r="L31" s="138"/>
      <c r="M31" s="138"/>
      <c r="N31" s="138"/>
      <c r="O31" s="138"/>
      <c r="P31" s="138"/>
      <c r="Q31" s="138"/>
      <c r="R31" s="139"/>
      <c r="S31" s="176"/>
      <c r="T31" s="830"/>
      <c r="U31" s="830"/>
      <c r="V31" s="830"/>
      <c r="W31" s="830"/>
      <c r="X31" s="830"/>
      <c r="Y31" s="255">
        <f t="shared" si="2"/>
        <v>0</v>
      </c>
      <c r="Z31" s="309">
        <f t="shared" si="3"/>
        <v>0</v>
      </c>
      <c r="AA31" s="256">
        <f t="shared" si="0"/>
        <v>0</v>
      </c>
      <c r="AB31" s="309"/>
      <c r="AC31" s="309"/>
      <c r="AD31" s="320">
        <f t="shared" si="1"/>
        <v>0</v>
      </c>
      <c r="AF31" s="11"/>
      <c r="AG31" s="24"/>
      <c r="AH31" s="64">
        <f t="shared" si="5"/>
        <v>43397</v>
      </c>
      <c r="AI31" s="698"/>
      <c r="AJ31" s="699"/>
      <c r="AK31" s="699"/>
      <c r="AL31" s="699"/>
      <c r="AM31" s="699"/>
      <c r="AN31" s="699"/>
      <c r="AO31" s="699"/>
      <c r="AP31" s="699"/>
      <c r="AQ31" s="699"/>
      <c r="AR31" s="699"/>
      <c r="AS31" s="699"/>
      <c r="AT31" s="699"/>
      <c r="AU31" s="699"/>
      <c r="AV31" s="699"/>
      <c r="AW31" s="699"/>
      <c r="AX31" s="700"/>
      <c r="AY31" s="700"/>
      <c r="AZ31" s="701"/>
    </row>
    <row r="32" spans="1:52" ht="29.25" customHeight="1" thickBot="1">
      <c r="A32" s="64">
        <f t="shared" si="4"/>
        <v>44890</v>
      </c>
      <c r="B32" s="137"/>
      <c r="C32" s="138"/>
      <c r="D32" s="138"/>
      <c r="E32" s="138"/>
      <c r="F32" s="138"/>
      <c r="G32" s="138"/>
      <c r="H32" s="138"/>
      <c r="I32" s="138"/>
      <c r="J32" s="138"/>
      <c r="K32" s="138"/>
      <c r="L32" s="138"/>
      <c r="M32" s="138"/>
      <c r="N32" s="138"/>
      <c r="O32" s="138"/>
      <c r="P32" s="138"/>
      <c r="Q32" s="138"/>
      <c r="R32" s="139"/>
      <c r="S32" s="176"/>
      <c r="T32" s="830"/>
      <c r="U32" s="830"/>
      <c r="V32" s="830"/>
      <c r="W32" s="830"/>
      <c r="X32" s="830"/>
      <c r="Y32" s="255">
        <f t="shared" si="2"/>
        <v>0</v>
      </c>
      <c r="Z32" s="309">
        <f t="shared" si="3"/>
        <v>0</v>
      </c>
      <c r="AA32" s="256">
        <f t="shared" si="0"/>
        <v>0</v>
      </c>
      <c r="AB32" s="309"/>
      <c r="AC32" s="309"/>
      <c r="AD32" s="320">
        <f t="shared" si="1"/>
        <v>0</v>
      </c>
      <c r="AF32" s="11"/>
      <c r="AG32" s="24"/>
      <c r="AH32" s="64">
        <f t="shared" si="5"/>
        <v>43398</v>
      </c>
      <c r="AI32" s="698"/>
      <c r="AJ32" s="699"/>
      <c r="AK32" s="699"/>
      <c r="AL32" s="699"/>
      <c r="AM32" s="699"/>
      <c r="AN32" s="699"/>
      <c r="AO32" s="699"/>
      <c r="AP32" s="699"/>
      <c r="AQ32" s="699"/>
      <c r="AR32" s="699"/>
      <c r="AS32" s="699"/>
      <c r="AT32" s="699"/>
      <c r="AU32" s="699"/>
      <c r="AV32" s="699"/>
      <c r="AW32" s="699"/>
      <c r="AX32" s="700"/>
      <c r="AY32" s="700"/>
      <c r="AZ32" s="701"/>
    </row>
    <row r="33" spans="1:52" ht="29.25" customHeight="1" thickBot="1">
      <c r="A33" s="64">
        <f t="shared" si="4"/>
        <v>44891</v>
      </c>
      <c r="B33" s="137"/>
      <c r="C33" s="138"/>
      <c r="D33" s="138"/>
      <c r="E33" s="138"/>
      <c r="F33" s="138"/>
      <c r="G33" s="138"/>
      <c r="H33" s="138"/>
      <c r="I33" s="138"/>
      <c r="J33" s="138"/>
      <c r="K33" s="138"/>
      <c r="L33" s="138"/>
      <c r="M33" s="138"/>
      <c r="N33" s="138"/>
      <c r="O33" s="138"/>
      <c r="P33" s="138"/>
      <c r="Q33" s="138"/>
      <c r="R33" s="139"/>
      <c r="S33" s="176"/>
      <c r="T33" s="830"/>
      <c r="U33" s="830"/>
      <c r="V33" s="830"/>
      <c r="W33" s="830"/>
      <c r="X33" s="830"/>
      <c r="Y33" s="255">
        <f t="shared" si="2"/>
        <v>0</v>
      </c>
      <c r="Z33" s="309">
        <f t="shared" si="3"/>
        <v>0</v>
      </c>
      <c r="AA33" s="256">
        <f t="shared" si="0"/>
        <v>0</v>
      </c>
      <c r="AB33" s="309"/>
      <c r="AC33" s="309"/>
      <c r="AD33" s="320">
        <f t="shared" si="1"/>
        <v>0</v>
      </c>
      <c r="AF33" s="11"/>
      <c r="AG33" s="24"/>
      <c r="AH33" s="64">
        <f t="shared" si="5"/>
        <v>43399</v>
      </c>
      <c r="AI33" s="698"/>
      <c r="AJ33" s="699"/>
      <c r="AK33" s="699"/>
      <c r="AL33" s="699"/>
      <c r="AM33" s="699"/>
      <c r="AN33" s="699"/>
      <c r="AO33" s="699"/>
      <c r="AP33" s="699"/>
      <c r="AQ33" s="699"/>
      <c r="AR33" s="699"/>
      <c r="AS33" s="699"/>
      <c r="AT33" s="699"/>
      <c r="AU33" s="699"/>
      <c r="AV33" s="699"/>
      <c r="AW33" s="699"/>
      <c r="AX33" s="700"/>
      <c r="AY33" s="700"/>
      <c r="AZ33" s="701"/>
    </row>
    <row r="34" spans="1:52" ht="29.25" customHeight="1" thickBot="1">
      <c r="A34" s="64">
        <f t="shared" si="4"/>
        <v>44892</v>
      </c>
      <c r="B34" s="137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9"/>
      <c r="S34" s="176"/>
      <c r="T34" s="830"/>
      <c r="U34" s="830"/>
      <c r="V34" s="830"/>
      <c r="W34" s="830"/>
      <c r="X34" s="830"/>
      <c r="Y34" s="255">
        <f t="shared" si="2"/>
        <v>0</v>
      </c>
      <c r="Z34" s="309">
        <f t="shared" si="3"/>
        <v>0</v>
      </c>
      <c r="AA34" s="256">
        <f t="shared" si="0"/>
        <v>0</v>
      </c>
      <c r="AB34" s="309"/>
      <c r="AC34" s="309"/>
      <c r="AD34" s="320">
        <f t="shared" si="1"/>
        <v>0</v>
      </c>
      <c r="AF34" s="11"/>
      <c r="AG34" s="24"/>
      <c r="AH34" s="64">
        <f t="shared" si="5"/>
        <v>43400</v>
      </c>
      <c r="AI34" s="698"/>
      <c r="AJ34" s="699"/>
      <c r="AK34" s="699"/>
      <c r="AL34" s="699"/>
      <c r="AM34" s="699"/>
      <c r="AN34" s="699"/>
      <c r="AO34" s="699"/>
      <c r="AP34" s="699"/>
      <c r="AQ34" s="699"/>
      <c r="AR34" s="699"/>
      <c r="AS34" s="699"/>
      <c r="AT34" s="699"/>
      <c r="AU34" s="699"/>
      <c r="AV34" s="699"/>
      <c r="AW34" s="699"/>
      <c r="AX34" s="700"/>
      <c r="AY34" s="700"/>
      <c r="AZ34" s="701"/>
    </row>
    <row r="35" spans="1:52" ht="29.25" customHeight="1" thickBot="1">
      <c r="A35" s="64">
        <f t="shared" si="4"/>
        <v>44893</v>
      </c>
      <c r="B35" s="137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9"/>
      <c r="S35" s="176"/>
      <c r="T35" s="830"/>
      <c r="U35" s="830"/>
      <c r="V35" s="830"/>
      <c r="W35" s="830"/>
      <c r="X35" s="830"/>
      <c r="Y35" s="255">
        <f t="shared" si="2"/>
        <v>0</v>
      </c>
      <c r="Z35" s="309">
        <f t="shared" si="3"/>
        <v>0</v>
      </c>
      <c r="AA35" s="256">
        <f t="shared" si="0"/>
        <v>0</v>
      </c>
      <c r="AB35" s="309"/>
      <c r="AC35" s="309"/>
      <c r="AD35" s="320">
        <f t="shared" si="1"/>
        <v>0</v>
      </c>
      <c r="AE35" t="s">
        <v>1</v>
      </c>
      <c r="AF35" s="11"/>
      <c r="AG35" s="24"/>
      <c r="AH35" s="64">
        <f t="shared" si="5"/>
        <v>43401</v>
      </c>
      <c r="AI35" s="698"/>
      <c r="AJ35" s="699"/>
      <c r="AK35" s="699"/>
      <c r="AL35" s="699"/>
      <c r="AM35" s="699"/>
      <c r="AN35" s="699"/>
      <c r="AO35" s="699"/>
      <c r="AP35" s="699"/>
      <c r="AQ35" s="699"/>
      <c r="AR35" s="699"/>
      <c r="AS35" s="699"/>
      <c r="AT35" s="699"/>
      <c r="AU35" s="699"/>
      <c r="AV35" s="699"/>
      <c r="AW35" s="699"/>
      <c r="AX35" s="700"/>
      <c r="AY35" s="700"/>
      <c r="AZ35" s="701"/>
    </row>
    <row r="36" spans="1:52" ht="29.25" customHeight="1" thickBot="1">
      <c r="A36" s="64">
        <f>A35+1</f>
        <v>44894</v>
      </c>
      <c r="B36" s="137"/>
      <c r="C36" s="138"/>
      <c r="D36" s="138"/>
      <c r="E36" s="138"/>
      <c r="F36" s="138"/>
      <c r="G36" s="138"/>
      <c r="H36" s="138"/>
      <c r="I36" s="138"/>
      <c r="J36" s="138"/>
      <c r="K36" s="138"/>
      <c r="L36" s="138"/>
      <c r="M36" s="138"/>
      <c r="N36" s="138"/>
      <c r="O36" s="138"/>
      <c r="P36" s="138"/>
      <c r="Q36" s="138"/>
      <c r="R36" s="139"/>
      <c r="S36" s="176"/>
      <c r="T36" s="830"/>
      <c r="U36" s="830"/>
      <c r="V36" s="830"/>
      <c r="W36" s="830"/>
      <c r="X36" s="830"/>
      <c r="Y36" s="255">
        <f t="shared" si="2"/>
        <v>0</v>
      </c>
      <c r="Z36" s="309">
        <f t="shared" si="3"/>
        <v>0</v>
      </c>
      <c r="AA36" s="256">
        <f t="shared" si="0"/>
        <v>0</v>
      </c>
      <c r="AB36" s="309"/>
      <c r="AC36" s="309"/>
      <c r="AD36" s="320">
        <f t="shared" si="1"/>
        <v>0</v>
      </c>
      <c r="AF36" s="11"/>
      <c r="AG36" s="24"/>
      <c r="AH36" s="64">
        <f>AH35+1</f>
        <v>43402</v>
      </c>
      <c r="AI36" s="698"/>
      <c r="AJ36" s="699"/>
      <c r="AK36" s="699"/>
      <c r="AL36" s="699"/>
      <c r="AM36" s="699"/>
      <c r="AN36" s="699"/>
      <c r="AO36" s="699"/>
      <c r="AP36" s="699"/>
      <c r="AQ36" s="699"/>
      <c r="AR36" s="699"/>
      <c r="AS36" s="699"/>
      <c r="AT36" s="699"/>
      <c r="AU36" s="699"/>
      <c r="AV36" s="699"/>
      <c r="AW36" s="699"/>
      <c r="AX36" s="700"/>
      <c r="AY36" s="700"/>
      <c r="AZ36" s="701"/>
    </row>
    <row r="37" spans="1:52" ht="29.25" customHeight="1" thickBot="1">
      <c r="A37" s="64">
        <f t="shared" si="4"/>
        <v>44895</v>
      </c>
      <c r="B37" s="137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9"/>
      <c r="S37" s="176"/>
      <c r="T37" s="830"/>
      <c r="U37" s="830"/>
      <c r="V37" s="830"/>
      <c r="W37" s="830"/>
      <c r="X37" s="830"/>
      <c r="Y37" s="255">
        <f t="shared" si="2"/>
        <v>0</v>
      </c>
      <c r="Z37" s="309">
        <f t="shared" si="3"/>
        <v>0</v>
      </c>
      <c r="AA37" s="256">
        <f t="shared" si="0"/>
        <v>0</v>
      </c>
      <c r="AB37" s="309"/>
      <c r="AC37" s="309"/>
      <c r="AD37" s="320">
        <f t="shared" si="1"/>
        <v>0</v>
      </c>
      <c r="AF37" s="11"/>
      <c r="AG37" s="24"/>
      <c r="AH37" s="64">
        <f t="shared" si="5"/>
        <v>43403</v>
      </c>
      <c r="AI37" s="698"/>
      <c r="AJ37" s="699"/>
      <c r="AK37" s="699"/>
      <c r="AL37" s="699"/>
      <c r="AM37" s="699"/>
      <c r="AN37" s="699"/>
      <c r="AO37" s="699"/>
      <c r="AP37" s="699"/>
      <c r="AQ37" s="699"/>
      <c r="AR37" s="699"/>
      <c r="AS37" s="699"/>
      <c r="AT37" s="699"/>
      <c r="AU37" s="699"/>
      <c r="AV37" s="699"/>
      <c r="AW37" s="699"/>
      <c r="AX37" s="700"/>
      <c r="AY37" s="700"/>
      <c r="AZ37" s="701"/>
    </row>
    <row r="38" spans="1:52" ht="29.25" customHeight="1" thickBot="1">
      <c r="A38" s="65">
        <f t="shared" si="4"/>
        <v>44896</v>
      </c>
      <c r="B38" s="140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9"/>
      <c r="S38" s="177"/>
      <c r="T38" s="831"/>
      <c r="U38" s="831"/>
      <c r="V38" s="831"/>
      <c r="W38" s="831"/>
      <c r="X38" s="831"/>
      <c r="Y38" s="255">
        <f t="shared" si="2"/>
        <v>0</v>
      </c>
      <c r="Z38" s="310">
        <f t="shared" si="3"/>
        <v>0</v>
      </c>
      <c r="AA38" s="257">
        <f t="shared" si="0"/>
        <v>0</v>
      </c>
      <c r="AB38" s="310"/>
      <c r="AC38" s="311">
        <f>Y49</f>
        <v>0</v>
      </c>
      <c r="AD38" s="321">
        <f t="shared" si="1"/>
        <v>0</v>
      </c>
      <c r="AF38" s="11"/>
      <c r="AG38" s="24"/>
      <c r="AH38" s="65">
        <f t="shared" si="5"/>
        <v>43404</v>
      </c>
      <c r="AI38" s="702"/>
      <c r="AJ38" s="703"/>
      <c r="AK38" s="703"/>
      <c r="AL38" s="703"/>
      <c r="AM38" s="703"/>
      <c r="AN38" s="703"/>
      <c r="AO38" s="703"/>
      <c r="AP38" s="703"/>
      <c r="AQ38" s="703"/>
      <c r="AR38" s="703"/>
      <c r="AS38" s="703"/>
      <c r="AT38" s="703"/>
      <c r="AU38" s="703"/>
      <c r="AV38" s="703"/>
      <c r="AW38" s="703"/>
      <c r="AX38" s="704"/>
      <c r="AY38" s="704"/>
      <c r="AZ38" s="705"/>
    </row>
    <row r="39" spans="1:52" ht="50.1" customHeight="1" thickTop="1" thickBot="1">
      <c r="A39" s="89" t="s">
        <v>101</v>
      </c>
      <c r="B39" s="90">
        <f>SUM(B8:B38)</f>
        <v>0</v>
      </c>
      <c r="C39" s="90">
        <f>SUM(C8:C38)</f>
        <v>0</v>
      </c>
      <c r="D39" s="90">
        <f t="shared" ref="D39:Y39" si="6">SUM(D8:D38)</f>
        <v>0</v>
      </c>
      <c r="E39" s="90">
        <f t="shared" si="6"/>
        <v>0</v>
      </c>
      <c r="F39" s="90">
        <f t="shared" si="6"/>
        <v>0</v>
      </c>
      <c r="G39" s="90">
        <f t="shared" si="6"/>
        <v>0</v>
      </c>
      <c r="H39" s="90">
        <f t="shared" si="6"/>
        <v>0</v>
      </c>
      <c r="I39" s="90">
        <f t="shared" si="6"/>
        <v>0</v>
      </c>
      <c r="J39" s="90">
        <f t="shared" si="6"/>
        <v>0</v>
      </c>
      <c r="K39" s="90">
        <f t="shared" si="6"/>
        <v>0</v>
      </c>
      <c r="L39" s="90">
        <f t="shared" si="6"/>
        <v>0</v>
      </c>
      <c r="M39" s="90">
        <f t="shared" si="6"/>
        <v>0</v>
      </c>
      <c r="N39" s="90">
        <f t="shared" si="6"/>
        <v>0</v>
      </c>
      <c r="O39" s="90">
        <f t="shared" si="6"/>
        <v>0</v>
      </c>
      <c r="P39" s="90">
        <f t="shared" si="6"/>
        <v>0</v>
      </c>
      <c r="Q39" s="90">
        <f t="shared" si="6"/>
        <v>0</v>
      </c>
      <c r="R39" s="90">
        <f t="shared" si="6"/>
        <v>0</v>
      </c>
      <c r="S39" s="94">
        <f t="shared" si="6"/>
        <v>0</v>
      </c>
      <c r="T39" s="90">
        <f t="shared" si="6"/>
        <v>0</v>
      </c>
      <c r="U39" s="90">
        <f t="shared" si="6"/>
        <v>0</v>
      </c>
      <c r="V39" s="90">
        <f t="shared" si="6"/>
        <v>0</v>
      </c>
      <c r="W39" s="90"/>
      <c r="X39" s="90">
        <f t="shared" si="6"/>
        <v>0</v>
      </c>
      <c r="Y39" s="262">
        <f t="shared" si="6"/>
        <v>0</v>
      </c>
      <c r="Z39" s="283"/>
      <c r="AA39" s="283"/>
      <c r="AB39" s="312">
        <f>SUM(AB8:AB38)</f>
        <v>0</v>
      </c>
      <c r="AC39" s="283"/>
      <c r="AD39" s="304"/>
      <c r="AF39" s="16"/>
      <c r="AG39" s="16"/>
      <c r="AH39" s="706" t="s">
        <v>74</v>
      </c>
      <c r="AI39" s="707">
        <f>SUM(AI8:AI38)</f>
        <v>0</v>
      </c>
      <c r="AJ39" s="707">
        <f>SUM(AJ8:AJ38)</f>
        <v>0</v>
      </c>
      <c r="AK39" s="707">
        <f t="shared" ref="AK39:AZ39" si="7">SUM(AK8:AK38)</f>
        <v>0</v>
      </c>
      <c r="AL39" s="707">
        <f t="shared" si="7"/>
        <v>0</v>
      </c>
      <c r="AM39" s="707">
        <f t="shared" si="7"/>
        <v>0</v>
      </c>
      <c r="AN39" s="707">
        <f t="shared" si="7"/>
        <v>0</v>
      </c>
      <c r="AO39" s="707">
        <f t="shared" si="7"/>
        <v>0</v>
      </c>
      <c r="AP39" s="707">
        <f t="shared" si="7"/>
        <v>0</v>
      </c>
      <c r="AQ39" s="707">
        <f t="shared" si="7"/>
        <v>0</v>
      </c>
      <c r="AR39" s="707">
        <f t="shared" si="7"/>
        <v>0</v>
      </c>
      <c r="AS39" s="707">
        <f t="shared" si="7"/>
        <v>0</v>
      </c>
      <c r="AT39" s="707">
        <f t="shared" si="7"/>
        <v>0</v>
      </c>
      <c r="AU39" s="707">
        <f t="shared" si="7"/>
        <v>0</v>
      </c>
      <c r="AV39" s="707">
        <f t="shared" si="7"/>
        <v>0</v>
      </c>
      <c r="AW39" s="707">
        <f t="shared" si="7"/>
        <v>0</v>
      </c>
      <c r="AX39" s="707">
        <f t="shared" si="7"/>
        <v>1</v>
      </c>
      <c r="AY39" s="707">
        <f t="shared" si="7"/>
        <v>0</v>
      </c>
      <c r="AZ39" s="707">
        <f t="shared" si="7"/>
        <v>0</v>
      </c>
    </row>
    <row r="40" spans="1:52" ht="50.1" customHeight="1" thickTop="1" thickBot="1">
      <c r="A40" s="148" t="s">
        <v>102</v>
      </c>
      <c r="B40" s="471"/>
      <c r="C40" s="471"/>
      <c r="D40" s="471"/>
      <c r="E40" s="471"/>
      <c r="F40" s="471"/>
      <c r="G40" s="471"/>
      <c r="H40" s="471"/>
      <c r="I40" s="471"/>
      <c r="J40" s="471"/>
      <c r="K40" s="471"/>
      <c r="L40" s="471"/>
      <c r="M40" s="471"/>
      <c r="N40" s="471"/>
      <c r="O40" s="471"/>
      <c r="P40" s="471"/>
      <c r="Q40" s="471"/>
      <c r="R40" s="471"/>
      <c r="S40" s="472"/>
      <c r="T40" s="472"/>
      <c r="U40" s="472"/>
      <c r="V40" s="472"/>
      <c r="W40" s="472"/>
      <c r="X40" s="472"/>
      <c r="Y40" s="203"/>
      <c r="Z40" s="269"/>
      <c r="AA40" s="269" t="s">
        <v>1</v>
      </c>
      <c r="AB40" s="269"/>
      <c r="AC40" s="269"/>
      <c r="AD40" s="269"/>
      <c r="AE40" s="2"/>
      <c r="AF40" s="2"/>
      <c r="AG40" s="2"/>
      <c r="AH40" s="706" t="s">
        <v>45</v>
      </c>
      <c r="AI40" s="707">
        <v>220</v>
      </c>
      <c r="AJ40" s="707">
        <v>220</v>
      </c>
      <c r="AK40" s="707">
        <v>220</v>
      </c>
      <c r="AL40" s="707">
        <v>100</v>
      </c>
      <c r="AM40" s="707">
        <v>100</v>
      </c>
      <c r="AN40" s="707">
        <v>80</v>
      </c>
      <c r="AO40" s="707">
        <v>25</v>
      </c>
      <c r="AP40" s="707">
        <v>25</v>
      </c>
      <c r="AQ40" s="707">
        <v>25</v>
      </c>
      <c r="AR40" s="707">
        <v>400</v>
      </c>
      <c r="AS40" s="707">
        <v>400</v>
      </c>
      <c r="AT40" s="707">
        <v>400</v>
      </c>
      <c r="AU40" s="707">
        <v>30</v>
      </c>
      <c r="AV40" s="707">
        <v>30</v>
      </c>
      <c r="AW40" s="707">
        <v>200</v>
      </c>
      <c r="AX40" s="707">
        <v>200</v>
      </c>
      <c r="AY40" s="707">
        <v>0</v>
      </c>
      <c r="AZ40" s="707">
        <v>72</v>
      </c>
    </row>
    <row r="41" spans="1:52" ht="50.1" customHeight="1" thickTop="1" thickBot="1">
      <c r="A41" s="81"/>
      <c r="B41" s="76">
        <f>B39*B40</f>
        <v>0</v>
      </c>
      <c r="C41" s="76">
        <f t="shared" ref="C41:S41" si="8">C39*C40</f>
        <v>0</v>
      </c>
      <c r="D41" s="76">
        <f t="shared" si="8"/>
        <v>0</v>
      </c>
      <c r="E41" s="76"/>
      <c r="F41" s="76">
        <f t="shared" si="8"/>
        <v>0</v>
      </c>
      <c r="G41" s="76">
        <f t="shared" si="8"/>
        <v>0</v>
      </c>
      <c r="H41" s="76">
        <f t="shared" si="8"/>
        <v>0</v>
      </c>
      <c r="I41" s="76">
        <f t="shared" si="8"/>
        <v>0</v>
      </c>
      <c r="J41" s="76">
        <f t="shared" si="8"/>
        <v>0</v>
      </c>
      <c r="K41" s="76">
        <f t="shared" si="8"/>
        <v>0</v>
      </c>
      <c r="L41" s="76">
        <f t="shared" si="8"/>
        <v>0</v>
      </c>
      <c r="M41" s="76">
        <f t="shared" si="8"/>
        <v>0</v>
      </c>
      <c r="N41" s="76">
        <f t="shared" si="8"/>
        <v>0</v>
      </c>
      <c r="O41" s="76">
        <f t="shared" si="8"/>
        <v>0</v>
      </c>
      <c r="P41" s="76"/>
      <c r="Q41" s="76">
        <f t="shared" si="8"/>
        <v>0</v>
      </c>
      <c r="R41" s="76">
        <f t="shared" si="8"/>
        <v>0</v>
      </c>
      <c r="S41" s="253">
        <f t="shared" si="8"/>
        <v>0</v>
      </c>
      <c r="T41" s="253"/>
      <c r="U41" s="253"/>
      <c r="V41" s="253"/>
      <c r="W41" s="253"/>
      <c r="X41" s="253"/>
      <c r="Y41" s="261">
        <f>SUM(B41:S41)</f>
        <v>0</v>
      </c>
      <c r="Z41" s="269"/>
      <c r="AA41" s="269"/>
      <c r="AB41" s="269" t="s">
        <v>1</v>
      </c>
      <c r="AC41" s="269"/>
      <c r="AD41" s="269"/>
      <c r="AE41" s="2"/>
      <c r="AF41" s="2"/>
      <c r="AG41" s="2"/>
      <c r="AH41" s="706" t="s">
        <v>46</v>
      </c>
      <c r="AI41" s="707">
        <f>AI39*AI40</f>
        <v>0</v>
      </c>
      <c r="AJ41" s="707">
        <f t="shared" ref="AJ41:AZ41" si="9">AJ39*AJ40</f>
        <v>0</v>
      </c>
      <c r="AK41" s="707">
        <f t="shared" si="9"/>
        <v>0</v>
      </c>
      <c r="AL41" s="707">
        <f t="shared" si="9"/>
        <v>0</v>
      </c>
      <c r="AM41" s="707">
        <f t="shared" si="9"/>
        <v>0</v>
      </c>
      <c r="AN41" s="707">
        <f t="shared" si="9"/>
        <v>0</v>
      </c>
      <c r="AO41" s="707">
        <f t="shared" si="9"/>
        <v>0</v>
      </c>
      <c r="AP41" s="707">
        <f t="shared" si="9"/>
        <v>0</v>
      </c>
      <c r="AQ41" s="707">
        <f t="shared" si="9"/>
        <v>0</v>
      </c>
      <c r="AR41" s="707">
        <f t="shared" si="9"/>
        <v>0</v>
      </c>
      <c r="AS41" s="707">
        <f t="shared" si="9"/>
        <v>0</v>
      </c>
      <c r="AT41" s="707">
        <f t="shared" si="9"/>
        <v>0</v>
      </c>
      <c r="AU41" s="707">
        <f t="shared" si="9"/>
        <v>0</v>
      </c>
      <c r="AV41" s="707">
        <f t="shared" si="9"/>
        <v>0</v>
      </c>
      <c r="AW41" s="707">
        <f t="shared" si="9"/>
        <v>0</v>
      </c>
      <c r="AX41" s="707">
        <f t="shared" si="9"/>
        <v>200</v>
      </c>
      <c r="AY41" s="707">
        <f t="shared" si="9"/>
        <v>0</v>
      </c>
      <c r="AZ41" s="707">
        <f t="shared" si="9"/>
        <v>0</v>
      </c>
    </row>
    <row r="42" spans="1:52" ht="27" thickTop="1">
      <c r="A42" s="53"/>
      <c r="B42" s="50"/>
      <c r="C42" s="51"/>
      <c r="D42" s="51"/>
      <c r="E42" s="51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8"/>
      <c r="S42" s="58"/>
      <c r="T42" s="2"/>
      <c r="U42" s="2"/>
      <c r="V42" s="2"/>
      <c r="W42" s="2"/>
      <c r="X42" s="2"/>
      <c r="Y42" s="305">
        <f>Y39-Y41</f>
        <v>0</v>
      </c>
      <c r="Z42" s="269"/>
      <c r="AA42" s="269"/>
      <c r="AB42" s="269"/>
      <c r="AC42" s="269"/>
      <c r="AD42" s="269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714">
        <f>SUM(AI41:AZ41)</f>
        <v>200</v>
      </c>
    </row>
    <row r="43" spans="1:52" ht="26.25">
      <c r="A43" s="54"/>
      <c r="B43" s="48"/>
      <c r="C43" s="47"/>
      <c r="D43" s="47"/>
      <c r="E43" s="47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59"/>
      <c r="S43" s="59"/>
      <c r="T43" s="515"/>
      <c r="U43" s="515"/>
      <c r="V43" s="515"/>
      <c r="W43" s="515"/>
      <c r="X43" s="515"/>
      <c r="Y43" s="306"/>
      <c r="Z43" s="269"/>
      <c r="AA43" s="269"/>
      <c r="AB43" s="269"/>
      <c r="AC43" s="269"/>
      <c r="AD43" s="269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</row>
    <row r="44" spans="1:52" ht="26.25">
      <c r="A44" s="54"/>
      <c r="B44" s="48"/>
      <c r="C44" s="47"/>
      <c r="D44" s="47"/>
      <c r="E44" s="47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59"/>
      <c r="S44" s="59"/>
      <c r="T44" s="515"/>
      <c r="U44" s="515"/>
      <c r="V44" s="515"/>
      <c r="W44" s="515"/>
      <c r="X44" s="515"/>
      <c r="Y44" s="306"/>
      <c r="Z44" s="269"/>
      <c r="AA44" s="269"/>
      <c r="AB44" s="269"/>
      <c r="AC44" s="269"/>
      <c r="AD44" s="269"/>
      <c r="AE44" s="2"/>
      <c r="AF44" s="2"/>
      <c r="AG44" s="2"/>
      <c r="AH44" s="708" t="s">
        <v>1</v>
      </c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</row>
    <row r="45" spans="1:52" ht="26.25">
      <c r="A45" s="54"/>
      <c r="B45" s="48"/>
      <c r="C45" s="47"/>
      <c r="D45" s="47"/>
      <c r="E45" s="47"/>
      <c r="F45" s="6"/>
      <c r="G45" s="47"/>
      <c r="H45" s="6" t="s">
        <v>1</v>
      </c>
      <c r="I45" s="6"/>
      <c r="J45" s="6"/>
      <c r="K45" s="6"/>
      <c r="L45" s="6"/>
      <c r="M45" s="6"/>
      <c r="N45" s="6"/>
      <c r="O45" s="6"/>
      <c r="P45" s="6"/>
      <c r="Q45" s="6"/>
      <c r="R45" s="59"/>
      <c r="S45" s="59"/>
      <c r="T45" s="515"/>
      <c r="U45" s="515"/>
      <c r="V45" s="515"/>
      <c r="W45" s="515"/>
      <c r="X45" s="515"/>
      <c r="Y45" s="306"/>
      <c r="Z45" s="269"/>
      <c r="AA45" s="269"/>
      <c r="AB45" s="269"/>
      <c r="AC45" s="269"/>
      <c r="AD45" s="269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</row>
    <row r="46" spans="1:52" ht="26.25">
      <c r="A46" s="54"/>
      <c r="B46" s="48"/>
      <c r="C46" s="47"/>
      <c r="D46" s="47"/>
      <c r="E46" s="47"/>
      <c r="F46" s="6"/>
      <c r="G46" s="47"/>
      <c r="H46" s="6"/>
      <c r="I46" s="6"/>
      <c r="J46" s="6"/>
      <c r="K46" s="6"/>
      <c r="L46" s="6"/>
      <c r="M46" s="6"/>
      <c r="N46" s="6"/>
      <c r="O46" s="6"/>
      <c r="P46" s="6"/>
      <c r="Q46" s="6"/>
      <c r="R46" s="59"/>
      <c r="S46" s="59"/>
      <c r="T46" s="515"/>
      <c r="U46" s="515"/>
      <c r="V46" s="515"/>
      <c r="W46" s="515"/>
      <c r="X46" s="515"/>
      <c r="Y46" s="306"/>
      <c r="Z46" s="269"/>
      <c r="AA46" s="269"/>
      <c r="AB46" s="269"/>
      <c r="AC46" s="269"/>
      <c r="AD46" s="269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</row>
    <row r="47" spans="1:52" ht="26.25">
      <c r="A47" s="54"/>
      <c r="B47" s="48"/>
      <c r="C47" s="47"/>
      <c r="D47" s="47"/>
      <c r="E47" s="47"/>
      <c r="F47" s="110"/>
      <c r="G47" s="47"/>
      <c r="H47" s="6"/>
      <c r="I47" s="6" t="s">
        <v>1</v>
      </c>
      <c r="J47" s="6"/>
      <c r="K47" s="6"/>
      <c r="L47" s="6"/>
      <c r="M47" s="6"/>
      <c r="N47" s="6"/>
      <c r="O47" s="6"/>
      <c r="P47" s="6"/>
      <c r="Q47" s="6"/>
      <c r="R47" s="59"/>
      <c r="S47" s="59"/>
      <c r="T47" s="515"/>
      <c r="U47" s="515"/>
      <c r="V47" s="515"/>
      <c r="W47" s="515"/>
      <c r="X47" s="515"/>
      <c r="Y47" s="306">
        <f>Y41</f>
        <v>0</v>
      </c>
      <c r="Z47" s="269"/>
      <c r="AA47" s="269"/>
      <c r="AB47" s="269"/>
      <c r="AC47" s="269"/>
      <c r="AD47" s="269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</row>
    <row r="48" spans="1:52" ht="26.25">
      <c r="A48" s="54"/>
      <c r="B48" s="48"/>
      <c r="C48" s="47"/>
      <c r="D48" s="47"/>
      <c r="E48" s="47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59"/>
      <c r="S48" s="59"/>
      <c r="T48" s="515"/>
      <c r="U48" s="515"/>
      <c r="V48" s="515"/>
      <c r="W48" s="515"/>
      <c r="X48" s="515"/>
      <c r="Y48" s="306">
        <f>D49</f>
        <v>0</v>
      </c>
      <c r="Z48" s="269"/>
      <c r="AA48" s="269"/>
      <c r="AB48" s="269"/>
      <c r="AC48" s="269"/>
      <c r="AD48" s="269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</row>
    <row r="49" spans="1:52" ht="29.25" thickBot="1">
      <c r="A49" s="55"/>
      <c r="B49" s="184" t="s">
        <v>48</v>
      </c>
      <c r="C49" s="56"/>
      <c r="D49" s="68"/>
      <c r="E49" s="68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7"/>
      <c r="R49" s="60"/>
      <c r="S49" s="60"/>
      <c r="T49" s="832"/>
      <c r="U49" s="832"/>
      <c r="V49" s="832"/>
      <c r="W49" s="832"/>
      <c r="X49" s="832"/>
      <c r="Y49" s="307">
        <f>Y47+Y48</f>
        <v>0</v>
      </c>
      <c r="Z49" s="929"/>
      <c r="AA49" s="269"/>
      <c r="AB49" s="269"/>
      <c r="AC49" s="269"/>
      <c r="AD49" s="269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</row>
    <row r="50" spans="1:52" ht="27.75" thickTop="1" thickBot="1">
      <c r="A50" s="40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303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</row>
    <row r="51" spans="1:52" ht="39.950000000000003" customHeight="1" thickBot="1">
      <c r="A51" s="109">
        <f>A5</f>
        <v>2022</v>
      </c>
      <c r="B51" s="1451"/>
      <c r="C51" s="1452"/>
      <c r="D51" s="1452"/>
      <c r="E51" s="1452"/>
      <c r="F51" s="1452"/>
      <c r="G51" s="1452"/>
      <c r="H51" s="1452"/>
      <c r="I51" s="1452"/>
      <c r="J51" s="1452"/>
      <c r="K51" s="1452"/>
      <c r="L51" s="1452"/>
      <c r="M51" s="1452"/>
      <c r="N51" s="1452"/>
      <c r="O51" s="1452"/>
      <c r="P51" s="1452"/>
      <c r="Q51" s="1452"/>
      <c r="R51" s="1452"/>
      <c r="S51" s="1453"/>
      <c r="T51" s="1453"/>
      <c r="U51" s="1453"/>
      <c r="V51" s="1453"/>
      <c r="W51" s="1453"/>
      <c r="X51" s="1453"/>
      <c r="Y51" s="1454"/>
      <c r="Z51" s="21"/>
      <c r="AA51" s="21" t="s">
        <v>1</v>
      </c>
      <c r="AB51" s="21"/>
      <c r="AC51" s="2"/>
      <c r="AD51" t="s">
        <v>1</v>
      </c>
      <c r="AF51" s="10"/>
      <c r="AG51" s="34"/>
      <c r="AH51" s="109">
        <v>2018</v>
      </c>
      <c r="AI51" s="1424">
        <f>B51</f>
        <v>0</v>
      </c>
      <c r="AJ51" s="1425"/>
      <c r="AK51" s="1425"/>
      <c r="AL51" s="1425"/>
      <c r="AM51" s="1425"/>
      <c r="AN51" s="1425"/>
      <c r="AO51" s="1425"/>
      <c r="AP51" s="1425"/>
      <c r="AQ51" s="1425"/>
      <c r="AR51" s="1425"/>
      <c r="AS51" s="1425"/>
      <c r="AT51" s="1425"/>
      <c r="AU51" s="1425"/>
      <c r="AV51" s="1425"/>
      <c r="AW51" s="1425"/>
      <c r="AX51" s="1425"/>
      <c r="AY51" s="1425"/>
      <c r="AZ51" s="1425"/>
    </row>
    <row r="52" spans="1:52" ht="60" customHeight="1" thickTop="1" thickBot="1">
      <c r="A52" s="1468" t="s">
        <v>94</v>
      </c>
      <c r="B52" s="1402" t="s">
        <v>95</v>
      </c>
      <c r="C52" s="1403"/>
      <c r="D52" s="1403"/>
      <c r="E52" s="1404"/>
      <c r="F52" s="1402" t="s">
        <v>7</v>
      </c>
      <c r="G52" s="1403"/>
      <c r="H52" s="1404"/>
      <c r="I52" s="1402" t="s">
        <v>8</v>
      </c>
      <c r="J52" s="1404"/>
      <c r="K52" s="1402" t="s">
        <v>9</v>
      </c>
      <c r="L52" s="1403"/>
      <c r="M52" s="1403"/>
      <c r="N52" s="1403"/>
      <c r="O52" s="1403"/>
      <c r="P52" s="1403"/>
      <c r="Q52" s="1403"/>
      <c r="R52" s="1405" t="s">
        <v>10</v>
      </c>
      <c r="S52" s="1406"/>
      <c r="T52" s="1400" t="s">
        <v>289</v>
      </c>
      <c r="U52" s="1401"/>
      <c r="V52" s="842" t="s">
        <v>258</v>
      </c>
      <c r="W52" s="842"/>
      <c r="X52" s="842"/>
      <c r="Y52" s="841"/>
      <c r="Z52" s="21"/>
      <c r="AA52" s="21"/>
      <c r="AB52" s="21"/>
      <c r="AC52" s="21"/>
      <c r="AF52" s="10"/>
      <c r="AG52" s="34"/>
      <c r="AH52" s="1422" t="s">
        <v>94</v>
      </c>
      <c r="AI52" s="1402" t="s">
        <v>95</v>
      </c>
      <c r="AJ52" s="1403"/>
      <c r="AK52" s="1404"/>
      <c r="AL52" s="1402" t="s">
        <v>7</v>
      </c>
      <c r="AM52" s="1403"/>
      <c r="AN52" s="1404"/>
      <c r="AO52" s="1402" t="s">
        <v>8</v>
      </c>
      <c r="AP52" s="1403"/>
      <c r="AQ52" s="1404"/>
      <c r="AR52" s="1402" t="s">
        <v>9</v>
      </c>
      <c r="AS52" s="1403"/>
      <c r="AT52" s="1404"/>
      <c r="AU52" s="1403" t="s">
        <v>9</v>
      </c>
      <c r="AV52" s="1404"/>
      <c r="AW52" s="1429" t="s">
        <v>10</v>
      </c>
      <c r="AX52" s="1430"/>
      <c r="AY52" s="690"/>
      <c r="AZ52" s="404" t="s">
        <v>11</v>
      </c>
    </row>
    <row r="53" spans="1:52" ht="42" thickTop="1" thickBot="1">
      <c r="A53" s="1428"/>
      <c r="B53" s="482" t="s">
        <v>12</v>
      </c>
      <c r="C53" s="482" t="s">
        <v>13</v>
      </c>
      <c r="D53" s="482" t="s">
        <v>14</v>
      </c>
      <c r="E53" s="688" t="s">
        <v>198</v>
      </c>
      <c r="F53" s="482" t="s">
        <v>12</v>
      </c>
      <c r="G53" s="482" t="s">
        <v>13</v>
      </c>
      <c r="H53" s="482" t="s">
        <v>282</v>
      </c>
      <c r="I53" s="482" t="s">
        <v>12</v>
      </c>
      <c r="J53" s="482" t="s">
        <v>16</v>
      </c>
      <c r="K53" s="482" t="s">
        <v>17</v>
      </c>
      <c r="L53" s="482" t="s">
        <v>18</v>
      </c>
      <c r="M53" s="482" t="s">
        <v>19</v>
      </c>
      <c r="N53" s="484" t="s">
        <v>96</v>
      </c>
      <c r="O53" s="484" t="s">
        <v>257</v>
      </c>
      <c r="P53" s="484" t="s">
        <v>254</v>
      </c>
      <c r="Q53" s="484" t="s">
        <v>20</v>
      </c>
      <c r="R53" s="482" t="s">
        <v>14</v>
      </c>
      <c r="S53" s="482" t="s">
        <v>13</v>
      </c>
      <c r="T53" s="846" t="s">
        <v>284</v>
      </c>
      <c r="U53" s="846" t="s">
        <v>288</v>
      </c>
      <c r="V53" s="484" t="s">
        <v>259</v>
      </c>
      <c r="W53" s="484"/>
      <c r="X53" s="484"/>
      <c r="Y53" s="840" t="s">
        <v>90</v>
      </c>
      <c r="Z53" s="210" t="s">
        <v>97</v>
      </c>
      <c r="AA53" s="210" t="s">
        <v>74</v>
      </c>
      <c r="AB53" s="210" t="s">
        <v>98</v>
      </c>
      <c r="AC53" s="210" t="s">
        <v>99</v>
      </c>
      <c r="AD53" s="210" t="s">
        <v>100</v>
      </c>
      <c r="AF53" s="578" t="s">
        <v>1</v>
      </c>
      <c r="AG53" s="4"/>
      <c r="AH53" s="1428"/>
      <c r="AI53" s="482" t="s">
        <v>12</v>
      </c>
      <c r="AJ53" s="482" t="s">
        <v>13</v>
      </c>
      <c r="AK53" s="482" t="s">
        <v>14</v>
      </c>
      <c r="AL53" s="482" t="s">
        <v>12</v>
      </c>
      <c r="AM53" s="482" t="s">
        <v>13</v>
      </c>
      <c r="AN53" s="482" t="s">
        <v>15</v>
      </c>
      <c r="AO53" s="482" t="s">
        <v>12</v>
      </c>
      <c r="AP53" s="482" t="s">
        <v>205</v>
      </c>
      <c r="AQ53" s="482" t="s">
        <v>16</v>
      </c>
      <c r="AR53" s="482" t="s">
        <v>17</v>
      </c>
      <c r="AS53" s="482" t="s">
        <v>18</v>
      </c>
      <c r="AT53" s="482" t="s">
        <v>19</v>
      </c>
      <c r="AU53" s="482" t="s">
        <v>201</v>
      </c>
      <c r="AV53" s="482" t="s">
        <v>20</v>
      </c>
      <c r="AW53" s="482" t="s">
        <v>12</v>
      </c>
      <c r="AX53" s="483" t="s">
        <v>13</v>
      </c>
      <c r="AY53" s="688" t="s">
        <v>198</v>
      </c>
      <c r="AZ53" s="484" t="s">
        <v>96</v>
      </c>
    </row>
    <row r="54" spans="1:52" ht="29.25" customHeight="1" thickTop="1" thickBot="1">
      <c r="A54" s="63">
        <f t="shared" ref="A54:A84" si="10">A8</f>
        <v>44866</v>
      </c>
      <c r="B54" s="134"/>
      <c r="C54" s="135"/>
      <c r="D54" s="138"/>
      <c r="E54" s="138"/>
      <c r="F54" s="138"/>
      <c r="G54" s="138"/>
      <c r="H54" s="138"/>
      <c r="I54" s="138"/>
      <c r="J54" s="138"/>
      <c r="K54" s="138"/>
      <c r="L54" s="138"/>
      <c r="M54" s="138"/>
      <c r="N54" s="138"/>
      <c r="O54" s="138"/>
      <c r="P54" s="138"/>
      <c r="Q54" s="138"/>
      <c r="R54" s="139"/>
      <c r="S54" s="136"/>
      <c r="T54" s="149"/>
      <c r="U54" s="149"/>
      <c r="V54" s="149"/>
      <c r="W54" s="149"/>
      <c r="X54" s="149"/>
      <c r="Y54" s="255">
        <f>B54*400+C54*360+D54*400+E54*400+F54*180+G54*180+H54*140+I54*50+J54*50+K54*400+L54*400+M54*400+N54*22+O54*400+P54*80+Q54*200+R54*360+S54*400+T54*30+U54*60</f>
        <v>0</v>
      </c>
      <c r="Z54" s="334"/>
      <c r="AA54" s="322">
        <f t="shared" ref="AA54:AA84" si="11">Y54+Z54</f>
        <v>0</v>
      </c>
      <c r="AB54" s="313"/>
      <c r="AC54" s="313"/>
      <c r="AD54" s="325">
        <f t="shared" ref="AD54:AD84" si="12">AA54-AB54-AC54</f>
        <v>0</v>
      </c>
      <c r="AF54" s="11"/>
      <c r="AG54" s="24"/>
      <c r="AH54" s="63">
        <f>AH8</f>
        <v>43374</v>
      </c>
      <c r="AI54" s="694"/>
      <c r="AJ54" s="695"/>
      <c r="AK54" s="695"/>
      <c r="AL54" s="695"/>
      <c r="AM54" s="695"/>
      <c r="AN54" s="695"/>
      <c r="AO54" s="695"/>
      <c r="AP54" s="695"/>
      <c r="AQ54" s="695"/>
      <c r="AR54" s="695"/>
      <c r="AS54" s="695"/>
      <c r="AT54" s="695"/>
      <c r="AU54" s="695"/>
      <c r="AV54" s="695"/>
      <c r="AW54" s="695"/>
      <c r="AX54" s="696"/>
      <c r="AY54" s="696"/>
      <c r="AZ54" s="697"/>
    </row>
    <row r="55" spans="1:52" ht="29.25" customHeight="1" thickBot="1">
      <c r="A55" s="64">
        <f t="shared" si="10"/>
        <v>44867</v>
      </c>
      <c r="B55" s="134"/>
      <c r="C55" s="135"/>
      <c r="D55" s="138"/>
      <c r="E55" s="138"/>
      <c r="F55" s="138"/>
      <c r="G55" s="138"/>
      <c r="H55" s="138"/>
      <c r="I55" s="138"/>
      <c r="J55" s="138"/>
      <c r="K55" s="138"/>
      <c r="L55" s="138"/>
      <c r="M55" s="138"/>
      <c r="N55" s="138"/>
      <c r="O55" s="138"/>
      <c r="P55" s="138"/>
      <c r="Q55" s="138"/>
      <c r="R55" s="139"/>
      <c r="S55" s="136"/>
      <c r="T55" s="149"/>
      <c r="U55" s="149"/>
      <c r="V55" s="149"/>
      <c r="W55" s="149"/>
      <c r="X55" s="149"/>
      <c r="Y55" s="255">
        <f t="shared" ref="Y55:Y84" si="13">B55*400+C55*360+D55*400+E55*400+F55*180+G55*180+H55*140+I55*50+J55*50+K55*400+L55*400+M55*400+N55*22+O55*400+P55*80+Q55*200+R55*360+S55*400+T55*30+U55*60</f>
        <v>0</v>
      </c>
      <c r="Z55" s="335">
        <f t="shared" ref="Z55:Z84" si="14">AD54</f>
        <v>0</v>
      </c>
      <c r="AA55" s="323">
        <f t="shared" si="11"/>
        <v>0</v>
      </c>
      <c r="AB55" s="314"/>
      <c r="AC55" s="314"/>
      <c r="AD55" s="326">
        <f t="shared" si="12"/>
        <v>0</v>
      </c>
      <c r="AF55" s="11"/>
      <c r="AG55" s="24"/>
      <c r="AH55" s="64">
        <f>AH54+1</f>
        <v>43375</v>
      </c>
      <c r="AI55" s="698"/>
      <c r="AJ55" s="699"/>
      <c r="AK55" s="699"/>
      <c r="AL55" s="699"/>
      <c r="AM55" s="699"/>
      <c r="AN55" s="699"/>
      <c r="AO55" s="699"/>
      <c r="AP55" s="699"/>
      <c r="AQ55" s="699"/>
      <c r="AR55" s="699"/>
      <c r="AS55" s="699"/>
      <c r="AT55" s="699"/>
      <c r="AU55" s="699"/>
      <c r="AV55" s="699"/>
      <c r="AW55" s="699"/>
      <c r="AX55" s="700"/>
      <c r="AY55" s="700"/>
      <c r="AZ55" s="701"/>
    </row>
    <row r="56" spans="1:52" ht="29.25" customHeight="1" thickBot="1">
      <c r="A56" s="64">
        <f t="shared" si="10"/>
        <v>44868</v>
      </c>
      <c r="B56" s="137"/>
      <c r="C56" s="138"/>
      <c r="D56" s="138"/>
      <c r="E56" s="138"/>
      <c r="F56" s="138"/>
      <c r="G56" s="138"/>
      <c r="H56" s="138"/>
      <c r="I56" s="138"/>
      <c r="J56" s="138"/>
      <c r="K56" s="138"/>
      <c r="L56" s="138"/>
      <c r="M56" s="138"/>
      <c r="N56" s="138"/>
      <c r="O56" s="138"/>
      <c r="P56" s="138"/>
      <c r="Q56" s="138"/>
      <c r="R56" s="139"/>
      <c r="S56" s="139"/>
      <c r="T56" s="149"/>
      <c r="U56" s="149"/>
      <c r="V56" s="149"/>
      <c r="W56" s="149"/>
      <c r="X56" s="149"/>
      <c r="Y56" s="255">
        <f t="shared" si="13"/>
        <v>0</v>
      </c>
      <c r="Z56" s="335">
        <f t="shared" si="14"/>
        <v>0</v>
      </c>
      <c r="AA56" s="323">
        <f t="shared" si="11"/>
        <v>0</v>
      </c>
      <c r="AB56" s="314"/>
      <c r="AC56" s="314"/>
      <c r="AD56" s="326">
        <f t="shared" si="12"/>
        <v>0</v>
      </c>
      <c r="AF56" s="11"/>
      <c r="AG56" s="24"/>
      <c r="AH56" s="64">
        <f t="shared" ref="AH56:AH84" si="15">AH55+1</f>
        <v>43376</v>
      </c>
      <c r="AI56" s="698"/>
      <c r="AJ56" s="699"/>
      <c r="AK56" s="699"/>
      <c r="AL56" s="699"/>
      <c r="AM56" s="699"/>
      <c r="AN56" s="699"/>
      <c r="AO56" s="699"/>
      <c r="AP56" s="699"/>
      <c r="AQ56" s="699"/>
      <c r="AR56" s="699"/>
      <c r="AS56" s="699"/>
      <c r="AT56" s="699"/>
      <c r="AU56" s="699"/>
      <c r="AV56" s="699"/>
      <c r="AW56" s="699"/>
      <c r="AX56" s="700"/>
      <c r="AY56" s="700"/>
      <c r="AZ56" s="701"/>
    </row>
    <row r="57" spans="1:52" ht="29.25" customHeight="1" thickBot="1">
      <c r="A57" s="64">
        <f t="shared" si="10"/>
        <v>44869</v>
      </c>
      <c r="B57" s="137"/>
      <c r="C57" s="138"/>
      <c r="D57" s="138"/>
      <c r="E57" s="138"/>
      <c r="F57" s="138"/>
      <c r="G57" s="138"/>
      <c r="H57" s="138"/>
      <c r="I57" s="138"/>
      <c r="J57" s="138"/>
      <c r="K57" s="138"/>
      <c r="L57" s="138"/>
      <c r="M57" s="138"/>
      <c r="N57" s="138"/>
      <c r="O57" s="138"/>
      <c r="P57" s="138"/>
      <c r="Q57" s="138"/>
      <c r="R57" s="139"/>
      <c r="S57" s="139"/>
      <c r="T57" s="149"/>
      <c r="U57" s="149"/>
      <c r="V57" s="149"/>
      <c r="W57" s="149"/>
      <c r="X57" s="149"/>
      <c r="Y57" s="255">
        <f t="shared" si="13"/>
        <v>0</v>
      </c>
      <c r="Z57" s="335">
        <f t="shared" si="14"/>
        <v>0</v>
      </c>
      <c r="AA57" s="323">
        <f t="shared" si="11"/>
        <v>0</v>
      </c>
      <c r="AB57" s="314"/>
      <c r="AC57" s="314"/>
      <c r="AD57" s="326">
        <f t="shared" si="12"/>
        <v>0</v>
      </c>
      <c r="AF57" s="11"/>
      <c r="AG57" s="24"/>
      <c r="AH57" s="64">
        <f t="shared" si="15"/>
        <v>43377</v>
      </c>
      <c r="AI57" s="698"/>
      <c r="AJ57" s="699"/>
      <c r="AK57" s="699"/>
      <c r="AL57" s="699"/>
      <c r="AM57" s="699"/>
      <c r="AN57" s="699"/>
      <c r="AO57" s="699"/>
      <c r="AP57" s="699"/>
      <c r="AQ57" s="699"/>
      <c r="AR57" s="699"/>
      <c r="AS57" s="699"/>
      <c r="AT57" s="699"/>
      <c r="AU57" s="699"/>
      <c r="AV57" s="699"/>
      <c r="AW57" s="699"/>
      <c r="AX57" s="700"/>
      <c r="AY57" s="700"/>
      <c r="AZ57" s="701"/>
    </row>
    <row r="58" spans="1:52" ht="29.25" customHeight="1" thickBot="1">
      <c r="A58" s="64">
        <f t="shared" si="10"/>
        <v>44870</v>
      </c>
      <c r="B58" s="137"/>
      <c r="C58" s="138"/>
      <c r="D58" s="138"/>
      <c r="E58" s="138"/>
      <c r="F58" s="138"/>
      <c r="G58" s="138"/>
      <c r="H58" s="138"/>
      <c r="I58" s="138"/>
      <c r="J58" s="138"/>
      <c r="K58" s="138"/>
      <c r="L58" s="138"/>
      <c r="M58" s="138"/>
      <c r="N58" s="138"/>
      <c r="O58" s="138"/>
      <c r="P58" s="138"/>
      <c r="Q58" s="138"/>
      <c r="R58" s="139"/>
      <c r="S58" s="139"/>
      <c r="T58" s="149"/>
      <c r="U58" s="149"/>
      <c r="V58" s="149"/>
      <c r="W58" s="149"/>
      <c r="X58" s="149"/>
      <c r="Y58" s="255">
        <f t="shared" si="13"/>
        <v>0</v>
      </c>
      <c r="Z58" s="335">
        <f t="shared" si="14"/>
        <v>0</v>
      </c>
      <c r="AA58" s="323">
        <f t="shared" si="11"/>
        <v>0</v>
      </c>
      <c r="AB58" s="314"/>
      <c r="AC58" s="314"/>
      <c r="AD58" s="326">
        <f t="shared" si="12"/>
        <v>0</v>
      </c>
      <c r="AF58" s="11"/>
      <c r="AG58" s="24"/>
      <c r="AH58" s="64">
        <f t="shared" si="15"/>
        <v>43378</v>
      </c>
      <c r="AI58" s="698"/>
      <c r="AJ58" s="699"/>
      <c r="AK58" s="699"/>
      <c r="AL58" s="699"/>
      <c r="AM58" s="699"/>
      <c r="AN58" s="699"/>
      <c r="AO58" s="699"/>
      <c r="AP58" s="699"/>
      <c r="AQ58" s="699"/>
      <c r="AR58" s="699"/>
      <c r="AS58" s="699"/>
      <c r="AT58" s="699"/>
      <c r="AU58" s="699"/>
      <c r="AV58" s="699"/>
      <c r="AW58" s="699"/>
      <c r="AX58" s="700"/>
      <c r="AY58" s="700"/>
      <c r="AZ58" s="701"/>
    </row>
    <row r="59" spans="1:52" ht="29.25" customHeight="1" thickBot="1">
      <c r="A59" s="64">
        <f t="shared" si="10"/>
        <v>44871</v>
      </c>
      <c r="B59" s="137"/>
      <c r="C59" s="138"/>
      <c r="D59" s="138"/>
      <c r="E59" s="138"/>
      <c r="F59" s="138"/>
      <c r="G59" s="138"/>
      <c r="H59" s="138"/>
      <c r="I59" s="138"/>
      <c r="J59" s="138"/>
      <c r="K59" s="138"/>
      <c r="L59" s="138"/>
      <c r="M59" s="138"/>
      <c r="N59" s="138"/>
      <c r="O59" s="138"/>
      <c r="P59" s="138"/>
      <c r="Q59" s="138"/>
      <c r="R59" s="139"/>
      <c r="S59" s="139"/>
      <c r="T59" s="149"/>
      <c r="U59" s="149"/>
      <c r="V59" s="149"/>
      <c r="W59" s="149"/>
      <c r="X59" s="149"/>
      <c r="Y59" s="255">
        <f t="shared" si="13"/>
        <v>0</v>
      </c>
      <c r="Z59" s="335">
        <f t="shared" si="14"/>
        <v>0</v>
      </c>
      <c r="AA59" s="323">
        <f t="shared" si="11"/>
        <v>0</v>
      </c>
      <c r="AB59" s="314"/>
      <c r="AC59" s="314"/>
      <c r="AD59" s="326">
        <f t="shared" si="12"/>
        <v>0</v>
      </c>
      <c r="AF59" s="11"/>
      <c r="AG59" s="24"/>
      <c r="AH59" s="64">
        <f t="shared" si="15"/>
        <v>43379</v>
      </c>
      <c r="AI59" s="698"/>
      <c r="AJ59" s="699"/>
      <c r="AK59" s="699"/>
      <c r="AL59" s="699"/>
      <c r="AM59" s="699"/>
      <c r="AN59" s="699"/>
      <c r="AO59" s="699"/>
      <c r="AP59" s="699"/>
      <c r="AQ59" s="699"/>
      <c r="AR59" s="699"/>
      <c r="AS59" s="699"/>
      <c r="AT59" s="699"/>
      <c r="AU59" s="699"/>
      <c r="AV59" s="699"/>
      <c r="AW59" s="699"/>
      <c r="AX59" s="700"/>
      <c r="AY59" s="700"/>
      <c r="AZ59" s="701"/>
    </row>
    <row r="60" spans="1:52" ht="29.25" customHeight="1" thickBot="1">
      <c r="A60" s="64">
        <f t="shared" si="10"/>
        <v>44872</v>
      </c>
      <c r="B60" s="137"/>
      <c r="C60" s="138"/>
      <c r="D60" s="138"/>
      <c r="E60" s="138"/>
      <c r="F60" s="138"/>
      <c r="G60" s="138"/>
      <c r="H60" s="138"/>
      <c r="I60" s="138"/>
      <c r="J60" s="138"/>
      <c r="K60" s="138"/>
      <c r="L60" s="138"/>
      <c r="M60" s="138"/>
      <c r="N60" s="138"/>
      <c r="O60" s="138"/>
      <c r="P60" s="138"/>
      <c r="Q60" s="138"/>
      <c r="R60" s="139"/>
      <c r="S60" s="139"/>
      <c r="T60" s="149"/>
      <c r="U60" s="149"/>
      <c r="V60" s="149"/>
      <c r="W60" s="149"/>
      <c r="X60" s="149"/>
      <c r="Y60" s="255">
        <f t="shared" si="13"/>
        <v>0</v>
      </c>
      <c r="Z60" s="335">
        <f t="shared" si="14"/>
        <v>0</v>
      </c>
      <c r="AA60" s="323">
        <f t="shared" si="11"/>
        <v>0</v>
      </c>
      <c r="AB60" s="314"/>
      <c r="AC60" s="314"/>
      <c r="AD60" s="326">
        <f t="shared" si="12"/>
        <v>0</v>
      </c>
      <c r="AF60" s="11"/>
      <c r="AG60" s="24"/>
      <c r="AH60" s="64">
        <f t="shared" si="15"/>
        <v>43380</v>
      </c>
      <c r="AI60" s="698"/>
      <c r="AJ60" s="699"/>
      <c r="AK60" s="699"/>
      <c r="AL60" s="699"/>
      <c r="AM60" s="699"/>
      <c r="AN60" s="699"/>
      <c r="AO60" s="699"/>
      <c r="AP60" s="699"/>
      <c r="AQ60" s="699"/>
      <c r="AR60" s="699"/>
      <c r="AS60" s="699"/>
      <c r="AT60" s="699"/>
      <c r="AU60" s="699"/>
      <c r="AV60" s="699"/>
      <c r="AW60" s="699"/>
      <c r="AX60" s="700"/>
      <c r="AY60" s="700"/>
      <c r="AZ60" s="701"/>
    </row>
    <row r="61" spans="1:52" ht="29.25" customHeight="1" thickBot="1">
      <c r="A61" s="64">
        <f t="shared" si="10"/>
        <v>44873</v>
      </c>
      <c r="B61" s="137"/>
      <c r="C61" s="138"/>
      <c r="D61" s="138"/>
      <c r="E61" s="138"/>
      <c r="F61" s="138"/>
      <c r="G61" s="138"/>
      <c r="H61" s="138"/>
      <c r="I61" s="138"/>
      <c r="J61" s="138"/>
      <c r="K61" s="138"/>
      <c r="L61" s="138"/>
      <c r="M61" s="138"/>
      <c r="N61" s="138"/>
      <c r="O61" s="138"/>
      <c r="P61" s="138"/>
      <c r="Q61" s="138"/>
      <c r="R61" s="139"/>
      <c r="S61" s="139"/>
      <c r="T61" s="149"/>
      <c r="U61" s="149"/>
      <c r="V61" s="149"/>
      <c r="W61" s="149"/>
      <c r="X61" s="149"/>
      <c r="Y61" s="255">
        <f t="shared" si="13"/>
        <v>0</v>
      </c>
      <c r="Z61" s="335">
        <f t="shared" si="14"/>
        <v>0</v>
      </c>
      <c r="AA61" s="323">
        <f t="shared" si="11"/>
        <v>0</v>
      </c>
      <c r="AB61" s="314"/>
      <c r="AC61" s="314"/>
      <c r="AD61" s="326">
        <f t="shared" si="12"/>
        <v>0</v>
      </c>
      <c r="AF61" s="11"/>
      <c r="AG61" s="24"/>
      <c r="AH61" s="64">
        <f t="shared" si="15"/>
        <v>43381</v>
      </c>
      <c r="AI61" s="698"/>
      <c r="AJ61" s="699"/>
      <c r="AK61" s="699"/>
      <c r="AL61" s="699"/>
      <c r="AM61" s="699"/>
      <c r="AN61" s="699"/>
      <c r="AO61" s="699"/>
      <c r="AP61" s="699"/>
      <c r="AQ61" s="699"/>
      <c r="AR61" s="699"/>
      <c r="AS61" s="699"/>
      <c r="AT61" s="699"/>
      <c r="AU61" s="699"/>
      <c r="AV61" s="699"/>
      <c r="AW61" s="699"/>
      <c r="AX61" s="700">
        <v>1</v>
      </c>
      <c r="AY61" s="700"/>
      <c r="AZ61" s="701"/>
    </row>
    <row r="62" spans="1:52" ht="29.25" customHeight="1" thickBot="1">
      <c r="A62" s="64">
        <f t="shared" si="10"/>
        <v>44874</v>
      </c>
      <c r="B62" s="137"/>
      <c r="C62" s="138"/>
      <c r="D62" s="138"/>
      <c r="E62" s="138"/>
      <c r="F62" s="138"/>
      <c r="G62" s="138"/>
      <c r="H62" s="138"/>
      <c r="I62" s="138"/>
      <c r="J62" s="138"/>
      <c r="K62" s="138"/>
      <c r="L62" s="138"/>
      <c r="M62" s="138"/>
      <c r="N62" s="138"/>
      <c r="O62" s="138"/>
      <c r="P62" s="138"/>
      <c r="Q62" s="138"/>
      <c r="R62" s="139"/>
      <c r="S62" s="139"/>
      <c r="T62" s="149"/>
      <c r="U62" s="149"/>
      <c r="V62" s="149"/>
      <c r="W62" s="149"/>
      <c r="X62" s="149"/>
      <c r="Y62" s="255">
        <f t="shared" si="13"/>
        <v>0</v>
      </c>
      <c r="Z62" s="335">
        <f t="shared" si="14"/>
        <v>0</v>
      </c>
      <c r="AA62" s="323">
        <f t="shared" si="11"/>
        <v>0</v>
      </c>
      <c r="AB62" s="314"/>
      <c r="AC62" s="314"/>
      <c r="AD62" s="326">
        <f t="shared" si="12"/>
        <v>0</v>
      </c>
      <c r="AF62" s="11"/>
      <c r="AG62" s="24"/>
      <c r="AH62" s="64">
        <f t="shared" si="15"/>
        <v>43382</v>
      </c>
      <c r="AI62" s="698"/>
      <c r="AJ62" s="699"/>
      <c r="AK62" s="699"/>
      <c r="AL62" s="699"/>
      <c r="AM62" s="699"/>
      <c r="AN62" s="699"/>
      <c r="AO62" s="699"/>
      <c r="AP62" s="699"/>
      <c r="AQ62" s="699"/>
      <c r="AR62" s="699"/>
      <c r="AS62" s="699"/>
      <c r="AT62" s="699"/>
      <c r="AU62" s="699"/>
      <c r="AV62" s="699"/>
      <c r="AW62" s="699"/>
      <c r="AX62" s="700"/>
      <c r="AY62" s="700"/>
      <c r="AZ62" s="701"/>
    </row>
    <row r="63" spans="1:52" ht="29.25" customHeight="1" thickBot="1">
      <c r="A63" s="64">
        <f t="shared" si="10"/>
        <v>44875</v>
      </c>
      <c r="B63" s="137"/>
      <c r="C63" s="138"/>
      <c r="D63" s="138"/>
      <c r="E63" s="138"/>
      <c r="F63" s="138"/>
      <c r="G63" s="138"/>
      <c r="H63" s="138"/>
      <c r="I63" s="138"/>
      <c r="J63" s="138"/>
      <c r="K63" s="138"/>
      <c r="L63" s="138"/>
      <c r="M63" s="138"/>
      <c r="N63" s="138"/>
      <c r="O63" s="138"/>
      <c r="P63" s="138"/>
      <c r="Q63" s="138"/>
      <c r="R63" s="139"/>
      <c r="S63" s="139"/>
      <c r="T63" s="149"/>
      <c r="U63" s="149"/>
      <c r="V63" s="149"/>
      <c r="W63" s="149"/>
      <c r="X63" s="149"/>
      <c r="Y63" s="255">
        <f t="shared" si="13"/>
        <v>0</v>
      </c>
      <c r="Z63" s="335">
        <f t="shared" si="14"/>
        <v>0</v>
      </c>
      <c r="AA63" s="323">
        <f t="shared" si="11"/>
        <v>0</v>
      </c>
      <c r="AB63" s="314"/>
      <c r="AC63" s="314"/>
      <c r="AD63" s="326">
        <f t="shared" si="12"/>
        <v>0</v>
      </c>
      <c r="AF63" s="11"/>
      <c r="AG63" s="24"/>
      <c r="AH63" s="64">
        <f t="shared" si="15"/>
        <v>43383</v>
      </c>
      <c r="AI63" s="698"/>
      <c r="AJ63" s="699"/>
      <c r="AK63" s="699"/>
      <c r="AL63" s="699"/>
      <c r="AM63" s="699"/>
      <c r="AN63" s="699"/>
      <c r="AO63" s="699"/>
      <c r="AP63" s="699"/>
      <c r="AQ63" s="699"/>
      <c r="AR63" s="699"/>
      <c r="AS63" s="699"/>
      <c r="AT63" s="699"/>
      <c r="AU63" s="699"/>
      <c r="AV63" s="699"/>
      <c r="AW63" s="699"/>
      <c r="AX63" s="700"/>
      <c r="AY63" s="700"/>
      <c r="AZ63" s="701"/>
    </row>
    <row r="64" spans="1:52" ht="29.25" customHeight="1" thickBot="1">
      <c r="A64" s="64">
        <f t="shared" si="10"/>
        <v>44876</v>
      </c>
      <c r="B64" s="137"/>
      <c r="C64" s="138"/>
      <c r="D64" s="138"/>
      <c r="E64" s="138"/>
      <c r="F64" s="138"/>
      <c r="G64" s="138"/>
      <c r="H64" s="138"/>
      <c r="I64" s="138"/>
      <c r="J64" s="138"/>
      <c r="K64" s="138"/>
      <c r="L64" s="138"/>
      <c r="M64" s="138"/>
      <c r="N64" s="138"/>
      <c r="O64" s="138"/>
      <c r="P64" s="138"/>
      <c r="Q64" s="138"/>
      <c r="R64" s="139"/>
      <c r="S64" s="139"/>
      <c r="T64" s="149"/>
      <c r="U64" s="149"/>
      <c r="V64" s="149"/>
      <c r="W64" s="149"/>
      <c r="X64" s="149"/>
      <c r="Y64" s="255">
        <f t="shared" si="13"/>
        <v>0</v>
      </c>
      <c r="Z64" s="335">
        <f t="shared" si="14"/>
        <v>0</v>
      </c>
      <c r="AA64" s="323">
        <f t="shared" si="11"/>
        <v>0</v>
      </c>
      <c r="AB64" s="314"/>
      <c r="AC64" s="314"/>
      <c r="AD64" s="326">
        <f t="shared" si="12"/>
        <v>0</v>
      </c>
      <c r="AF64" s="11"/>
      <c r="AG64" s="24"/>
      <c r="AH64" s="64">
        <f t="shared" si="15"/>
        <v>43384</v>
      </c>
      <c r="AI64" s="698"/>
      <c r="AJ64" s="699"/>
      <c r="AK64" s="699"/>
      <c r="AL64" s="699"/>
      <c r="AM64" s="699"/>
      <c r="AN64" s="699"/>
      <c r="AO64" s="699"/>
      <c r="AP64" s="699"/>
      <c r="AQ64" s="699"/>
      <c r="AR64" s="699"/>
      <c r="AS64" s="699"/>
      <c r="AT64" s="699"/>
      <c r="AU64" s="699"/>
      <c r="AV64" s="699"/>
      <c r="AW64" s="699"/>
      <c r="AX64" s="700">
        <v>1</v>
      </c>
      <c r="AY64" s="700"/>
      <c r="AZ64" s="701"/>
    </row>
    <row r="65" spans="1:52" ht="29.25" customHeight="1" thickBot="1">
      <c r="A65" s="64">
        <f t="shared" si="10"/>
        <v>44877</v>
      </c>
      <c r="B65" s="137"/>
      <c r="C65" s="138"/>
      <c r="D65" s="138"/>
      <c r="E65" s="138"/>
      <c r="F65" s="138"/>
      <c r="G65" s="138"/>
      <c r="H65" s="138"/>
      <c r="I65" s="138"/>
      <c r="J65" s="138"/>
      <c r="K65" s="138"/>
      <c r="L65" s="138"/>
      <c r="M65" s="138"/>
      <c r="N65" s="138"/>
      <c r="O65" s="138"/>
      <c r="P65" s="138"/>
      <c r="Q65" s="138"/>
      <c r="R65" s="139"/>
      <c r="S65" s="139"/>
      <c r="T65" s="149"/>
      <c r="U65" s="149"/>
      <c r="V65" s="149"/>
      <c r="W65" s="149"/>
      <c r="X65" s="149"/>
      <c r="Y65" s="255">
        <f t="shared" si="13"/>
        <v>0</v>
      </c>
      <c r="Z65" s="335">
        <f t="shared" si="14"/>
        <v>0</v>
      </c>
      <c r="AA65" s="323">
        <f t="shared" si="11"/>
        <v>0</v>
      </c>
      <c r="AB65" s="314"/>
      <c r="AC65" s="314"/>
      <c r="AD65" s="326">
        <f t="shared" si="12"/>
        <v>0</v>
      </c>
      <c r="AF65" s="11"/>
      <c r="AG65" s="24"/>
      <c r="AH65" s="64">
        <f t="shared" si="15"/>
        <v>43385</v>
      </c>
      <c r="AI65" s="698"/>
      <c r="AJ65" s="699"/>
      <c r="AK65" s="699"/>
      <c r="AL65" s="699"/>
      <c r="AM65" s="699"/>
      <c r="AN65" s="699"/>
      <c r="AO65" s="699"/>
      <c r="AP65" s="699"/>
      <c r="AQ65" s="699"/>
      <c r="AR65" s="699"/>
      <c r="AS65" s="699"/>
      <c r="AT65" s="699"/>
      <c r="AU65" s="699"/>
      <c r="AV65" s="699"/>
      <c r="AW65" s="699"/>
      <c r="AX65" s="700"/>
      <c r="AY65" s="700"/>
      <c r="AZ65" s="701"/>
    </row>
    <row r="66" spans="1:52" ht="29.25" customHeight="1" thickBot="1">
      <c r="A66" s="64">
        <f t="shared" si="10"/>
        <v>44878</v>
      </c>
      <c r="B66" s="137"/>
      <c r="C66" s="138"/>
      <c r="D66" s="138"/>
      <c r="E66" s="138"/>
      <c r="F66" s="138"/>
      <c r="G66" s="138"/>
      <c r="H66" s="138"/>
      <c r="I66" s="138"/>
      <c r="J66" s="138"/>
      <c r="K66" s="138"/>
      <c r="L66" s="138"/>
      <c r="M66" s="138"/>
      <c r="N66" s="138"/>
      <c r="O66" s="138"/>
      <c r="P66" s="138"/>
      <c r="Q66" s="138"/>
      <c r="R66" s="139"/>
      <c r="S66" s="139"/>
      <c r="T66" s="149"/>
      <c r="U66" s="149"/>
      <c r="V66" s="149"/>
      <c r="W66" s="149"/>
      <c r="X66" s="149"/>
      <c r="Y66" s="255">
        <f t="shared" si="13"/>
        <v>0</v>
      </c>
      <c r="Z66" s="335">
        <f t="shared" si="14"/>
        <v>0</v>
      </c>
      <c r="AA66" s="323">
        <f t="shared" si="11"/>
        <v>0</v>
      </c>
      <c r="AB66" s="314"/>
      <c r="AC66" s="314"/>
      <c r="AD66" s="326">
        <f t="shared" si="12"/>
        <v>0</v>
      </c>
      <c r="AF66" s="11"/>
      <c r="AG66" s="24"/>
      <c r="AH66" s="64">
        <f t="shared" si="15"/>
        <v>43386</v>
      </c>
      <c r="AI66" s="698"/>
      <c r="AJ66" s="699"/>
      <c r="AK66" s="699"/>
      <c r="AL66" s="699"/>
      <c r="AM66" s="699"/>
      <c r="AN66" s="699"/>
      <c r="AO66" s="699"/>
      <c r="AP66" s="699"/>
      <c r="AQ66" s="699"/>
      <c r="AR66" s="699"/>
      <c r="AS66" s="699"/>
      <c r="AT66" s="699"/>
      <c r="AU66" s="699"/>
      <c r="AV66" s="699"/>
      <c r="AW66" s="699"/>
      <c r="AX66" s="700"/>
      <c r="AY66" s="700"/>
      <c r="AZ66" s="701"/>
    </row>
    <row r="67" spans="1:52" ht="29.25" customHeight="1" thickBot="1">
      <c r="A67" s="64">
        <f t="shared" si="10"/>
        <v>44879</v>
      </c>
      <c r="B67" s="137"/>
      <c r="C67" s="138"/>
      <c r="D67" s="138"/>
      <c r="E67" s="138"/>
      <c r="F67" s="138"/>
      <c r="G67" s="138"/>
      <c r="H67" s="138"/>
      <c r="I67" s="138"/>
      <c r="J67" s="138"/>
      <c r="K67" s="138"/>
      <c r="L67" s="138"/>
      <c r="M67" s="138"/>
      <c r="N67" s="138"/>
      <c r="O67" s="138"/>
      <c r="P67" s="138"/>
      <c r="Q67" s="138"/>
      <c r="R67" s="139"/>
      <c r="S67" s="139"/>
      <c r="T67" s="149"/>
      <c r="U67" s="149"/>
      <c r="V67" s="149"/>
      <c r="W67" s="149"/>
      <c r="X67" s="149"/>
      <c r="Y67" s="255">
        <f t="shared" si="13"/>
        <v>0</v>
      </c>
      <c r="Z67" s="335">
        <f t="shared" si="14"/>
        <v>0</v>
      </c>
      <c r="AA67" s="323">
        <f t="shared" si="11"/>
        <v>0</v>
      </c>
      <c r="AB67" s="314"/>
      <c r="AC67" s="314"/>
      <c r="AD67" s="326">
        <f t="shared" si="12"/>
        <v>0</v>
      </c>
      <c r="AF67" s="11"/>
      <c r="AG67" s="24"/>
      <c r="AH67" s="64">
        <f t="shared" si="15"/>
        <v>43387</v>
      </c>
      <c r="AI67" s="698"/>
      <c r="AJ67" s="699"/>
      <c r="AK67" s="699"/>
      <c r="AL67" s="699"/>
      <c r="AM67" s="699"/>
      <c r="AN67" s="699"/>
      <c r="AO67" s="699"/>
      <c r="AP67" s="699"/>
      <c r="AQ67" s="699"/>
      <c r="AR67" s="699"/>
      <c r="AS67" s="699"/>
      <c r="AT67" s="699"/>
      <c r="AU67" s="699"/>
      <c r="AV67" s="699"/>
      <c r="AW67" s="699"/>
      <c r="AX67" s="700"/>
      <c r="AY67" s="700"/>
      <c r="AZ67" s="701"/>
    </row>
    <row r="68" spans="1:52" ht="29.25" customHeight="1" thickBot="1">
      <c r="A68" s="64">
        <f t="shared" si="10"/>
        <v>44880</v>
      </c>
      <c r="B68" s="137"/>
      <c r="C68" s="138"/>
      <c r="D68" s="138"/>
      <c r="E68" s="138"/>
      <c r="F68" s="138"/>
      <c r="G68" s="138"/>
      <c r="H68" s="138"/>
      <c r="I68" s="138"/>
      <c r="J68" s="138"/>
      <c r="K68" s="138"/>
      <c r="L68" s="138"/>
      <c r="M68" s="138"/>
      <c r="N68" s="138"/>
      <c r="O68" s="138"/>
      <c r="P68" s="138"/>
      <c r="Q68" s="138"/>
      <c r="R68" s="139"/>
      <c r="S68" s="176"/>
      <c r="T68" s="149"/>
      <c r="U68" s="149"/>
      <c r="V68" s="149"/>
      <c r="W68" s="149"/>
      <c r="X68" s="149"/>
      <c r="Y68" s="255">
        <f t="shared" si="13"/>
        <v>0</v>
      </c>
      <c r="Z68" s="335">
        <f t="shared" si="14"/>
        <v>0</v>
      </c>
      <c r="AA68" s="323">
        <f t="shared" si="11"/>
        <v>0</v>
      </c>
      <c r="AB68" s="314"/>
      <c r="AC68" s="314"/>
      <c r="AD68" s="326">
        <f t="shared" si="12"/>
        <v>0</v>
      </c>
      <c r="AF68" s="11"/>
      <c r="AG68" s="24"/>
      <c r="AH68" s="64">
        <f t="shared" si="15"/>
        <v>43388</v>
      </c>
      <c r="AI68" s="698"/>
      <c r="AJ68" s="699"/>
      <c r="AK68" s="699"/>
      <c r="AL68" s="699"/>
      <c r="AM68" s="699"/>
      <c r="AN68" s="699"/>
      <c r="AO68" s="699"/>
      <c r="AP68" s="699"/>
      <c r="AQ68" s="699"/>
      <c r="AR68" s="699"/>
      <c r="AS68" s="699"/>
      <c r="AT68" s="699"/>
      <c r="AU68" s="699"/>
      <c r="AV68" s="699"/>
      <c r="AW68" s="699"/>
      <c r="AX68" s="700">
        <v>2</v>
      </c>
      <c r="AY68" s="700"/>
      <c r="AZ68" s="701"/>
    </row>
    <row r="69" spans="1:52" ht="29.25" customHeight="1" thickBot="1">
      <c r="A69" s="64">
        <f t="shared" si="10"/>
        <v>44881</v>
      </c>
      <c r="B69" s="137"/>
      <c r="C69" s="138"/>
      <c r="D69" s="138"/>
      <c r="E69" s="138"/>
      <c r="F69" s="138"/>
      <c r="G69" s="138"/>
      <c r="H69" s="138"/>
      <c r="I69" s="138"/>
      <c r="J69" s="138"/>
      <c r="K69" s="138"/>
      <c r="L69" s="138"/>
      <c r="M69" s="138"/>
      <c r="N69" s="138"/>
      <c r="O69" s="138"/>
      <c r="P69" s="138"/>
      <c r="Q69" s="138"/>
      <c r="R69" s="139"/>
      <c r="S69" s="139"/>
      <c r="T69" s="149"/>
      <c r="U69" s="149"/>
      <c r="V69" s="149"/>
      <c r="W69" s="149"/>
      <c r="X69" s="149"/>
      <c r="Y69" s="255">
        <f t="shared" si="13"/>
        <v>0</v>
      </c>
      <c r="Z69" s="335">
        <f t="shared" si="14"/>
        <v>0</v>
      </c>
      <c r="AA69" s="323">
        <f t="shared" si="11"/>
        <v>0</v>
      </c>
      <c r="AB69" s="314"/>
      <c r="AC69" s="314"/>
      <c r="AD69" s="326">
        <f t="shared" si="12"/>
        <v>0</v>
      </c>
      <c r="AF69" s="11"/>
      <c r="AG69" s="24"/>
      <c r="AH69" s="64">
        <f t="shared" si="15"/>
        <v>43389</v>
      </c>
      <c r="AI69" s="698"/>
      <c r="AJ69" s="699"/>
      <c r="AK69" s="699"/>
      <c r="AL69" s="699"/>
      <c r="AM69" s="699"/>
      <c r="AN69" s="699"/>
      <c r="AO69" s="699"/>
      <c r="AP69" s="699"/>
      <c r="AQ69" s="699"/>
      <c r="AR69" s="699"/>
      <c r="AS69" s="699"/>
      <c r="AT69" s="699"/>
      <c r="AU69" s="699"/>
      <c r="AV69" s="699"/>
      <c r="AW69" s="699"/>
      <c r="AX69" s="700"/>
      <c r="AY69" s="700"/>
      <c r="AZ69" s="701"/>
    </row>
    <row r="70" spans="1:52" ht="29.25" customHeight="1" thickBot="1">
      <c r="A70" s="64">
        <f t="shared" si="10"/>
        <v>44882</v>
      </c>
      <c r="B70" s="137"/>
      <c r="C70" s="138"/>
      <c r="D70" s="138"/>
      <c r="E70" s="138"/>
      <c r="F70" s="138"/>
      <c r="G70" s="138"/>
      <c r="H70" s="138"/>
      <c r="I70" s="138"/>
      <c r="J70" s="138"/>
      <c r="K70" s="138"/>
      <c r="L70" s="138"/>
      <c r="M70" s="138"/>
      <c r="N70" s="138"/>
      <c r="O70" s="138"/>
      <c r="P70" s="138"/>
      <c r="Q70" s="138"/>
      <c r="R70" s="139"/>
      <c r="S70" s="139"/>
      <c r="T70" s="149"/>
      <c r="U70" s="149"/>
      <c r="V70" s="149"/>
      <c r="W70" s="149"/>
      <c r="X70" s="149"/>
      <c r="Y70" s="255">
        <f t="shared" si="13"/>
        <v>0</v>
      </c>
      <c r="Z70" s="335">
        <f t="shared" si="14"/>
        <v>0</v>
      </c>
      <c r="AA70" s="323">
        <f t="shared" si="11"/>
        <v>0</v>
      </c>
      <c r="AB70" s="314"/>
      <c r="AC70" s="314"/>
      <c r="AD70" s="326">
        <f t="shared" si="12"/>
        <v>0</v>
      </c>
      <c r="AF70" s="11"/>
      <c r="AG70" s="24"/>
      <c r="AH70" s="64">
        <f t="shared" si="15"/>
        <v>43390</v>
      </c>
      <c r="AI70" s="698"/>
      <c r="AJ70" s="699"/>
      <c r="AK70" s="699"/>
      <c r="AL70" s="699"/>
      <c r="AM70" s="699"/>
      <c r="AN70" s="699"/>
      <c r="AO70" s="699"/>
      <c r="AP70" s="699"/>
      <c r="AQ70" s="699"/>
      <c r="AR70" s="699"/>
      <c r="AS70" s="699"/>
      <c r="AT70" s="699"/>
      <c r="AU70" s="699"/>
      <c r="AV70" s="699"/>
      <c r="AW70" s="699"/>
      <c r="AX70" s="700"/>
      <c r="AY70" s="700"/>
      <c r="AZ70" s="701"/>
    </row>
    <row r="71" spans="1:52" ht="29.25" customHeight="1" thickBot="1">
      <c r="A71" s="64">
        <f t="shared" si="10"/>
        <v>44883</v>
      </c>
      <c r="B71" s="137"/>
      <c r="C71" s="138"/>
      <c r="D71" s="138"/>
      <c r="E71" s="138"/>
      <c r="F71" s="138"/>
      <c r="G71" s="138"/>
      <c r="H71" s="138"/>
      <c r="I71" s="138"/>
      <c r="J71" s="138"/>
      <c r="K71" s="138"/>
      <c r="L71" s="138"/>
      <c r="M71" s="138"/>
      <c r="N71" s="138"/>
      <c r="O71" s="138"/>
      <c r="P71" s="138"/>
      <c r="Q71" s="138"/>
      <c r="R71" s="139"/>
      <c r="S71" s="139"/>
      <c r="T71" s="149"/>
      <c r="U71" s="149"/>
      <c r="V71" s="149"/>
      <c r="W71" s="149"/>
      <c r="X71" s="149"/>
      <c r="Y71" s="255">
        <f t="shared" si="13"/>
        <v>0</v>
      </c>
      <c r="Z71" s="335">
        <f t="shared" si="14"/>
        <v>0</v>
      </c>
      <c r="AA71" s="323">
        <f t="shared" si="11"/>
        <v>0</v>
      </c>
      <c r="AB71" s="314"/>
      <c r="AC71" s="314"/>
      <c r="AD71" s="326">
        <f t="shared" si="12"/>
        <v>0</v>
      </c>
      <c r="AF71" s="11"/>
      <c r="AG71" s="24"/>
      <c r="AH71" s="64">
        <f t="shared" si="15"/>
        <v>43391</v>
      </c>
      <c r="AI71" s="698"/>
      <c r="AJ71" s="699"/>
      <c r="AK71" s="699"/>
      <c r="AL71" s="699"/>
      <c r="AM71" s="699"/>
      <c r="AN71" s="699"/>
      <c r="AO71" s="699"/>
      <c r="AP71" s="699"/>
      <c r="AQ71" s="699"/>
      <c r="AR71" s="699"/>
      <c r="AS71" s="699"/>
      <c r="AT71" s="699"/>
      <c r="AU71" s="699"/>
      <c r="AV71" s="699"/>
      <c r="AW71" s="699"/>
      <c r="AX71" s="700"/>
      <c r="AY71" s="700"/>
      <c r="AZ71" s="701"/>
    </row>
    <row r="72" spans="1:52" ht="29.25" customHeight="1" thickBot="1">
      <c r="A72" s="64">
        <f t="shared" si="10"/>
        <v>44884</v>
      </c>
      <c r="B72" s="137"/>
      <c r="C72" s="138"/>
      <c r="D72" s="138"/>
      <c r="E72" s="138"/>
      <c r="F72" s="138"/>
      <c r="G72" s="138"/>
      <c r="H72" s="138"/>
      <c r="I72" s="138"/>
      <c r="J72" s="138"/>
      <c r="K72" s="138"/>
      <c r="L72" s="138"/>
      <c r="M72" s="138"/>
      <c r="N72" s="138"/>
      <c r="O72" s="138"/>
      <c r="P72" s="138"/>
      <c r="Q72" s="138"/>
      <c r="R72" s="139"/>
      <c r="S72" s="139"/>
      <c r="T72" s="149"/>
      <c r="U72" s="149"/>
      <c r="V72" s="149"/>
      <c r="W72" s="149"/>
      <c r="X72" s="149"/>
      <c r="Y72" s="255">
        <f t="shared" si="13"/>
        <v>0</v>
      </c>
      <c r="Z72" s="335">
        <f t="shared" si="14"/>
        <v>0</v>
      </c>
      <c r="AA72" s="323">
        <f t="shared" si="11"/>
        <v>0</v>
      </c>
      <c r="AB72" s="314"/>
      <c r="AC72" s="314"/>
      <c r="AD72" s="326">
        <f t="shared" si="12"/>
        <v>0</v>
      </c>
      <c r="AF72" s="11"/>
      <c r="AG72" s="24"/>
      <c r="AH72" s="64">
        <f t="shared" si="15"/>
        <v>43392</v>
      </c>
      <c r="AI72" s="698"/>
      <c r="AJ72" s="699"/>
      <c r="AK72" s="699"/>
      <c r="AL72" s="699"/>
      <c r="AM72" s="699"/>
      <c r="AN72" s="699"/>
      <c r="AO72" s="699"/>
      <c r="AP72" s="699"/>
      <c r="AQ72" s="699"/>
      <c r="AR72" s="699"/>
      <c r="AS72" s="699"/>
      <c r="AT72" s="699"/>
      <c r="AU72" s="699"/>
      <c r="AV72" s="699"/>
      <c r="AW72" s="699"/>
      <c r="AX72" s="700"/>
      <c r="AY72" s="700"/>
      <c r="AZ72" s="701"/>
    </row>
    <row r="73" spans="1:52" ht="29.25" customHeight="1" thickBot="1">
      <c r="A73" s="64">
        <f t="shared" si="10"/>
        <v>44885</v>
      </c>
      <c r="B73" s="137"/>
      <c r="C73" s="138"/>
      <c r="D73" s="138"/>
      <c r="E73" s="138"/>
      <c r="F73" s="138"/>
      <c r="G73" s="138"/>
      <c r="H73" s="138"/>
      <c r="I73" s="138"/>
      <c r="J73" s="138"/>
      <c r="K73" s="138"/>
      <c r="L73" s="138"/>
      <c r="M73" s="138"/>
      <c r="N73" s="138"/>
      <c r="O73" s="138"/>
      <c r="P73" s="138"/>
      <c r="Q73" s="138"/>
      <c r="R73" s="139"/>
      <c r="S73" s="139"/>
      <c r="T73" s="149"/>
      <c r="U73" s="149"/>
      <c r="V73" s="149"/>
      <c r="W73" s="149"/>
      <c r="X73" s="149"/>
      <c r="Y73" s="255">
        <f t="shared" si="13"/>
        <v>0</v>
      </c>
      <c r="Z73" s="335">
        <f t="shared" si="14"/>
        <v>0</v>
      </c>
      <c r="AA73" s="323">
        <f t="shared" si="11"/>
        <v>0</v>
      </c>
      <c r="AB73" s="314"/>
      <c r="AC73" s="314"/>
      <c r="AD73" s="326">
        <f t="shared" si="12"/>
        <v>0</v>
      </c>
      <c r="AF73" s="11"/>
      <c r="AG73" s="24"/>
      <c r="AH73" s="64">
        <f t="shared" si="15"/>
        <v>43393</v>
      </c>
      <c r="AI73" s="698"/>
      <c r="AJ73" s="699"/>
      <c r="AK73" s="699"/>
      <c r="AL73" s="699"/>
      <c r="AM73" s="699"/>
      <c r="AN73" s="699"/>
      <c r="AO73" s="699"/>
      <c r="AP73" s="699"/>
      <c r="AQ73" s="699"/>
      <c r="AR73" s="699"/>
      <c r="AS73" s="699"/>
      <c r="AT73" s="699"/>
      <c r="AU73" s="699"/>
      <c r="AV73" s="699"/>
      <c r="AW73" s="699"/>
      <c r="AX73" s="700"/>
      <c r="AY73" s="700"/>
      <c r="AZ73" s="701"/>
    </row>
    <row r="74" spans="1:52" ht="29.25" customHeight="1" thickBot="1">
      <c r="A74" s="64">
        <f t="shared" si="10"/>
        <v>44886</v>
      </c>
      <c r="B74" s="137"/>
      <c r="C74" s="138"/>
      <c r="D74" s="138"/>
      <c r="E74" s="138"/>
      <c r="F74" s="138"/>
      <c r="G74" s="138"/>
      <c r="H74" s="138"/>
      <c r="I74" s="138"/>
      <c r="J74" s="138"/>
      <c r="K74" s="138"/>
      <c r="L74" s="138"/>
      <c r="M74" s="138"/>
      <c r="N74" s="138"/>
      <c r="O74" s="138"/>
      <c r="P74" s="138"/>
      <c r="Q74" s="138"/>
      <c r="R74" s="139"/>
      <c r="S74" s="139"/>
      <c r="T74" s="149"/>
      <c r="U74" s="149"/>
      <c r="V74" s="149"/>
      <c r="W74" s="149"/>
      <c r="X74" s="149"/>
      <c r="Y74" s="255">
        <f t="shared" si="13"/>
        <v>0</v>
      </c>
      <c r="Z74" s="335">
        <f t="shared" si="14"/>
        <v>0</v>
      </c>
      <c r="AA74" s="323">
        <f t="shared" si="11"/>
        <v>0</v>
      </c>
      <c r="AB74" s="314"/>
      <c r="AC74" s="314"/>
      <c r="AD74" s="326">
        <f t="shared" si="12"/>
        <v>0</v>
      </c>
      <c r="AF74" s="11"/>
      <c r="AG74" s="24"/>
      <c r="AH74" s="64">
        <f t="shared" si="15"/>
        <v>43394</v>
      </c>
      <c r="AI74" s="698"/>
      <c r="AJ74" s="699"/>
      <c r="AK74" s="699"/>
      <c r="AL74" s="699"/>
      <c r="AM74" s="699"/>
      <c r="AN74" s="699"/>
      <c r="AO74" s="699"/>
      <c r="AP74" s="699"/>
      <c r="AQ74" s="699"/>
      <c r="AR74" s="699"/>
      <c r="AS74" s="699"/>
      <c r="AT74" s="699"/>
      <c r="AU74" s="699"/>
      <c r="AV74" s="699"/>
      <c r="AW74" s="699"/>
      <c r="AX74" s="700"/>
      <c r="AY74" s="700"/>
      <c r="AZ74" s="701"/>
    </row>
    <row r="75" spans="1:52" ht="29.25" customHeight="1" thickBot="1">
      <c r="A75" s="64">
        <f t="shared" si="10"/>
        <v>44887</v>
      </c>
      <c r="B75" s="137"/>
      <c r="C75" s="138"/>
      <c r="D75" s="138"/>
      <c r="E75" s="138"/>
      <c r="F75" s="138"/>
      <c r="G75" s="138"/>
      <c r="H75" s="138"/>
      <c r="I75" s="138"/>
      <c r="J75" s="138"/>
      <c r="K75" s="138"/>
      <c r="L75" s="138"/>
      <c r="M75" s="138"/>
      <c r="N75" s="138"/>
      <c r="O75" s="138"/>
      <c r="P75" s="138"/>
      <c r="Q75" s="138"/>
      <c r="R75" s="139"/>
      <c r="S75" s="139"/>
      <c r="T75" s="149"/>
      <c r="U75" s="149"/>
      <c r="V75" s="149"/>
      <c r="W75" s="149"/>
      <c r="X75" s="149"/>
      <c r="Y75" s="255">
        <f t="shared" si="13"/>
        <v>0</v>
      </c>
      <c r="Z75" s="335">
        <f t="shared" si="14"/>
        <v>0</v>
      </c>
      <c r="AA75" s="323">
        <f t="shared" si="11"/>
        <v>0</v>
      </c>
      <c r="AB75" s="314"/>
      <c r="AC75" s="314"/>
      <c r="AD75" s="326">
        <f t="shared" si="12"/>
        <v>0</v>
      </c>
      <c r="AF75" s="11"/>
      <c r="AG75" s="24"/>
      <c r="AH75" s="64">
        <f t="shared" si="15"/>
        <v>43395</v>
      </c>
      <c r="AI75" s="698"/>
      <c r="AJ75" s="699"/>
      <c r="AK75" s="699"/>
      <c r="AL75" s="699"/>
      <c r="AM75" s="699"/>
      <c r="AN75" s="699"/>
      <c r="AO75" s="699"/>
      <c r="AP75" s="699"/>
      <c r="AQ75" s="699"/>
      <c r="AR75" s="699"/>
      <c r="AS75" s="699"/>
      <c r="AT75" s="699"/>
      <c r="AU75" s="699"/>
      <c r="AV75" s="699"/>
      <c r="AW75" s="699"/>
      <c r="AX75" s="700"/>
      <c r="AY75" s="700"/>
      <c r="AZ75" s="701"/>
    </row>
    <row r="76" spans="1:52" ht="29.25" customHeight="1" thickBot="1">
      <c r="A76" s="64">
        <f t="shared" si="10"/>
        <v>44888</v>
      </c>
      <c r="B76" s="137"/>
      <c r="C76" s="138"/>
      <c r="D76" s="138"/>
      <c r="E76" s="138"/>
      <c r="F76" s="138"/>
      <c r="G76" s="138"/>
      <c r="H76" s="138"/>
      <c r="I76" s="138"/>
      <c r="J76" s="138"/>
      <c r="K76" s="138"/>
      <c r="L76" s="138"/>
      <c r="M76" s="138"/>
      <c r="N76" s="138"/>
      <c r="O76" s="138"/>
      <c r="P76" s="138"/>
      <c r="Q76" s="138"/>
      <c r="R76" s="139"/>
      <c r="S76" s="139"/>
      <c r="T76" s="149"/>
      <c r="U76" s="149"/>
      <c r="V76" s="149"/>
      <c r="W76" s="149"/>
      <c r="X76" s="149"/>
      <c r="Y76" s="255">
        <f t="shared" si="13"/>
        <v>0</v>
      </c>
      <c r="Z76" s="335">
        <f t="shared" si="14"/>
        <v>0</v>
      </c>
      <c r="AA76" s="323">
        <f t="shared" si="11"/>
        <v>0</v>
      </c>
      <c r="AB76" s="314"/>
      <c r="AC76" s="314"/>
      <c r="AD76" s="326">
        <f t="shared" si="12"/>
        <v>0</v>
      </c>
      <c r="AF76" s="11"/>
      <c r="AG76" s="24"/>
      <c r="AH76" s="64">
        <f t="shared" si="15"/>
        <v>43396</v>
      </c>
      <c r="AI76" s="698"/>
      <c r="AJ76" s="699"/>
      <c r="AK76" s="699"/>
      <c r="AL76" s="699"/>
      <c r="AM76" s="699"/>
      <c r="AN76" s="699"/>
      <c r="AO76" s="699"/>
      <c r="AP76" s="699"/>
      <c r="AQ76" s="699"/>
      <c r="AR76" s="699"/>
      <c r="AS76" s="699"/>
      <c r="AT76" s="699"/>
      <c r="AU76" s="699"/>
      <c r="AV76" s="699"/>
      <c r="AW76" s="699"/>
      <c r="AX76" s="700"/>
      <c r="AY76" s="700"/>
      <c r="AZ76" s="701"/>
    </row>
    <row r="77" spans="1:52" ht="29.25" customHeight="1" thickBot="1">
      <c r="A77" s="64">
        <f t="shared" si="10"/>
        <v>44889</v>
      </c>
      <c r="B77" s="137"/>
      <c r="C77" s="138"/>
      <c r="D77" s="138"/>
      <c r="E77" s="138"/>
      <c r="F77" s="138"/>
      <c r="G77" s="138"/>
      <c r="H77" s="138"/>
      <c r="I77" s="138"/>
      <c r="J77" s="138"/>
      <c r="K77" s="138"/>
      <c r="L77" s="138"/>
      <c r="M77" s="138"/>
      <c r="N77" s="138"/>
      <c r="O77" s="138"/>
      <c r="P77" s="138"/>
      <c r="Q77" s="138"/>
      <c r="R77" s="139"/>
      <c r="S77" s="139"/>
      <c r="T77" s="149"/>
      <c r="U77" s="149"/>
      <c r="V77" s="149"/>
      <c r="W77" s="149"/>
      <c r="X77" s="149"/>
      <c r="Y77" s="255">
        <f t="shared" si="13"/>
        <v>0</v>
      </c>
      <c r="Z77" s="335">
        <f t="shared" si="14"/>
        <v>0</v>
      </c>
      <c r="AA77" s="323">
        <f t="shared" si="11"/>
        <v>0</v>
      </c>
      <c r="AB77" s="314"/>
      <c r="AC77" s="314"/>
      <c r="AD77" s="326">
        <f t="shared" si="12"/>
        <v>0</v>
      </c>
      <c r="AF77" s="11"/>
      <c r="AG77" s="24"/>
      <c r="AH77" s="64">
        <f t="shared" si="15"/>
        <v>43397</v>
      </c>
      <c r="AI77" s="698"/>
      <c r="AJ77" s="699"/>
      <c r="AK77" s="699"/>
      <c r="AL77" s="699"/>
      <c r="AM77" s="699"/>
      <c r="AN77" s="699"/>
      <c r="AO77" s="699"/>
      <c r="AP77" s="699"/>
      <c r="AQ77" s="699"/>
      <c r="AR77" s="699"/>
      <c r="AS77" s="699"/>
      <c r="AT77" s="699"/>
      <c r="AU77" s="699"/>
      <c r="AV77" s="699"/>
      <c r="AW77" s="699"/>
      <c r="AX77" s="700"/>
      <c r="AY77" s="700"/>
      <c r="AZ77" s="701"/>
    </row>
    <row r="78" spans="1:52" ht="29.25" customHeight="1" thickBot="1">
      <c r="A78" s="64">
        <f t="shared" si="10"/>
        <v>44890</v>
      </c>
      <c r="B78" s="137"/>
      <c r="C78" s="138"/>
      <c r="D78" s="138"/>
      <c r="E78" s="138"/>
      <c r="F78" s="138"/>
      <c r="G78" s="138"/>
      <c r="H78" s="138"/>
      <c r="I78" s="138"/>
      <c r="J78" s="138"/>
      <c r="K78" s="138"/>
      <c r="L78" s="138"/>
      <c r="M78" s="138"/>
      <c r="N78" s="138"/>
      <c r="O78" s="138"/>
      <c r="P78" s="138"/>
      <c r="Q78" s="138"/>
      <c r="R78" s="139"/>
      <c r="S78" s="139"/>
      <c r="T78" s="149"/>
      <c r="U78" s="149"/>
      <c r="V78" s="149"/>
      <c r="W78" s="149"/>
      <c r="X78" s="149"/>
      <c r="Y78" s="255">
        <f t="shared" si="13"/>
        <v>0</v>
      </c>
      <c r="Z78" s="335">
        <f t="shared" si="14"/>
        <v>0</v>
      </c>
      <c r="AA78" s="323">
        <f t="shared" si="11"/>
        <v>0</v>
      </c>
      <c r="AB78" s="314"/>
      <c r="AC78" s="314"/>
      <c r="AD78" s="326">
        <f t="shared" si="12"/>
        <v>0</v>
      </c>
      <c r="AF78" s="11"/>
      <c r="AG78" s="24"/>
      <c r="AH78" s="64">
        <f t="shared" si="15"/>
        <v>43398</v>
      </c>
      <c r="AI78" s="698"/>
      <c r="AJ78" s="699"/>
      <c r="AK78" s="699"/>
      <c r="AL78" s="699"/>
      <c r="AM78" s="699"/>
      <c r="AN78" s="699"/>
      <c r="AO78" s="699"/>
      <c r="AP78" s="699"/>
      <c r="AQ78" s="699"/>
      <c r="AR78" s="699"/>
      <c r="AS78" s="699"/>
      <c r="AT78" s="699"/>
      <c r="AU78" s="699"/>
      <c r="AV78" s="699"/>
      <c r="AW78" s="699"/>
      <c r="AX78" s="700"/>
      <c r="AY78" s="700"/>
      <c r="AZ78" s="701"/>
    </row>
    <row r="79" spans="1:52" ht="29.25" customHeight="1" thickBot="1">
      <c r="A79" s="64">
        <f t="shared" si="10"/>
        <v>44891</v>
      </c>
      <c r="B79" s="137"/>
      <c r="C79" s="138"/>
      <c r="D79" s="138"/>
      <c r="E79" s="138"/>
      <c r="F79" s="138"/>
      <c r="G79" s="138"/>
      <c r="H79" s="138"/>
      <c r="I79" s="138"/>
      <c r="J79" s="138"/>
      <c r="K79" s="138"/>
      <c r="L79" s="138"/>
      <c r="M79" s="138"/>
      <c r="N79" s="138"/>
      <c r="O79" s="138"/>
      <c r="P79" s="138"/>
      <c r="Q79" s="138"/>
      <c r="R79" s="139"/>
      <c r="S79" s="139"/>
      <c r="T79" s="149"/>
      <c r="U79" s="149"/>
      <c r="V79" s="149"/>
      <c r="W79" s="149"/>
      <c r="X79" s="149"/>
      <c r="Y79" s="255">
        <f t="shared" si="13"/>
        <v>0</v>
      </c>
      <c r="Z79" s="335">
        <f t="shared" si="14"/>
        <v>0</v>
      </c>
      <c r="AA79" s="323">
        <f t="shared" si="11"/>
        <v>0</v>
      </c>
      <c r="AB79" s="314"/>
      <c r="AC79" s="314"/>
      <c r="AD79" s="326">
        <f t="shared" si="12"/>
        <v>0</v>
      </c>
      <c r="AF79" s="11"/>
      <c r="AG79" s="24"/>
      <c r="AH79" s="64">
        <f t="shared" si="15"/>
        <v>43399</v>
      </c>
      <c r="AI79" s="698"/>
      <c r="AJ79" s="699"/>
      <c r="AK79" s="699"/>
      <c r="AL79" s="699"/>
      <c r="AM79" s="699"/>
      <c r="AN79" s="699"/>
      <c r="AO79" s="699"/>
      <c r="AP79" s="699"/>
      <c r="AQ79" s="699"/>
      <c r="AR79" s="699"/>
      <c r="AS79" s="699"/>
      <c r="AT79" s="699"/>
      <c r="AU79" s="699"/>
      <c r="AV79" s="699"/>
      <c r="AW79" s="699"/>
      <c r="AX79" s="700"/>
      <c r="AY79" s="700"/>
      <c r="AZ79" s="701"/>
    </row>
    <row r="80" spans="1:52" ht="29.25" customHeight="1" thickBot="1">
      <c r="A80" s="64">
        <f t="shared" si="10"/>
        <v>44892</v>
      </c>
      <c r="B80" s="137"/>
      <c r="C80" s="138"/>
      <c r="D80" s="138"/>
      <c r="E80" s="138"/>
      <c r="F80" s="138"/>
      <c r="G80" s="138"/>
      <c r="H80" s="138"/>
      <c r="I80" s="138"/>
      <c r="J80" s="138"/>
      <c r="K80" s="138"/>
      <c r="L80" s="138"/>
      <c r="M80" s="138"/>
      <c r="N80" s="138"/>
      <c r="O80" s="138"/>
      <c r="P80" s="138"/>
      <c r="Q80" s="138"/>
      <c r="R80" s="139"/>
      <c r="S80" s="139"/>
      <c r="T80" s="149"/>
      <c r="U80" s="149"/>
      <c r="V80" s="149"/>
      <c r="W80" s="149"/>
      <c r="X80" s="149"/>
      <c r="Y80" s="255">
        <f t="shared" si="13"/>
        <v>0</v>
      </c>
      <c r="Z80" s="335">
        <f t="shared" si="14"/>
        <v>0</v>
      </c>
      <c r="AA80" s="323">
        <f t="shared" si="11"/>
        <v>0</v>
      </c>
      <c r="AB80" s="314"/>
      <c r="AC80" s="314"/>
      <c r="AD80" s="326">
        <f t="shared" si="12"/>
        <v>0</v>
      </c>
      <c r="AF80" s="11"/>
      <c r="AG80" s="24"/>
      <c r="AH80" s="64">
        <f t="shared" si="15"/>
        <v>43400</v>
      </c>
      <c r="AI80" s="698"/>
      <c r="AJ80" s="699"/>
      <c r="AK80" s="699"/>
      <c r="AL80" s="699"/>
      <c r="AM80" s="699"/>
      <c r="AN80" s="699"/>
      <c r="AO80" s="699"/>
      <c r="AP80" s="699"/>
      <c r="AQ80" s="699"/>
      <c r="AR80" s="699"/>
      <c r="AS80" s="699"/>
      <c r="AT80" s="699"/>
      <c r="AU80" s="699"/>
      <c r="AV80" s="699"/>
      <c r="AW80" s="699"/>
      <c r="AX80" s="700"/>
      <c r="AY80" s="700"/>
      <c r="AZ80" s="701"/>
    </row>
    <row r="81" spans="1:52" ht="29.25" customHeight="1" thickBot="1">
      <c r="A81" s="64">
        <f t="shared" si="10"/>
        <v>44893</v>
      </c>
      <c r="B81" s="137"/>
      <c r="C81" s="138"/>
      <c r="D81" s="138"/>
      <c r="E81" s="138"/>
      <c r="F81" s="138"/>
      <c r="G81" s="138"/>
      <c r="H81" s="138"/>
      <c r="I81" s="138"/>
      <c r="J81" s="138"/>
      <c r="K81" s="138"/>
      <c r="L81" s="138"/>
      <c r="M81" s="138"/>
      <c r="N81" s="138"/>
      <c r="O81" s="138"/>
      <c r="P81" s="138"/>
      <c r="Q81" s="138"/>
      <c r="R81" s="139"/>
      <c r="S81" s="139"/>
      <c r="T81" s="149"/>
      <c r="U81" s="149"/>
      <c r="V81" s="149"/>
      <c r="W81" s="149"/>
      <c r="X81" s="149"/>
      <c r="Y81" s="255">
        <f t="shared" si="13"/>
        <v>0</v>
      </c>
      <c r="Z81" s="335">
        <f t="shared" si="14"/>
        <v>0</v>
      </c>
      <c r="AA81" s="323">
        <f t="shared" si="11"/>
        <v>0</v>
      </c>
      <c r="AB81" s="314"/>
      <c r="AC81" s="314"/>
      <c r="AD81" s="326">
        <f t="shared" si="12"/>
        <v>0</v>
      </c>
      <c r="AF81" s="11"/>
      <c r="AG81" s="24"/>
      <c r="AH81" s="64">
        <f t="shared" si="15"/>
        <v>43401</v>
      </c>
      <c r="AI81" s="698"/>
      <c r="AJ81" s="699"/>
      <c r="AK81" s="699"/>
      <c r="AL81" s="699"/>
      <c r="AM81" s="699"/>
      <c r="AN81" s="699"/>
      <c r="AO81" s="699"/>
      <c r="AP81" s="699"/>
      <c r="AQ81" s="699"/>
      <c r="AR81" s="699"/>
      <c r="AS81" s="699"/>
      <c r="AT81" s="699"/>
      <c r="AU81" s="699"/>
      <c r="AV81" s="699"/>
      <c r="AW81" s="699"/>
      <c r="AX81" s="700"/>
      <c r="AY81" s="700"/>
      <c r="AZ81" s="701"/>
    </row>
    <row r="82" spans="1:52" ht="29.25" customHeight="1" thickBot="1">
      <c r="A82" s="64">
        <f t="shared" si="10"/>
        <v>44894</v>
      </c>
      <c r="B82" s="137"/>
      <c r="C82" s="138"/>
      <c r="D82" s="138"/>
      <c r="E82" s="138"/>
      <c r="F82" s="138"/>
      <c r="G82" s="138"/>
      <c r="H82" s="138"/>
      <c r="I82" s="138"/>
      <c r="J82" s="138"/>
      <c r="K82" s="138"/>
      <c r="L82" s="138"/>
      <c r="M82" s="138"/>
      <c r="N82" s="138"/>
      <c r="O82" s="138"/>
      <c r="P82" s="138"/>
      <c r="Q82" s="138"/>
      <c r="R82" s="139"/>
      <c r="S82" s="139"/>
      <c r="T82" s="149"/>
      <c r="U82" s="149"/>
      <c r="V82" s="149"/>
      <c r="W82" s="149"/>
      <c r="X82" s="149"/>
      <c r="Y82" s="255">
        <f t="shared" si="13"/>
        <v>0</v>
      </c>
      <c r="Z82" s="335">
        <f t="shared" si="14"/>
        <v>0</v>
      </c>
      <c r="AA82" s="323">
        <f t="shared" si="11"/>
        <v>0</v>
      </c>
      <c r="AB82" s="314"/>
      <c r="AC82" s="314"/>
      <c r="AD82" s="326">
        <f t="shared" si="12"/>
        <v>0</v>
      </c>
      <c r="AF82" s="11"/>
      <c r="AG82" s="24"/>
      <c r="AH82" s="64">
        <f>AH81+1</f>
        <v>43402</v>
      </c>
      <c r="AI82" s="698"/>
      <c r="AJ82" s="699"/>
      <c r="AK82" s="699"/>
      <c r="AL82" s="699"/>
      <c r="AM82" s="699"/>
      <c r="AN82" s="699"/>
      <c r="AO82" s="699"/>
      <c r="AP82" s="699"/>
      <c r="AQ82" s="699"/>
      <c r="AR82" s="699"/>
      <c r="AS82" s="699"/>
      <c r="AT82" s="699"/>
      <c r="AU82" s="699"/>
      <c r="AV82" s="699"/>
      <c r="AW82" s="699"/>
      <c r="AX82" s="700"/>
      <c r="AY82" s="700"/>
      <c r="AZ82" s="701"/>
    </row>
    <row r="83" spans="1:52" ht="29.25" customHeight="1" thickBot="1">
      <c r="A83" s="64">
        <f t="shared" si="10"/>
        <v>44895</v>
      </c>
      <c r="B83" s="137"/>
      <c r="C83" s="138"/>
      <c r="D83" s="138"/>
      <c r="E83" s="138"/>
      <c r="F83" s="138"/>
      <c r="G83" s="138"/>
      <c r="H83" s="138"/>
      <c r="I83" s="138"/>
      <c r="J83" s="138"/>
      <c r="K83" s="138"/>
      <c r="L83" s="138"/>
      <c r="M83" s="138"/>
      <c r="N83" s="138"/>
      <c r="O83" s="138"/>
      <c r="P83" s="138"/>
      <c r="Q83" s="138"/>
      <c r="R83" s="139"/>
      <c r="S83" s="139"/>
      <c r="T83" s="149"/>
      <c r="U83" s="149"/>
      <c r="V83" s="149"/>
      <c r="W83" s="149"/>
      <c r="X83" s="149"/>
      <c r="Y83" s="255">
        <f t="shared" si="13"/>
        <v>0</v>
      </c>
      <c r="Z83" s="335">
        <f t="shared" si="14"/>
        <v>0</v>
      </c>
      <c r="AA83" s="323">
        <f t="shared" si="11"/>
        <v>0</v>
      </c>
      <c r="AB83" s="314"/>
      <c r="AC83" s="314"/>
      <c r="AD83" s="326">
        <f t="shared" si="12"/>
        <v>0</v>
      </c>
      <c r="AF83" s="11"/>
      <c r="AG83" s="24"/>
      <c r="AH83" s="64">
        <f t="shared" si="15"/>
        <v>43403</v>
      </c>
      <c r="AI83" s="698"/>
      <c r="AJ83" s="699"/>
      <c r="AK83" s="699"/>
      <c r="AL83" s="699"/>
      <c r="AM83" s="699"/>
      <c r="AN83" s="699"/>
      <c r="AO83" s="699"/>
      <c r="AP83" s="699"/>
      <c r="AQ83" s="699"/>
      <c r="AR83" s="699"/>
      <c r="AS83" s="699"/>
      <c r="AT83" s="699"/>
      <c r="AU83" s="699"/>
      <c r="AV83" s="699"/>
      <c r="AW83" s="699"/>
      <c r="AX83" s="700"/>
      <c r="AY83" s="700"/>
      <c r="AZ83" s="701"/>
    </row>
    <row r="84" spans="1:52" ht="29.25" customHeight="1" thickBot="1">
      <c r="A84" s="64">
        <f t="shared" si="10"/>
        <v>44896</v>
      </c>
      <c r="B84" s="137"/>
      <c r="C84" s="138"/>
      <c r="D84" s="138"/>
      <c r="E84" s="138"/>
      <c r="F84" s="138"/>
      <c r="G84" s="138"/>
      <c r="H84" s="138"/>
      <c r="I84" s="138"/>
      <c r="J84" s="138"/>
      <c r="K84" s="138"/>
      <c r="L84" s="138"/>
      <c r="M84" s="138"/>
      <c r="N84" s="138"/>
      <c r="O84" s="138"/>
      <c r="P84" s="138"/>
      <c r="Q84" s="138"/>
      <c r="R84" s="139"/>
      <c r="S84" s="142"/>
      <c r="T84" s="152"/>
      <c r="U84" s="152"/>
      <c r="V84" s="152"/>
      <c r="W84" s="152"/>
      <c r="X84" s="152"/>
      <c r="Y84" s="255">
        <f t="shared" si="13"/>
        <v>0</v>
      </c>
      <c r="Z84" s="336">
        <f t="shared" si="14"/>
        <v>0</v>
      </c>
      <c r="AA84" s="324">
        <f t="shared" si="11"/>
        <v>0</v>
      </c>
      <c r="AB84" s="315"/>
      <c r="AC84" s="315">
        <f>Y87</f>
        <v>0</v>
      </c>
      <c r="AD84" s="327">
        <f t="shared" si="12"/>
        <v>0</v>
      </c>
      <c r="AF84" s="11"/>
      <c r="AG84" s="24"/>
      <c r="AH84" s="65">
        <f t="shared" si="15"/>
        <v>43404</v>
      </c>
      <c r="AI84" s="702"/>
      <c r="AJ84" s="703"/>
      <c r="AK84" s="703"/>
      <c r="AL84" s="703"/>
      <c r="AM84" s="703"/>
      <c r="AN84" s="703"/>
      <c r="AO84" s="703"/>
      <c r="AP84" s="703"/>
      <c r="AQ84" s="703"/>
      <c r="AR84" s="703"/>
      <c r="AS84" s="703"/>
      <c r="AT84" s="703"/>
      <c r="AU84" s="703"/>
      <c r="AV84" s="703"/>
      <c r="AW84" s="703"/>
      <c r="AX84" s="704"/>
      <c r="AY84" s="704"/>
      <c r="AZ84" s="705"/>
    </row>
    <row r="85" spans="1:52" ht="50.1" customHeight="1" thickTop="1" thickBot="1">
      <c r="A85" s="91" t="s">
        <v>101</v>
      </c>
      <c r="B85" s="90">
        <f>SUM(B54:B84)</f>
        <v>0</v>
      </c>
      <c r="C85" s="90">
        <f t="shared" ref="C85:Y85" si="16">SUM(C54:C84)</f>
        <v>0</v>
      </c>
      <c r="D85" s="90">
        <f t="shared" si="16"/>
        <v>0</v>
      </c>
      <c r="E85" s="90">
        <f t="shared" si="16"/>
        <v>0</v>
      </c>
      <c r="F85" s="90">
        <f t="shared" si="16"/>
        <v>0</v>
      </c>
      <c r="G85" s="90">
        <f t="shared" si="16"/>
        <v>0</v>
      </c>
      <c r="H85" s="90">
        <f t="shared" si="16"/>
        <v>0</v>
      </c>
      <c r="I85" s="90">
        <f t="shared" si="16"/>
        <v>0</v>
      </c>
      <c r="J85" s="90">
        <f t="shared" si="16"/>
        <v>0</v>
      </c>
      <c r="K85" s="90">
        <f t="shared" si="16"/>
        <v>0</v>
      </c>
      <c r="L85" s="90">
        <f t="shared" si="16"/>
        <v>0</v>
      </c>
      <c r="M85" s="90">
        <f t="shared" si="16"/>
        <v>0</v>
      </c>
      <c r="N85" s="90">
        <f t="shared" si="16"/>
        <v>0</v>
      </c>
      <c r="O85" s="90">
        <f t="shared" si="16"/>
        <v>0</v>
      </c>
      <c r="P85" s="90"/>
      <c r="Q85" s="90">
        <f t="shared" si="16"/>
        <v>0</v>
      </c>
      <c r="R85" s="94">
        <f t="shared" si="16"/>
        <v>0</v>
      </c>
      <c r="S85" s="94">
        <f t="shared" si="16"/>
        <v>0</v>
      </c>
      <c r="T85" s="94"/>
      <c r="U85" s="94"/>
      <c r="V85" s="94"/>
      <c r="W85" s="94"/>
      <c r="X85" s="94"/>
      <c r="Y85" s="271">
        <f t="shared" si="16"/>
        <v>0</v>
      </c>
      <c r="Z85" s="264"/>
      <c r="AA85" s="265"/>
      <c r="AB85" s="315">
        <f>SUM(AB54:AB84)</f>
        <v>0</v>
      </c>
      <c r="AC85" s="315"/>
      <c r="AD85" s="266"/>
      <c r="AF85" s="9"/>
      <c r="AG85" s="9"/>
      <c r="AH85" s="706" t="s">
        <v>101</v>
      </c>
      <c r="AI85" s="707">
        <f>SUM(AI54:AI84)</f>
        <v>0</v>
      </c>
      <c r="AJ85" s="707">
        <f>SUM(AJ54:AJ84)</f>
        <v>0</v>
      </c>
      <c r="AK85" s="707">
        <f t="shared" ref="AK85:AZ85" si="17">SUM(AK54:AK84)</f>
        <v>0</v>
      </c>
      <c r="AL85" s="707">
        <f t="shared" si="17"/>
        <v>0</v>
      </c>
      <c r="AM85" s="707">
        <f t="shared" si="17"/>
        <v>0</v>
      </c>
      <c r="AN85" s="707">
        <f t="shared" si="17"/>
        <v>0</v>
      </c>
      <c r="AO85" s="707">
        <f t="shared" si="17"/>
        <v>0</v>
      </c>
      <c r="AP85" s="707">
        <f t="shared" si="17"/>
        <v>0</v>
      </c>
      <c r="AQ85" s="707">
        <f t="shared" si="17"/>
        <v>0</v>
      </c>
      <c r="AR85" s="707">
        <f t="shared" si="17"/>
        <v>0</v>
      </c>
      <c r="AS85" s="707">
        <f t="shared" si="17"/>
        <v>0</v>
      </c>
      <c r="AT85" s="707">
        <f t="shared" si="17"/>
        <v>0</v>
      </c>
      <c r="AU85" s="707">
        <f t="shared" si="17"/>
        <v>0</v>
      </c>
      <c r="AV85" s="707">
        <f t="shared" si="17"/>
        <v>0</v>
      </c>
      <c r="AW85" s="707">
        <f t="shared" si="17"/>
        <v>0</v>
      </c>
      <c r="AX85" s="707">
        <f t="shared" si="17"/>
        <v>4</v>
      </c>
      <c r="AY85" s="707">
        <f t="shared" si="17"/>
        <v>0</v>
      </c>
      <c r="AZ85" s="707">
        <f t="shared" si="17"/>
        <v>0</v>
      </c>
    </row>
    <row r="86" spans="1:52" ht="50.1" customHeight="1" thickTop="1" thickBot="1">
      <c r="A86" s="148" t="s">
        <v>102</v>
      </c>
      <c r="B86" s="473"/>
      <c r="C86" s="473"/>
      <c r="D86" s="473"/>
      <c r="E86" s="473"/>
      <c r="F86" s="473"/>
      <c r="G86" s="473"/>
      <c r="H86" s="473"/>
      <c r="I86" s="473"/>
      <c r="J86" s="473"/>
      <c r="K86" s="473"/>
      <c r="L86" s="473"/>
      <c r="M86" s="473"/>
      <c r="N86" s="473"/>
      <c r="O86" s="473"/>
      <c r="P86" s="473"/>
      <c r="Q86" s="473"/>
      <c r="R86" s="473"/>
      <c r="S86" s="474"/>
      <c r="T86" s="474"/>
      <c r="U86" s="474"/>
      <c r="V86" s="474"/>
      <c r="W86" s="474"/>
      <c r="X86" s="474"/>
      <c r="Y86" s="267"/>
      <c r="Z86" s="268"/>
      <c r="AA86" s="268"/>
      <c r="AB86" s="268"/>
      <c r="AC86" s="269"/>
      <c r="AD86" s="270"/>
      <c r="AF86" s="10"/>
      <c r="AG86" s="1"/>
      <c r="AH86" s="706" t="s">
        <v>45</v>
      </c>
      <c r="AI86" s="707">
        <v>220</v>
      </c>
      <c r="AJ86" s="707">
        <v>220</v>
      </c>
      <c r="AK86" s="707">
        <v>220</v>
      </c>
      <c r="AL86" s="707">
        <v>110</v>
      </c>
      <c r="AM86" s="707">
        <v>100</v>
      </c>
      <c r="AN86" s="707">
        <v>80</v>
      </c>
      <c r="AO86" s="707">
        <v>25</v>
      </c>
      <c r="AP86" s="707">
        <v>25</v>
      </c>
      <c r="AQ86" s="707">
        <v>25</v>
      </c>
      <c r="AR86" s="707">
        <v>400</v>
      </c>
      <c r="AS86" s="707">
        <v>400</v>
      </c>
      <c r="AT86" s="707">
        <v>400</v>
      </c>
      <c r="AU86" s="707">
        <v>0</v>
      </c>
      <c r="AV86" s="707">
        <v>0</v>
      </c>
      <c r="AW86" s="707">
        <v>200</v>
      </c>
      <c r="AX86" s="707">
        <v>200</v>
      </c>
      <c r="AY86" s="707">
        <v>0</v>
      </c>
      <c r="AZ86" s="707">
        <v>0</v>
      </c>
    </row>
    <row r="87" spans="1:52" ht="50.1" customHeight="1" thickTop="1" thickBot="1">
      <c r="A87" s="93"/>
      <c r="B87" s="90">
        <f>B85*B86</f>
        <v>0</v>
      </c>
      <c r="C87" s="90">
        <f t="shared" ref="C87:O87" si="18">C85*C86</f>
        <v>0</v>
      </c>
      <c r="D87" s="90">
        <f t="shared" si="18"/>
        <v>0</v>
      </c>
      <c r="E87" s="90">
        <f t="shared" si="18"/>
        <v>0</v>
      </c>
      <c r="F87" s="90">
        <f t="shared" si="18"/>
        <v>0</v>
      </c>
      <c r="G87" s="90">
        <f t="shared" si="18"/>
        <v>0</v>
      </c>
      <c r="H87" s="90">
        <f t="shared" si="18"/>
        <v>0</v>
      </c>
      <c r="I87" s="90">
        <f t="shared" si="18"/>
        <v>0</v>
      </c>
      <c r="J87" s="90">
        <f t="shared" si="18"/>
        <v>0</v>
      </c>
      <c r="K87" s="90">
        <f t="shared" si="18"/>
        <v>0</v>
      </c>
      <c r="L87" s="90">
        <f t="shared" si="18"/>
        <v>0</v>
      </c>
      <c r="M87" s="90">
        <f t="shared" si="18"/>
        <v>0</v>
      </c>
      <c r="N87" s="90">
        <f t="shared" si="18"/>
        <v>0</v>
      </c>
      <c r="O87" s="90">
        <f t="shared" si="18"/>
        <v>0</v>
      </c>
      <c r="P87" s="90"/>
      <c r="Q87" s="90">
        <f>Q85*Q86</f>
        <v>0</v>
      </c>
      <c r="R87" s="90">
        <f>R85*R86</f>
        <v>0</v>
      </c>
      <c r="S87" s="90">
        <f t="shared" ref="S87" si="19">S85*S86</f>
        <v>0</v>
      </c>
      <c r="T87" s="90"/>
      <c r="U87" s="90"/>
      <c r="V87" s="90"/>
      <c r="W87" s="90"/>
      <c r="X87" s="90"/>
      <c r="Y87" s="271">
        <f>SUM(B87:S87)</f>
        <v>0</v>
      </c>
      <c r="Z87" s="272"/>
      <c r="AA87" s="272"/>
      <c r="AB87" s="272"/>
      <c r="AC87" s="270"/>
      <c r="AD87" s="270"/>
      <c r="AF87" s="10"/>
      <c r="AG87" s="10"/>
      <c r="AH87" s="706" t="s">
        <v>46</v>
      </c>
      <c r="AI87" s="707">
        <f>AI85*AI86</f>
        <v>0</v>
      </c>
      <c r="AJ87" s="707">
        <f t="shared" ref="AJ87" si="20">AJ85*AJ86</f>
        <v>0</v>
      </c>
      <c r="AK87" s="707">
        <f t="shared" ref="AK87" si="21">AK85*AK86</f>
        <v>0</v>
      </c>
      <c r="AL87" s="707">
        <f t="shared" ref="AL87" si="22">AL85*AL86</f>
        <v>0</v>
      </c>
      <c r="AM87" s="707">
        <f t="shared" ref="AM87" si="23">AM85*AM86</f>
        <v>0</v>
      </c>
      <c r="AN87" s="707">
        <f t="shared" ref="AN87" si="24">AN85*AN86</f>
        <v>0</v>
      </c>
      <c r="AO87" s="707">
        <f t="shared" ref="AO87" si="25">AO85*AO86</f>
        <v>0</v>
      </c>
      <c r="AP87" s="707">
        <f t="shared" ref="AP87" si="26">AP85*AP86</f>
        <v>0</v>
      </c>
      <c r="AQ87" s="707">
        <f t="shared" ref="AQ87" si="27">AQ85*AQ86</f>
        <v>0</v>
      </c>
      <c r="AR87" s="707">
        <f t="shared" ref="AR87" si="28">AR85*AR86</f>
        <v>0</v>
      </c>
      <c r="AS87" s="707">
        <f t="shared" ref="AS87" si="29">AS85*AS86</f>
        <v>0</v>
      </c>
      <c r="AT87" s="707">
        <f t="shared" ref="AT87" si="30">AT85*AT86</f>
        <v>0</v>
      </c>
      <c r="AU87" s="707">
        <f t="shared" ref="AU87" si="31">AU85*AU86</f>
        <v>0</v>
      </c>
      <c r="AV87" s="707">
        <f t="shared" ref="AV87" si="32">AV85*AV86</f>
        <v>0</v>
      </c>
      <c r="AW87" s="707">
        <f t="shared" ref="AW87" si="33">AW85*AW86</f>
        <v>0</v>
      </c>
      <c r="AX87" s="707">
        <f t="shared" ref="AX87" si="34">AX85*AX86</f>
        <v>800</v>
      </c>
      <c r="AY87" s="707">
        <f t="shared" ref="AY87" si="35">AY85*AY86</f>
        <v>0</v>
      </c>
      <c r="AZ87" s="707">
        <f t="shared" ref="AZ87" si="36">AZ85*AZ86</f>
        <v>0</v>
      </c>
    </row>
    <row r="88" spans="1:52" ht="28.5" thickTop="1" thickBot="1">
      <c r="A88" s="8"/>
      <c r="B88" s="42"/>
      <c r="C88" s="43"/>
      <c r="D88" s="42"/>
      <c r="E88" s="42"/>
      <c r="F88" s="42"/>
      <c r="G88" s="42"/>
      <c r="H88" s="42"/>
      <c r="I88" s="42"/>
      <c r="J88" s="43"/>
      <c r="K88" s="8"/>
      <c r="L88" s="8"/>
      <c r="M88" s="8"/>
      <c r="N88" s="580"/>
      <c r="O88" s="580"/>
      <c r="P88" s="845"/>
      <c r="Q88" s="580"/>
      <c r="R88" s="580"/>
      <c r="S88" s="580"/>
      <c r="T88" s="829"/>
      <c r="U88" s="829"/>
      <c r="V88" s="829"/>
      <c r="W88" s="936"/>
      <c r="X88" s="829"/>
      <c r="Y88" s="273">
        <f>Y85-Y87</f>
        <v>0</v>
      </c>
      <c r="Z88" s="269"/>
      <c r="AA88" s="269" t="s">
        <v>1</v>
      </c>
      <c r="AB88" s="269"/>
      <c r="AC88" s="270"/>
      <c r="AD88" s="270"/>
      <c r="AF88" s="8"/>
      <c r="AG88" s="8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714">
        <f>SUM(AI87:AZ87)</f>
        <v>800</v>
      </c>
    </row>
    <row r="89" spans="1:52" ht="39.950000000000003" customHeight="1" thickTop="1" thickBot="1">
      <c r="A89" s="109">
        <f>A5</f>
        <v>2022</v>
      </c>
      <c r="B89" s="1447"/>
      <c r="C89" s="1448"/>
      <c r="D89" s="1448"/>
      <c r="E89" s="1448"/>
      <c r="F89" s="1448"/>
      <c r="G89" s="1448"/>
      <c r="H89" s="1448"/>
      <c r="I89" s="1448"/>
      <c r="J89" s="1448"/>
      <c r="K89" s="1448"/>
      <c r="L89" s="1448"/>
      <c r="M89" s="1448"/>
      <c r="N89" s="1448"/>
      <c r="O89" s="1448"/>
      <c r="P89" s="1448"/>
      <c r="Q89" s="1448"/>
      <c r="R89" s="1448"/>
      <c r="S89" s="1434"/>
      <c r="T89" s="1434"/>
      <c r="U89" s="1434"/>
      <c r="V89" s="1434"/>
      <c r="W89" s="1434"/>
      <c r="X89" s="1434"/>
      <c r="Y89" s="1435"/>
      <c r="Z89" s="21"/>
      <c r="AA89" s="21"/>
      <c r="AB89" s="21"/>
      <c r="AC89" s="2"/>
      <c r="AF89" s="10"/>
      <c r="AG89" s="34"/>
      <c r="AH89" s="109">
        <v>2018</v>
      </c>
      <c r="AI89" s="1424">
        <f>B89</f>
        <v>0</v>
      </c>
      <c r="AJ89" s="1425"/>
      <c r="AK89" s="1425"/>
      <c r="AL89" s="1425"/>
      <c r="AM89" s="1425"/>
      <c r="AN89" s="1425"/>
      <c r="AO89" s="1425"/>
      <c r="AP89" s="1425"/>
      <c r="AQ89" s="1425"/>
      <c r="AR89" s="1425"/>
      <c r="AS89" s="1425"/>
      <c r="AT89" s="1425"/>
      <c r="AU89" s="1425"/>
      <c r="AV89" s="1425"/>
      <c r="AW89" s="1425"/>
      <c r="AX89" s="1425"/>
      <c r="AY89" s="1425"/>
      <c r="AZ89" s="1425"/>
    </row>
    <row r="90" spans="1:52" ht="60" customHeight="1" thickTop="1" thickBot="1">
      <c r="A90" s="1468" t="s">
        <v>94</v>
      </c>
      <c r="B90" s="1402" t="s">
        <v>95</v>
      </c>
      <c r="C90" s="1403"/>
      <c r="D90" s="1403"/>
      <c r="E90" s="1404"/>
      <c r="F90" s="1402" t="s">
        <v>7</v>
      </c>
      <c r="G90" s="1403"/>
      <c r="H90" s="1404"/>
      <c r="I90" s="1402" t="s">
        <v>8</v>
      </c>
      <c r="J90" s="1404"/>
      <c r="K90" s="1402" t="s">
        <v>9</v>
      </c>
      <c r="L90" s="1403"/>
      <c r="M90" s="1403"/>
      <c r="N90" s="1403"/>
      <c r="O90" s="1403"/>
      <c r="P90" s="1403"/>
      <c r="Q90" s="1403"/>
      <c r="R90" s="1405" t="s">
        <v>10</v>
      </c>
      <c r="S90" s="1406"/>
      <c r="T90" s="1400" t="s">
        <v>289</v>
      </c>
      <c r="U90" s="1401"/>
      <c r="V90" s="842" t="s">
        <v>258</v>
      </c>
      <c r="W90" s="842"/>
      <c r="X90" s="842"/>
      <c r="Y90" s="211"/>
      <c r="Z90" s="21" t="s">
        <v>1</v>
      </c>
      <c r="AA90" s="21"/>
      <c r="AB90" s="21"/>
      <c r="AC90" s="21"/>
      <c r="AF90" s="10"/>
      <c r="AG90" s="34"/>
      <c r="AH90" s="1422" t="s">
        <v>94</v>
      </c>
      <c r="AI90" s="1402" t="s">
        <v>95</v>
      </c>
      <c r="AJ90" s="1403"/>
      <c r="AK90" s="1404"/>
      <c r="AL90" s="1402" t="s">
        <v>7</v>
      </c>
      <c r="AM90" s="1403"/>
      <c r="AN90" s="1404"/>
      <c r="AO90" s="1402" t="s">
        <v>8</v>
      </c>
      <c r="AP90" s="1403"/>
      <c r="AQ90" s="1404"/>
      <c r="AR90" s="1402" t="s">
        <v>9</v>
      </c>
      <c r="AS90" s="1403"/>
      <c r="AT90" s="1404"/>
      <c r="AU90" s="1403" t="s">
        <v>9</v>
      </c>
      <c r="AV90" s="1404"/>
      <c r="AW90" s="1429" t="s">
        <v>10</v>
      </c>
      <c r="AX90" s="1430"/>
      <c r="AY90" s="690"/>
      <c r="AZ90" s="404" t="s">
        <v>11</v>
      </c>
    </row>
    <row r="91" spans="1:52" ht="42" thickTop="1" thickBot="1">
      <c r="A91" s="1428"/>
      <c r="B91" s="482" t="s">
        <v>12</v>
      </c>
      <c r="C91" s="482" t="s">
        <v>13</v>
      </c>
      <c r="D91" s="482" t="s">
        <v>14</v>
      </c>
      <c r="E91" s="688" t="s">
        <v>198</v>
      </c>
      <c r="F91" s="482" t="s">
        <v>12</v>
      </c>
      <c r="G91" s="482" t="s">
        <v>13</v>
      </c>
      <c r="H91" s="482" t="s">
        <v>282</v>
      </c>
      <c r="I91" s="482" t="s">
        <v>12</v>
      </c>
      <c r="J91" s="482" t="s">
        <v>16</v>
      </c>
      <c r="K91" s="482" t="s">
        <v>17</v>
      </c>
      <c r="L91" s="482" t="s">
        <v>18</v>
      </c>
      <c r="M91" s="482" t="s">
        <v>19</v>
      </c>
      <c r="N91" s="484" t="s">
        <v>96</v>
      </c>
      <c r="O91" s="484" t="s">
        <v>257</v>
      </c>
      <c r="P91" s="484" t="s">
        <v>254</v>
      </c>
      <c r="Q91" s="484" t="s">
        <v>20</v>
      </c>
      <c r="R91" s="483" t="s">
        <v>14</v>
      </c>
      <c r="S91" s="482" t="s">
        <v>13</v>
      </c>
      <c r="T91" s="846" t="s">
        <v>284</v>
      </c>
      <c r="U91" s="846" t="s">
        <v>288</v>
      </c>
      <c r="V91" s="484" t="s">
        <v>259</v>
      </c>
      <c r="W91" s="484"/>
      <c r="X91" s="484"/>
      <c r="Y91" s="224" t="s">
        <v>90</v>
      </c>
      <c r="Z91" s="210" t="s">
        <v>97</v>
      </c>
      <c r="AA91" s="210" t="s">
        <v>74</v>
      </c>
      <c r="AB91" s="210"/>
      <c r="AC91" s="210"/>
      <c r="AD91" s="210" t="s">
        <v>100</v>
      </c>
      <c r="AF91" s="578" t="s">
        <v>1</v>
      </c>
      <c r="AG91" s="4"/>
      <c r="AH91" s="1428"/>
      <c r="AI91" s="482" t="s">
        <v>12</v>
      </c>
      <c r="AJ91" s="482" t="s">
        <v>13</v>
      </c>
      <c r="AK91" s="482" t="s">
        <v>14</v>
      </c>
      <c r="AL91" s="482" t="s">
        <v>12</v>
      </c>
      <c r="AM91" s="482" t="s">
        <v>13</v>
      </c>
      <c r="AN91" s="482" t="s">
        <v>15</v>
      </c>
      <c r="AO91" s="482" t="s">
        <v>12</v>
      </c>
      <c r="AP91" s="482" t="s">
        <v>205</v>
      </c>
      <c r="AQ91" s="482" t="s">
        <v>16</v>
      </c>
      <c r="AR91" s="482" t="s">
        <v>17</v>
      </c>
      <c r="AS91" s="482" t="s">
        <v>18</v>
      </c>
      <c r="AT91" s="482" t="s">
        <v>19</v>
      </c>
      <c r="AU91" s="482" t="s">
        <v>201</v>
      </c>
      <c r="AV91" s="482" t="s">
        <v>20</v>
      </c>
      <c r="AW91" s="482" t="s">
        <v>12</v>
      </c>
      <c r="AX91" s="483" t="s">
        <v>13</v>
      </c>
      <c r="AY91" s="688" t="s">
        <v>198</v>
      </c>
      <c r="AZ91" s="484" t="s">
        <v>96</v>
      </c>
    </row>
    <row r="92" spans="1:52" ht="29.25" customHeight="1" thickBot="1">
      <c r="A92" s="66">
        <f>A8</f>
        <v>44866</v>
      </c>
      <c r="B92" s="135"/>
      <c r="C92" s="135"/>
      <c r="D92" s="135"/>
      <c r="E92" s="135"/>
      <c r="F92" s="135"/>
      <c r="G92" s="135"/>
      <c r="H92" s="135"/>
      <c r="I92" s="135"/>
      <c r="J92" s="135"/>
      <c r="K92" s="135"/>
      <c r="L92" s="135"/>
      <c r="M92" s="135"/>
      <c r="N92" s="135"/>
      <c r="O92" s="135"/>
      <c r="P92" s="135"/>
      <c r="Q92" s="135"/>
      <c r="R92" s="136"/>
      <c r="S92" s="136"/>
      <c r="T92" s="149"/>
      <c r="U92" s="149"/>
      <c r="V92" s="149"/>
      <c r="W92" s="149"/>
      <c r="X92" s="149"/>
      <c r="Y92" s="255">
        <f>B92*280+C92*280+D92*400+E92*280+F92*10+G92*130+H92*130+I92*50+J92*35+K92*400+L92*400+M92*400+N92*22+O92*400+P92*80+Q92*200+R92*260+S92*400+T92*30+U92*60</f>
        <v>0</v>
      </c>
      <c r="Z92" s="308"/>
      <c r="AA92" s="263">
        <f t="shared" ref="AA92:AA122" si="37">Y92+Z92</f>
        <v>0</v>
      </c>
      <c r="AB92" s="308"/>
      <c r="AC92" s="308"/>
      <c r="AD92" s="319">
        <f t="shared" ref="AD92:AD122" si="38">AA92-AB92-AC92</f>
        <v>0</v>
      </c>
      <c r="AF92" s="11"/>
      <c r="AG92" s="24"/>
      <c r="AH92" s="63">
        <f>AH54</f>
        <v>43374</v>
      </c>
      <c r="AI92" s="694"/>
      <c r="AJ92" s="695"/>
      <c r="AK92" s="695"/>
      <c r="AL92" s="695"/>
      <c r="AM92" s="695"/>
      <c r="AN92" s="695"/>
      <c r="AO92" s="695"/>
      <c r="AP92" s="695"/>
      <c r="AQ92" s="695"/>
      <c r="AR92" s="695"/>
      <c r="AS92" s="695"/>
      <c r="AT92" s="695"/>
      <c r="AU92" s="695"/>
      <c r="AV92" s="695"/>
      <c r="AW92" s="695"/>
      <c r="AX92" s="696"/>
      <c r="AY92" s="696"/>
      <c r="AZ92" s="697"/>
    </row>
    <row r="93" spans="1:52" ht="29.25" customHeight="1" thickBot="1">
      <c r="A93" s="66">
        <f>A92+1</f>
        <v>44867</v>
      </c>
      <c r="B93" s="138"/>
      <c r="C93" s="138"/>
      <c r="D93" s="138"/>
      <c r="E93" s="138"/>
      <c r="F93" s="138"/>
      <c r="G93" s="138"/>
      <c r="H93" s="138"/>
      <c r="I93" s="138"/>
      <c r="J93" s="138"/>
      <c r="K93" s="138"/>
      <c r="L93" s="138"/>
      <c r="M93" s="138"/>
      <c r="N93" s="138"/>
      <c r="O93" s="138"/>
      <c r="P93" s="138"/>
      <c r="Q93" s="138"/>
      <c r="R93" s="139"/>
      <c r="S93" s="139"/>
      <c r="T93" s="149"/>
      <c r="U93" s="149"/>
      <c r="V93" s="149"/>
      <c r="W93" s="149"/>
      <c r="X93" s="149"/>
      <c r="Y93" s="255">
        <f t="shared" ref="Y93:Y121" si="39">B93*280+C93*280+D93*400+E93*280+F93*10+G93*130+H93*130+I93*50+J93*35+K93*400+L93*400+M93*400+N93*22+O93*400+P93*80+Q93*200+R93*260+S93*400+T93*30+U93*60</f>
        <v>0</v>
      </c>
      <c r="Z93" s="309">
        <f t="shared" ref="Z93:Z122" si="40">AD92</f>
        <v>0</v>
      </c>
      <c r="AA93" s="256">
        <f t="shared" si="37"/>
        <v>0</v>
      </c>
      <c r="AB93" s="309"/>
      <c r="AC93" s="309"/>
      <c r="AD93" s="320">
        <f t="shared" si="38"/>
        <v>0</v>
      </c>
      <c r="AF93" s="11"/>
      <c r="AG93" s="24"/>
      <c r="AH93" s="64">
        <f>AH92+1</f>
        <v>43375</v>
      </c>
      <c r="AI93" s="698"/>
      <c r="AJ93" s="699"/>
      <c r="AK93" s="699"/>
      <c r="AL93" s="699"/>
      <c r="AM93" s="699"/>
      <c r="AN93" s="699"/>
      <c r="AO93" s="699"/>
      <c r="AP93" s="699"/>
      <c r="AQ93" s="699"/>
      <c r="AR93" s="699"/>
      <c r="AS93" s="699"/>
      <c r="AT93" s="699"/>
      <c r="AU93" s="699"/>
      <c r="AV93" s="699"/>
      <c r="AW93" s="699"/>
      <c r="AX93" s="700"/>
      <c r="AY93" s="700"/>
      <c r="AZ93" s="701"/>
    </row>
    <row r="94" spans="1:52" ht="29.25" customHeight="1" thickBot="1">
      <c r="A94" s="66">
        <f t="shared" ref="A94:A122" si="41">A93+1</f>
        <v>44868</v>
      </c>
      <c r="B94" s="138"/>
      <c r="C94" s="138"/>
      <c r="D94" s="138"/>
      <c r="E94" s="138"/>
      <c r="F94" s="138"/>
      <c r="G94" s="138"/>
      <c r="H94" s="138"/>
      <c r="I94" s="138"/>
      <c r="J94" s="138"/>
      <c r="K94" s="138"/>
      <c r="L94" s="138"/>
      <c r="M94" s="138"/>
      <c r="N94" s="138"/>
      <c r="O94" s="138"/>
      <c r="P94" s="138"/>
      <c r="Q94" s="138"/>
      <c r="R94" s="139"/>
      <c r="S94" s="139"/>
      <c r="T94" s="149"/>
      <c r="U94" s="149"/>
      <c r="V94" s="149"/>
      <c r="W94" s="149"/>
      <c r="X94" s="149"/>
      <c r="Y94" s="255">
        <f t="shared" si="39"/>
        <v>0</v>
      </c>
      <c r="Z94" s="309">
        <f t="shared" si="40"/>
        <v>0</v>
      </c>
      <c r="AA94" s="256">
        <f t="shared" si="37"/>
        <v>0</v>
      </c>
      <c r="AB94" s="309"/>
      <c r="AC94" s="309"/>
      <c r="AD94" s="320">
        <f t="shared" si="38"/>
        <v>0</v>
      </c>
      <c r="AF94" s="11"/>
      <c r="AG94" s="24"/>
      <c r="AH94" s="64">
        <f t="shared" ref="AH94:AH122" si="42">AH93+1</f>
        <v>43376</v>
      </c>
      <c r="AI94" s="698"/>
      <c r="AJ94" s="699"/>
      <c r="AK94" s="699"/>
      <c r="AL94" s="699"/>
      <c r="AM94" s="699"/>
      <c r="AN94" s="699"/>
      <c r="AO94" s="699"/>
      <c r="AP94" s="699"/>
      <c r="AQ94" s="699"/>
      <c r="AR94" s="699"/>
      <c r="AS94" s="699"/>
      <c r="AT94" s="699"/>
      <c r="AU94" s="699"/>
      <c r="AV94" s="699"/>
      <c r="AW94" s="699"/>
      <c r="AX94" s="700"/>
      <c r="AY94" s="700"/>
      <c r="AZ94" s="701"/>
    </row>
    <row r="95" spans="1:52" ht="29.25" customHeight="1" thickBot="1">
      <c r="A95" s="66">
        <f t="shared" si="41"/>
        <v>44869</v>
      </c>
      <c r="B95" s="138"/>
      <c r="C95" s="138"/>
      <c r="D95" s="138"/>
      <c r="E95" s="138"/>
      <c r="F95" s="138"/>
      <c r="G95" s="138"/>
      <c r="H95" s="138"/>
      <c r="I95" s="138"/>
      <c r="J95" s="138"/>
      <c r="K95" s="138"/>
      <c r="L95" s="138"/>
      <c r="M95" s="138"/>
      <c r="N95" s="138"/>
      <c r="O95" s="138"/>
      <c r="P95" s="138"/>
      <c r="Q95" s="138"/>
      <c r="R95" s="139"/>
      <c r="S95" s="139"/>
      <c r="T95" s="149"/>
      <c r="U95" s="149"/>
      <c r="V95" s="149"/>
      <c r="W95" s="149"/>
      <c r="X95" s="149"/>
      <c r="Y95" s="255">
        <f t="shared" si="39"/>
        <v>0</v>
      </c>
      <c r="Z95" s="309">
        <f t="shared" si="40"/>
        <v>0</v>
      </c>
      <c r="AA95" s="256">
        <f t="shared" si="37"/>
        <v>0</v>
      </c>
      <c r="AB95" s="309"/>
      <c r="AC95" s="309"/>
      <c r="AD95" s="320">
        <f t="shared" si="38"/>
        <v>0</v>
      </c>
      <c r="AF95" s="11"/>
      <c r="AG95" s="24"/>
      <c r="AH95" s="64">
        <f t="shared" si="42"/>
        <v>43377</v>
      </c>
      <c r="AI95" s="698"/>
      <c r="AJ95" s="699"/>
      <c r="AK95" s="699"/>
      <c r="AL95" s="699"/>
      <c r="AM95" s="699"/>
      <c r="AN95" s="699"/>
      <c r="AO95" s="699"/>
      <c r="AP95" s="699"/>
      <c r="AQ95" s="699"/>
      <c r="AR95" s="699"/>
      <c r="AS95" s="699"/>
      <c r="AT95" s="699"/>
      <c r="AU95" s="699"/>
      <c r="AV95" s="699"/>
      <c r="AW95" s="699"/>
      <c r="AX95" s="700"/>
      <c r="AY95" s="700"/>
      <c r="AZ95" s="701"/>
    </row>
    <row r="96" spans="1:52" ht="29.25" customHeight="1" thickBot="1">
      <c r="A96" s="66">
        <f t="shared" si="41"/>
        <v>44870</v>
      </c>
      <c r="B96" s="138"/>
      <c r="C96" s="138"/>
      <c r="D96" s="138"/>
      <c r="E96" s="138"/>
      <c r="F96" s="138"/>
      <c r="G96" s="138"/>
      <c r="H96" s="138"/>
      <c r="I96" s="138"/>
      <c r="J96" s="138"/>
      <c r="K96" s="138"/>
      <c r="L96" s="138"/>
      <c r="M96" s="138"/>
      <c r="N96" s="138"/>
      <c r="O96" s="138"/>
      <c r="P96" s="138"/>
      <c r="Q96" s="138"/>
      <c r="R96" s="139"/>
      <c r="S96" s="139"/>
      <c r="T96" s="149"/>
      <c r="U96" s="149"/>
      <c r="V96" s="149"/>
      <c r="W96" s="149"/>
      <c r="X96" s="149"/>
      <c r="Y96" s="255">
        <f t="shared" si="39"/>
        <v>0</v>
      </c>
      <c r="Z96" s="309">
        <f t="shared" si="40"/>
        <v>0</v>
      </c>
      <c r="AA96" s="256">
        <f t="shared" si="37"/>
        <v>0</v>
      </c>
      <c r="AB96" s="309"/>
      <c r="AC96" s="309"/>
      <c r="AD96" s="320">
        <f t="shared" si="38"/>
        <v>0</v>
      </c>
      <c r="AF96" s="11"/>
      <c r="AG96" s="24"/>
      <c r="AH96" s="64">
        <f t="shared" si="42"/>
        <v>43378</v>
      </c>
      <c r="AI96" s="698"/>
      <c r="AJ96" s="699"/>
      <c r="AK96" s="699"/>
      <c r="AL96" s="699"/>
      <c r="AM96" s="699"/>
      <c r="AN96" s="699"/>
      <c r="AO96" s="699"/>
      <c r="AP96" s="699"/>
      <c r="AQ96" s="699"/>
      <c r="AR96" s="699"/>
      <c r="AS96" s="699"/>
      <c r="AT96" s="699"/>
      <c r="AU96" s="699"/>
      <c r="AV96" s="699"/>
      <c r="AW96" s="699"/>
      <c r="AX96" s="700"/>
      <c r="AY96" s="700"/>
      <c r="AZ96" s="701"/>
    </row>
    <row r="97" spans="1:52" ht="29.25" customHeight="1" thickBot="1">
      <c r="A97" s="66">
        <f t="shared" si="41"/>
        <v>44871</v>
      </c>
      <c r="B97" s="138"/>
      <c r="C97" s="138"/>
      <c r="D97" s="138"/>
      <c r="E97" s="138"/>
      <c r="F97" s="138"/>
      <c r="G97" s="138"/>
      <c r="H97" s="138"/>
      <c r="I97" s="138"/>
      <c r="J97" s="138"/>
      <c r="K97" s="138"/>
      <c r="L97" s="138"/>
      <c r="M97" s="138"/>
      <c r="N97" s="138"/>
      <c r="O97" s="138"/>
      <c r="P97" s="138"/>
      <c r="Q97" s="138"/>
      <c r="R97" s="139"/>
      <c r="S97" s="139"/>
      <c r="T97" s="149"/>
      <c r="U97" s="149"/>
      <c r="V97" s="149"/>
      <c r="W97" s="149"/>
      <c r="X97" s="149"/>
      <c r="Y97" s="255">
        <f t="shared" si="39"/>
        <v>0</v>
      </c>
      <c r="Z97" s="309">
        <f t="shared" si="40"/>
        <v>0</v>
      </c>
      <c r="AA97" s="256">
        <f t="shared" si="37"/>
        <v>0</v>
      </c>
      <c r="AB97" s="309"/>
      <c r="AC97" s="309"/>
      <c r="AD97" s="320">
        <f t="shared" si="38"/>
        <v>0</v>
      </c>
      <c r="AF97" s="11"/>
      <c r="AG97" s="24"/>
      <c r="AH97" s="64">
        <f t="shared" si="42"/>
        <v>43379</v>
      </c>
      <c r="AI97" s="698"/>
      <c r="AJ97" s="699"/>
      <c r="AK97" s="699"/>
      <c r="AL97" s="699"/>
      <c r="AM97" s="699"/>
      <c r="AN97" s="699"/>
      <c r="AO97" s="699"/>
      <c r="AP97" s="699"/>
      <c r="AQ97" s="699"/>
      <c r="AR97" s="699"/>
      <c r="AS97" s="699"/>
      <c r="AT97" s="699"/>
      <c r="AU97" s="699"/>
      <c r="AV97" s="699"/>
      <c r="AW97" s="699"/>
      <c r="AX97" s="700"/>
      <c r="AY97" s="700"/>
      <c r="AZ97" s="701"/>
    </row>
    <row r="98" spans="1:52" ht="29.25" customHeight="1" thickBot="1">
      <c r="A98" s="66">
        <f t="shared" si="41"/>
        <v>44872</v>
      </c>
      <c r="B98" s="138"/>
      <c r="C98" s="138"/>
      <c r="D98" s="138"/>
      <c r="E98" s="138"/>
      <c r="F98" s="138"/>
      <c r="G98" s="138"/>
      <c r="H98" s="138"/>
      <c r="I98" s="138"/>
      <c r="J98" s="138"/>
      <c r="K98" s="138"/>
      <c r="L98" s="138"/>
      <c r="M98" s="138"/>
      <c r="N98" s="138"/>
      <c r="O98" s="138"/>
      <c r="P98" s="138"/>
      <c r="Q98" s="138"/>
      <c r="R98" s="139"/>
      <c r="S98" s="139"/>
      <c r="T98" s="149"/>
      <c r="U98" s="149"/>
      <c r="V98" s="149"/>
      <c r="W98" s="149"/>
      <c r="X98" s="149"/>
      <c r="Y98" s="255">
        <f t="shared" si="39"/>
        <v>0</v>
      </c>
      <c r="Z98" s="309">
        <f t="shared" si="40"/>
        <v>0</v>
      </c>
      <c r="AA98" s="256">
        <f t="shared" si="37"/>
        <v>0</v>
      </c>
      <c r="AB98" s="309"/>
      <c r="AC98" s="309"/>
      <c r="AD98" s="320">
        <f t="shared" si="38"/>
        <v>0</v>
      </c>
      <c r="AF98" s="11"/>
      <c r="AG98" s="24"/>
      <c r="AH98" s="64">
        <f t="shared" si="42"/>
        <v>43380</v>
      </c>
      <c r="AI98" s="698"/>
      <c r="AJ98" s="699"/>
      <c r="AK98" s="699"/>
      <c r="AL98" s="699"/>
      <c r="AM98" s="699"/>
      <c r="AN98" s="699"/>
      <c r="AO98" s="699"/>
      <c r="AP98" s="699"/>
      <c r="AQ98" s="699"/>
      <c r="AR98" s="699"/>
      <c r="AS98" s="699"/>
      <c r="AT98" s="699"/>
      <c r="AU98" s="699"/>
      <c r="AV98" s="699"/>
      <c r="AW98" s="699"/>
      <c r="AX98" s="700"/>
      <c r="AY98" s="700"/>
      <c r="AZ98" s="701"/>
    </row>
    <row r="99" spans="1:52" ht="29.25" customHeight="1" thickBot="1">
      <c r="A99" s="66">
        <f t="shared" si="41"/>
        <v>44873</v>
      </c>
      <c r="B99" s="138"/>
      <c r="C99" s="138"/>
      <c r="D99" s="138"/>
      <c r="E99" s="138"/>
      <c r="F99" s="138"/>
      <c r="G99" s="138"/>
      <c r="H99" s="138"/>
      <c r="I99" s="138"/>
      <c r="J99" s="138"/>
      <c r="K99" s="138"/>
      <c r="L99" s="138"/>
      <c r="M99" s="138"/>
      <c r="N99" s="138"/>
      <c r="O99" s="138"/>
      <c r="P99" s="138"/>
      <c r="Q99" s="138"/>
      <c r="R99" s="139"/>
      <c r="S99" s="139"/>
      <c r="T99" s="149"/>
      <c r="U99" s="149"/>
      <c r="V99" s="149"/>
      <c r="W99" s="149"/>
      <c r="X99" s="149"/>
      <c r="Y99" s="255">
        <f t="shared" si="39"/>
        <v>0</v>
      </c>
      <c r="Z99" s="309">
        <f t="shared" si="40"/>
        <v>0</v>
      </c>
      <c r="AA99" s="256">
        <f t="shared" si="37"/>
        <v>0</v>
      </c>
      <c r="AB99" s="309"/>
      <c r="AC99" s="309"/>
      <c r="AD99" s="320">
        <f t="shared" si="38"/>
        <v>0</v>
      </c>
      <c r="AF99" s="11"/>
      <c r="AG99" s="24"/>
      <c r="AH99" s="64">
        <f t="shared" si="42"/>
        <v>43381</v>
      </c>
      <c r="AI99" s="698"/>
      <c r="AJ99" s="699"/>
      <c r="AK99" s="699"/>
      <c r="AL99" s="699"/>
      <c r="AM99" s="699"/>
      <c r="AN99" s="699"/>
      <c r="AO99" s="699"/>
      <c r="AP99" s="699"/>
      <c r="AQ99" s="699"/>
      <c r="AR99" s="699"/>
      <c r="AS99" s="699"/>
      <c r="AT99" s="699"/>
      <c r="AU99" s="699"/>
      <c r="AV99" s="699"/>
      <c r="AW99" s="699"/>
      <c r="AX99" s="700"/>
      <c r="AY99" s="700"/>
      <c r="AZ99" s="701"/>
    </row>
    <row r="100" spans="1:52" ht="29.25" customHeight="1" thickBot="1">
      <c r="A100" s="66">
        <f t="shared" si="41"/>
        <v>44874</v>
      </c>
      <c r="B100" s="138"/>
      <c r="C100" s="138"/>
      <c r="D100" s="138"/>
      <c r="E100" s="138"/>
      <c r="F100" s="138"/>
      <c r="G100" s="138"/>
      <c r="H100" s="138"/>
      <c r="I100" s="138"/>
      <c r="J100" s="138"/>
      <c r="K100" s="138"/>
      <c r="L100" s="138"/>
      <c r="M100" s="138"/>
      <c r="N100" s="138"/>
      <c r="O100" s="138"/>
      <c r="P100" s="138"/>
      <c r="Q100" s="138"/>
      <c r="R100" s="139"/>
      <c r="S100" s="139"/>
      <c r="T100" s="149"/>
      <c r="U100" s="149"/>
      <c r="V100" s="149"/>
      <c r="W100" s="149"/>
      <c r="X100" s="149"/>
      <c r="Y100" s="255">
        <f t="shared" si="39"/>
        <v>0</v>
      </c>
      <c r="Z100" s="309">
        <f t="shared" si="40"/>
        <v>0</v>
      </c>
      <c r="AA100" s="256">
        <f t="shared" si="37"/>
        <v>0</v>
      </c>
      <c r="AB100" s="309"/>
      <c r="AC100" s="309"/>
      <c r="AD100" s="320">
        <f t="shared" si="38"/>
        <v>0</v>
      </c>
      <c r="AF100" s="11"/>
      <c r="AG100" s="24"/>
      <c r="AH100" s="64">
        <f t="shared" si="42"/>
        <v>43382</v>
      </c>
      <c r="AI100" s="698"/>
      <c r="AJ100" s="699"/>
      <c r="AK100" s="699"/>
      <c r="AL100" s="699"/>
      <c r="AM100" s="699"/>
      <c r="AN100" s="699"/>
      <c r="AO100" s="699"/>
      <c r="AP100" s="699"/>
      <c r="AQ100" s="699"/>
      <c r="AR100" s="699"/>
      <c r="AS100" s="699"/>
      <c r="AT100" s="699"/>
      <c r="AU100" s="699"/>
      <c r="AV100" s="699"/>
      <c r="AW100" s="699"/>
      <c r="AX100" s="700"/>
      <c r="AY100" s="700"/>
      <c r="AZ100" s="701"/>
    </row>
    <row r="101" spans="1:52" ht="29.25" customHeight="1" thickBot="1">
      <c r="A101" s="66">
        <f t="shared" si="41"/>
        <v>44875</v>
      </c>
      <c r="B101" s="138"/>
      <c r="C101" s="138"/>
      <c r="D101" s="138"/>
      <c r="E101" s="138"/>
      <c r="F101" s="138"/>
      <c r="G101" s="138"/>
      <c r="H101" s="138"/>
      <c r="I101" s="138"/>
      <c r="J101" s="138"/>
      <c r="K101" s="138"/>
      <c r="L101" s="138"/>
      <c r="M101" s="138"/>
      <c r="N101" s="138"/>
      <c r="O101" s="138"/>
      <c r="P101" s="138"/>
      <c r="Q101" s="138"/>
      <c r="R101" s="139"/>
      <c r="S101" s="139"/>
      <c r="T101" s="149"/>
      <c r="U101" s="149"/>
      <c r="V101" s="149"/>
      <c r="W101" s="149"/>
      <c r="X101" s="149"/>
      <c r="Y101" s="255">
        <f t="shared" si="39"/>
        <v>0</v>
      </c>
      <c r="Z101" s="309">
        <f t="shared" si="40"/>
        <v>0</v>
      </c>
      <c r="AA101" s="256">
        <f t="shared" si="37"/>
        <v>0</v>
      </c>
      <c r="AB101" s="309"/>
      <c r="AC101" s="309"/>
      <c r="AD101" s="320">
        <f t="shared" si="38"/>
        <v>0</v>
      </c>
      <c r="AF101" s="11"/>
      <c r="AG101" s="24"/>
      <c r="AH101" s="64">
        <f t="shared" si="42"/>
        <v>43383</v>
      </c>
      <c r="AI101" s="698"/>
      <c r="AJ101" s="699"/>
      <c r="AK101" s="699"/>
      <c r="AL101" s="699"/>
      <c r="AM101" s="699"/>
      <c r="AN101" s="699"/>
      <c r="AO101" s="699"/>
      <c r="AP101" s="699"/>
      <c r="AQ101" s="699"/>
      <c r="AR101" s="699"/>
      <c r="AS101" s="699"/>
      <c r="AT101" s="699"/>
      <c r="AU101" s="699"/>
      <c r="AV101" s="699"/>
      <c r="AW101" s="699"/>
      <c r="AX101" s="700"/>
      <c r="AY101" s="700"/>
      <c r="AZ101" s="701"/>
    </row>
    <row r="102" spans="1:52" ht="29.25" customHeight="1" thickBot="1">
      <c r="A102" s="66">
        <f t="shared" si="41"/>
        <v>44876</v>
      </c>
      <c r="B102" s="138"/>
      <c r="C102" s="138"/>
      <c r="D102" s="138"/>
      <c r="E102" s="138"/>
      <c r="F102" s="138"/>
      <c r="G102" s="138"/>
      <c r="H102" s="138"/>
      <c r="I102" s="138"/>
      <c r="J102" s="138"/>
      <c r="K102" s="138"/>
      <c r="L102" s="138"/>
      <c r="M102" s="138"/>
      <c r="N102" s="138"/>
      <c r="O102" s="138"/>
      <c r="P102" s="138"/>
      <c r="Q102" s="138"/>
      <c r="R102" s="139"/>
      <c r="S102" s="139"/>
      <c r="T102" s="149"/>
      <c r="U102" s="149"/>
      <c r="V102" s="149"/>
      <c r="W102" s="149"/>
      <c r="X102" s="149"/>
      <c r="Y102" s="255">
        <f t="shared" si="39"/>
        <v>0</v>
      </c>
      <c r="Z102" s="309">
        <f t="shared" si="40"/>
        <v>0</v>
      </c>
      <c r="AA102" s="256">
        <f t="shared" si="37"/>
        <v>0</v>
      </c>
      <c r="AB102" s="309"/>
      <c r="AC102" s="309"/>
      <c r="AD102" s="320">
        <f t="shared" si="38"/>
        <v>0</v>
      </c>
      <c r="AF102" s="11"/>
      <c r="AG102" s="24"/>
      <c r="AH102" s="64">
        <f t="shared" si="42"/>
        <v>43384</v>
      </c>
      <c r="AI102" s="698"/>
      <c r="AJ102" s="699"/>
      <c r="AK102" s="699"/>
      <c r="AL102" s="699"/>
      <c r="AM102" s="699"/>
      <c r="AN102" s="699"/>
      <c r="AO102" s="699"/>
      <c r="AP102" s="699"/>
      <c r="AQ102" s="699"/>
      <c r="AR102" s="699"/>
      <c r="AS102" s="699"/>
      <c r="AT102" s="699"/>
      <c r="AU102" s="699"/>
      <c r="AV102" s="699"/>
      <c r="AW102" s="699"/>
      <c r="AX102" s="700"/>
      <c r="AY102" s="700"/>
      <c r="AZ102" s="701"/>
    </row>
    <row r="103" spans="1:52" ht="29.25" customHeight="1" thickBot="1">
      <c r="A103" s="66">
        <f t="shared" si="41"/>
        <v>44877</v>
      </c>
      <c r="B103" s="138"/>
      <c r="C103" s="138"/>
      <c r="D103" s="138"/>
      <c r="E103" s="138"/>
      <c r="F103" s="138"/>
      <c r="G103" s="138"/>
      <c r="H103" s="138"/>
      <c r="I103" s="138"/>
      <c r="J103" s="138"/>
      <c r="K103" s="138"/>
      <c r="L103" s="138"/>
      <c r="M103" s="138"/>
      <c r="N103" s="138"/>
      <c r="O103" s="138"/>
      <c r="P103" s="138"/>
      <c r="Q103" s="138"/>
      <c r="R103" s="139"/>
      <c r="S103" s="139"/>
      <c r="T103" s="149"/>
      <c r="U103" s="149"/>
      <c r="V103" s="149"/>
      <c r="W103" s="149"/>
      <c r="X103" s="149"/>
      <c r="Y103" s="255">
        <f t="shared" si="39"/>
        <v>0</v>
      </c>
      <c r="Z103" s="309">
        <f t="shared" si="40"/>
        <v>0</v>
      </c>
      <c r="AA103" s="256">
        <f t="shared" si="37"/>
        <v>0</v>
      </c>
      <c r="AB103" s="309"/>
      <c r="AC103" s="309"/>
      <c r="AD103" s="320">
        <f t="shared" si="38"/>
        <v>0</v>
      </c>
      <c r="AF103" s="11"/>
      <c r="AG103" s="24"/>
      <c r="AH103" s="64">
        <f t="shared" si="42"/>
        <v>43385</v>
      </c>
      <c r="AI103" s="698"/>
      <c r="AJ103" s="699"/>
      <c r="AK103" s="699"/>
      <c r="AL103" s="699"/>
      <c r="AM103" s="699"/>
      <c r="AN103" s="699"/>
      <c r="AO103" s="699"/>
      <c r="AP103" s="699"/>
      <c r="AQ103" s="699"/>
      <c r="AR103" s="699"/>
      <c r="AS103" s="699"/>
      <c r="AT103" s="699"/>
      <c r="AU103" s="699"/>
      <c r="AV103" s="699"/>
      <c r="AW103" s="699"/>
      <c r="AX103" s="700"/>
      <c r="AY103" s="700"/>
      <c r="AZ103" s="701"/>
    </row>
    <row r="104" spans="1:52" ht="29.25" customHeight="1" thickBot="1">
      <c r="A104" s="66">
        <f t="shared" si="41"/>
        <v>44878</v>
      </c>
      <c r="B104" s="138"/>
      <c r="C104" s="138"/>
      <c r="D104" s="138"/>
      <c r="E104" s="138"/>
      <c r="F104" s="138"/>
      <c r="G104" s="138"/>
      <c r="H104" s="138"/>
      <c r="I104" s="138"/>
      <c r="J104" s="138"/>
      <c r="K104" s="138"/>
      <c r="L104" s="138"/>
      <c r="M104" s="138"/>
      <c r="N104" s="138"/>
      <c r="O104" s="138"/>
      <c r="P104" s="138"/>
      <c r="Q104" s="138"/>
      <c r="R104" s="139"/>
      <c r="S104" s="139"/>
      <c r="T104" s="149"/>
      <c r="U104" s="149"/>
      <c r="V104" s="149"/>
      <c r="W104" s="149"/>
      <c r="X104" s="149"/>
      <c r="Y104" s="255">
        <f t="shared" si="39"/>
        <v>0</v>
      </c>
      <c r="Z104" s="309">
        <f t="shared" si="40"/>
        <v>0</v>
      </c>
      <c r="AA104" s="256">
        <f t="shared" si="37"/>
        <v>0</v>
      </c>
      <c r="AB104" s="309"/>
      <c r="AC104" s="309"/>
      <c r="AD104" s="320">
        <f t="shared" si="38"/>
        <v>0</v>
      </c>
      <c r="AF104" s="11"/>
      <c r="AG104" s="24"/>
      <c r="AH104" s="64">
        <f t="shared" si="42"/>
        <v>43386</v>
      </c>
      <c r="AI104" s="698"/>
      <c r="AJ104" s="699"/>
      <c r="AK104" s="699"/>
      <c r="AL104" s="699"/>
      <c r="AM104" s="699"/>
      <c r="AN104" s="699"/>
      <c r="AO104" s="699"/>
      <c r="AP104" s="699"/>
      <c r="AQ104" s="699"/>
      <c r="AR104" s="699"/>
      <c r="AS104" s="699"/>
      <c r="AT104" s="699"/>
      <c r="AU104" s="699"/>
      <c r="AV104" s="699"/>
      <c r="AW104" s="699"/>
      <c r="AX104" s="700"/>
      <c r="AY104" s="700"/>
      <c r="AZ104" s="701"/>
    </row>
    <row r="105" spans="1:52" ht="29.25" customHeight="1" thickBot="1">
      <c r="A105" s="66">
        <f t="shared" si="41"/>
        <v>44879</v>
      </c>
      <c r="B105" s="138"/>
      <c r="C105" s="138"/>
      <c r="D105" s="138"/>
      <c r="E105" s="138"/>
      <c r="F105" s="138"/>
      <c r="G105" s="138"/>
      <c r="H105" s="138"/>
      <c r="I105" s="138"/>
      <c r="J105" s="138"/>
      <c r="K105" s="138"/>
      <c r="L105" s="138"/>
      <c r="M105" s="138"/>
      <c r="N105" s="138"/>
      <c r="O105" s="138"/>
      <c r="P105" s="138"/>
      <c r="Q105" s="138"/>
      <c r="R105" s="139"/>
      <c r="S105" s="139"/>
      <c r="T105" s="149"/>
      <c r="U105" s="149"/>
      <c r="V105" s="149"/>
      <c r="W105" s="149"/>
      <c r="X105" s="149"/>
      <c r="Y105" s="255">
        <f t="shared" si="39"/>
        <v>0</v>
      </c>
      <c r="Z105" s="309">
        <f t="shared" si="40"/>
        <v>0</v>
      </c>
      <c r="AA105" s="256">
        <f t="shared" si="37"/>
        <v>0</v>
      </c>
      <c r="AB105" s="309"/>
      <c r="AC105" s="309"/>
      <c r="AD105" s="320">
        <f t="shared" si="38"/>
        <v>0</v>
      </c>
      <c r="AF105" s="11"/>
      <c r="AG105" s="24"/>
      <c r="AH105" s="64">
        <f t="shared" si="42"/>
        <v>43387</v>
      </c>
      <c r="AI105" s="698"/>
      <c r="AJ105" s="699"/>
      <c r="AK105" s="699"/>
      <c r="AL105" s="699"/>
      <c r="AM105" s="699"/>
      <c r="AN105" s="699"/>
      <c r="AO105" s="699"/>
      <c r="AP105" s="699"/>
      <c r="AQ105" s="699"/>
      <c r="AR105" s="699"/>
      <c r="AS105" s="699"/>
      <c r="AT105" s="699"/>
      <c r="AU105" s="699"/>
      <c r="AV105" s="699"/>
      <c r="AW105" s="699"/>
      <c r="AX105" s="700"/>
      <c r="AY105" s="700"/>
      <c r="AZ105" s="701"/>
    </row>
    <row r="106" spans="1:52" ht="29.25" customHeight="1" thickBot="1">
      <c r="A106" s="66">
        <f t="shared" si="41"/>
        <v>44880</v>
      </c>
      <c r="B106" s="138"/>
      <c r="C106" s="138"/>
      <c r="D106" s="138"/>
      <c r="E106" s="138"/>
      <c r="F106" s="138"/>
      <c r="G106" s="138"/>
      <c r="H106" s="138"/>
      <c r="I106" s="138"/>
      <c r="J106" s="138"/>
      <c r="K106" s="138"/>
      <c r="L106" s="138"/>
      <c r="M106" s="138"/>
      <c r="N106" s="138"/>
      <c r="O106" s="138"/>
      <c r="P106" s="138"/>
      <c r="Q106" s="138"/>
      <c r="R106" s="139"/>
      <c r="S106" s="139"/>
      <c r="T106" s="149"/>
      <c r="U106" s="149"/>
      <c r="V106" s="149"/>
      <c r="W106" s="149"/>
      <c r="X106" s="149"/>
      <c r="Y106" s="255">
        <f t="shared" si="39"/>
        <v>0</v>
      </c>
      <c r="Z106" s="309">
        <f t="shared" si="40"/>
        <v>0</v>
      </c>
      <c r="AA106" s="256">
        <f t="shared" si="37"/>
        <v>0</v>
      </c>
      <c r="AB106" s="309"/>
      <c r="AC106" s="309"/>
      <c r="AD106" s="320">
        <f t="shared" si="38"/>
        <v>0</v>
      </c>
      <c r="AF106" s="11"/>
      <c r="AG106" s="24"/>
      <c r="AH106" s="64">
        <f t="shared" si="42"/>
        <v>43388</v>
      </c>
      <c r="AI106" s="698"/>
      <c r="AJ106" s="699"/>
      <c r="AK106" s="699"/>
      <c r="AL106" s="699"/>
      <c r="AM106" s="699"/>
      <c r="AN106" s="699"/>
      <c r="AO106" s="699"/>
      <c r="AP106" s="699"/>
      <c r="AQ106" s="699"/>
      <c r="AR106" s="699"/>
      <c r="AS106" s="699"/>
      <c r="AT106" s="699"/>
      <c r="AU106" s="699"/>
      <c r="AV106" s="699"/>
      <c r="AW106" s="699"/>
      <c r="AX106" s="700"/>
      <c r="AY106" s="700"/>
      <c r="AZ106" s="701"/>
    </row>
    <row r="107" spans="1:52" ht="29.25" customHeight="1" thickBot="1">
      <c r="A107" s="66">
        <f t="shared" si="41"/>
        <v>44881</v>
      </c>
      <c r="B107" s="138"/>
      <c r="C107" s="138"/>
      <c r="D107" s="138"/>
      <c r="E107" s="138"/>
      <c r="F107" s="138"/>
      <c r="G107" s="138"/>
      <c r="H107" s="138"/>
      <c r="I107" s="138"/>
      <c r="J107" s="138"/>
      <c r="K107" s="138"/>
      <c r="L107" s="138"/>
      <c r="M107" s="138"/>
      <c r="N107" s="138"/>
      <c r="O107" s="138"/>
      <c r="P107" s="138"/>
      <c r="Q107" s="138"/>
      <c r="R107" s="139"/>
      <c r="S107" s="139"/>
      <c r="T107" s="149"/>
      <c r="U107" s="149"/>
      <c r="V107" s="149"/>
      <c r="W107" s="149"/>
      <c r="X107" s="149"/>
      <c r="Y107" s="255">
        <f t="shared" si="39"/>
        <v>0</v>
      </c>
      <c r="Z107" s="309">
        <f t="shared" si="40"/>
        <v>0</v>
      </c>
      <c r="AA107" s="256">
        <f t="shared" si="37"/>
        <v>0</v>
      </c>
      <c r="AB107" s="309"/>
      <c r="AC107" s="309"/>
      <c r="AD107" s="320">
        <f t="shared" si="38"/>
        <v>0</v>
      </c>
      <c r="AF107" s="11"/>
      <c r="AG107" s="24"/>
      <c r="AH107" s="64">
        <f t="shared" si="42"/>
        <v>43389</v>
      </c>
      <c r="AI107" s="698"/>
      <c r="AJ107" s="699"/>
      <c r="AK107" s="699"/>
      <c r="AL107" s="699"/>
      <c r="AM107" s="699"/>
      <c r="AN107" s="699"/>
      <c r="AO107" s="699"/>
      <c r="AP107" s="699"/>
      <c r="AQ107" s="699"/>
      <c r="AR107" s="699"/>
      <c r="AS107" s="699"/>
      <c r="AT107" s="699"/>
      <c r="AU107" s="699"/>
      <c r="AV107" s="699"/>
      <c r="AW107" s="699"/>
      <c r="AX107" s="700"/>
      <c r="AY107" s="700"/>
      <c r="AZ107" s="701"/>
    </row>
    <row r="108" spans="1:52" ht="29.25" customHeight="1" thickBot="1">
      <c r="A108" s="66">
        <f t="shared" si="41"/>
        <v>44882</v>
      </c>
      <c r="B108" s="138"/>
      <c r="C108" s="138"/>
      <c r="D108" s="138"/>
      <c r="E108" s="138"/>
      <c r="F108" s="138"/>
      <c r="G108" s="138"/>
      <c r="H108" s="138"/>
      <c r="I108" s="138"/>
      <c r="J108" s="138"/>
      <c r="K108" s="138"/>
      <c r="L108" s="138"/>
      <c r="M108" s="138"/>
      <c r="N108" s="138"/>
      <c r="O108" s="138"/>
      <c r="P108" s="138"/>
      <c r="Q108" s="138"/>
      <c r="R108" s="139"/>
      <c r="S108" s="139"/>
      <c r="T108" s="149"/>
      <c r="U108" s="149"/>
      <c r="V108" s="149"/>
      <c r="W108" s="149"/>
      <c r="X108" s="149"/>
      <c r="Y108" s="255">
        <f t="shared" si="39"/>
        <v>0</v>
      </c>
      <c r="Z108" s="309">
        <f t="shared" si="40"/>
        <v>0</v>
      </c>
      <c r="AA108" s="256">
        <f t="shared" si="37"/>
        <v>0</v>
      </c>
      <c r="AB108" s="309"/>
      <c r="AC108" s="309"/>
      <c r="AD108" s="320">
        <f t="shared" si="38"/>
        <v>0</v>
      </c>
      <c r="AF108" s="11"/>
      <c r="AG108" s="24"/>
      <c r="AH108" s="64">
        <f t="shared" si="42"/>
        <v>43390</v>
      </c>
      <c r="AI108" s="698"/>
      <c r="AJ108" s="699"/>
      <c r="AK108" s="699"/>
      <c r="AL108" s="699"/>
      <c r="AM108" s="699"/>
      <c r="AN108" s="699"/>
      <c r="AO108" s="699"/>
      <c r="AP108" s="699"/>
      <c r="AQ108" s="699"/>
      <c r="AR108" s="699"/>
      <c r="AS108" s="699"/>
      <c r="AT108" s="699"/>
      <c r="AU108" s="699"/>
      <c r="AV108" s="699"/>
      <c r="AW108" s="699"/>
      <c r="AX108" s="700"/>
      <c r="AY108" s="700"/>
      <c r="AZ108" s="701"/>
    </row>
    <row r="109" spans="1:52" ht="29.25" customHeight="1" thickBot="1">
      <c r="A109" s="66">
        <f t="shared" si="41"/>
        <v>44883</v>
      </c>
      <c r="B109" s="138"/>
      <c r="C109" s="138"/>
      <c r="D109" s="138"/>
      <c r="E109" s="138"/>
      <c r="F109" s="138"/>
      <c r="G109" s="138"/>
      <c r="H109" s="138"/>
      <c r="I109" s="138"/>
      <c r="J109" s="138"/>
      <c r="K109" s="138"/>
      <c r="L109" s="138"/>
      <c r="M109" s="138"/>
      <c r="N109" s="138"/>
      <c r="O109" s="138"/>
      <c r="P109" s="138"/>
      <c r="Q109" s="138"/>
      <c r="R109" s="139"/>
      <c r="S109" s="139"/>
      <c r="T109" s="149"/>
      <c r="U109" s="149"/>
      <c r="V109" s="149"/>
      <c r="W109" s="149"/>
      <c r="X109" s="149"/>
      <c r="Y109" s="255">
        <f t="shared" si="39"/>
        <v>0</v>
      </c>
      <c r="Z109" s="309">
        <f t="shared" si="40"/>
        <v>0</v>
      </c>
      <c r="AA109" s="256">
        <f t="shared" si="37"/>
        <v>0</v>
      </c>
      <c r="AB109" s="309"/>
      <c r="AC109" s="309"/>
      <c r="AD109" s="320">
        <f t="shared" si="38"/>
        <v>0</v>
      </c>
      <c r="AF109" s="11"/>
      <c r="AG109" s="24"/>
      <c r="AH109" s="64">
        <f t="shared" si="42"/>
        <v>43391</v>
      </c>
      <c r="AI109" s="698"/>
      <c r="AJ109" s="699"/>
      <c r="AK109" s="699"/>
      <c r="AL109" s="699"/>
      <c r="AM109" s="699"/>
      <c r="AN109" s="699"/>
      <c r="AO109" s="699"/>
      <c r="AP109" s="699"/>
      <c r="AQ109" s="699"/>
      <c r="AR109" s="699"/>
      <c r="AS109" s="699"/>
      <c r="AT109" s="699"/>
      <c r="AU109" s="699"/>
      <c r="AV109" s="699"/>
      <c r="AW109" s="699"/>
      <c r="AX109" s="700"/>
      <c r="AY109" s="700"/>
      <c r="AZ109" s="701"/>
    </row>
    <row r="110" spans="1:52" ht="29.25" customHeight="1" thickBot="1">
      <c r="A110" s="66">
        <f t="shared" si="41"/>
        <v>44884</v>
      </c>
      <c r="B110" s="138"/>
      <c r="C110" s="138"/>
      <c r="D110" s="138"/>
      <c r="E110" s="138"/>
      <c r="F110" s="138"/>
      <c r="G110" s="138"/>
      <c r="H110" s="138"/>
      <c r="I110" s="138"/>
      <c r="J110" s="138"/>
      <c r="K110" s="138"/>
      <c r="L110" s="138"/>
      <c r="M110" s="138"/>
      <c r="N110" s="138"/>
      <c r="O110" s="138"/>
      <c r="P110" s="138"/>
      <c r="Q110" s="138"/>
      <c r="R110" s="139"/>
      <c r="S110" s="139"/>
      <c r="T110" s="149"/>
      <c r="U110" s="149"/>
      <c r="V110" s="149"/>
      <c r="W110" s="149"/>
      <c r="X110" s="149"/>
      <c r="Y110" s="255">
        <f t="shared" si="39"/>
        <v>0</v>
      </c>
      <c r="Z110" s="309">
        <f t="shared" si="40"/>
        <v>0</v>
      </c>
      <c r="AA110" s="256">
        <f t="shared" si="37"/>
        <v>0</v>
      </c>
      <c r="AB110" s="309"/>
      <c r="AC110" s="309"/>
      <c r="AD110" s="320">
        <f t="shared" si="38"/>
        <v>0</v>
      </c>
      <c r="AF110" s="11"/>
      <c r="AG110" s="24"/>
      <c r="AH110" s="64">
        <f t="shared" si="42"/>
        <v>43392</v>
      </c>
      <c r="AI110" s="698"/>
      <c r="AJ110" s="699"/>
      <c r="AK110" s="699"/>
      <c r="AL110" s="699"/>
      <c r="AM110" s="699"/>
      <c r="AN110" s="699"/>
      <c r="AO110" s="699"/>
      <c r="AP110" s="699"/>
      <c r="AQ110" s="699"/>
      <c r="AR110" s="699"/>
      <c r="AS110" s="699"/>
      <c r="AT110" s="699"/>
      <c r="AU110" s="699"/>
      <c r="AV110" s="699"/>
      <c r="AW110" s="699"/>
      <c r="AX110" s="700"/>
      <c r="AY110" s="700"/>
      <c r="AZ110" s="701"/>
    </row>
    <row r="111" spans="1:52" ht="29.25" customHeight="1" thickBot="1">
      <c r="A111" s="66">
        <f t="shared" si="41"/>
        <v>44885</v>
      </c>
      <c r="B111" s="138"/>
      <c r="C111" s="138"/>
      <c r="D111" s="138"/>
      <c r="E111" s="138"/>
      <c r="F111" s="138"/>
      <c r="G111" s="138"/>
      <c r="H111" s="138"/>
      <c r="I111" s="138"/>
      <c r="J111" s="138"/>
      <c r="K111" s="138"/>
      <c r="L111" s="138"/>
      <c r="M111" s="138"/>
      <c r="N111" s="138"/>
      <c r="O111" s="138"/>
      <c r="P111" s="138"/>
      <c r="Q111" s="138"/>
      <c r="R111" s="139"/>
      <c r="S111" s="139"/>
      <c r="T111" s="149"/>
      <c r="U111" s="149"/>
      <c r="V111" s="149"/>
      <c r="W111" s="149"/>
      <c r="X111" s="149"/>
      <c r="Y111" s="255">
        <f t="shared" si="39"/>
        <v>0</v>
      </c>
      <c r="Z111" s="309">
        <f t="shared" si="40"/>
        <v>0</v>
      </c>
      <c r="AA111" s="256">
        <f t="shared" si="37"/>
        <v>0</v>
      </c>
      <c r="AB111" s="309"/>
      <c r="AC111" s="309"/>
      <c r="AD111" s="320">
        <f t="shared" si="38"/>
        <v>0</v>
      </c>
      <c r="AF111" s="11"/>
      <c r="AG111" s="24"/>
      <c r="AH111" s="64">
        <f t="shared" si="42"/>
        <v>43393</v>
      </c>
      <c r="AI111" s="698"/>
      <c r="AJ111" s="699"/>
      <c r="AK111" s="699"/>
      <c r="AL111" s="699"/>
      <c r="AM111" s="699"/>
      <c r="AN111" s="699"/>
      <c r="AO111" s="699"/>
      <c r="AP111" s="699"/>
      <c r="AQ111" s="699"/>
      <c r="AR111" s="699"/>
      <c r="AS111" s="699"/>
      <c r="AT111" s="699"/>
      <c r="AU111" s="699"/>
      <c r="AV111" s="699"/>
      <c r="AW111" s="699"/>
      <c r="AX111" s="700"/>
      <c r="AY111" s="700"/>
      <c r="AZ111" s="701"/>
    </row>
    <row r="112" spans="1:52" ht="29.25" customHeight="1" thickBot="1">
      <c r="A112" s="66">
        <f t="shared" si="41"/>
        <v>44886</v>
      </c>
      <c r="B112" s="138"/>
      <c r="C112" s="138"/>
      <c r="D112" s="138"/>
      <c r="E112" s="138"/>
      <c r="F112" s="138"/>
      <c r="G112" s="138"/>
      <c r="H112" s="138"/>
      <c r="I112" s="138"/>
      <c r="J112" s="138"/>
      <c r="K112" s="138"/>
      <c r="L112" s="138"/>
      <c r="M112" s="138"/>
      <c r="N112" s="138"/>
      <c r="O112" s="138"/>
      <c r="P112" s="138"/>
      <c r="Q112" s="138"/>
      <c r="R112" s="139"/>
      <c r="S112" s="139"/>
      <c r="T112" s="149"/>
      <c r="U112" s="149"/>
      <c r="V112" s="149"/>
      <c r="W112" s="149"/>
      <c r="X112" s="149"/>
      <c r="Y112" s="255">
        <f t="shared" si="39"/>
        <v>0</v>
      </c>
      <c r="Z112" s="309">
        <f t="shared" si="40"/>
        <v>0</v>
      </c>
      <c r="AA112" s="256">
        <f t="shared" si="37"/>
        <v>0</v>
      </c>
      <c r="AB112" s="309"/>
      <c r="AC112" s="309"/>
      <c r="AD112" s="320">
        <f t="shared" si="38"/>
        <v>0</v>
      </c>
      <c r="AF112" s="11"/>
      <c r="AG112" s="24"/>
      <c r="AH112" s="64">
        <f t="shared" si="42"/>
        <v>43394</v>
      </c>
      <c r="AI112" s="698"/>
      <c r="AJ112" s="699"/>
      <c r="AK112" s="699"/>
      <c r="AL112" s="699"/>
      <c r="AM112" s="699"/>
      <c r="AN112" s="699"/>
      <c r="AO112" s="699"/>
      <c r="AP112" s="699"/>
      <c r="AQ112" s="699"/>
      <c r="AR112" s="699"/>
      <c r="AS112" s="699"/>
      <c r="AT112" s="699"/>
      <c r="AU112" s="699"/>
      <c r="AV112" s="699"/>
      <c r="AW112" s="699"/>
      <c r="AX112" s="700"/>
      <c r="AY112" s="700"/>
      <c r="AZ112" s="701"/>
    </row>
    <row r="113" spans="1:52" ht="29.25" customHeight="1" thickBot="1">
      <c r="A113" s="66">
        <f t="shared" si="41"/>
        <v>44887</v>
      </c>
      <c r="B113" s="138"/>
      <c r="C113" s="138"/>
      <c r="D113" s="138"/>
      <c r="E113" s="138"/>
      <c r="F113" s="138"/>
      <c r="G113" s="138"/>
      <c r="H113" s="138"/>
      <c r="I113" s="138"/>
      <c r="J113" s="138"/>
      <c r="K113" s="138"/>
      <c r="L113" s="138"/>
      <c r="M113" s="138"/>
      <c r="N113" s="138"/>
      <c r="O113" s="138"/>
      <c r="P113" s="138"/>
      <c r="Q113" s="138"/>
      <c r="R113" s="139"/>
      <c r="S113" s="139"/>
      <c r="T113" s="149"/>
      <c r="U113" s="149"/>
      <c r="V113" s="149"/>
      <c r="W113" s="149"/>
      <c r="X113" s="149"/>
      <c r="Y113" s="255">
        <f t="shared" si="39"/>
        <v>0</v>
      </c>
      <c r="Z113" s="309">
        <f t="shared" si="40"/>
        <v>0</v>
      </c>
      <c r="AA113" s="256">
        <f t="shared" si="37"/>
        <v>0</v>
      </c>
      <c r="AB113" s="309"/>
      <c r="AC113" s="309"/>
      <c r="AD113" s="320">
        <f t="shared" si="38"/>
        <v>0</v>
      </c>
      <c r="AF113" s="11"/>
      <c r="AG113" s="24"/>
      <c r="AH113" s="64">
        <f t="shared" si="42"/>
        <v>43395</v>
      </c>
      <c r="AI113" s="698"/>
      <c r="AJ113" s="699"/>
      <c r="AK113" s="699"/>
      <c r="AL113" s="699"/>
      <c r="AM113" s="699"/>
      <c r="AN113" s="699"/>
      <c r="AO113" s="699"/>
      <c r="AP113" s="699"/>
      <c r="AQ113" s="699"/>
      <c r="AR113" s="699"/>
      <c r="AS113" s="699"/>
      <c r="AT113" s="699"/>
      <c r="AU113" s="699"/>
      <c r="AV113" s="699"/>
      <c r="AW113" s="699"/>
      <c r="AX113" s="700"/>
      <c r="AY113" s="700"/>
      <c r="AZ113" s="701"/>
    </row>
    <row r="114" spans="1:52" ht="29.25" customHeight="1" thickBot="1">
      <c r="A114" s="66">
        <f t="shared" si="41"/>
        <v>44888</v>
      </c>
      <c r="B114" s="138"/>
      <c r="C114" s="138"/>
      <c r="D114" s="138"/>
      <c r="E114" s="138"/>
      <c r="F114" s="138"/>
      <c r="G114" s="138"/>
      <c r="H114" s="138"/>
      <c r="I114" s="138"/>
      <c r="J114" s="138"/>
      <c r="K114" s="138"/>
      <c r="L114" s="138"/>
      <c r="M114" s="138"/>
      <c r="N114" s="138"/>
      <c r="O114" s="138"/>
      <c r="P114" s="138"/>
      <c r="Q114" s="138"/>
      <c r="R114" s="139"/>
      <c r="S114" s="139"/>
      <c r="T114" s="149"/>
      <c r="U114" s="149"/>
      <c r="V114" s="149"/>
      <c r="W114" s="149"/>
      <c r="X114" s="149"/>
      <c r="Y114" s="255">
        <f t="shared" si="39"/>
        <v>0</v>
      </c>
      <c r="Z114" s="309">
        <f t="shared" si="40"/>
        <v>0</v>
      </c>
      <c r="AA114" s="256">
        <f t="shared" si="37"/>
        <v>0</v>
      </c>
      <c r="AB114" s="309"/>
      <c r="AC114" s="309"/>
      <c r="AD114" s="320">
        <f t="shared" si="38"/>
        <v>0</v>
      </c>
      <c r="AF114" s="11"/>
      <c r="AG114" s="24"/>
      <c r="AH114" s="64">
        <f t="shared" si="42"/>
        <v>43396</v>
      </c>
      <c r="AI114" s="698"/>
      <c r="AJ114" s="699"/>
      <c r="AK114" s="699"/>
      <c r="AL114" s="699"/>
      <c r="AM114" s="699"/>
      <c r="AN114" s="699"/>
      <c r="AO114" s="699"/>
      <c r="AP114" s="699"/>
      <c r="AQ114" s="699"/>
      <c r="AR114" s="699"/>
      <c r="AS114" s="699"/>
      <c r="AT114" s="699"/>
      <c r="AU114" s="699"/>
      <c r="AV114" s="699"/>
      <c r="AW114" s="699"/>
      <c r="AX114" s="700"/>
      <c r="AY114" s="700"/>
      <c r="AZ114" s="701"/>
    </row>
    <row r="115" spans="1:52" ht="29.25" customHeight="1" thickBot="1">
      <c r="A115" s="66">
        <f t="shared" si="41"/>
        <v>44889</v>
      </c>
      <c r="B115" s="138"/>
      <c r="C115" s="138"/>
      <c r="D115" s="138"/>
      <c r="E115" s="138"/>
      <c r="F115" s="138"/>
      <c r="G115" s="138"/>
      <c r="H115" s="138"/>
      <c r="I115" s="138"/>
      <c r="J115" s="138"/>
      <c r="K115" s="138"/>
      <c r="L115" s="138"/>
      <c r="M115" s="138"/>
      <c r="N115" s="138"/>
      <c r="O115" s="138"/>
      <c r="P115" s="138"/>
      <c r="Q115" s="138"/>
      <c r="R115" s="139"/>
      <c r="S115" s="139"/>
      <c r="T115" s="149"/>
      <c r="U115" s="149"/>
      <c r="V115" s="149"/>
      <c r="W115" s="149"/>
      <c r="X115" s="149"/>
      <c r="Y115" s="255">
        <f t="shared" si="39"/>
        <v>0</v>
      </c>
      <c r="Z115" s="309">
        <f t="shared" si="40"/>
        <v>0</v>
      </c>
      <c r="AA115" s="256">
        <f t="shared" si="37"/>
        <v>0</v>
      </c>
      <c r="AB115" s="309"/>
      <c r="AC115" s="309"/>
      <c r="AD115" s="320">
        <f t="shared" si="38"/>
        <v>0</v>
      </c>
      <c r="AF115" s="11"/>
      <c r="AG115" s="24"/>
      <c r="AH115" s="64">
        <f t="shared" si="42"/>
        <v>43397</v>
      </c>
      <c r="AI115" s="698"/>
      <c r="AJ115" s="699"/>
      <c r="AK115" s="699"/>
      <c r="AL115" s="699"/>
      <c r="AM115" s="699"/>
      <c r="AN115" s="699"/>
      <c r="AO115" s="699"/>
      <c r="AP115" s="699"/>
      <c r="AQ115" s="699"/>
      <c r="AR115" s="699"/>
      <c r="AS115" s="699"/>
      <c r="AT115" s="699"/>
      <c r="AU115" s="699"/>
      <c r="AV115" s="699"/>
      <c r="AW115" s="699"/>
      <c r="AX115" s="700"/>
      <c r="AY115" s="700"/>
      <c r="AZ115" s="701"/>
    </row>
    <row r="116" spans="1:52" ht="29.25" customHeight="1" thickBot="1">
      <c r="A116" s="66">
        <f t="shared" si="41"/>
        <v>44890</v>
      </c>
      <c r="B116" s="138"/>
      <c r="C116" s="138"/>
      <c r="D116" s="138"/>
      <c r="E116" s="138"/>
      <c r="F116" s="138"/>
      <c r="G116" s="138"/>
      <c r="H116" s="138"/>
      <c r="I116" s="138"/>
      <c r="J116" s="138"/>
      <c r="K116" s="138"/>
      <c r="L116" s="138"/>
      <c r="M116" s="138"/>
      <c r="N116" s="138"/>
      <c r="O116" s="138"/>
      <c r="P116" s="138"/>
      <c r="Q116" s="138"/>
      <c r="R116" s="139"/>
      <c r="S116" s="139"/>
      <c r="T116" s="149"/>
      <c r="U116" s="149"/>
      <c r="V116" s="149"/>
      <c r="W116" s="149"/>
      <c r="X116" s="149"/>
      <c r="Y116" s="255">
        <f t="shared" si="39"/>
        <v>0</v>
      </c>
      <c r="Z116" s="309">
        <f t="shared" si="40"/>
        <v>0</v>
      </c>
      <c r="AA116" s="256">
        <f t="shared" si="37"/>
        <v>0</v>
      </c>
      <c r="AB116" s="309"/>
      <c r="AC116" s="309"/>
      <c r="AD116" s="320">
        <f t="shared" si="38"/>
        <v>0</v>
      </c>
      <c r="AF116" s="11"/>
      <c r="AG116" s="24"/>
      <c r="AH116" s="64">
        <f t="shared" si="42"/>
        <v>43398</v>
      </c>
      <c r="AI116" s="698"/>
      <c r="AJ116" s="699"/>
      <c r="AK116" s="699"/>
      <c r="AL116" s="699"/>
      <c r="AM116" s="699"/>
      <c r="AN116" s="699"/>
      <c r="AO116" s="699"/>
      <c r="AP116" s="699"/>
      <c r="AQ116" s="699"/>
      <c r="AR116" s="699"/>
      <c r="AS116" s="699"/>
      <c r="AT116" s="699"/>
      <c r="AU116" s="699"/>
      <c r="AV116" s="699"/>
      <c r="AW116" s="699"/>
      <c r="AX116" s="700"/>
      <c r="AY116" s="700"/>
      <c r="AZ116" s="701"/>
    </row>
    <row r="117" spans="1:52" ht="29.25" customHeight="1" thickBot="1">
      <c r="A117" s="66">
        <f t="shared" si="41"/>
        <v>44891</v>
      </c>
      <c r="B117" s="138"/>
      <c r="C117" s="138"/>
      <c r="D117" s="138"/>
      <c r="E117" s="138"/>
      <c r="F117" s="138"/>
      <c r="G117" s="138"/>
      <c r="H117" s="138"/>
      <c r="I117" s="138"/>
      <c r="J117" s="138"/>
      <c r="K117" s="138"/>
      <c r="L117" s="138"/>
      <c r="M117" s="138"/>
      <c r="N117" s="138"/>
      <c r="O117" s="138"/>
      <c r="P117" s="138"/>
      <c r="Q117" s="138"/>
      <c r="R117" s="139"/>
      <c r="S117" s="139"/>
      <c r="T117" s="149"/>
      <c r="U117" s="149"/>
      <c r="V117" s="149"/>
      <c r="W117" s="149"/>
      <c r="X117" s="149"/>
      <c r="Y117" s="255">
        <f t="shared" si="39"/>
        <v>0</v>
      </c>
      <c r="Z117" s="309">
        <f t="shared" si="40"/>
        <v>0</v>
      </c>
      <c r="AA117" s="256">
        <f t="shared" si="37"/>
        <v>0</v>
      </c>
      <c r="AB117" s="309"/>
      <c r="AC117" s="309"/>
      <c r="AD117" s="320">
        <f t="shared" si="38"/>
        <v>0</v>
      </c>
      <c r="AF117" s="11"/>
      <c r="AG117" s="24"/>
      <c r="AH117" s="64">
        <f t="shared" si="42"/>
        <v>43399</v>
      </c>
      <c r="AI117" s="698"/>
      <c r="AJ117" s="699"/>
      <c r="AK117" s="699"/>
      <c r="AL117" s="699"/>
      <c r="AM117" s="699"/>
      <c r="AN117" s="699"/>
      <c r="AO117" s="699"/>
      <c r="AP117" s="699"/>
      <c r="AQ117" s="699"/>
      <c r="AR117" s="699"/>
      <c r="AS117" s="699"/>
      <c r="AT117" s="699"/>
      <c r="AU117" s="699"/>
      <c r="AV117" s="699"/>
      <c r="AW117" s="699"/>
      <c r="AX117" s="700"/>
      <c r="AY117" s="700"/>
      <c r="AZ117" s="701"/>
    </row>
    <row r="118" spans="1:52" ht="29.25" customHeight="1" thickBot="1">
      <c r="A118" s="66">
        <f t="shared" si="41"/>
        <v>44892</v>
      </c>
      <c r="B118" s="138"/>
      <c r="C118" s="138"/>
      <c r="D118" s="138"/>
      <c r="E118" s="138"/>
      <c r="F118" s="138"/>
      <c r="G118" s="138"/>
      <c r="H118" s="138"/>
      <c r="I118" s="138"/>
      <c r="J118" s="138"/>
      <c r="K118" s="138"/>
      <c r="L118" s="138"/>
      <c r="M118" s="138"/>
      <c r="N118" s="138"/>
      <c r="O118" s="138"/>
      <c r="P118" s="138"/>
      <c r="Q118" s="138"/>
      <c r="R118" s="139"/>
      <c r="S118" s="139"/>
      <c r="T118" s="149"/>
      <c r="U118" s="149"/>
      <c r="V118" s="149"/>
      <c r="W118" s="149"/>
      <c r="X118" s="149"/>
      <c r="Y118" s="255">
        <f t="shared" si="39"/>
        <v>0</v>
      </c>
      <c r="Z118" s="309">
        <f t="shared" si="40"/>
        <v>0</v>
      </c>
      <c r="AA118" s="256">
        <f t="shared" si="37"/>
        <v>0</v>
      </c>
      <c r="AB118" s="309"/>
      <c r="AC118" s="309"/>
      <c r="AD118" s="320">
        <f t="shared" si="38"/>
        <v>0</v>
      </c>
      <c r="AF118" s="11"/>
      <c r="AG118" s="24"/>
      <c r="AH118" s="64">
        <f t="shared" si="42"/>
        <v>43400</v>
      </c>
      <c r="AI118" s="698"/>
      <c r="AJ118" s="699"/>
      <c r="AK118" s="699"/>
      <c r="AL118" s="699"/>
      <c r="AM118" s="699"/>
      <c r="AN118" s="699"/>
      <c r="AO118" s="699"/>
      <c r="AP118" s="699"/>
      <c r="AQ118" s="699"/>
      <c r="AR118" s="699"/>
      <c r="AS118" s="699"/>
      <c r="AT118" s="699"/>
      <c r="AU118" s="699"/>
      <c r="AV118" s="699"/>
      <c r="AW118" s="699"/>
      <c r="AX118" s="700"/>
      <c r="AY118" s="700"/>
      <c r="AZ118" s="701"/>
    </row>
    <row r="119" spans="1:52" ht="29.25" customHeight="1" thickBot="1">
      <c r="A119" s="66">
        <f t="shared" si="41"/>
        <v>44893</v>
      </c>
      <c r="B119" s="138"/>
      <c r="C119" s="138"/>
      <c r="D119" s="138"/>
      <c r="E119" s="138"/>
      <c r="F119" s="138"/>
      <c r="G119" s="138"/>
      <c r="H119" s="138"/>
      <c r="I119" s="138"/>
      <c r="J119" s="138"/>
      <c r="K119" s="138"/>
      <c r="L119" s="138"/>
      <c r="M119" s="138"/>
      <c r="N119" s="138"/>
      <c r="O119" s="138"/>
      <c r="P119" s="138"/>
      <c r="Q119" s="138"/>
      <c r="R119" s="139"/>
      <c r="S119" s="139"/>
      <c r="T119" s="149"/>
      <c r="U119" s="149"/>
      <c r="V119" s="149"/>
      <c r="W119" s="149"/>
      <c r="X119" s="149"/>
      <c r="Y119" s="255">
        <f t="shared" si="39"/>
        <v>0</v>
      </c>
      <c r="Z119" s="309">
        <f t="shared" si="40"/>
        <v>0</v>
      </c>
      <c r="AA119" s="256">
        <f t="shared" si="37"/>
        <v>0</v>
      </c>
      <c r="AB119" s="309"/>
      <c r="AC119" s="309"/>
      <c r="AD119" s="320">
        <f t="shared" si="38"/>
        <v>0</v>
      </c>
      <c r="AF119" s="11"/>
      <c r="AG119" s="24"/>
      <c r="AH119" s="64">
        <f t="shared" si="42"/>
        <v>43401</v>
      </c>
      <c r="AI119" s="698"/>
      <c r="AJ119" s="699"/>
      <c r="AK119" s="699"/>
      <c r="AL119" s="699"/>
      <c r="AM119" s="699"/>
      <c r="AN119" s="699"/>
      <c r="AO119" s="699"/>
      <c r="AP119" s="699"/>
      <c r="AQ119" s="699"/>
      <c r="AR119" s="699"/>
      <c r="AS119" s="699"/>
      <c r="AT119" s="699"/>
      <c r="AU119" s="699"/>
      <c r="AV119" s="699"/>
      <c r="AW119" s="699"/>
      <c r="AX119" s="700"/>
      <c r="AY119" s="700"/>
      <c r="AZ119" s="701"/>
    </row>
    <row r="120" spans="1:52" ht="29.25" customHeight="1" thickBot="1">
      <c r="A120" s="66">
        <f t="shared" si="41"/>
        <v>44894</v>
      </c>
      <c r="B120" s="138"/>
      <c r="C120" s="138"/>
      <c r="D120" s="138"/>
      <c r="E120" s="138"/>
      <c r="F120" s="138"/>
      <c r="G120" s="138"/>
      <c r="H120" s="138"/>
      <c r="I120" s="138"/>
      <c r="J120" s="138"/>
      <c r="K120" s="138"/>
      <c r="L120" s="138"/>
      <c r="M120" s="138"/>
      <c r="N120" s="138"/>
      <c r="O120" s="138"/>
      <c r="P120" s="138"/>
      <c r="Q120" s="138"/>
      <c r="R120" s="139"/>
      <c r="S120" s="139"/>
      <c r="T120" s="149"/>
      <c r="U120" s="149"/>
      <c r="V120" s="149"/>
      <c r="W120" s="149"/>
      <c r="X120" s="149"/>
      <c r="Y120" s="255">
        <f t="shared" si="39"/>
        <v>0</v>
      </c>
      <c r="Z120" s="309">
        <f t="shared" si="40"/>
        <v>0</v>
      </c>
      <c r="AA120" s="256">
        <f t="shared" si="37"/>
        <v>0</v>
      </c>
      <c r="AB120" s="309"/>
      <c r="AC120" s="309"/>
      <c r="AD120" s="320">
        <f t="shared" si="38"/>
        <v>0</v>
      </c>
      <c r="AF120" s="11"/>
      <c r="AG120" s="24"/>
      <c r="AH120" s="64">
        <f>AH119+1</f>
        <v>43402</v>
      </c>
      <c r="AI120" s="698"/>
      <c r="AJ120" s="699"/>
      <c r="AK120" s="699"/>
      <c r="AL120" s="699"/>
      <c r="AM120" s="699"/>
      <c r="AN120" s="699"/>
      <c r="AO120" s="699"/>
      <c r="AP120" s="699"/>
      <c r="AQ120" s="699"/>
      <c r="AR120" s="699"/>
      <c r="AS120" s="699"/>
      <c r="AT120" s="699"/>
      <c r="AU120" s="699"/>
      <c r="AV120" s="699"/>
      <c r="AW120" s="699"/>
      <c r="AX120" s="700"/>
      <c r="AY120" s="700"/>
      <c r="AZ120" s="701"/>
    </row>
    <row r="121" spans="1:52" ht="29.25" customHeight="1" thickBot="1">
      <c r="A121" s="66">
        <f t="shared" si="41"/>
        <v>44895</v>
      </c>
      <c r="B121" s="138"/>
      <c r="C121" s="138"/>
      <c r="D121" s="138"/>
      <c r="E121" s="138"/>
      <c r="F121" s="138"/>
      <c r="G121" s="138"/>
      <c r="H121" s="138"/>
      <c r="I121" s="138"/>
      <c r="J121" s="138"/>
      <c r="K121" s="138"/>
      <c r="L121" s="138"/>
      <c r="M121" s="138"/>
      <c r="N121" s="138"/>
      <c r="O121" s="138"/>
      <c r="P121" s="138"/>
      <c r="Q121" s="138"/>
      <c r="R121" s="139"/>
      <c r="S121" s="139"/>
      <c r="T121" s="149"/>
      <c r="U121" s="149"/>
      <c r="V121" s="149"/>
      <c r="W121" s="149"/>
      <c r="X121" s="149"/>
      <c r="Y121" s="255">
        <f t="shared" si="39"/>
        <v>0</v>
      </c>
      <c r="Z121" s="309">
        <f t="shared" si="40"/>
        <v>0</v>
      </c>
      <c r="AA121" s="256">
        <f t="shared" si="37"/>
        <v>0</v>
      </c>
      <c r="AB121" s="309"/>
      <c r="AC121" s="309"/>
      <c r="AD121" s="320">
        <f t="shared" si="38"/>
        <v>0</v>
      </c>
      <c r="AF121" s="11"/>
      <c r="AG121" s="24"/>
      <c r="AH121" s="64">
        <f t="shared" si="42"/>
        <v>43403</v>
      </c>
      <c r="AI121" s="698"/>
      <c r="AJ121" s="699"/>
      <c r="AK121" s="699"/>
      <c r="AL121" s="699"/>
      <c r="AM121" s="699"/>
      <c r="AN121" s="699"/>
      <c r="AO121" s="699"/>
      <c r="AP121" s="699"/>
      <c r="AQ121" s="699"/>
      <c r="AR121" s="699"/>
      <c r="AS121" s="699"/>
      <c r="AT121" s="699"/>
      <c r="AU121" s="699"/>
      <c r="AV121" s="699"/>
      <c r="AW121" s="699"/>
      <c r="AX121" s="700"/>
      <c r="AY121" s="700"/>
      <c r="AZ121" s="701"/>
    </row>
    <row r="122" spans="1:52" ht="29.25" customHeight="1" thickBot="1">
      <c r="A122" s="95">
        <f t="shared" si="41"/>
        <v>44896</v>
      </c>
      <c r="B122" s="141"/>
      <c r="C122" s="141"/>
      <c r="D122" s="141"/>
      <c r="E122" s="141"/>
      <c r="F122" s="141"/>
      <c r="G122" s="141"/>
      <c r="H122" s="138"/>
      <c r="I122" s="138"/>
      <c r="J122" s="138"/>
      <c r="K122" s="138"/>
      <c r="L122" s="141"/>
      <c r="M122" s="141"/>
      <c r="N122" s="141"/>
      <c r="O122" s="141"/>
      <c r="P122" s="141"/>
      <c r="Q122" s="141"/>
      <c r="R122" s="142"/>
      <c r="S122" s="142"/>
      <c r="T122" s="152"/>
      <c r="U122" s="152"/>
      <c r="V122" s="152"/>
      <c r="W122" s="152"/>
      <c r="X122" s="152"/>
      <c r="Y122" s="255">
        <f t="shared" ref="Y122" si="43">B122*280+C122*280+D122*260+E122*280+F122*10+G122*130+H122*130+I122*50+J122*35+K122*400+L122*400+M122*400+N122*22+O122*400+P122*80+Q122*200+R122*260+S122*400+T122*30+U122*60</f>
        <v>0</v>
      </c>
      <c r="Z122" s="309">
        <f t="shared" si="40"/>
        <v>0</v>
      </c>
      <c r="AA122" s="256">
        <f t="shared" si="37"/>
        <v>0</v>
      </c>
      <c r="AB122" s="309"/>
      <c r="AC122" s="309">
        <f>Y125</f>
        <v>0</v>
      </c>
      <c r="AD122" s="320">
        <f t="shared" si="38"/>
        <v>0</v>
      </c>
      <c r="AF122" s="11"/>
      <c r="AG122" s="24"/>
      <c r="AH122" s="65">
        <f t="shared" si="42"/>
        <v>43404</v>
      </c>
      <c r="AI122" s="702"/>
      <c r="AJ122" s="703"/>
      <c r="AK122" s="703"/>
      <c r="AL122" s="703"/>
      <c r="AM122" s="703"/>
      <c r="AN122" s="703"/>
      <c r="AO122" s="703"/>
      <c r="AP122" s="703"/>
      <c r="AQ122" s="703"/>
      <c r="AR122" s="703"/>
      <c r="AS122" s="703"/>
      <c r="AT122" s="703"/>
      <c r="AU122" s="703"/>
      <c r="AV122" s="703"/>
      <c r="AW122" s="703"/>
      <c r="AX122" s="704"/>
      <c r="AY122" s="704"/>
      <c r="AZ122" s="705"/>
    </row>
    <row r="123" spans="1:52" ht="50.1" customHeight="1" thickTop="1" thickBot="1">
      <c r="A123" s="91" t="s">
        <v>101</v>
      </c>
      <c r="B123" s="90">
        <f>SUM(B92:B122)</f>
        <v>0</v>
      </c>
      <c r="C123" s="90">
        <f t="shared" ref="C123:S123" si="44">SUM(C92:C122)</f>
        <v>0</v>
      </c>
      <c r="D123" s="90">
        <f t="shared" si="44"/>
        <v>0</v>
      </c>
      <c r="E123" s="90"/>
      <c r="F123" s="90">
        <f t="shared" si="44"/>
        <v>0</v>
      </c>
      <c r="G123" s="90">
        <f t="shared" si="44"/>
        <v>0</v>
      </c>
      <c r="H123" s="90">
        <f t="shared" si="44"/>
        <v>0</v>
      </c>
      <c r="I123" s="90">
        <f t="shared" si="44"/>
        <v>0</v>
      </c>
      <c r="J123" s="90">
        <f t="shared" si="44"/>
        <v>0</v>
      </c>
      <c r="K123" s="90">
        <f t="shared" si="44"/>
        <v>0</v>
      </c>
      <c r="L123" s="90">
        <f t="shared" si="44"/>
        <v>0</v>
      </c>
      <c r="M123" s="90">
        <f t="shared" si="44"/>
        <v>0</v>
      </c>
      <c r="N123" s="90">
        <f t="shared" si="44"/>
        <v>0</v>
      </c>
      <c r="O123" s="90">
        <f t="shared" si="44"/>
        <v>0</v>
      </c>
      <c r="P123" s="90"/>
      <c r="Q123" s="90">
        <f t="shared" si="44"/>
        <v>0</v>
      </c>
      <c r="R123" s="90">
        <f t="shared" si="44"/>
        <v>0</v>
      </c>
      <c r="S123" s="90">
        <f t="shared" si="44"/>
        <v>0</v>
      </c>
      <c r="T123" s="90"/>
      <c r="U123" s="90"/>
      <c r="V123" s="90"/>
      <c r="W123" s="90"/>
      <c r="X123" s="90"/>
      <c r="Y123" s="271">
        <f>SUM(Y92:Y122)</f>
        <v>0</v>
      </c>
      <c r="Z123" s="258"/>
      <c r="AA123" s="259"/>
      <c r="AB123" s="316">
        <f>SUM(AB92:AB122)</f>
        <v>0</v>
      </c>
      <c r="AC123" s="316"/>
      <c r="AD123" s="260"/>
      <c r="AF123" s="9"/>
      <c r="AG123" s="16"/>
      <c r="AH123" s="706" t="s">
        <v>101</v>
      </c>
      <c r="AI123" s="707">
        <f>SUM(AI92:AI122)</f>
        <v>0</v>
      </c>
      <c r="AJ123" s="707">
        <f>SUM(AJ92:AJ122)</f>
        <v>0</v>
      </c>
      <c r="AK123" s="707">
        <f t="shared" ref="AK123:AZ123" si="45">SUM(AK92:AK122)</f>
        <v>0</v>
      </c>
      <c r="AL123" s="707">
        <f t="shared" si="45"/>
        <v>0</v>
      </c>
      <c r="AM123" s="707">
        <f t="shared" si="45"/>
        <v>0</v>
      </c>
      <c r="AN123" s="707">
        <f t="shared" si="45"/>
        <v>0</v>
      </c>
      <c r="AO123" s="707">
        <f t="shared" si="45"/>
        <v>0</v>
      </c>
      <c r="AP123" s="707">
        <f t="shared" si="45"/>
        <v>0</v>
      </c>
      <c r="AQ123" s="707">
        <f t="shared" si="45"/>
        <v>0</v>
      </c>
      <c r="AR123" s="707">
        <f t="shared" si="45"/>
        <v>0</v>
      </c>
      <c r="AS123" s="707">
        <f t="shared" si="45"/>
        <v>0</v>
      </c>
      <c r="AT123" s="707">
        <f t="shared" si="45"/>
        <v>0</v>
      </c>
      <c r="AU123" s="707">
        <f t="shared" si="45"/>
        <v>0</v>
      </c>
      <c r="AV123" s="707">
        <f t="shared" si="45"/>
        <v>0</v>
      </c>
      <c r="AW123" s="707">
        <f t="shared" si="45"/>
        <v>0</v>
      </c>
      <c r="AX123" s="707">
        <f t="shared" si="45"/>
        <v>0</v>
      </c>
      <c r="AY123" s="707">
        <f t="shared" si="45"/>
        <v>0</v>
      </c>
      <c r="AZ123" s="707">
        <f t="shared" si="45"/>
        <v>0</v>
      </c>
    </row>
    <row r="124" spans="1:52" ht="50.1" customHeight="1" thickTop="1" thickBot="1">
      <c r="A124" s="148" t="s">
        <v>102</v>
      </c>
      <c r="B124" s="473"/>
      <c r="C124" s="473"/>
      <c r="D124" s="473"/>
      <c r="E124" s="473"/>
      <c r="F124" s="473"/>
      <c r="G124" s="473"/>
      <c r="H124" s="473"/>
      <c r="I124" s="473"/>
      <c r="J124" s="473"/>
      <c r="K124" s="473"/>
      <c r="L124" s="473"/>
      <c r="M124" s="473"/>
      <c r="N124" s="473"/>
      <c r="O124" s="473"/>
      <c r="P124" s="473"/>
      <c r="Q124" s="473"/>
      <c r="R124" s="473"/>
      <c r="S124" s="473"/>
      <c r="T124" s="473"/>
      <c r="U124" s="473"/>
      <c r="V124" s="473"/>
      <c r="W124" s="473"/>
      <c r="X124" s="473"/>
      <c r="Y124" s="274"/>
      <c r="Z124" s="268"/>
      <c r="AA124" s="268" t="s">
        <v>1</v>
      </c>
      <c r="AB124" s="268"/>
      <c r="AC124" s="269"/>
      <c r="AD124" s="270"/>
      <c r="AF124" s="9"/>
      <c r="AG124" s="26"/>
      <c r="AH124" s="706" t="s">
        <v>45</v>
      </c>
      <c r="AI124" s="707">
        <v>220</v>
      </c>
      <c r="AJ124" s="707">
        <v>220</v>
      </c>
      <c r="AK124" s="707">
        <v>220</v>
      </c>
      <c r="AL124" s="707">
        <v>100</v>
      </c>
      <c r="AM124" s="707">
        <v>100</v>
      </c>
      <c r="AN124" s="707">
        <v>80</v>
      </c>
      <c r="AO124" s="707">
        <v>25</v>
      </c>
      <c r="AP124" s="707">
        <v>25</v>
      </c>
      <c r="AQ124" s="707">
        <v>25</v>
      </c>
      <c r="AR124" s="707">
        <v>400</v>
      </c>
      <c r="AS124" s="707">
        <v>400</v>
      </c>
      <c r="AT124" s="707">
        <v>400</v>
      </c>
      <c r="AU124" s="707">
        <v>0</v>
      </c>
      <c r="AV124" s="707">
        <v>0</v>
      </c>
      <c r="AW124" s="707">
        <v>200</v>
      </c>
      <c r="AX124" s="707">
        <v>200</v>
      </c>
      <c r="AY124" s="707">
        <v>0</v>
      </c>
      <c r="AZ124" s="707">
        <v>0</v>
      </c>
    </row>
    <row r="125" spans="1:52" ht="50.1" customHeight="1" thickTop="1" thickBot="1">
      <c r="A125" s="96"/>
      <c r="B125" s="90">
        <f>B123*B124</f>
        <v>0</v>
      </c>
      <c r="C125" s="90">
        <f t="shared" ref="C125:S125" si="46">C123*C124</f>
        <v>0</v>
      </c>
      <c r="D125" s="90">
        <f t="shared" si="46"/>
        <v>0</v>
      </c>
      <c r="E125" s="90"/>
      <c r="F125" s="90">
        <f t="shared" si="46"/>
        <v>0</v>
      </c>
      <c r="G125" s="90">
        <f t="shared" si="46"/>
        <v>0</v>
      </c>
      <c r="H125" s="90">
        <f>H123*H124</f>
        <v>0</v>
      </c>
      <c r="I125" s="90">
        <f t="shared" si="46"/>
        <v>0</v>
      </c>
      <c r="J125" s="90">
        <f t="shared" si="46"/>
        <v>0</v>
      </c>
      <c r="K125" s="90">
        <f t="shared" si="46"/>
        <v>0</v>
      </c>
      <c r="L125" s="90">
        <f t="shared" si="46"/>
        <v>0</v>
      </c>
      <c r="M125" s="90">
        <f t="shared" si="46"/>
        <v>0</v>
      </c>
      <c r="N125" s="90">
        <f t="shared" si="46"/>
        <v>0</v>
      </c>
      <c r="O125" s="90">
        <f t="shared" si="46"/>
        <v>0</v>
      </c>
      <c r="P125" s="90"/>
      <c r="Q125" s="90">
        <f t="shared" si="46"/>
        <v>0</v>
      </c>
      <c r="R125" s="90">
        <f t="shared" si="46"/>
        <v>0</v>
      </c>
      <c r="S125" s="90">
        <f t="shared" si="46"/>
        <v>0</v>
      </c>
      <c r="T125" s="90"/>
      <c r="U125" s="90"/>
      <c r="V125" s="90"/>
      <c r="W125" s="90"/>
      <c r="X125" s="90"/>
      <c r="Y125" s="271">
        <f>SUM(B125:S125)</f>
        <v>0</v>
      </c>
      <c r="Z125" s="275"/>
      <c r="AA125" s="272"/>
      <c r="AB125" s="272" t="s">
        <v>1</v>
      </c>
      <c r="AC125" s="272"/>
      <c r="AD125" s="270"/>
      <c r="AF125" s="9"/>
      <c r="AG125" s="16"/>
      <c r="AH125" s="706" t="s">
        <v>46</v>
      </c>
      <c r="AI125" s="707">
        <f>AI123*AI124</f>
        <v>0</v>
      </c>
      <c r="AJ125" s="707">
        <f t="shared" ref="AJ125" si="47">AJ123*AJ124</f>
        <v>0</v>
      </c>
      <c r="AK125" s="707">
        <f t="shared" ref="AK125" si="48">AK123*AK124</f>
        <v>0</v>
      </c>
      <c r="AL125" s="707">
        <f t="shared" ref="AL125" si="49">AL123*AL124</f>
        <v>0</v>
      </c>
      <c r="AM125" s="707">
        <f t="shared" ref="AM125" si="50">AM123*AM124</f>
        <v>0</v>
      </c>
      <c r="AN125" s="707">
        <f t="shared" ref="AN125" si="51">AN123*AN124</f>
        <v>0</v>
      </c>
      <c r="AO125" s="707">
        <f t="shared" ref="AO125" si="52">AO123*AO124</f>
        <v>0</v>
      </c>
      <c r="AP125" s="707">
        <f t="shared" ref="AP125" si="53">AP123*AP124</f>
        <v>0</v>
      </c>
      <c r="AQ125" s="707">
        <f t="shared" ref="AQ125" si="54">AQ123*AQ124</f>
        <v>0</v>
      </c>
      <c r="AR125" s="707">
        <f t="shared" ref="AR125" si="55">AR123*AR124</f>
        <v>0</v>
      </c>
      <c r="AS125" s="707">
        <f t="shared" ref="AS125" si="56">AS123*AS124</f>
        <v>0</v>
      </c>
      <c r="AT125" s="707">
        <f t="shared" ref="AT125" si="57">AT123*AT124</f>
        <v>0</v>
      </c>
      <c r="AU125" s="707">
        <f t="shared" ref="AU125" si="58">AU123*AU124</f>
        <v>0</v>
      </c>
      <c r="AV125" s="707">
        <f t="shared" ref="AV125" si="59">AV123*AV124</f>
        <v>0</v>
      </c>
      <c r="AW125" s="707">
        <f t="shared" ref="AW125" si="60">AW123*AW124</f>
        <v>0</v>
      </c>
      <c r="AX125" s="707">
        <f t="shared" ref="AX125" si="61">AX123*AX124</f>
        <v>0</v>
      </c>
      <c r="AY125" s="707">
        <f t="shared" ref="AY125" si="62">AY123*AY124</f>
        <v>0</v>
      </c>
      <c r="AZ125" s="707">
        <f t="shared" ref="AZ125" si="63">AZ123*AZ124</f>
        <v>0</v>
      </c>
    </row>
    <row r="126" spans="1:52" ht="27.75" thickTop="1" thickBot="1">
      <c r="A126" s="7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276">
        <f>Y123-Y125</f>
        <v>0</v>
      </c>
      <c r="Z126" s="277"/>
      <c r="AA126" s="278"/>
      <c r="AB126" s="272"/>
      <c r="AC126" s="269"/>
      <c r="AD126" s="270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714">
        <f>SUM(AI125:AZ125)</f>
        <v>0</v>
      </c>
    </row>
    <row r="127" spans="1:52" ht="16.5" thickTop="1" thickBot="1">
      <c r="A127" s="7"/>
      <c r="B127" s="7"/>
      <c r="C127" s="7"/>
      <c r="D127" s="7"/>
      <c r="E127" s="7"/>
      <c r="F127" s="7"/>
      <c r="G127" s="7"/>
      <c r="H127" s="7" t="s">
        <v>1</v>
      </c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8"/>
      <c r="AA127" s="8" t="s">
        <v>1</v>
      </c>
      <c r="AB127" s="8"/>
      <c r="AC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</row>
    <row r="128" spans="1:52" ht="50.1" customHeight="1" thickBot="1">
      <c r="A128" s="109">
        <f>A5</f>
        <v>2022</v>
      </c>
      <c r="B128" s="1447"/>
      <c r="C128" s="1448"/>
      <c r="D128" s="1448"/>
      <c r="E128" s="1448"/>
      <c r="F128" s="1448"/>
      <c r="G128" s="1448"/>
      <c r="H128" s="1448"/>
      <c r="I128" s="1448"/>
      <c r="J128" s="1448"/>
      <c r="K128" s="1448"/>
      <c r="L128" s="1448"/>
      <c r="M128" s="1448"/>
      <c r="N128" s="1448"/>
      <c r="O128" s="1448"/>
      <c r="P128" s="1448"/>
      <c r="Q128" s="1448"/>
      <c r="R128" s="1448"/>
      <c r="S128" s="1448"/>
      <c r="T128" s="1448"/>
      <c r="U128" s="1448"/>
      <c r="V128" s="1448"/>
      <c r="W128" s="1448"/>
      <c r="X128" s="1448"/>
      <c r="Y128" s="1449"/>
      <c r="Z128" s="62" t="s">
        <v>1</v>
      </c>
      <c r="AA128" s="21" t="s">
        <v>1</v>
      </c>
      <c r="AB128" s="21"/>
      <c r="AC128" s="21"/>
      <c r="AD128" s="21"/>
      <c r="AF128" s="10"/>
      <c r="AG128" s="34"/>
      <c r="AH128" s="109">
        <v>2018</v>
      </c>
      <c r="AI128" s="1424">
        <f>B128</f>
        <v>0</v>
      </c>
      <c r="AJ128" s="1425"/>
      <c r="AK128" s="1425"/>
      <c r="AL128" s="1425"/>
      <c r="AM128" s="1425"/>
      <c r="AN128" s="1425"/>
      <c r="AO128" s="1425"/>
      <c r="AP128" s="1425"/>
      <c r="AQ128" s="1425"/>
      <c r="AR128" s="1425"/>
      <c r="AS128" s="1425"/>
      <c r="AT128" s="1425"/>
      <c r="AU128" s="1425"/>
      <c r="AV128" s="1425"/>
      <c r="AW128" s="1425"/>
      <c r="AX128" s="1425"/>
      <c r="AY128" s="1425"/>
      <c r="AZ128" s="1425"/>
    </row>
    <row r="129" spans="1:52" ht="60" customHeight="1" thickTop="1" thickBot="1">
      <c r="A129" s="1468" t="s">
        <v>94</v>
      </c>
      <c r="B129" s="1402" t="s">
        <v>95</v>
      </c>
      <c r="C129" s="1403"/>
      <c r="D129" s="1403"/>
      <c r="E129" s="1404"/>
      <c r="F129" s="1402" t="s">
        <v>7</v>
      </c>
      <c r="G129" s="1403"/>
      <c r="H129" s="1404"/>
      <c r="I129" s="1402" t="s">
        <v>8</v>
      </c>
      <c r="J129" s="1404"/>
      <c r="K129" s="1402" t="s">
        <v>9</v>
      </c>
      <c r="L129" s="1403"/>
      <c r="M129" s="1403"/>
      <c r="N129" s="1403"/>
      <c r="O129" s="1403"/>
      <c r="P129" s="1403"/>
      <c r="Q129" s="1403"/>
      <c r="R129" s="1405" t="s">
        <v>10</v>
      </c>
      <c r="S129" s="1406"/>
      <c r="T129" s="1400" t="s">
        <v>289</v>
      </c>
      <c r="U129" s="1401"/>
      <c r="V129" s="842" t="s">
        <v>258</v>
      </c>
      <c r="W129" s="842"/>
      <c r="X129" s="842"/>
      <c r="Y129" s="211"/>
      <c r="Z129" s="21"/>
      <c r="AA129" s="21"/>
      <c r="AB129" s="21"/>
      <c r="AC129" s="21"/>
      <c r="AF129" s="10"/>
      <c r="AG129" s="34"/>
      <c r="AH129" s="1422" t="s">
        <v>94</v>
      </c>
      <c r="AI129" s="1402" t="s">
        <v>95</v>
      </c>
      <c r="AJ129" s="1403"/>
      <c r="AK129" s="1404"/>
      <c r="AL129" s="1402" t="s">
        <v>7</v>
      </c>
      <c r="AM129" s="1403"/>
      <c r="AN129" s="1404"/>
      <c r="AO129" s="1402" t="s">
        <v>8</v>
      </c>
      <c r="AP129" s="1403"/>
      <c r="AQ129" s="1404"/>
      <c r="AR129" s="1402" t="s">
        <v>9</v>
      </c>
      <c r="AS129" s="1403"/>
      <c r="AT129" s="1404"/>
      <c r="AU129" s="1403" t="s">
        <v>9</v>
      </c>
      <c r="AV129" s="1404"/>
      <c r="AW129" s="1429" t="s">
        <v>10</v>
      </c>
      <c r="AX129" s="1430"/>
      <c r="AY129" s="690"/>
      <c r="AZ129" s="404" t="s">
        <v>11</v>
      </c>
    </row>
    <row r="130" spans="1:52" ht="42" thickTop="1" thickBot="1">
      <c r="A130" s="1428"/>
      <c r="B130" s="482" t="s">
        <v>12</v>
      </c>
      <c r="C130" s="482" t="s">
        <v>13</v>
      </c>
      <c r="D130" s="482" t="s">
        <v>14</v>
      </c>
      <c r="E130" s="688" t="s">
        <v>198</v>
      </c>
      <c r="F130" s="482" t="s">
        <v>12</v>
      </c>
      <c r="G130" s="482" t="s">
        <v>13</v>
      </c>
      <c r="H130" s="482" t="s">
        <v>282</v>
      </c>
      <c r="I130" s="482" t="s">
        <v>12</v>
      </c>
      <c r="J130" s="482" t="s">
        <v>16</v>
      </c>
      <c r="K130" s="482" t="s">
        <v>17</v>
      </c>
      <c r="L130" s="482" t="s">
        <v>18</v>
      </c>
      <c r="M130" s="482" t="s">
        <v>19</v>
      </c>
      <c r="N130" s="484" t="s">
        <v>96</v>
      </c>
      <c r="O130" s="484" t="s">
        <v>257</v>
      </c>
      <c r="P130" s="484" t="s">
        <v>254</v>
      </c>
      <c r="Q130" s="484" t="s">
        <v>20</v>
      </c>
      <c r="R130" s="483" t="s">
        <v>14</v>
      </c>
      <c r="S130" s="482" t="s">
        <v>13</v>
      </c>
      <c r="T130" s="846" t="s">
        <v>284</v>
      </c>
      <c r="U130" s="846" t="s">
        <v>288</v>
      </c>
      <c r="V130" s="484" t="s">
        <v>259</v>
      </c>
      <c r="W130" s="484"/>
      <c r="X130" s="484"/>
      <c r="Y130" s="224" t="s">
        <v>90</v>
      </c>
      <c r="Z130" s="210" t="s">
        <v>97</v>
      </c>
      <c r="AA130" s="210" t="s">
        <v>74</v>
      </c>
      <c r="AB130" s="210" t="s">
        <v>98</v>
      </c>
      <c r="AC130" s="210" t="s">
        <v>99</v>
      </c>
      <c r="AD130" s="210" t="s">
        <v>100</v>
      </c>
      <c r="AF130" s="578" t="s">
        <v>1</v>
      </c>
      <c r="AG130" s="4"/>
      <c r="AH130" s="1428"/>
      <c r="AI130" s="482" t="s">
        <v>12</v>
      </c>
      <c r="AJ130" s="482" t="s">
        <v>13</v>
      </c>
      <c r="AK130" s="482" t="s">
        <v>14</v>
      </c>
      <c r="AL130" s="482" t="s">
        <v>12</v>
      </c>
      <c r="AM130" s="482" t="s">
        <v>13</v>
      </c>
      <c r="AN130" s="482" t="s">
        <v>15</v>
      </c>
      <c r="AO130" s="482" t="s">
        <v>12</v>
      </c>
      <c r="AP130" s="482" t="s">
        <v>205</v>
      </c>
      <c r="AQ130" s="482" t="s">
        <v>16</v>
      </c>
      <c r="AR130" s="482" t="s">
        <v>17</v>
      </c>
      <c r="AS130" s="482" t="s">
        <v>18</v>
      </c>
      <c r="AT130" s="482" t="s">
        <v>19</v>
      </c>
      <c r="AU130" s="482" t="s">
        <v>201</v>
      </c>
      <c r="AV130" s="482" t="s">
        <v>20</v>
      </c>
      <c r="AW130" s="482" t="s">
        <v>12</v>
      </c>
      <c r="AX130" s="483" t="s">
        <v>13</v>
      </c>
      <c r="AY130" s="688" t="s">
        <v>198</v>
      </c>
      <c r="AZ130" s="484" t="s">
        <v>96</v>
      </c>
    </row>
    <row r="131" spans="1:52" ht="29.25" customHeight="1" thickBot="1">
      <c r="A131" s="66">
        <f>A92</f>
        <v>44866</v>
      </c>
      <c r="B131" s="135"/>
      <c r="C131" s="135"/>
      <c r="D131" s="135"/>
      <c r="E131" s="135"/>
      <c r="F131" s="135"/>
      <c r="G131" s="135"/>
      <c r="H131" s="135"/>
      <c r="I131" s="135"/>
      <c r="J131" s="135"/>
      <c r="K131" s="135"/>
      <c r="L131" s="135"/>
      <c r="M131" s="135"/>
      <c r="N131" s="135"/>
      <c r="O131" s="135"/>
      <c r="P131" s="135"/>
      <c r="Q131" s="135"/>
      <c r="R131" s="136"/>
      <c r="S131" s="136"/>
      <c r="T131" s="149"/>
      <c r="U131" s="149"/>
      <c r="V131" s="149"/>
      <c r="W131" s="149"/>
      <c r="X131" s="149"/>
      <c r="Y131" s="255">
        <f>B131*280+C131*280+D131*260+E131*280+F131*130+G131*130+H131*90+I131*35+J131*35+K131*400+L131*400+M131*400+N131*22+O131*42+P131*80+Q131*200+R131*260+S131*280+T131*30+U131*60</f>
        <v>0</v>
      </c>
      <c r="Z131" s="308"/>
      <c r="AA131" s="263">
        <f t="shared" ref="AA131:AA161" si="64">Y131+Z131</f>
        <v>0</v>
      </c>
      <c r="AB131" s="308"/>
      <c r="AC131" s="308"/>
      <c r="AD131" s="319">
        <f t="shared" ref="AD131:AD161" si="65">AA131-AB131-AC131</f>
        <v>0</v>
      </c>
      <c r="AF131" s="11"/>
      <c r="AG131" s="24"/>
      <c r="AH131" s="63">
        <f>AH92</f>
        <v>43374</v>
      </c>
      <c r="AI131" s="694"/>
      <c r="AJ131" s="695"/>
      <c r="AK131" s="695"/>
      <c r="AL131" s="695"/>
      <c r="AM131" s="695"/>
      <c r="AN131" s="695"/>
      <c r="AO131" s="695"/>
      <c r="AP131" s="695"/>
      <c r="AQ131" s="695"/>
      <c r="AR131" s="695"/>
      <c r="AS131" s="695"/>
      <c r="AT131" s="695"/>
      <c r="AU131" s="695"/>
      <c r="AV131" s="695"/>
      <c r="AW131" s="695"/>
      <c r="AX131" s="696"/>
      <c r="AY131" s="696"/>
      <c r="AZ131" s="697"/>
    </row>
    <row r="132" spans="1:52" ht="29.25" customHeight="1" thickBot="1">
      <c r="A132" s="66">
        <f>A131+1</f>
        <v>44867</v>
      </c>
      <c r="B132" s="138"/>
      <c r="C132" s="138"/>
      <c r="D132" s="138"/>
      <c r="E132" s="138"/>
      <c r="F132" s="138"/>
      <c r="G132" s="138"/>
      <c r="H132" s="138"/>
      <c r="I132" s="138"/>
      <c r="J132" s="138"/>
      <c r="K132" s="138"/>
      <c r="L132" s="138"/>
      <c r="M132" s="138"/>
      <c r="N132" s="138"/>
      <c r="O132" s="138"/>
      <c r="P132" s="138"/>
      <c r="Q132" s="138"/>
      <c r="R132" s="139"/>
      <c r="S132" s="139"/>
      <c r="T132" s="149"/>
      <c r="U132" s="149"/>
      <c r="V132" s="149"/>
      <c r="W132" s="149"/>
      <c r="X132" s="149"/>
      <c r="Y132" s="255">
        <f t="shared" ref="Y132:Y138" si="66">B132*280+C132*280+D132*260+E132*280+F132*130+G132*130+H132*90+I132*35+J132*35+K132*400+L132*400+M132*400+N132*22+O132*42+P132*80+Q132*200+R132*260+S132*41+T132*30+U132*60</f>
        <v>0</v>
      </c>
      <c r="Z132" s="309">
        <f t="shared" ref="Z132:Z161" si="67">AD131</f>
        <v>0</v>
      </c>
      <c r="AA132" s="256">
        <f t="shared" si="64"/>
        <v>0</v>
      </c>
      <c r="AB132" s="309"/>
      <c r="AC132" s="309"/>
      <c r="AD132" s="320">
        <f t="shared" si="65"/>
        <v>0</v>
      </c>
      <c r="AF132" s="11"/>
      <c r="AG132" s="24"/>
      <c r="AH132" s="64">
        <f>AH131+1</f>
        <v>43375</v>
      </c>
      <c r="AI132" s="698"/>
      <c r="AJ132" s="699"/>
      <c r="AK132" s="699"/>
      <c r="AL132" s="699"/>
      <c r="AM132" s="699"/>
      <c r="AN132" s="699"/>
      <c r="AO132" s="699"/>
      <c r="AP132" s="699"/>
      <c r="AQ132" s="699"/>
      <c r="AR132" s="699"/>
      <c r="AS132" s="699"/>
      <c r="AT132" s="699"/>
      <c r="AU132" s="699"/>
      <c r="AV132" s="699"/>
      <c r="AW132" s="699"/>
      <c r="AX132" s="700"/>
      <c r="AY132" s="700"/>
      <c r="AZ132" s="701"/>
    </row>
    <row r="133" spans="1:52" ht="29.25" customHeight="1" thickBot="1">
      <c r="A133" s="66">
        <f t="shared" ref="A133:A161" si="68">A132+1</f>
        <v>44868</v>
      </c>
      <c r="B133" s="138"/>
      <c r="C133" s="138"/>
      <c r="D133" s="138"/>
      <c r="E133" s="138"/>
      <c r="F133" s="138"/>
      <c r="G133" s="138"/>
      <c r="H133" s="138"/>
      <c r="I133" s="138"/>
      <c r="J133" s="138"/>
      <c r="K133" s="138"/>
      <c r="L133" s="138"/>
      <c r="M133" s="138"/>
      <c r="N133" s="138"/>
      <c r="O133" s="138"/>
      <c r="P133" s="138"/>
      <c r="Q133" s="138"/>
      <c r="R133" s="139"/>
      <c r="S133" s="139"/>
      <c r="T133" s="149"/>
      <c r="U133" s="149"/>
      <c r="V133" s="149"/>
      <c r="W133" s="149"/>
      <c r="X133" s="149"/>
      <c r="Y133" s="255">
        <f t="shared" si="66"/>
        <v>0</v>
      </c>
      <c r="Z133" s="309">
        <f t="shared" si="67"/>
        <v>0</v>
      </c>
      <c r="AA133" s="256">
        <f t="shared" si="64"/>
        <v>0</v>
      </c>
      <c r="AB133" s="309"/>
      <c r="AC133" s="309"/>
      <c r="AD133" s="320">
        <f t="shared" si="65"/>
        <v>0</v>
      </c>
      <c r="AF133" s="11"/>
      <c r="AG133" s="24"/>
      <c r="AH133" s="64">
        <f t="shared" ref="AH133:AH161" si="69">AH132+1</f>
        <v>43376</v>
      </c>
      <c r="AI133" s="698"/>
      <c r="AJ133" s="699"/>
      <c r="AK133" s="699"/>
      <c r="AL133" s="699"/>
      <c r="AM133" s="699"/>
      <c r="AN133" s="699"/>
      <c r="AO133" s="699"/>
      <c r="AP133" s="699"/>
      <c r="AQ133" s="699"/>
      <c r="AR133" s="699"/>
      <c r="AS133" s="699"/>
      <c r="AT133" s="699"/>
      <c r="AU133" s="699"/>
      <c r="AV133" s="699"/>
      <c r="AW133" s="699"/>
      <c r="AX133" s="700"/>
      <c r="AY133" s="700"/>
      <c r="AZ133" s="701"/>
    </row>
    <row r="134" spans="1:52" ht="29.25" customHeight="1" thickBot="1">
      <c r="A134" s="66">
        <f t="shared" si="68"/>
        <v>44869</v>
      </c>
      <c r="B134" s="138"/>
      <c r="C134" s="138"/>
      <c r="D134" s="138"/>
      <c r="E134" s="138"/>
      <c r="F134" s="138"/>
      <c r="G134" s="138"/>
      <c r="H134" s="138"/>
      <c r="I134" s="138"/>
      <c r="J134" s="138"/>
      <c r="K134" s="138"/>
      <c r="L134" s="138"/>
      <c r="M134" s="138"/>
      <c r="N134" s="138"/>
      <c r="O134" s="138"/>
      <c r="P134" s="138"/>
      <c r="Q134" s="138"/>
      <c r="R134" s="139"/>
      <c r="S134" s="139"/>
      <c r="T134" s="149"/>
      <c r="U134" s="149"/>
      <c r="V134" s="149"/>
      <c r="W134" s="149"/>
      <c r="X134" s="149"/>
      <c r="Y134" s="255">
        <f>B134*280+C134*280+D134*260+E134*280+F134*130+G134*130+H134*90+I134*35+J134*35+K134*400+L134*400+M134*400+N134*22+O134*42+P134*80+Q134*200+R134*300+S134*300+T134*30+U134*60</f>
        <v>0</v>
      </c>
      <c r="Z134" s="309">
        <f t="shared" si="67"/>
        <v>0</v>
      </c>
      <c r="AA134" s="256">
        <f t="shared" si="64"/>
        <v>0</v>
      </c>
      <c r="AB134" s="309"/>
      <c r="AC134" s="309"/>
      <c r="AD134" s="320">
        <f t="shared" si="65"/>
        <v>0</v>
      </c>
      <c r="AF134" s="11"/>
      <c r="AG134" s="24"/>
      <c r="AH134" s="64">
        <f t="shared" si="69"/>
        <v>43377</v>
      </c>
      <c r="AI134" s="698"/>
      <c r="AJ134" s="699"/>
      <c r="AK134" s="699"/>
      <c r="AL134" s="699"/>
      <c r="AM134" s="699"/>
      <c r="AN134" s="699"/>
      <c r="AO134" s="699"/>
      <c r="AP134" s="699"/>
      <c r="AQ134" s="699"/>
      <c r="AR134" s="699"/>
      <c r="AS134" s="699"/>
      <c r="AT134" s="699"/>
      <c r="AU134" s="699"/>
      <c r="AV134" s="699"/>
      <c r="AW134" s="699"/>
      <c r="AX134" s="700"/>
      <c r="AY134" s="700"/>
      <c r="AZ134" s="701"/>
    </row>
    <row r="135" spans="1:52" ht="29.25" customHeight="1" thickBot="1">
      <c r="A135" s="66">
        <f t="shared" si="68"/>
        <v>44870</v>
      </c>
      <c r="B135" s="138"/>
      <c r="C135" s="138"/>
      <c r="D135" s="138"/>
      <c r="E135" s="138"/>
      <c r="F135" s="138"/>
      <c r="G135" s="138"/>
      <c r="H135" s="138"/>
      <c r="I135" s="138"/>
      <c r="J135" s="138"/>
      <c r="K135" s="138"/>
      <c r="L135" s="138"/>
      <c r="M135" s="138"/>
      <c r="N135" s="138"/>
      <c r="O135" s="138"/>
      <c r="P135" s="138"/>
      <c r="Q135" s="138"/>
      <c r="R135" s="139"/>
      <c r="S135" s="139"/>
      <c r="T135" s="149"/>
      <c r="U135" s="149"/>
      <c r="V135" s="149"/>
      <c r="W135" s="149"/>
      <c r="X135" s="149"/>
      <c r="Y135" s="255">
        <f t="shared" si="66"/>
        <v>0</v>
      </c>
      <c r="Z135" s="309">
        <f t="shared" si="67"/>
        <v>0</v>
      </c>
      <c r="AA135" s="256">
        <f t="shared" si="64"/>
        <v>0</v>
      </c>
      <c r="AB135" s="309"/>
      <c r="AC135" s="309"/>
      <c r="AD135" s="320">
        <f t="shared" si="65"/>
        <v>0</v>
      </c>
      <c r="AF135" s="11"/>
      <c r="AG135" s="24"/>
      <c r="AH135" s="64">
        <f t="shared" si="69"/>
        <v>43378</v>
      </c>
      <c r="AI135" s="698"/>
      <c r="AJ135" s="699"/>
      <c r="AK135" s="699"/>
      <c r="AL135" s="699"/>
      <c r="AM135" s="699"/>
      <c r="AN135" s="699"/>
      <c r="AO135" s="699"/>
      <c r="AP135" s="699"/>
      <c r="AQ135" s="699"/>
      <c r="AR135" s="699"/>
      <c r="AS135" s="699"/>
      <c r="AT135" s="699"/>
      <c r="AU135" s="699"/>
      <c r="AV135" s="699"/>
      <c r="AW135" s="699"/>
      <c r="AX135" s="700"/>
      <c r="AY135" s="700"/>
      <c r="AZ135" s="701"/>
    </row>
    <row r="136" spans="1:52" ht="29.25" customHeight="1" thickBot="1">
      <c r="A136" s="66">
        <f t="shared" si="68"/>
        <v>44871</v>
      </c>
      <c r="B136" s="138"/>
      <c r="C136" s="138"/>
      <c r="D136" s="138"/>
      <c r="E136" s="138"/>
      <c r="F136" s="138"/>
      <c r="G136" s="138"/>
      <c r="H136" s="138"/>
      <c r="I136" s="138"/>
      <c r="J136" s="138"/>
      <c r="K136" s="138"/>
      <c r="L136" s="138"/>
      <c r="M136" s="138"/>
      <c r="N136" s="138"/>
      <c r="O136" s="138"/>
      <c r="P136" s="138"/>
      <c r="Q136" s="138"/>
      <c r="R136" s="139"/>
      <c r="S136" s="139"/>
      <c r="T136" s="149"/>
      <c r="U136" s="149"/>
      <c r="V136" s="149"/>
      <c r="W136" s="149"/>
      <c r="X136" s="149"/>
      <c r="Y136" s="255">
        <f>B136*280+C136*280+D136*260+E136*280+F136*130+G136*130+H136*90+I136*35+J136*35+K136*400+L136*400+M136*400+N136*22+O136*42+P136*80+Q136*200+R136*280+S136*280+T136*30+U136*60</f>
        <v>0</v>
      </c>
      <c r="Z136" s="309">
        <f t="shared" si="67"/>
        <v>0</v>
      </c>
      <c r="AA136" s="256">
        <f t="shared" si="64"/>
        <v>0</v>
      </c>
      <c r="AB136" s="309"/>
      <c r="AC136" s="309"/>
      <c r="AD136" s="320">
        <f t="shared" si="65"/>
        <v>0</v>
      </c>
      <c r="AF136" s="11"/>
      <c r="AG136" s="24"/>
      <c r="AH136" s="64">
        <f t="shared" si="69"/>
        <v>43379</v>
      </c>
      <c r="AI136" s="698"/>
      <c r="AJ136" s="699"/>
      <c r="AK136" s="699"/>
      <c r="AL136" s="699"/>
      <c r="AM136" s="699"/>
      <c r="AN136" s="699"/>
      <c r="AO136" s="699"/>
      <c r="AP136" s="699"/>
      <c r="AQ136" s="699"/>
      <c r="AR136" s="699"/>
      <c r="AS136" s="699"/>
      <c r="AT136" s="699"/>
      <c r="AU136" s="699"/>
      <c r="AV136" s="699"/>
      <c r="AW136" s="699"/>
      <c r="AX136" s="700"/>
      <c r="AY136" s="700"/>
      <c r="AZ136" s="701"/>
    </row>
    <row r="137" spans="1:52" ht="29.25" customHeight="1" thickBot="1">
      <c r="A137" s="66">
        <f t="shared" si="68"/>
        <v>44872</v>
      </c>
      <c r="B137" s="138"/>
      <c r="C137" s="138"/>
      <c r="D137" s="138"/>
      <c r="E137" s="138"/>
      <c r="F137" s="138"/>
      <c r="G137" s="138"/>
      <c r="H137" s="138"/>
      <c r="I137" s="138"/>
      <c r="J137" s="138"/>
      <c r="K137" s="138"/>
      <c r="L137" s="138"/>
      <c r="M137" s="138"/>
      <c r="N137" s="138"/>
      <c r="O137" s="138"/>
      <c r="P137" s="138"/>
      <c r="Q137" s="138"/>
      <c r="R137" s="139"/>
      <c r="S137" s="139"/>
      <c r="T137" s="149"/>
      <c r="U137" s="149"/>
      <c r="V137" s="149"/>
      <c r="W137" s="149"/>
      <c r="X137" s="149"/>
      <c r="Y137" s="255">
        <f t="shared" si="66"/>
        <v>0</v>
      </c>
      <c r="Z137" s="309">
        <f t="shared" si="67"/>
        <v>0</v>
      </c>
      <c r="AA137" s="256">
        <f t="shared" si="64"/>
        <v>0</v>
      </c>
      <c r="AB137" s="309"/>
      <c r="AC137" s="309"/>
      <c r="AD137" s="320">
        <f t="shared" si="65"/>
        <v>0</v>
      </c>
      <c r="AF137" s="11"/>
      <c r="AG137" s="24"/>
      <c r="AH137" s="64">
        <f t="shared" si="69"/>
        <v>43380</v>
      </c>
      <c r="AI137" s="698"/>
      <c r="AJ137" s="699"/>
      <c r="AK137" s="699"/>
      <c r="AL137" s="699"/>
      <c r="AM137" s="699"/>
      <c r="AN137" s="699"/>
      <c r="AO137" s="699"/>
      <c r="AP137" s="699"/>
      <c r="AQ137" s="699"/>
      <c r="AR137" s="699"/>
      <c r="AS137" s="699"/>
      <c r="AT137" s="699"/>
      <c r="AU137" s="699"/>
      <c r="AV137" s="699"/>
      <c r="AW137" s="699"/>
      <c r="AX137" s="700"/>
      <c r="AY137" s="700"/>
      <c r="AZ137" s="701"/>
    </row>
    <row r="138" spans="1:52" ht="29.25" customHeight="1" thickBot="1">
      <c r="A138" s="66">
        <f t="shared" si="68"/>
        <v>44873</v>
      </c>
      <c r="B138" s="138"/>
      <c r="C138" s="138"/>
      <c r="D138" s="138"/>
      <c r="E138" s="138"/>
      <c r="F138" s="138"/>
      <c r="G138" s="138"/>
      <c r="H138" s="138"/>
      <c r="I138" s="138"/>
      <c r="J138" s="138"/>
      <c r="K138" s="138"/>
      <c r="L138" s="138"/>
      <c r="M138" s="138"/>
      <c r="N138" s="138"/>
      <c r="O138" s="138"/>
      <c r="P138" s="138"/>
      <c r="Q138" s="138"/>
      <c r="R138" s="139"/>
      <c r="S138" s="139"/>
      <c r="T138" s="149"/>
      <c r="U138" s="149"/>
      <c r="V138" s="149"/>
      <c r="W138" s="149"/>
      <c r="X138" s="149"/>
      <c r="Y138" s="255">
        <f t="shared" si="66"/>
        <v>0</v>
      </c>
      <c r="Z138" s="309">
        <f t="shared" si="67"/>
        <v>0</v>
      </c>
      <c r="AA138" s="256">
        <f t="shared" si="64"/>
        <v>0</v>
      </c>
      <c r="AB138" s="309"/>
      <c r="AC138" s="309"/>
      <c r="AD138" s="320">
        <f t="shared" si="65"/>
        <v>0</v>
      </c>
      <c r="AF138" s="11"/>
      <c r="AG138" s="24"/>
      <c r="AH138" s="64">
        <f t="shared" si="69"/>
        <v>43381</v>
      </c>
      <c r="AI138" s="698"/>
      <c r="AJ138" s="699"/>
      <c r="AK138" s="699"/>
      <c r="AL138" s="699"/>
      <c r="AM138" s="699"/>
      <c r="AN138" s="699"/>
      <c r="AO138" s="699"/>
      <c r="AP138" s="699"/>
      <c r="AQ138" s="699"/>
      <c r="AR138" s="699"/>
      <c r="AS138" s="699"/>
      <c r="AT138" s="699"/>
      <c r="AU138" s="699"/>
      <c r="AV138" s="699"/>
      <c r="AW138" s="699"/>
      <c r="AX138" s="700">
        <v>1</v>
      </c>
      <c r="AY138" s="700"/>
      <c r="AZ138" s="701"/>
    </row>
    <row r="139" spans="1:52" ht="29.25" customHeight="1" thickBot="1">
      <c r="A139" s="66">
        <f t="shared" si="68"/>
        <v>44874</v>
      </c>
      <c r="B139" s="138"/>
      <c r="C139" s="138"/>
      <c r="D139" s="138"/>
      <c r="E139" s="138"/>
      <c r="F139" s="138"/>
      <c r="G139" s="138"/>
      <c r="H139" s="138"/>
      <c r="I139" s="138"/>
      <c r="J139" s="138"/>
      <c r="K139" s="138"/>
      <c r="L139" s="138"/>
      <c r="M139" s="138"/>
      <c r="N139" s="138"/>
      <c r="O139" s="138"/>
      <c r="P139" s="138"/>
      <c r="Q139" s="138"/>
      <c r="R139" s="139"/>
      <c r="S139" s="139"/>
      <c r="T139" s="149"/>
      <c r="U139" s="149"/>
      <c r="V139" s="149"/>
      <c r="W139" s="149"/>
      <c r="X139" s="149"/>
      <c r="Y139" s="255">
        <f>B139*280+C139*280+D139*260+E139*280+F139*130+G139*130+H139*90+I139*35+J139*35+K139*400+L139*400+M139*400+N139*22+O139*400+P139*80+Q139*200+R139*300+S139*300+T139*30+U139*60</f>
        <v>0</v>
      </c>
      <c r="Z139" s="309">
        <f t="shared" si="67"/>
        <v>0</v>
      </c>
      <c r="AA139" s="256">
        <f t="shared" si="64"/>
        <v>0</v>
      </c>
      <c r="AB139" s="309"/>
      <c r="AC139" s="309"/>
      <c r="AD139" s="320">
        <f t="shared" si="65"/>
        <v>0</v>
      </c>
      <c r="AF139" s="11"/>
      <c r="AG139" s="24"/>
      <c r="AH139" s="64">
        <f t="shared" si="69"/>
        <v>43382</v>
      </c>
      <c r="AI139" s="698"/>
      <c r="AJ139" s="699"/>
      <c r="AK139" s="699"/>
      <c r="AL139" s="699"/>
      <c r="AM139" s="699"/>
      <c r="AN139" s="699"/>
      <c r="AO139" s="699"/>
      <c r="AP139" s="699"/>
      <c r="AQ139" s="699"/>
      <c r="AR139" s="699"/>
      <c r="AS139" s="699"/>
      <c r="AT139" s="699"/>
      <c r="AU139" s="699"/>
      <c r="AV139" s="699"/>
      <c r="AW139" s="699"/>
      <c r="AX139" s="700"/>
      <c r="AY139" s="700"/>
      <c r="AZ139" s="701"/>
    </row>
    <row r="140" spans="1:52" ht="29.25" customHeight="1" thickBot="1">
      <c r="A140" s="66">
        <f t="shared" si="68"/>
        <v>44875</v>
      </c>
      <c r="B140" s="138"/>
      <c r="C140" s="138"/>
      <c r="D140" s="138"/>
      <c r="E140" s="138"/>
      <c r="F140" s="138"/>
      <c r="G140" s="138"/>
      <c r="H140" s="138"/>
      <c r="I140" s="138"/>
      <c r="J140" s="138"/>
      <c r="K140" s="138"/>
      <c r="L140" s="138"/>
      <c r="M140" s="138"/>
      <c r="N140" s="138"/>
      <c r="O140" s="138"/>
      <c r="P140" s="138"/>
      <c r="Q140" s="138"/>
      <c r="R140" s="139"/>
      <c r="S140" s="139"/>
      <c r="T140" s="149"/>
      <c r="U140" s="149"/>
      <c r="V140" s="149"/>
      <c r="W140" s="149"/>
      <c r="X140" s="149"/>
      <c r="Y140" s="255">
        <f t="shared" ref="Y140:Y161" si="70">B140*280+C140*280+D140*260+E140*280+F140*130+G140*130+H140*90+I140*35+J140*35+K140*400+L140*400+M140*400+N140*22+O140*400+P140*80+Q140*200+R140*300+S140*300+T140*30+U140*60</f>
        <v>0</v>
      </c>
      <c r="Z140" s="309">
        <f t="shared" si="67"/>
        <v>0</v>
      </c>
      <c r="AA140" s="256">
        <f t="shared" si="64"/>
        <v>0</v>
      </c>
      <c r="AB140" s="309"/>
      <c r="AC140" s="309"/>
      <c r="AD140" s="320">
        <f t="shared" si="65"/>
        <v>0</v>
      </c>
      <c r="AF140" s="11"/>
      <c r="AG140" s="24"/>
      <c r="AH140" s="64">
        <f t="shared" si="69"/>
        <v>43383</v>
      </c>
      <c r="AI140" s="698"/>
      <c r="AJ140" s="699"/>
      <c r="AK140" s="699"/>
      <c r="AL140" s="699"/>
      <c r="AM140" s="699"/>
      <c r="AN140" s="699"/>
      <c r="AO140" s="699"/>
      <c r="AP140" s="699"/>
      <c r="AQ140" s="699"/>
      <c r="AR140" s="699"/>
      <c r="AS140" s="699"/>
      <c r="AT140" s="699"/>
      <c r="AU140" s="699"/>
      <c r="AV140" s="699"/>
      <c r="AW140" s="699"/>
      <c r="AX140" s="700"/>
      <c r="AY140" s="700"/>
      <c r="AZ140" s="701"/>
    </row>
    <row r="141" spans="1:52" ht="29.25" customHeight="1" thickBot="1">
      <c r="A141" s="66">
        <f t="shared" si="68"/>
        <v>44876</v>
      </c>
      <c r="B141" s="138"/>
      <c r="C141" s="138"/>
      <c r="D141" s="138"/>
      <c r="E141" s="138"/>
      <c r="F141" s="138"/>
      <c r="G141" s="138"/>
      <c r="H141" s="138"/>
      <c r="I141" s="138"/>
      <c r="J141" s="138"/>
      <c r="K141" s="138"/>
      <c r="L141" s="138"/>
      <c r="M141" s="138"/>
      <c r="N141" s="138"/>
      <c r="O141" s="138"/>
      <c r="P141" s="138"/>
      <c r="Q141" s="138"/>
      <c r="R141" s="139"/>
      <c r="S141" s="139"/>
      <c r="T141" s="149"/>
      <c r="U141" s="149"/>
      <c r="V141" s="149"/>
      <c r="W141" s="149"/>
      <c r="X141" s="149"/>
      <c r="Y141" s="255">
        <f t="shared" si="70"/>
        <v>0</v>
      </c>
      <c r="Z141" s="309">
        <f t="shared" si="67"/>
        <v>0</v>
      </c>
      <c r="AA141" s="256">
        <f t="shared" si="64"/>
        <v>0</v>
      </c>
      <c r="AB141" s="309"/>
      <c r="AC141" s="309"/>
      <c r="AD141" s="320">
        <f t="shared" si="65"/>
        <v>0</v>
      </c>
      <c r="AF141" s="11"/>
      <c r="AG141" s="24"/>
      <c r="AH141" s="64">
        <f t="shared" si="69"/>
        <v>43384</v>
      </c>
      <c r="AI141" s="698"/>
      <c r="AJ141" s="699"/>
      <c r="AK141" s="699"/>
      <c r="AL141" s="699"/>
      <c r="AM141" s="699"/>
      <c r="AN141" s="699"/>
      <c r="AO141" s="699"/>
      <c r="AP141" s="699"/>
      <c r="AQ141" s="699"/>
      <c r="AR141" s="699"/>
      <c r="AS141" s="699"/>
      <c r="AT141" s="699"/>
      <c r="AU141" s="699"/>
      <c r="AV141" s="699"/>
      <c r="AW141" s="699"/>
      <c r="AX141" s="700"/>
      <c r="AY141" s="700"/>
      <c r="AZ141" s="701"/>
    </row>
    <row r="142" spans="1:52" ht="29.25" customHeight="1" thickBot="1">
      <c r="A142" s="66">
        <f t="shared" si="68"/>
        <v>44877</v>
      </c>
      <c r="B142" s="138"/>
      <c r="C142" s="138"/>
      <c r="D142" s="138"/>
      <c r="E142" s="138"/>
      <c r="F142" s="138"/>
      <c r="G142" s="138"/>
      <c r="H142" s="138"/>
      <c r="I142" s="138"/>
      <c r="J142" s="138"/>
      <c r="K142" s="138"/>
      <c r="L142" s="138"/>
      <c r="M142" s="138"/>
      <c r="N142" s="138"/>
      <c r="O142" s="138"/>
      <c r="P142" s="138"/>
      <c r="Q142" s="138"/>
      <c r="R142" s="139"/>
      <c r="S142" s="139"/>
      <c r="T142" s="149"/>
      <c r="U142" s="149"/>
      <c r="V142" s="149"/>
      <c r="W142" s="149"/>
      <c r="X142" s="149"/>
      <c r="Y142" s="255">
        <f t="shared" si="70"/>
        <v>0</v>
      </c>
      <c r="Z142" s="309">
        <f t="shared" si="67"/>
        <v>0</v>
      </c>
      <c r="AA142" s="256">
        <f t="shared" si="64"/>
        <v>0</v>
      </c>
      <c r="AB142" s="309"/>
      <c r="AC142" s="309"/>
      <c r="AD142" s="320">
        <f t="shared" si="65"/>
        <v>0</v>
      </c>
      <c r="AF142" s="11"/>
      <c r="AG142" s="24"/>
      <c r="AH142" s="64">
        <f t="shared" si="69"/>
        <v>43385</v>
      </c>
      <c r="AI142" s="698"/>
      <c r="AJ142" s="699"/>
      <c r="AK142" s="699"/>
      <c r="AL142" s="699"/>
      <c r="AM142" s="699"/>
      <c r="AN142" s="699"/>
      <c r="AO142" s="699"/>
      <c r="AP142" s="699"/>
      <c r="AQ142" s="699"/>
      <c r="AR142" s="699"/>
      <c r="AS142" s="699"/>
      <c r="AT142" s="699"/>
      <c r="AU142" s="699"/>
      <c r="AV142" s="699"/>
      <c r="AW142" s="699"/>
      <c r="AX142" s="700"/>
      <c r="AY142" s="700"/>
      <c r="AZ142" s="701"/>
    </row>
    <row r="143" spans="1:52" ht="29.25" customHeight="1" thickBot="1">
      <c r="A143" s="66">
        <f t="shared" si="68"/>
        <v>44878</v>
      </c>
      <c r="B143" s="138"/>
      <c r="C143" s="138"/>
      <c r="D143" s="138"/>
      <c r="E143" s="138"/>
      <c r="F143" s="138"/>
      <c r="G143" s="138"/>
      <c r="H143" s="138"/>
      <c r="I143" s="138"/>
      <c r="J143" s="138"/>
      <c r="K143" s="138"/>
      <c r="L143" s="138"/>
      <c r="M143" s="138"/>
      <c r="N143" s="138"/>
      <c r="O143" s="138"/>
      <c r="P143" s="138"/>
      <c r="Q143" s="138"/>
      <c r="R143" s="139"/>
      <c r="S143" s="139"/>
      <c r="T143" s="149"/>
      <c r="U143" s="149"/>
      <c r="V143" s="149"/>
      <c r="W143" s="149"/>
      <c r="X143" s="149"/>
      <c r="Y143" s="255">
        <f t="shared" si="70"/>
        <v>0</v>
      </c>
      <c r="Z143" s="309">
        <f t="shared" si="67"/>
        <v>0</v>
      </c>
      <c r="AA143" s="256">
        <f t="shared" si="64"/>
        <v>0</v>
      </c>
      <c r="AB143" s="309"/>
      <c r="AC143" s="309"/>
      <c r="AD143" s="320">
        <f t="shared" si="65"/>
        <v>0</v>
      </c>
      <c r="AF143" s="11"/>
      <c r="AG143" s="24"/>
      <c r="AH143" s="64">
        <f t="shared" si="69"/>
        <v>43386</v>
      </c>
      <c r="AI143" s="698"/>
      <c r="AJ143" s="699"/>
      <c r="AK143" s="699"/>
      <c r="AL143" s="699"/>
      <c r="AM143" s="699"/>
      <c r="AN143" s="699"/>
      <c r="AO143" s="699"/>
      <c r="AP143" s="699"/>
      <c r="AQ143" s="699"/>
      <c r="AR143" s="699"/>
      <c r="AS143" s="699"/>
      <c r="AT143" s="699"/>
      <c r="AU143" s="699"/>
      <c r="AV143" s="699"/>
      <c r="AW143" s="699"/>
      <c r="AX143" s="700"/>
      <c r="AY143" s="700"/>
      <c r="AZ143" s="701"/>
    </row>
    <row r="144" spans="1:52" ht="29.25" customHeight="1" thickBot="1">
      <c r="A144" s="66">
        <f t="shared" si="68"/>
        <v>44879</v>
      </c>
      <c r="B144" s="138"/>
      <c r="C144" s="138"/>
      <c r="D144" s="138"/>
      <c r="E144" s="138"/>
      <c r="F144" s="138"/>
      <c r="G144" s="138"/>
      <c r="H144" s="138"/>
      <c r="I144" s="138"/>
      <c r="J144" s="138"/>
      <c r="K144" s="138"/>
      <c r="L144" s="138"/>
      <c r="M144" s="138"/>
      <c r="N144" s="138"/>
      <c r="O144" s="138"/>
      <c r="P144" s="138"/>
      <c r="Q144" s="138"/>
      <c r="R144" s="139"/>
      <c r="S144" s="139"/>
      <c r="T144" s="149"/>
      <c r="U144" s="149"/>
      <c r="V144" s="149"/>
      <c r="W144" s="149"/>
      <c r="X144" s="149"/>
      <c r="Y144" s="255">
        <f t="shared" si="70"/>
        <v>0</v>
      </c>
      <c r="Z144" s="309">
        <f t="shared" si="67"/>
        <v>0</v>
      </c>
      <c r="AA144" s="256">
        <f t="shared" si="64"/>
        <v>0</v>
      </c>
      <c r="AB144" s="309"/>
      <c r="AC144" s="309"/>
      <c r="AD144" s="320">
        <f t="shared" si="65"/>
        <v>0</v>
      </c>
      <c r="AF144" s="11"/>
      <c r="AG144" s="24"/>
      <c r="AH144" s="64">
        <f t="shared" si="69"/>
        <v>43387</v>
      </c>
      <c r="AI144" s="698"/>
      <c r="AJ144" s="699"/>
      <c r="AK144" s="699"/>
      <c r="AL144" s="699"/>
      <c r="AM144" s="699"/>
      <c r="AN144" s="699"/>
      <c r="AO144" s="699"/>
      <c r="AP144" s="699"/>
      <c r="AQ144" s="699"/>
      <c r="AR144" s="699"/>
      <c r="AS144" s="699"/>
      <c r="AT144" s="699"/>
      <c r="AU144" s="699"/>
      <c r="AV144" s="699"/>
      <c r="AW144" s="699"/>
      <c r="AX144" s="700"/>
      <c r="AY144" s="700"/>
      <c r="AZ144" s="701"/>
    </row>
    <row r="145" spans="1:52" ht="29.25" customHeight="1" thickBot="1">
      <c r="A145" s="66">
        <f t="shared" si="68"/>
        <v>44880</v>
      </c>
      <c r="B145" s="138"/>
      <c r="C145" s="138"/>
      <c r="D145" s="138"/>
      <c r="E145" s="138"/>
      <c r="F145" s="138"/>
      <c r="G145" s="138"/>
      <c r="H145" s="138"/>
      <c r="I145" s="138"/>
      <c r="J145" s="138"/>
      <c r="K145" s="138"/>
      <c r="L145" s="138"/>
      <c r="M145" s="138"/>
      <c r="N145" s="138"/>
      <c r="O145" s="138"/>
      <c r="P145" s="138"/>
      <c r="Q145" s="138"/>
      <c r="R145" s="139"/>
      <c r="S145" s="139"/>
      <c r="T145" s="149"/>
      <c r="U145" s="149"/>
      <c r="V145" s="149"/>
      <c r="W145" s="149"/>
      <c r="X145" s="149"/>
      <c r="Y145" s="255">
        <f t="shared" si="70"/>
        <v>0</v>
      </c>
      <c r="Z145" s="309">
        <f t="shared" si="67"/>
        <v>0</v>
      </c>
      <c r="AA145" s="256">
        <f t="shared" si="64"/>
        <v>0</v>
      </c>
      <c r="AB145" s="309"/>
      <c r="AC145" s="309"/>
      <c r="AD145" s="320">
        <f t="shared" si="65"/>
        <v>0</v>
      </c>
      <c r="AF145" s="11"/>
      <c r="AG145" s="24"/>
      <c r="AH145" s="64">
        <f t="shared" si="69"/>
        <v>43388</v>
      </c>
      <c r="AI145" s="698"/>
      <c r="AJ145" s="699"/>
      <c r="AK145" s="699"/>
      <c r="AL145" s="699"/>
      <c r="AM145" s="699"/>
      <c r="AN145" s="699"/>
      <c r="AO145" s="699"/>
      <c r="AP145" s="699"/>
      <c r="AQ145" s="699"/>
      <c r="AR145" s="699"/>
      <c r="AS145" s="699"/>
      <c r="AT145" s="699"/>
      <c r="AU145" s="699"/>
      <c r="AV145" s="699"/>
      <c r="AW145" s="699"/>
      <c r="AX145" s="700"/>
      <c r="AY145" s="700"/>
      <c r="AZ145" s="701"/>
    </row>
    <row r="146" spans="1:52" ht="29.25" customHeight="1" thickBot="1">
      <c r="A146" s="66">
        <f t="shared" si="68"/>
        <v>44881</v>
      </c>
      <c r="B146" s="138"/>
      <c r="C146" s="138"/>
      <c r="D146" s="138"/>
      <c r="E146" s="138"/>
      <c r="F146" s="138"/>
      <c r="G146" s="138"/>
      <c r="H146" s="138"/>
      <c r="I146" s="138"/>
      <c r="J146" s="138"/>
      <c r="K146" s="138"/>
      <c r="L146" s="138"/>
      <c r="M146" s="138"/>
      <c r="N146" s="138"/>
      <c r="O146" s="138"/>
      <c r="P146" s="138"/>
      <c r="Q146" s="138"/>
      <c r="R146" s="139"/>
      <c r="S146" s="139"/>
      <c r="T146" s="149"/>
      <c r="U146" s="149"/>
      <c r="V146" s="149"/>
      <c r="W146" s="149"/>
      <c r="X146" s="149"/>
      <c r="Y146" s="255">
        <f t="shared" si="70"/>
        <v>0</v>
      </c>
      <c r="Z146" s="309">
        <f t="shared" si="67"/>
        <v>0</v>
      </c>
      <c r="AA146" s="256">
        <f t="shared" si="64"/>
        <v>0</v>
      </c>
      <c r="AB146" s="309"/>
      <c r="AC146" s="309"/>
      <c r="AD146" s="320">
        <f t="shared" si="65"/>
        <v>0</v>
      </c>
      <c r="AF146" s="11"/>
      <c r="AG146" s="24"/>
      <c r="AH146" s="64">
        <f t="shared" si="69"/>
        <v>43389</v>
      </c>
      <c r="AI146" s="698"/>
      <c r="AJ146" s="699"/>
      <c r="AK146" s="699"/>
      <c r="AL146" s="699"/>
      <c r="AM146" s="699"/>
      <c r="AN146" s="699"/>
      <c r="AO146" s="699"/>
      <c r="AP146" s="699"/>
      <c r="AQ146" s="699"/>
      <c r="AR146" s="699"/>
      <c r="AS146" s="699"/>
      <c r="AT146" s="699"/>
      <c r="AU146" s="699"/>
      <c r="AV146" s="699"/>
      <c r="AW146" s="699"/>
      <c r="AX146" s="700"/>
      <c r="AY146" s="700"/>
      <c r="AZ146" s="701"/>
    </row>
    <row r="147" spans="1:52" ht="29.25" customHeight="1" thickBot="1">
      <c r="A147" s="66">
        <f t="shared" si="68"/>
        <v>44882</v>
      </c>
      <c r="B147" s="138"/>
      <c r="C147" s="138"/>
      <c r="D147" s="138"/>
      <c r="E147" s="138"/>
      <c r="F147" s="138"/>
      <c r="G147" s="138"/>
      <c r="H147" s="138"/>
      <c r="I147" s="138"/>
      <c r="J147" s="138"/>
      <c r="K147" s="138"/>
      <c r="L147" s="138"/>
      <c r="M147" s="138"/>
      <c r="N147" s="138"/>
      <c r="O147" s="138"/>
      <c r="P147" s="138"/>
      <c r="Q147" s="138"/>
      <c r="R147" s="139"/>
      <c r="S147" s="139"/>
      <c r="T147" s="149"/>
      <c r="U147" s="149"/>
      <c r="V147" s="149"/>
      <c r="W147" s="149"/>
      <c r="X147" s="149"/>
      <c r="Y147" s="255">
        <f t="shared" si="70"/>
        <v>0</v>
      </c>
      <c r="Z147" s="309">
        <f t="shared" si="67"/>
        <v>0</v>
      </c>
      <c r="AA147" s="256">
        <f t="shared" si="64"/>
        <v>0</v>
      </c>
      <c r="AB147" s="309"/>
      <c r="AC147" s="309"/>
      <c r="AD147" s="320">
        <f t="shared" si="65"/>
        <v>0</v>
      </c>
      <c r="AF147" s="11"/>
      <c r="AG147" s="24"/>
      <c r="AH147" s="64">
        <f t="shared" si="69"/>
        <v>43390</v>
      </c>
      <c r="AI147" s="698"/>
      <c r="AJ147" s="699"/>
      <c r="AK147" s="699"/>
      <c r="AL147" s="699"/>
      <c r="AM147" s="699"/>
      <c r="AN147" s="699"/>
      <c r="AO147" s="699"/>
      <c r="AP147" s="699"/>
      <c r="AQ147" s="699"/>
      <c r="AR147" s="699"/>
      <c r="AS147" s="699"/>
      <c r="AT147" s="699"/>
      <c r="AU147" s="699"/>
      <c r="AV147" s="699"/>
      <c r="AW147" s="699"/>
      <c r="AX147" s="700"/>
      <c r="AY147" s="700"/>
      <c r="AZ147" s="701"/>
    </row>
    <row r="148" spans="1:52" ht="29.25" customHeight="1" thickBot="1">
      <c r="A148" s="66">
        <f t="shared" si="68"/>
        <v>44883</v>
      </c>
      <c r="B148" s="138"/>
      <c r="C148" s="138"/>
      <c r="D148" s="138"/>
      <c r="E148" s="138"/>
      <c r="F148" s="138"/>
      <c r="G148" s="138"/>
      <c r="H148" s="138"/>
      <c r="I148" s="138"/>
      <c r="J148" s="138"/>
      <c r="K148" s="138"/>
      <c r="L148" s="138"/>
      <c r="M148" s="138"/>
      <c r="N148" s="138"/>
      <c r="O148" s="138"/>
      <c r="P148" s="138"/>
      <c r="Q148" s="138"/>
      <c r="R148" s="139"/>
      <c r="S148" s="139"/>
      <c r="T148" s="149"/>
      <c r="U148" s="149"/>
      <c r="V148" s="149"/>
      <c r="W148" s="149"/>
      <c r="X148" s="149"/>
      <c r="Y148" s="255">
        <f t="shared" si="70"/>
        <v>0</v>
      </c>
      <c r="Z148" s="309">
        <f t="shared" si="67"/>
        <v>0</v>
      </c>
      <c r="AA148" s="256">
        <f t="shared" si="64"/>
        <v>0</v>
      </c>
      <c r="AB148" s="309"/>
      <c r="AC148" s="309"/>
      <c r="AD148" s="320">
        <f t="shared" si="65"/>
        <v>0</v>
      </c>
      <c r="AF148" s="11"/>
      <c r="AG148" s="24"/>
      <c r="AH148" s="64">
        <f t="shared" si="69"/>
        <v>43391</v>
      </c>
      <c r="AI148" s="698"/>
      <c r="AJ148" s="699"/>
      <c r="AK148" s="699"/>
      <c r="AL148" s="699"/>
      <c r="AM148" s="699"/>
      <c r="AN148" s="699"/>
      <c r="AO148" s="699"/>
      <c r="AP148" s="699"/>
      <c r="AQ148" s="699"/>
      <c r="AR148" s="699"/>
      <c r="AS148" s="699"/>
      <c r="AT148" s="699"/>
      <c r="AU148" s="699"/>
      <c r="AV148" s="699"/>
      <c r="AW148" s="699"/>
      <c r="AX148" s="700"/>
      <c r="AY148" s="700"/>
      <c r="AZ148" s="701"/>
    </row>
    <row r="149" spans="1:52" ht="29.25" customHeight="1" thickBot="1">
      <c r="A149" s="66">
        <f t="shared" si="68"/>
        <v>44884</v>
      </c>
      <c r="B149" s="138"/>
      <c r="C149" s="138"/>
      <c r="D149" s="138"/>
      <c r="E149" s="138"/>
      <c r="F149" s="138"/>
      <c r="G149" s="138"/>
      <c r="H149" s="138"/>
      <c r="I149" s="138"/>
      <c r="J149" s="138"/>
      <c r="K149" s="138"/>
      <c r="L149" s="138"/>
      <c r="M149" s="138"/>
      <c r="N149" s="138"/>
      <c r="O149" s="138"/>
      <c r="P149" s="138"/>
      <c r="Q149" s="138"/>
      <c r="R149" s="139"/>
      <c r="S149" s="139"/>
      <c r="T149" s="149"/>
      <c r="U149" s="149"/>
      <c r="V149" s="149"/>
      <c r="W149" s="149"/>
      <c r="X149" s="149"/>
      <c r="Y149" s="255">
        <f t="shared" si="70"/>
        <v>0</v>
      </c>
      <c r="Z149" s="309">
        <f t="shared" si="67"/>
        <v>0</v>
      </c>
      <c r="AA149" s="256">
        <f t="shared" si="64"/>
        <v>0</v>
      </c>
      <c r="AB149" s="309"/>
      <c r="AC149" s="309"/>
      <c r="AD149" s="320">
        <f t="shared" si="65"/>
        <v>0</v>
      </c>
      <c r="AF149" s="11"/>
      <c r="AG149" s="24"/>
      <c r="AH149" s="64">
        <f t="shared" si="69"/>
        <v>43392</v>
      </c>
      <c r="AI149" s="698"/>
      <c r="AJ149" s="699"/>
      <c r="AK149" s="699"/>
      <c r="AL149" s="699"/>
      <c r="AM149" s="699"/>
      <c r="AN149" s="699"/>
      <c r="AO149" s="699"/>
      <c r="AP149" s="699"/>
      <c r="AQ149" s="699"/>
      <c r="AR149" s="699"/>
      <c r="AS149" s="699"/>
      <c r="AT149" s="699"/>
      <c r="AU149" s="699"/>
      <c r="AV149" s="699"/>
      <c r="AW149" s="699"/>
      <c r="AX149" s="700"/>
      <c r="AY149" s="700"/>
      <c r="AZ149" s="701"/>
    </row>
    <row r="150" spans="1:52" ht="29.25" customHeight="1" thickBot="1">
      <c r="A150" s="66">
        <f t="shared" si="68"/>
        <v>44885</v>
      </c>
      <c r="B150" s="138"/>
      <c r="C150" s="138"/>
      <c r="D150" s="138"/>
      <c r="E150" s="138"/>
      <c r="F150" s="138"/>
      <c r="G150" s="138"/>
      <c r="H150" s="138"/>
      <c r="I150" s="138"/>
      <c r="J150" s="138"/>
      <c r="K150" s="138"/>
      <c r="L150" s="138"/>
      <c r="M150" s="138"/>
      <c r="N150" s="138"/>
      <c r="O150" s="138"/>
      <c r="P150" s="138"/>
      <c r="Q150" s="138"/>
      <c r="R150" s="139"/>
      <c r="S150" s="139"/>
      <c r="T150" s="149"/>
      <c r="U150" s="149"/>
      <c r="V150" s="149"/>
      <c r="W150" s="149"/>
      <c r="X150" s="149"/>
      <c r="Y150" s="255">
        <f t="shared" si="70"/>
        <v>0</v>
      </c>
      <c r="Z150" s="309">
        <f t="shared" si="67"/>
        <v>0</v>
      </c>
      <c r="AA150" s="256">
        <f t="shared" si="64"/>
        <v>0</v>
      </c>
      <c r="AB150" s="309"/>
      <c r="AC150" s="309"/>
      <c r="AD150" s="320">
        <f t="shared" si="65"/>
        <v>0</v>
      </c>
      <c r="AF150" s="11"/>
      <c r="AG150" s="24"/>
      <c r="AH150" s="64">
        <f t="shared" si="69"/>
        <v>43393</v>
      </c>
      <c r="AI150" s="698"/>
      <c r="AJ150" s="699"/>
      <c r="AK150" s="699"/>
      <c r="AL150" s="699"/>
      <c r="AM150" s="699"/>
      <c r="AN150" s="699"/>
      <c r="AO150" s="699"/>
      <c r="AP150" s="699"/>
      <c r="AQ150" s="699"/>
      <c r="AR150" s="699"/>
      <c r="AS150" s="699"/>
      <c r="AT150" s="699"/>
      <c r="AU150" s="699"/>
      <c r="AV150" s="699"/>
      <c r="AW150" s="699"/>
      <c r="AX150" s="700"/>
      <c r="AY150" s="700"/>
      <c r="AZ150" s="701"/>
    </row>
    <row r="151" spans="1:52" ht="29.25" customHeight="1" thickBot="1">
      <c r="A151" s="66">
        <f t="shared" si="68"/>
        <v>44886</v>
      </c>
      <c r="B151" s="138"/>
      <c r="C151" s="138"/>
      <c r="D151" s="138"/>
      <c r="E151" s="138"/>
      <c r="F151" s="138"/>
      <c r="G151" s="138"/>
      <c r="H151" s="138"/>
      <c r="I151" s="138"/>
      <c r="J151" s="138"/>
      <c r="K151" s="138"/>
      <c r="L151" s="138"/>
      <c r="M151" s="138"/>
      <c r="N151" s="138"/>
      <c r="O151" s="138"/>
      <c r="P151" s="138"/>
      <c r="Q151" s="138"/>
      <c r="R151" s="139"/>
      <c r="S151" s="139"/>
      <c r="T151" s="149"/>
      <c r="U151" s="149"/>
      <c r="V151" s="149"/>
      <c r="W151" s="149"/>
      <c r="X151" s="149"/>
      <c r="Y151" s="255">
        <f t="shared" si="70"/>
        <v>0</v>
      </c>
      <c r="Z151" s="309">
        <f t="shared" si="67"/>
        <v>0</v>
      </c>
      <c r="AA151" s="256">
        <f t="shared" si="64"/>
        <v>0</v>
      </c>
      <c r="AB151" s="309"/>
      <c r="AC151" s="309"/>
      <c r="AD151" s="320">
        <f t="shared" si="65"/>
        <v>0</v>
      </c>
      <c r="AF151" s="11"/>
      <c r="AG151" s="24"/>
      <c r="AH151" s="64">
        <f t="shared" si="69"/>
        <v>43394</v>
      </c>
      <c r="AI151" s="698"/>
      <c r="AJ151" s="699"/>
      <c r="AK151" s="699"/>
      <c r="AL151" s="699"/>
      <c r="AM151" s="699"/>
      <c r="AN151" s="699"/>
      <c r="AO151" s="699"/>
      <c r="AP151" s="699"/>
      <c r="AQ151" s="699"/>
      <c r="AR151" s="699"/>
      <c r="AS151" s="699"/>
      <c r="AT151" s="699"/>
      <c r="AU151" s="699"/>
      <c r="AV151" s="699"/>
      <c r="AW151" s="699"/>
      <c r="AX151" s="700"/>
      <c r="AY151" s="700"/>
      <c r="AZ151" s="701"/>
    </row>
    <row r="152" spans="1:52" ht="29.25" customHeight="1" thickBot="1">
      <c r="A152" s="66">
        <f t="shared" si="68"/>
        <v>44887</v>
      </c>
      <c r="B152" s="138"/>
      <c r="C152" s="138"/>
      <c r="D152" s="138"/>
      <c r="E152" s="138"/>
      <c r="F152" s="138"/>
      <c r="G152" s="138"/>
      <c r="H152" s="138"/>
      <c r="I152" s="138"/>
      <c r="J152" s="138"/>
      <c r="K152" s="138"/>
      <c r="L152" s="138"/>
      <c r="M152" s="138"/>
      <c r="N152" s="138"/>
      <c r="O152" s="138"/>
      <c r="P152" s="138"/>
      <c r="Q152" s="138"/>
      <c r="R152" s="139"/>
      <c r="S152" s="139"/>
      <c r="T152" s="149"/>
      <c r="U152" s="149"/>
      <c r="V152" s="149"/>
      <c r="W152" s="149"/>
      <c r="X152" s="149"/>
      <c r="Y152" s="255">
        <f t="shared" si="70"/>
        <v>0</v>
      </c>
      <c r="Z152" s="309">
        <f t="shared" si="67"/>
        <v>0</v>
      </c>
      <c r="AA152" s="256">
        <f t="shared" si="64"/>
        <v>0</v>
      </c>
      <c r="AB152" s="309"/>
      <c r="AC152" s="309"/>
      <c r="AD152" s="320">
        <f t="shared" si="65"/>
        <v>0</v>
      </c>
      <c r="AF152" s="11"/>
      <c r="AG152" s="24"/>
      <c r="AH152" s="64">
        <f t="shared" si="69"/>
        <v>43395</v>
      </c>
      <c r="AI152" s="698"/>
      <c r="AJ152" s="699"/>
      <c r="AK152" s="699"/>
      <c r="AL152" s="699"/>
      <c r="AM152" s="699"/>
      <c r="AN152" s="699"/>
      <c r="AO152" s="699"/>
      <c r="AP152" s="699"/>
      <c r="AQ152" s="699"/>
      <c r="AR152" s="699"/>
      <c r="AS152" s="699"/>
      <c r="AT152" s="699"/>
      <c r="AU152" s="699"/>
      <c r="AV152" s="699"/>
      <c r="AW152" s="699"/>
      <c r="AX152" s="700"/>
      <c r="AY152" s="700"/>
      <c r="AZ152" s="701"/>
    </row>
    <row r="153" spans="1:52" ht="29.25" customHeight="1" thickBot="1">
      <c r="A153" s="66">
        <f t="shared" si="68"/>
        <v>44888</v>
      </c>
      <c r="B153" s="138"/>
      <c r="C153" s="138"/>
      <c r="D153" s="138"/>
      <c r="E153" s="138"/>
      <c r="F153" s="138"/>
      <c r="G153" s="138"/>
      <c r="H153" s="138"/>
      <c r="I153" s="138"/>
      <c r="J153" s="138"/>
      <c r="K153" s="138"/>
      <c r="L153" s="138"/>
      <c r="M153" s="138"/>
      <c r="N153" s="138"/>
      <c r="O153" s="138"/>
      <c r="P153" s="138"/>
      <c r="Q153" s="138"/>
      <c r="R153" s="139"/>
      <c r="S153" s="139"/>
      <c r="T153" s="149"/>
      <c r="U153" s="149"/>
      <c r="V153" s="149"/>
      <c r="W153" s="149"/>
      <c r="X153" s="149"/>
      <c r="Y153" s="255">
        <f t="shared" si="70"/>
        <v>0</v>
      </c>
      <c r="Z153" s="309">
        <f t="shared" si="67"/>
        <v>0</v>
      </c>
      <c r="AA153" s="256">
        <f t="shared" si="64"/>
        <v>0</v>
      </c>
      <c r="AB153" s="309"/>
      <c r="AC153" s="309"/>
      <c r="AD153" s="320">
        <f t="shared" si="65"/>
        <v>0</v>
      </c>
      <c r="AF153" s="11"/>
      <c r="AG153" s="24"/>
      <c r="AH153" s="64">
        <f t="shared" si="69"/>
        <v>43396</v>
      </c>
      <c r="AI153" s="698"/>
      <c r="AJ153" s="699"/>
      <c r="AK153" s="699"/>
      <c r="AL153" s="699"/>
      <c r="AM153" s="699"/>
      <c r="AN153" s="699"/>
      <c r="AO153" s="699"/>
      <c r="AP153" s="699"/>
      <c r="AQ153" s="699"/>
      <c r="AR153" s="699"/>
      <c r="AS153" s="699"/>
      <c r="AT153" s="699"/>
      <c r="AU153" s="699"/>
      <c r="AV153" s="699"/>
      <c r="AW153" s="699"/>
      <c r="AX153" s="700"/>
      <c r="AY153" s="700"/>
      <c r="AZ153" s="701"/>
    </row>
    <row r="154" spans="1:52" ht="29.25" customHeight="1" thickBot="1">
      <c r="A154" s="66">
        <f t="shared" si="68"/>
        <v>44889</v>
      </c>
      <c r="B154" s="138"/>
      <c r="C154" s="138"/>
      <c r="D154" s="138"/>
      <c r="E154" s="138"/>
      <c r="F154" s="138"/>
      <c r="G154" s="138"/>
      <c r="H154" s="138"/>
      <c r="I154" s="138"/>
      <c r="J154" s="138"/>
      <c r="K154" s="138"/>
      <c r="L154" s="138"/>
      <c r="M154" s="138"/>
      <c r="N154" s="138"/>
      <c r="O154" s="138"/>
      <c r="P154" s="138"/>
      <c r="Q154" s="138"/>
      <c r="R154" s="139"/>
      <c r="S154" s="139"/>
      <c r="T154" s="149"/>
      <c r="U154" s="149"/>
      <c r="V154" s="149"/>
      <c r="W154" s="149"/>
      <c r="X154" s="149"/>
      <c r="Y154" s="255">
        <f t="shared" si="70"/>
        <v>0</v>
      </c>
      <c r="Z154" s="309">
        <f t="shared" si="67"/>
        <v>0</v>
      </c>
      <c r="AA154" s="256">
        <f t="shared" si="64"/>
        <v>0</v>
      </c>
      <c r="AB154" s="309"/>
      <c r="AC154" s="309"/>
      <c r="AD154" s="320">
        <f t="shared" si="65"/>
        <v>0</v>
      </c>
      <c r="AF154" s="11"/>
      <c r="AG154" s="24"/>
      <c r="AH154" s="64">
        <f t="shared" si="69"/>
        <v>43397</v>
      </c>
      <c r="AI154" s="698"/>
      <c r="AJ154" s="699"/>
      <c r="AK154" s="699"/>
      <c r="AL154" s="699"/>
      <c r="AM154" s="699"/>
      <c r="AN154" s="699"/>
      <c r="AO154" s="699"/>
      <c r="AP154" s="699"/>
      <c r="AQ154" s="699"/>
      <c r="AR154" s="699"/>
      <c r="AS154" s="699"/>
      <c r="AT154" s="699"/>
      <c r="AU154" s="699"/>
      <c r="AV154" s="699"/>
      <c r="AW154" s="699"/>
      <c r="AX154" s="700"/>
      <c r="AY154" s="700"/>
      <c r="AZ154" s="701"/>
    </row>
    <row r="155" spans="1:52" ht="29.25" customHeight="1" thickBot="1">
      <c r="A155" s="66">
        <f t="shared" si="68"/>
        <v>44890</v>
      </c>
      <c r="B155" s="138"/>
      <c r="C155" s="138"/>
      <c r="D155" s="138"/>
      <c r="E155" s="138"/>
      <c r="F155" s="138"/>
      <c r="G155" s="138"/>
      <c r="H155" s="138"/>
      <c r="I155" s="138"/>
      <c r="J155" s="138"/>
      <c r="K155" s="138"/>
      <c r="L155" s="138"/>
      <c r="M155" s="138"/>
      <c r="N155" s="138"/>
      <c r="O155" s="138"/>
      <c r="P155" s="138"/>
      <c r="Q155" s="138"/>
      <c r="R155" s="139"/>
      <c r="S155" s="139"/>
      <c r="T155" s="149"/>
      <c r="U155" s="149"/>
      <c r="V155" s="149"/>
      <c r="W155" s="149"/>
      <c r="X155" s="149"/>
      <c r="Y155" s="255">
        <f t="shared" si="70"/>
        <v>0</v>
      </c>
      <c r="Z155" s="309">
        <f t="shared" si="67"/>
        <v>0</v>
      </c>
      <c r="AA155" s="256">
        <f t="shared" si="64"/>
        <v>0</v>
      </c>
      <c r="AB155" s="309"/>
      <c r="AC155" s="309"/>
      <c r="AD155" s="320">
        <f t="shared" si="65"/>
        <v>0</v>
      </c>
      <c r="AF155" s="11"/>
      <c r="AG155" s="24"/>
      <c r="AH155" s="64">
        <f t="shared" si="69"/>
        <v>43398</v>
      </c>
      <c r="AI155" s="698"/>
      <c r="AJ155" s="699"/>
      <c r="AK155" s="699"/>
      <c r="AL155" s="699"/>
      <c r="AM155" s="699"/>
      <c r="AN155" s="699"/>
      <c r="AO155" s="699"/>
      <c r="AP155" s="699"/>
      <c r="AQ155" s="699"/>
      <c r="AR155" s="699"/>
      <c r="AS155" s="699"/>
      <c r="AT155" s="699"/>
      <c r="AU155" s="699"/>
      <c r="AV155" s="699"/>
      <c r="AW155" s="699"/>
      <c r="AX155" s="700"/>
      <c r="AY155" s="700"/>
      <c r="AZ155" s="701"/>
    </row>
    <row r="156" spans="1:52" ht="29.25" customHeight="1" thickBot="1">
      <c r="A156" s="66">
        <f t="shared" si="68"/>
        <v>44891</v>
      </c>
      <c r="B156" s="138"/>
      <c r="C156" s="138"/>
      <c r="D156" s="138"/>
      <c r="E156" s="138"/>
      <c r="F156" s="138"/>
      <c r="G156" s="138"/>
      <c r="H156" s="138"/>
      <c r="I156" s="138"/>
      <c r="J156" s="138"/>
      <c r="K156" s="138"/>
      <c r="L156" s="138"/>
      <c r="M156" s="138"/>
      <c r="N156" s="138"/>
      <c r="O156" s="138"/>
      <c r="P156" s="138"/>
      <c r="Q156" s="138"/>
      <c r="R156" s="139"/>
      <c r="S156" s="139"/>
      <c r="T156" s="149"/>
      <c r="U156" s="149"/>
      <c r="V156" s="149"/>
      <c r="W156" s="149"/>
      <c r="X156" s="149"/>
      <c r="Y156" s="255">
        <f t="shared" si="70"/>
        <v>0</v>
      </c>
      <c r="Z156" s="309">
        <f t="shared" si="67"/>
        <v>0</v>
      </c>
      <c r="AA156" s="256">
        <f t="shared" si="64"/>
        <v>0</v>
      </c>
      <c r="AB156" s="309"/>
      <c r="AC156" s="309"/>
      <c r="AD156" s="320">
        <f t="shared" si="65"/>
        <v>0</v>
      </c>
      <c r="AF156" s="11"/>
      <c r="AG156" s="24"/>
      <c r="AH156" s="64">
        <f t="shared" si="69"/>
        <v>43399</v>
      </c>
      <c r="AI156" s="698"/>
      <c r="AJ156" s="699"/>
      <c r="AK156" s="699"/>
      <c r="AL156" s="699"/>
      <c r="AM156" s="699"/>
      <c r="AN156" s="699"/>
      <c r="AO156" s="699"/>
      <c r="AP156" s="699"/>
      <c r="AQ156" s="699"/>
      <c r="AR156" s="699"/>
      <c r="AS156" s="699"/>
      <c r="AT156" s="699"/>
      <c r="AU156" s="699"/>
      <c r="AV156" s="699"/>
      <c r="AW156" s="699"/>
      <c r="AX156" s="700"/>
      <c r="AY156" s="700"/>
      <c r="AZ156" s="701"/>
    </row>
    <row r="157" spans="1:52" ht="29.25" customHeight="1" thickBot="1">
      <c r="A157" s="66">
        <f t="shared" si="68"/>
        <v>44892</v>
      </c>
      <c r="B157" s="138"/>
      <c r="C157" s="138"/>
      <c r="D157" s="138"/>
      <c r="E157" s="138"/>
      <c r="F157" s="138"/>
      <c r="G157" s="138"/>
      <c r="H157" s="138"/>
      <c r="I157" s="138"/>
      <c r="J157" s="138"/>
      <c r="K157" s="138"/>
      <c r="L157" s="138"/>
      <c r="M157" s="138"/>
      <c r="N157" s="138"/>
      <c r="O157" s="138"/>
      <c r="P157" s="138"/>
      <c r="Q157" s="138"/>
      <c r="R157" s="139"/>
      <c r="S157" s="139"/>
      <c r="T157" s="149"/>
      <c r="U157" s="149"/>
      <c r="V157" s="149"/>
      <c r="W157" s="149"/>
      <c r="X157" s="149"/>
      <c r="Y157" s="255">
        <f t="shared" si="70"/>
        <v>0</v>
      </c>
      <c r="Z157" s="309">
        <f t="shared" si="67"/>
        <v>0</v>
      </c>
      <c r="AA157" s="256">
        <f t="shared" si="64"/>
        <v>0</v>
      </c>
      <c r="AB157" s="309"/>
      <c r="AC157" s="309"/>
      <c r="AD157" s="320">
        <f t="shared" si="65"/>
        <v>0</v>
      </c>
      <c r="AF157" s="11"/>
      <c r="AG157" s="24"/>
      <c r="AH157" s="64">
        <f t="shared" si="69"/>
        <v>43400</v>
      </c>
      <c r="AI157" s="698"/>
      <c r="AJ157" s="699"/>
      <c r="AK157" s="699"/>
      <c r="AL157" s="699"/>
      <c r="AM157" s="699"/>
      <c r="AN157" s="699"/>
      <c r="AO157" s="699"/>
      <c r="AP157" s="699"/>
      <c r="AQ157" s="699"/>
      <c r="AR157" s="699"/>
      <c r="AS157" s="699"/>
      <c r="AT157" s="699"/>
      <c r="AU157" s="699"/>
      <c r="AV157" s="699"/>
      <c r="AW157" s="699"/>
      <c r="AX157" s="700"/>
      <c r="AY157" s="700"/>
      <c r="AZ157" s="701"/>
    </row>
    <row r="158" spans="1:52" ht="29.25" customHeight="1" thickBot="1">
      <c r="A158" s="66">
        <f t="shared" si="68"/>
        <v>44893</v>
      </c>
      <c r="B158" s="138"/>
      <c r="C158" s="138"/>
      <c r="D158" s="138"/>
      <c r="E158" s="138"/>
      <c r="F158" s="138"/>
      <c r="G158" s="138"/>
      <c r="H158" s="138"/>
      <c r="I158" s="138"/>
      <c r="J158" s="138"/>
      <c r="K158" s="138"/>
      <c r="L158" s="138"/>
      <c r="M158" s="138"/>
      <c r="N158" s="138"/>
      <c r="O158" s="138"/>
      <c r="P158" s="138"/>
      <c r="Q158" s="138"/>
      <c r="R158" s="139"/>
      <c r="S158" s="139"/>
      <c r="T158" s="149"/>
      <c r="U158" s="149"/>
      <c r="V158" s="149"/>
      <c r="W158" s="149"/>
      <c r="X158" s="149"/>
      <c r="Y158" s="255">
        <f t="shared" si="70"/>
        <v>0</v>
      </c>
      <c r="Z158" s="309">
        <f t="shared" si="67"/>
        <v>0</v>
      </c>
      <c r="AA158" s="256">
        <f t="shared" si="64"/>
        <v>0</v>
      </c>
      <c r="AB158" s="309"/>
      <c r="AC158" s="309"/>
      <c r="AD158" s="320">
        <f t="shared" si="65"/>
        <v>0</v>
      </c>
      <c r="AF158" s="11"/>
      <c r="AG158" s="24"/>
      <c r="AH158" s="64">
        <f t="shared" si="69"/>
        <v>43401</v>
      </c>
      <c r="AI158" s="698"/>
      <c r="AJ158" s="699"/>
      <c r="AK158" s="699"/>
      <c r="AL158" s="699"/>
      <c r="AM158" s="699"/>
      <c r="AN158" s="699"/>
      <c r="AO158" s="699"/>
      <c r="AP158" s="699"/>
      <c r="AQ158" s="699"/>
      <c r="AR158" s="699"/>
      <c r="AS158" s="699"/>
      <c r="AT158" s="699"/>
      <c r="AU158" s="699"/>
      <c r="AV158" s="699"/>
      <c r="AW158" s="699"/>
      <c r="AX158" s="700"/>
      <c r="AY158" s="700"/>
      <c r="AZ158" s="701"/>
    </row>
    <row r="159" spans="1:52" ht="29.25" customHeight="1" thickBot="1">
      <c r="A159" s="66">
        <f t="shared" si="68"/>
        <v>44894</v>
      </c>
      <c r="B159" s="138"/>
      <c r="C159" s="138"/>
      <c r="D159" s="138"/>
      <c r="E159" s="138"/>
      <c r="F159" s="138"/>
      <c r="G159" s="138"/>
      <c r="H159" s="138"/>
      <c r="I159" s="138"/>
      <c r="J159" s="138"/>
      <c r="K159" s="138"/>
      <c r="L159" s="138"/>
      <c r="M159" s="138"/>
      <c r="N159" s="138"/>
      <c r="O159" s="138"/>
      <c r="P159" s="138"/>
      <c r="Q159" s="138"/>
      <c r="R159" s="139"/>
      <c r="S159" s="139"/>
      <c r="T159" s="149"/>
      <c r="U159" s="149"/>
      <c r="V159" s="149"/>
      <c r="W159" s="149"/>
      <c r="X159" s="149"/>
      <c r="Y159" s="255">
        <f t="shared" si="70"/>
        <v>0</v>
      </c>
      <c r="Z159" s="309">
        <f t="shared" si="67"/>
        <v>0</v>
      </c>
      <c r="AA159" s="256">
        <f t="shared" si="64"/>
        <v>0</v>
      </c>
      <c r="AB159" s="309"/>
      <c r="AC159" s="309"/>
      <c r="AD159" s="320">
        <f t="shared" si="65"/>
        <v>0</v>
      </c>
      <c r="AF159" s="11"/>
      <c r="AG159" s="24"/>
      <c r="AH159" s="64">
        <f>AH158+1</f>
        <v>43402</v>
      </c>
      <c r="AI159" s="698"/>
      <c r="AJ159" s="699"/>
      <c r="AK159" s="699"/>
      <c r="AL159" s="699"/>
      <c r="AM159" s="699"/>
      <c r="AN159" s="699"/>
      <c r="AO159" s="699"/>
      <c r="AP159" s="699"/>
      <c r="AQ159" s="699"/>
      <c r="AR159" s="699"/>
      <c r="AS159" s="699"/>
      <c r="AT159" s="699"/>
      <c r="AU159" s="699"/>
      <c r="AV159" s="699"/>
      <c r="AW159" s="699"/>
      <c r="AX159" s="700"/>
      <c r="AY159" s="700"/>
      <c r="AZ159" s="701"/>
    </row>
    <row r="160" spans="1:52" ht="29.25" customHeight="1" thickBot="1">
      <c r="A160" s="66">
        <f t="shared" si="68"/>
        <v>44895</v>
      </c>
      <c r="B160" s="144"/>
      <c r="C160" s="144"/>
      <c r="D160" s="144"/>
      <c r="E160" s="144"/>
      <c r="F160" s="144"/>
      <c r="G160" s="144"/>
      <c r="H160" s="144"/>
      <c r="I160" s="144"/>
      <c r="J160" s="144"/>
      <c r="K160" s="144"/>
      <c r="L160" s="144"/>
      <c r="M160" s="144"/>
      <c r="N160" s="144"/>
      <c r="O160" s="144"/>
      <c r="P160" s="144"/>
      <c r="Q160" s="144"/>
      <c r="R160" s="145"/>
      <c r="S160" s="142"/>
      <c r="T160" s="152"/>
      <c r="U160" s="152"/>
      <c r="V160" s="152"/>
      <c r="W160" s="152"/>
      <c r="X160" s="152"/>
      <c r="Y160" s="255">
        <f t="shared" si="70"/>
        <v>0</v>
      </c>
      <c r="Z160" s="309">
        <f t="shared" si="67"/>
        <v>0</v>
      </c>
      <c r="AA160" s="256">
        <f t="shared" si="64"/>
        <v>0</v>
      </c>
      <c r="AB160" s="309"/>
      <c r="AC160" s="309"/>
      <c r="AD160" s="320">
        <f t="shared" si="65"/>
        <v>0</v>
      </c>
      <c r="AF160" s="11"/>
      <c r="AG160" s="24"/>
      <c r="AH160" s="64">
        <f t="shared" si="69"/>
        <v>43403</v>
      </c>
      <c r="AI160" s="698"/>
      <c r="AJ160" s="699"/>
      <c r="AK160" s="699"/>
      <c r="AL160" s="699"/>
      <c r="AM160" s="699"/>
      <c r="AN160" s="699"/>
      <c r="AO160" s="699"/>
      <c r="AP160" s="699"/>
      <c r="AQ160" s="699"/>
      <c r="AR160" s="699"/>
      <c r="AS160" s="699"/>
      <c r="AT160" s="699"/>
      <c r="AU160" s="699"/>
      <c r="AV160" s="699"/>
      <c r="AW160" s="699"/>
      <c r="AX160" s="700"/>
      <c r="AY160" s="700"/>
      <c r="AZ160" s="701"/>
    </row>
    <row r="161" spans="1:52" ht="29.25" customHeight="1" thickBot="1">
      <c r="A161" s="95">
        <f t="shared" si="68"/>
        <v>44896</v>
      </c>
      <c r="B161" s="146"/>
      <c r="C161" s="146"/>
      <c r="D161" s="144"/>
      <c r="E161" s="144"/>
      <c r="F161" s="144"/>
      <c r="G161" s="144"/>
      <c r="H161" s="144"/>
      <c r="I161" s="144"/>
      <c r="J161" s="144"/>
      <c r="K161" s="144"/>
      <c r="L161" s="144"/>
      <c r="M161" s="144"/>
      <c r="N161" s="144"/>
      <c r="O161" s="144"/>
      <c r="P161" s="144"/>
      <c r="Q161" s="144"/>
      <c r="R161" s="145"/>
      <c r="S161" s="147"/>
      <c r="T161" s="152"/>
      <c r="U161" s="152"/>
      <c r="V161" s="152"/>
      <c r="W161" s="152"/>
      <c r="X161" s="152"/>
      <c r="Y161" s="255">
        <f t="shared" si="70"/>
        <v>0</v>
      </c>
      <c r="Z161" s="309">
        <f t="shared" si="67"/>
        <v>0</v>
      </c>
      <c r="AA161" s="256">
        <f t="shared" si="64"/>
        <v>0</v>
      </c>
      <c r="AB161" s="309"/>
      <c r="AC161" s="309">
        <f>Y163</f>
        <v>0</v>
      </c>
      <c r="AD161" s="320">
        <f t="shared" si="65"/>
        <v>0</v>
      </c>
      <c r="AF161" s="11"/>
      <c r="AG161" s="24"/>
      <c r="AH161" s="65">
        <f t="shared" si="69"/>
        <v>43404</v>
      </c>
      <c r="AI161" s="702"/>
      <c r="AJ161" s="703"/>
      <c r="AK161" s="703"/>
      <c r="AL161" s="703"/>
      <c r="AM161" s="703"/>
      <c r="AN161" s="703"/>
      <c r="AO161" s="703"/>
      <c r="AP161" s="703"/>
      <c r="AQ161" s="703"/>
      <c r="AR161" s="703"/>
      <c r="AS161" s="703"/>
      <c r="AT161" s="703"/>
      <c r="AU161" s="703"/>
      <c r="AV161" s="703"/>
      <c r="AW161" s="703"/>
      <c r="AX161" s="704"/>
      <c r="AY161" s="704"/>
      <c r="AZ161" s="705"/>
    </row>
    <row r="162" spans="1:52" ht="50.1" customHeight="1" thickTop="1" thickBot="1">
      <c r="A162" s="91" t="s">
        <v>74</v>
      </c>
      <c r="B162" s="90">
        <f>SUM(B131:B161)</f>
        <v>0</v>
      </c>
      <c r="C162" s="90">
        <f t="shared" ref="C162:S162" si="71">SUM(C131:C161)</f>
        <v>0</v>
      </c>
      <c r="D162" s="90">
        <f t="shared" si="71"/>
        <v>0</v>
      </c>
      <c r="E162" s="90"/>
      <c r="F162" s="90">
        <f t="shared" si="71"/>
        <v>0</v>
      </c>
      <c r="G162" s="90">
        <f t="shared" si="71"/>
        <v>0</v>
      </c>
      <c r="H162" s="90">
        <f t="shared" si="71"/>
        <v>0</v>
      </c>
      <c r="I162" s="90">
        <f t="shared" si="71"/>
        <v>0</v>
      </c>
      <c r="J162" s="90">
        <f t="shared" si="71"/>
        <v>0</v>
      </c>
      <c r="K162" s="90">
        <f t="shared" si="71"/>
        <v>0</v>
      </c>
      <c r="L162" s="90">
        <f t="shared" si="71"/>
        <v>0</v>
      </c>
      <c r="M162" s="90">
        <f t="shared" si="71"/>
        <v>0</v>
      </c>
      <c r="N162" s="90">
        <f t="shared" si="71"/>
        <v>0</v>
      </c>
      <c r="O162" s="90">
        <f t="shared" si="71"/>
        <v>0</v>
      </c>
      <c r="P162" s="90"/>
      <c r="Q162" s="90">
        <f t="shared" si="71"/>
        <v>0</v>
      </c>
      <c r="R162" s="90">
        <f t="shared" si="71"/>
        <v>0</v>
      </c>
      <c r="S162" s="90">
        <f t="shared" si="71"/>
        <v>0</v>
      </c>
      <c r="T162" s="90"/>
      <c r="U162" s="90"/>
      <c r="V162" s="90"/>
      <c r="W162" s="90"/>
      <c r="X162" s="90"/>
      <c r="Y162" s="271">
        <f>SUM(Y131:Y161)</f>
        <v>0</v>
      </c>
      <c r="Z162" s="258"/>
      <c r="AA162" s="259"/>
      <c r="AB162" s="316">
        <f>SUM(AB131:AB161)</f>
        <v>0</v>
      </c>
      <c r="AC162" s="316"/>
      <c r="AD162" s="260"/>
      <c r="AF162" s="9"/>
      <c r="AG162" s="16"/>
      <c r="AH162" s="706" t="s">
        <v>101</v>
      </c>
      <c r="AI162" s="707">
        <f>SUM(AI131:AI161)</f>
        <v>0</v>
      </c>
      <c r="AJ162" s="707">
        <f>SUM(AJ131:AJ161)</f>
        <v>0</v>
      </c>
      <c r="AK162" s="707">
        <f t="shared" ref="AK162:AZ162" si="72">SUM(AK131:AK161)</f>
        <v>0</v>
      </c>
      <c r="AL162" s="707">
        <f t="shared" si="72"/>
        <v>0</v>
      </c>
      <c r="AM162" s="707">
        <f t="shared" si="72"/>
        <v>0</v>
      </c>
      <c r="AN162" s="707">
        <f t="shared" si="72"/>
        <v>0</v>
      </c>
      <c r="AO162" s="707">
        <f t="shared" si="72"/>
        <v>0</v>
      </c>
      <c r="AP162" s="707">
        <f t="shared" si="72"/>
        <v>0</v>
      </c>
      <c r="AQ162" s="707">
        <f t="shared" si="72"/>
        <v>0</v>
      </c>
      <c r="AR162" s="707">
        <f t="shared" si="72"/>
        <v>0</v>
      </c>
      <c r="AS162" s="707">
        <f t="shared" si="72"/>
        <v>0</v>
      </c>
      <c r="AT162" s="707">
        <f t="shared" si="72"/>
        <v>0</v>
      </c>
      <c r="AU162" s="707">
        <f t="shared" si="72"/>
        <v>0</v>
      </c>
      <c r="AV162" s="707">
        <f t="shared" si="72"/>
        <v>0</v>
      </c>
      <c r="AW162" s="707">
        <f t="shared" si="72"/>
        <v>0</v>
      </c>
      <c r="AX162" s="707">
        <f t="shared" si="72"/>
        <v>1</v>
      </c>
      <c r="AY162" s="707">
        <f t="shared" si="72"/>
        <v>0</v>
      </c>
      <c r="AZ162" s="707">
        <f t="shared" si="72"/>
        <v>0</v>
      </c>
    </row>
    <row r="163" spans="1:52" ht="50.1" customHeight="1" thickTop="1" thickBot="1">
      <c r="A163" s="148" t="s">
        <v>102</v>
      </c>
      <c r="B163" s="473"/>
      <c r="C163" s="473"/>
      <c r="D163" s="473"/>
      <c r="E163" s="473"/>
      <c r="F163" s="473"/>
      <c r="G163" s="473"/>
      <c r="H163" s="473"/>
      <c r="I163" s="473"/>
      <c r="J163" s="473"/>
      <c r="K163" s="473"/>
      <c r="L163" s="473"/>
      <c r="M163" s="473"/>
      <c r="N163" s="473"/>
      <c r="O163" s="473"/>
      <c r="P163" s="473"/>
      <c r="Q163" s="473"/>
      <c r="R163" s="473"/>
      <c r="S163" s="473"/>
      <c r="T163" s="473"/>
      <c r="U163" s="473"/>
      <c r="V163" s="473"/>
      <c r="W163" s="473"/>
      <c r="X163" s="473"/>
      <c r="Y163" s="261">
        <f>SUM(B164:S164)</f>
        <v>0</v>
      </c>
      <c r="Z163" s="270"/>
      <c r="AA163" s="270"/>
      <c r="AB163" s="270"/>
      <c r="AC163" s="270" t="s">
        <v>1</v>
      </c>
      <c r="AD163" s="270"/>
      <c r="AF163" s="2"/>
      <c r="AG163" s="2"/>
      <c r="AH163" s="706" t="s">
        <v>45</v>
      </c>
      <c r="AI163" s="707">
        <v>220</v>
      </c>
      <c r="AJ163" s="707">
        <v>220</v>
      </c>
      <c r="AK163" s="707">
        <v>220</v>
      </c>
      <c r="AL163" s="707">
        <v>100</v>
      </c>
      <c r="AM163" s="707">
        <v>100</v>
      </c>
      <c r="AN163" s="707">
        <v>80</v>
      </c>
      <c r="AO163" s="707">
        <v>25</v>
      </c>
      <c r="AP163" s="707">
        <v>25</v>
      </c>
      <c r="AQ163" s="707">
        <v>25</v>
      </c>
      <c r="AR163" s="707">
        <v>400</v>
      </c>
      <c r="AS163" s="707">
        <v>400</v>
      </c>
      <c r="AT163" s="707">
        <v>400</v>
      </c>
      <c r="AU163" s="707">
        <v>0</v>
      </c>
      <c r="AV163" s="707">
        <v>0</v>
      </c>
      <c r="AW163" s="707">
        <v>200</v>
      </c>
      <c r="AX163" s="707">
        <v>200</v>
      </c>
      <c r="AY163" s="707">
        <v>0</v>
      </c>
      <c r="AZ163" s="707">
        <v>0</v>
      </c>
    </row>
    <row r="164" spans="1:52" ht="50.1" customHeight="1" thickTop="1" thickBot="1">
      <c r="A164" s="81"/>
      <c r="B164" s="76">
        <f>B162*B163</f>
        <v>0</v>
      </c>
      <c r="C164" s="76">
        <f t="shared" ref="C164:S164" si="73">C162*C163</f>
        <v>0</v>
      </c>
      <c r="D164" s="76">
        <f t="shared" si="73"/>
        <v>0</v>
      </c>
      <c r="E164" s="76"/>
      <c r="F164" s="76">
        <f t="shared" si="73"/>
        <v>0</v>
      </c>
      <c r="G164" s="76">
        <f t="shared" si="73"/>
        <v>0</v>
      </c>
      <c r="H164" s="76">
        <f t="shared" si="73"/>
        <v>0</v>
      </c>
      <c r="I164" s="76">
        <f t="shared" si="73"/>
        <v>0</v>
      </c>
      <c r="J164" s="76">
        <f t="shared" si="73"/>
        <v>0</v>
      </c>
      <c r="K164" s="76">
        <f t="shared" si="73"/>
        <v>0</v>
      </c>
      <c r="L164" s="76">
        <f t="shared" si="73"/>
        <v>0</v>
      </c>
      <c r="M164" s="76">
        <f t="shared" si="73"/>
        <v>0</v>
      </c>
      <c r="N164" s="76">
        <f t="shared" si="73"/>
        <v>0</v>
      </c>
      <c r="O164" s="76">
        <f t="shared" si="73"/>
        <v>0</v>
      </c>
      <c r="P164" s="76"/>
      <c r="Q164" s="76">
        <f t="shared" si="73"/>
        <v>0</v>
      </c>
      <c r="R164" s="76">
        <f t="shared" si="73"/>
        <v>0</v>
      </c>
      <c r="S164" s="76">
        <f t="shared" si="73"/>
        <v>0</v>
      </c>
      <c r="T164" s="76"/>
      <c r="U164" s="76"/>
      <c r="V164" s="76"/>
      <c r="W164" s="76"/>
      <c r="X164" s="76"/>
      <c r="Y164" s="261">
        <f>SUM(Y162-Y163)</f>
        <v>0</v>
      </c>
      <c r="Z164" s="270"/>
      <c r="AA164" s="270"/>
      <c r="AB164" s="270"/>
      <c r="AC164" s="270"/>
      <c r="AD164" s="270"/>
      <c r="AF164" s="2"/>
      <c r="AG164" s="2"/>
      <c r="AH164" s="706" t="s">
        <v>46</v>
      </c>
      <c r="AI164" s="707">
        <f>AI162*AI163</f>
        <v>0</v>
      </c>
      <c r="AJ164" s="707">
        <f t="shared" ref="AJ164" si="74">AJ162*AJ163</f>
        <v>0</v>
      </c>
      <c r="AK164" s="707">
        <f t="shared" ref="AK164" si="75">AK162*AK163</f>
        <v>0</v>
      </c>
      <c r="AL164" s="707">
        <f t="shared" ref="AL164" si="76">AL162*AL163</f>
        <v>0</v>
      </c>
      <c r="AM164" s="707">
        <f t="shared" ref="AM164" si="77">AM162*AM163</f>
        <v>0</v>
      </c>
      <c r="AN164" s="707">
        <f t="shared" ref="AN164" si="78">AN162*AN163</f>
        <v>0</v>
      </c>
      <c r="AO164" s="707">
        <f t="shared" ref="AO164" si="79">AO162*AO163</f>
        <v>0</v>
      </c>
      <c r="AP164" s="707">
        <f t="shared" ref="AP164" si="80">AP162*AP163</f>
        <v>0</v>
      </c>
      <c r="AQ164" s="707">
        <f t="shared" ref="AQ164" si="81">AQ162*AQ163</f>
        <v>0</v>
      </c>
      <c r="AR164" s="707">
        <f t="shared" ref="AR164" si="82">AR162*AR163</f>
        <v>0</v>
      </c>
      <c r="AS164" s="707">
        <f t="shared" ref="AS164" si="83">AS162*AS163</f>
        <v>0</v>
      </c>
      <c r="AT164" s="707">
        <f t="shared" ref="AT164" si="84">AT162*AT163</f>
        <v>0</v>
      </c>
      <c r="AU164" s="707">
        <f t="shared" ref="AU164" si="85">AU162*AU163</f>
        <v>0</v>
      </c>
      <c r="AV164" s="707">
        <f t="shared" ref="AV164" si="86">AV162*AV163</f>
        <v>0</v>
      </c>
      <c r="AW164" s="707">
        <f t="shared" ref="AW164" si="87">AW162*AW163</f>
        <v>0</v>
      </c>
      <c r="AX164" s="707">
        <f t="shared" ref="AX164" si="88">AX162*AX163</f>
        <v>200</v>
      </c>
      <c r="AY164" s="707">
        <f t="shared" ref="AY164" si="89">AY162*AY163</f>
        <v>0</v>
      </c>
      <c r="AZ164" s="707">
        <f t="shared" ref="AZ164" si="90">AZ162*AZ163</f>
        <v>0</v>
      </c>
    </row>
    <row r="165" spans="1:52" ht="24.75" thickTop="1" thickBot="1">
      <c r="H165" t="s">
        <v>1</v>
      </c>
      <c r="Z165" s="2"/>
      <c r="AA165" s="2" t="s">
        <v>1</v>
      </c>
      <c r="AB165" s="2"/>
      <c r="AC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714">
        <f>SUM(AI164:AZ164)</f>
        <v>200</v>
      </c>
    </row>
    <row r="166" spans="1:52" ht="39.950000000000003" customHeight="1" thickBot="1">
      <c r="A166" s="109">
        <v>2022</v>
      </c>
      <c r="B166" s="1447"/>
      <c r="C166" s="1448"/>
      <c r="D166" s="1448"/>
      <c r="E166" s="1448"/>
      <c r="F166" s="1448"/>
      <c r="G166" s="1448"/>
      <c r="H166" s="1448"/>
      <c r="I166" s="1448"/>
      <c r="J166" s="1448"/>
      <c r="K166" s="1448"/>
      <c r="L166" s="1448"/>
      <c r="M166" s="1448"/>
      <c r="N166" s="1448"/>
      <c r="O166" s="1448"/>
      <c r="P166" s="1448"/>
      <c r="Q166" s="1448"/>
      <c r="R166" s="1448"/>
      <c r="S166" s="1448"/>
      <c r="T166" s="1448"/>
      <c r="U166" s="1448"/>
      <c r="V166" s="1448"/>
      <c r="W166" s="1448"/>
      <c r="X166" s="1448"/>
      <c r="Y166" s="1449"/>
      <c r="Z166" s="20" t="s">
        <v>1</v>
      </c>
      <c r="AA166" s="20" t="s">
        <v>1</v>
      </c>
      <c r="AB166" s="20"/>
      <c r="AC166" s="2"/>
      <c r="AD166" t="s">
        <v>1</v>
      </c>
      <c r="AE166" t="s">
        <v>1</v>
      </c>
      <c r="AF166" s="10"/>
      <c r="AG166" s="34"/>
      <c r="AH166" s="109">
        <v>2018</v>
      </c>
      <c r="AI166" s="1424">
        <f>B166</f>
        <v>0</v>
      </c>
      <c r="AJ166" s="1425"/>
      <c r="AK166" s="1425"/>
      <c r="AL166" s="1425"/>
      <c r="AM166" s="1425"/>
      <c r="AN166" s="1425"/>
      <c r="AO166" s="1425"/>
      <c r="AP166" s="1425"/>
      <c r="AQ166" s="1425"/>
      <c r="AR166" s="1425"/>
      <c r="AS166" s="1425"/>
      <c r="AT166" s="1425"/>
      <c r="AU166" s="1425"/>
      <c r="AV166" s="1425"/>
      <c r="AW166" s="1425"/>
      <c r="AX166" s="1425"/>
      <c r="AY166" s="1425"/>
      <c r="AZ166" s="1425"/>
    </row>
    <row r="167" spans="1:52" ht="60" customHeight="1" thickTop="1" thickBot="1">
      <c r="A167" s="1468" t="s">
        <v>94</v>
      </c>
      <c r="B167" s="1402" t="s">
        <v>95</v>
      </c>
      <c r="C167" s="1403"/>
      <c r="D167" s="1403"/>
      <c r="E167" s="1404"/>
      <c r="F167" s="1402" t="s">
        <v>7</v>
      </c>
      <c r="G167" s="1403"/>
      <c r="H167" s="1404"/>
      <c r="I167" s="1402" t="s">
        <v>8</v>
      </c>
      <c r="J167" s="1404"/>
      <c r="K167" s="1402" t="s">
        <v>9</v>
      </c>
      <c r="L167" s="1403"/>
      <c r="M167" s="1403"/>
      <c r="N167" s="1403"/>
      <c r="O167" s="1403"/>
      <c r="P167" s="1403"/>
      <c r="Q167" s="1403"/>
      <c r="R167" s="1405" t="s">
        <v>10</v>
      </c>
      <c r="S167" s="1406"/>
      <c r="T167" s="1400" t="s">
        <v>289</v>
      </c>
      <c r="U167" s="1401"/>
      <c r="V167" s="842" t="s">
        <v>258</v>
      </c>
      <c r="W167" s="842"/>
      <c r="X167" s="842"/>
      <c r="Y167" s="211"/>
      <c r="Z167" s="21"/>
      <c r="AA167" s="21" t="s">
        <v>1</v>
      </c>
      <c r="AB167" s="21"/>
      <c r="AC167" s="21"/>
      <c r="AF167" s="10"/>
      <c r="AG167" s="34"/>
      <c r="AH167" s="1422" t="s">
        <v>94</v>
      </c>
      <c r="AI167" s="1402" t="s">
        <v>95</v>
      </c>
      <c r="AJ167" s="1403"/>
      <c r="AK167" s="1404"/>
      <c r="AL167" s="1402" t="s">
        <v>7</v>
      </c>
      <c r="AM167" s="1403"/>
      <c r="AN167" s="1404"/>
      <c r="AO167" s="1402" t="s">
        <v>8</v>
      </c>
      <c r="AP167" s="1403"/>
      <c r="AQ167" s="1404"/>
      <c r="AR167" s="1402" t="s">
        <v>9</v>
      </c>
      <c r="AS167" s="1403"/>
      <c r="AT167" s="1404"/>
      <c r="AU167" s="1403" t="s">
        <v>9</v>
      </c>
      <c r="AV167" s="1404"/>
      <c r="AW167" s="1429" t="s">
        <v>10</v>
      </c>
      <c r="AX167" s="1430"/>
      <c r="AY167" s="690"/>
      <c r="AZ167" s="404" t="s">
        <v>11</v>
      </c>
    </row>
    <row r="168" spans="1:52" ht="42" thickTop="1" thickBot="1">
      <c r="A168" s="1428"/>
      <c r="B168" s="482" t="s">
        <v>12</v>
      </c>
      <c r="C168" s="482" t="s">
        <v>13</v>
      </c>
      <c r="D168" s="482" t="s">
        <v>14</v>
      </c>
      <c r="E168" s="688" t="s">
        <v>198</v>
      </c>
      <c r="F168" s="482" t="s">
        <v>12</v>
      </c>
      <c r="G168" s="482" t="s">
        <v>13</v>
      </c>
      <c r="H168" s="482" t="s">
        <v>282</v>
      </c>
      <c r="I168" s="482" t="s">
        <v>12</v>
      </c>
      <c r="J168" s="482" t="s">
        <v>16</v>
      </c>
      <c r="K168" s="482" t="s">
        <v>17</v>
      </c>
      <c r="L168" s="482" t="s">
        <v>18</v>
      </c>
      <c r="M168" s="482" t="s">
        <v>19</v>
      </c>
      <c r="N168" s="484" t="s">
        <v>96</v>
      </c>
      <c r="O168" s="484" t="s">
        <v>257</v>
      </c>
      <c r="P168" s="484" t="s">
        <v>254</v>
      </c>
      <c r="Q168" s="484" t="s">
        <v>20</v>
      </c>
      <c r="R168" s="483" t="s">
        <v>14</v>
      </c>
      <c r="S168" s="482" t="s">
        <v>13</v>
      </c>
      <c r="T168" s="846" t="s">
        <v>284</v>
      </c>
      <c r="U168" s="846" t="s">
        <v>288</v>
      </c>
      <c r="V168" s="484" t="s">
        <v>259</v>
      </c>
      <c r="W168" s="484"/>
      <c r="X168" s="484"/>
      <c r="Y168" s="224" t="s">
        <v>90</v>
      </c>
      <c r="Z168" s="210" t="s">
        <v>97</v>
      </c>
      <c r="AA168" s="210" t="s">
        <v>74</v>
      </c>
      <c r="AB168" s="210" t="s">
        <v>267</v>
      </c>
      <c r="AC168" s="210" t="s">
        <v>99</v>
      </c>
      <c r="AD168" s="210" t="s">
        <v>100</v>
      </c>
      <c r="AF168" s="578" t="s">
        <v>1</v>
      </c>
      <c r="AG168" s="4"/>
      <c r="AH168" s="1428"/>
      <c r="AI168" s="482" t="s">
        <v>12</v>
      </c>
      <c r="AJ168" s="482" t="s">
        <v>13</v>
      </c>
      <c r="AK168" s="482" t="s">
        <v>14</v>
      </c>
      <c r="AL168" s="482" t="s">
        <v>12</v>
      </c>
      <c r="AM168" s="482" t="s">
        <v>13</v>
      </c>
      <c r="AN168" s="482" t="s">
        <v>15</v>
      </c>
      <c r="AO168" s="482" t="s">
        <v>12</v>
      </c>
      <c r="AP168" s="482" t="s">
        <v>205</v>
      </c>
      <c r="AQ168" s="482" t="s">
        <v>16</v>
      </c>
      <c r="AR168" s="482" t="s">
        <v>17</v>
      </c>
      <c r="AS168" s="482" t="s">
        <v>18</v>
      </c>
      <c r="AT168" s="482" t="s">
        <v>19</v>
      </c>
      <c r="AU168" s="482" t="s">
        <v>201</v>
      </c>
      <c r="AV168" s="482" t="s">
        <v>20</v>
      </c>
      <c r="AW168" s="482" t="s">
        <v>12</v>
      </c>
      <c r="AX168" s="483" t="s">
        <v>13</v>
      </c>
      <c r="AY168" s="688" t="s">
        <v>198</v>
      </c>
      <c r="AZ168" s="484" t="s">
        <v>96</v>
      </c>
    </row>
    <row r="169" spans="1:52" ht="29.25" customHeight="1" thickTop="1" thickBot="1">
      <c r="A169" s="64">
        <f>A131</f>
        <v>44866</v>
      </c>
      <c r="B169" s="134"/>
      <c r="C169" s="134"/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134"/>
      <c r="O169" s="134"/>
      <c r="P169" s="149"/>
      <c r="Q169" s="149"/>
      <c r="R169" s="135"/>
      <c r="S169" s="810"/>
      <c r="T169" s="830"/>
      <c r="U169" s="830"/>
      <c r="V169" s="830"/>
      <c r="W169" s="830"/>
      <c r="X169" s="830"/>
      <c r="Y169" s="255">
        <f>B169*400+C169*400+D169*400+E169*400+F169*130+G169*130+H169*130+I169*50+J169*50+K169*400+L169*400+M169*400+N169*400+O169*400+P169*80+Q169*200+R169*360+S169*360+T169*30+U169*60</f>
        <v>0</v>
      </c>
      <c r="Z169" s="308"/>
      <c r="AA169" s="263">
        <f t="shared" ref="AA169:AA199" si="91">Y169+Z169</f>
        <v>0</v>
      </c>
      <c r="AB169" s="308"/>
      <c r="AC169" s="308"/>
      <c r="AD169" s="319">
        <f t="shared" ref="AD169:AD199" si="92">AA169-AB169-AC169</f>
        <v>0</v>
      </c>
      <c r="AF169" s="11"/>
      <c r="AG169" s="24"/>
      <c r="AH169" s="63">
        <f>AH131</f>
        <v>43374</v>
      </c>
      <c r="AI169" s="694"/>
      <c r="AJ169" s="695"/>
      <c r="AK169" s="695"/>
      <c r="AL169" s="695"/>
      <c r="AM169" s="695"/>
      <c r="AN169" s="695"/>
      <c r="AO169" s="695"/>
      <c r="AP169" s="695"/>
      <c r="AQ169" s="695"/>
      <c r="AR169" s="695"/>
      <c r="AS169" s="695"/>
      <c r="AT169" s="695"/>
      <c r="AU169" s="695"/>
      <c r="AV169" s="695"/>
      <c r="AW169" s="695"/>
      <c r="AX169" s="696"/>
      <c r="AY169" s="696"/>
      <c r="AZ169" s="697"/>
    </row>
    <row r="170" spans="1:52" ht="29.25" customHeight="1" thickBot="1">
      <c r="A170" s="64">
        <f>A169+1</f>
        <v>44867</v>
      </c>
      <c r="B170" s="137"/>
      <c r="C170" s="137"/>
      <c r="D170" s="137"/>
      <c r="E170" s="137"/>
      <c r="F170" s="137"/>
      <c r="G170" s="137"/>
      <c r="H170" s="137"/>
      <c r="I170" s="137"/>
      <c r="J170" s="137"/>
      <c r="K170" s="137"/>
      <c r="L170" s="137"/>
      <c r="M170" s="137"/>
      <c r="N170" s="137"/>
      <c r="O170" s="137"/>
      <c r="P170" s="150"/>
      <c r="Q170" s="150"/>
      <c r="R170" s="138"/>
      <c r="S170" s="811"/>
      <c r="T170" s="830"/>
      <c r="U170" s="830"/>
      <c r="V170" s="830"/>
      <c r="W170" s="830"/>
      <c r="X170" s="830"/>
      <c r="Y170" s="255">
        <f t="shared" ref="Y170:Y199" si="93">B170*400+C170*400+D170*400+E170*400+F170*130+G170*130+H170*130+I170*50+J170*50+K170*400+L170*400+M170*400+N170*400+O170*400+P170*80+Q170*200+R170*360+S170*360+T170*30+U170*60</f>
        <v>0</v>
      </c>
      <c r="Z170" s="309">
        <f t="shared" ref="Z170:Z199" si="94">AD169</f>
        <v>0</v>
      </c>
      <c r="AA170" s="256">
        <f t="shared" si="91"/>
        <v>0</v>
      </c>
      <c r="AB170" s="309"/>
      <c r="AC170" s="309"/>
      <c r="AD170" s="320">
        <f t="shared" si="92"/>
        <v>0</v>
      </c>
      <c r="AF170" s="11"/>
      <c r="AG170" s="24"/>
      <c r="AH170" s="64">
        <f>AH169+1</f>
        <v>43375</v>
      </c>
      <c r="AI170" s="698"/>
      <c r="AJ170" s="699"/>
      <c r="AK170" s="699"/>
      <c r="AL170" s="699"/>
      <c r="AM170" s="699"/>
      <c r="AN170" s="699"/>
      <c r="AO170" s="699"/>
      <c r="AP170" s="699"/>
      <c r="AQ170" s="699"/>
      <c r="AR170" s="699"/>
      <c r="AS170" s="699"/>
      <c r="AT170" s="699"/>
      <c r="AU170" s="699"/>
      <c r="AV170" s="699"/>
      <c r="AW170" s="699"/>
      <c r="AX170" s="700"/>
      <c r="AY170" s="700"/>
      <c r="AZ170" s="701"/>
    </row>
    <row r="171" spans="1:52" ht="29.25" customHeight="1" thickBot="1">
      <c r="A171" s="64">
        <f t="shared" ref="A171:A199" si="95">A170+1</f>
        <v>44868</v>
      </c>
      <c r="B171" s="137"/>
      <c r="C171" s="137"/>
      <c r="D171" s="137"/>
      <c r="E171" s="137"/>
      <c r="F171" s="137"/>
      <c r="G171" s="137"/>
      <c r="H171" s="137"/>
      <c r="I171" s="137"/>
      <c r="J171" s="137"/>
      <c r="K171" s="137"/>
      <c r="L171" s="137"/>
      <c r="M171" s="137"/>
      <c r="N171" s="137"/>
      <c r="O171" s="137"/>
      <c r="P171" s="150"/>
      <c r="Q171" s="150"/>
      <c r="R171" s="138"/>
      <c r="S171" s="811"/>
      <c r="T171" s="830"/>
      <c r="U171" s="830"/>
      <c r="V171" s="830"/>
      <c r="W171" s="830"/>
      <c r="X171" s="830"/>
      <c r="Y171" s="255">
        <f t="shared" si="93"/>
        <v>0</v>
      </c>
      <c r="Z171" s="309">
        <f t="shared" si="94"/>
        <v>0</v>
      </c>
      <c r="AA171" s="256">
        <f t="shared" si="91"/>
        <v>0</v>
      </c>
      <c r="AB171" s="309"/>
      <c r="AC171" s="309"/>
      <c r="AD171" s="320">
        <f t="shared" si="92"/>
        <v>0</v>
      </c>
      <c r="AF171" s="11"/>
      <c r="AG171" s="24"/>
      <c r="AH171" s="64">
        <f t="shared" ref="AH171:AH199" si="96">AH170+1</f>
        <v>43376</v>
      </c>
      <c r="AI171" s="698"/>
      <c r="AJ171" s="699"/>
      <c r="AK171" s="699"/>
      <c r="AL171" s="699"/>
      <c r="AM171" s="699"/>
      <c r="AN171" s="699"/>
      <c r="AO171" s="699"/>
      <c r="AP171" s="699"/>
      <c r="AQ171" s="699"/>
      <c r="AR171" s="699"/>
      <c r="AS171" s="699"/>
      <c r="AT171" s="699"/>
      <c r="AU171" s="699"/>
      <c r="AV171" s="699"/>
      <c r="AW171" s="699"/>
      <c r="AX171" s="700"/>
      <c r="AY171" s="700"/>
      <c r="AZ171" s="701"/>
    </row>
    <row r="172" spans="1:52" ht="29.25" customHeight="1" thickBot="1">
      <c r="A172" s="64">
        <f t="shared" si="95"/>
        <v>44869</v>
      </c>
      <c r="B172" s="137"/>
      <c r="C172" s="137"/>
      <c r="D172" s="137"/>
      <c r="E172" s="137"/>
      <c r="F172" s="137"/>
      <c r="G172" s="137"/>
      <c r="H172" s="137"/>
      <c r="I172" s="137"/>
      <c r="J172" s="137"/>
      <c r="K172" s="137"/>
      <c r="L172" s="137"/>
      <c r="M172" s="137"/>
      <c r="N172" s="137"/>
      <c r="O172" s="137"/>
      <c r="P172" s="150"/>
      <c r="Q172" s="150"/>
      <c r="R172" s="138"/>
      <c r="S172" s="811"/>
      <c r="T172" s="830"/>
      <c r="U172" s="830"/>
      <c r="V172" s="830"/>
      <c r="W172" s="830"/>
      <c r="X172" s="830"/>
      <c r="Y172" s="255">
        <f t="shared" si="93"/>
        <v>0</v>
      </c>
      <c r="Z172" s="309">
        <f t="shared" si="94"/>
        <v>0</v>
      </c>
      <c r="AA172" s="256">
        <f t="shared" si="91"/>
        <v>0</v>
      </c>
      <c r="AB172" s="309"/>
      <c r="AC172" s="309"/>
      <c r="AD172" s="320">
        <f t="shared" si="92"/>
        <v>0</v>
      </c>
      <c r="AF172" s="11"/>
      <c r="AG172" s="24"/>
      <c r="AH172" s="64">
        <f t="shared" si="96"/>
        <v>43377</v>
      </c>
      <c r="AI172" s="698"/>
      <c r="AJ172" s="699"/>
      <c r="AK172" s="699"/>
      <c r="AL172" s="699"/>
      <c r="AM172" s="699"/>
      <c r="AN172" s="699"/>
      <c r="AO172" s="699"/>
      <c r="AP172" s="699"/>
      <c r="AQ172" s="699"/>
      <c r="AR172" s="699"/>
      <c r="AS172" s="699"/>
      <c r="AT172" s="699"/>
      <c r="AU172" s="699"/>
      <c r="AV172" s="699"/>
      <c r="AW172" s="699"/>
      <c r="AX172" s="700"/>
      <c r="AY172" s="700"/>
      <c r="AZ172" s="701"/>
    </row>
    <row r="173" spans="1:52" ht="29.25" customHeight="1" thickBot="1">
      <c r="A173" s="64">
        <f t="shared" si="95"/>
        <v>44870</v>
      </c>
      <c r="B173" s="137"/>
      <c r="C173" s="137"/>
      <c r="D173" s="137"/>
      <c r="E173" s="137"/>
      <c r="F173" s="137"/>
      <c r="G173" s="137"/>
      <c r="H173" s="137"/>
      <c r="I173" s="137"/>
      <c r="J173" s="137"/>
      <c r="K173" s="137"/>
      <c r="L173" s="137"/>
      <c r="M173" s="137"/>
      <c r="N173" s="137"/>
      <c r="O173" s="137"/>
      <c r="P173" s="150"/>
      <c r="Q173" s="150"/>
      <c r="R173" s="138"/>
      <c r="S173" s="811"/>
      <c r="T173" s="830"/>
      <c r="U173" s="830"/>
      <c r="V173" s="830"/>
      <c r="W173" s="830"/>
      <c r="X173" s="830"/>
      <c r="Y173" s="255">
        <f t="shared" si="93"/>
        <v>0</v>
      </c>
      <c r="Z173" s="309">
        <f t="shared" si="94"/>
        <v>0</v>
      </c>
      <c r="AA173" s="256">
        <f t="shared" si="91"/>
        <v>0</v>
      </c>
      <c r="AB173" s="309"/>
      <c r="AC173" s="309"/>
      <c r="AD173" s="320">
        <f t="shared" si="92"/>
        <v>0</v>
      </c>
      <c r="AF173" s="11"/>
      <c r="AG173" s="24"/>
      <c r="AH173" s="64">
        <f t="shared" si="96"/>
        <v>43378</v>
      </c>
      <c r="AI173" s="698"/>
      <c r="AJ173" s="699"/>
      <c r="AK173" s="699"/>
      <c r="AL173" s="699"/>
      <c r="AM173" s="699"/>
      <c r="AN173" s="699"/>
      <c r="AO173" s="699"/>
      <c r="AP173" s="699"/>
      <c r="AQ173" s="699"/>
      <c r="AR173" s="699"/>
      <c r="AS173" s="699"/>
      <c r="AT173" s="699"/>
      <c r="AU173" s="699"/>
      <c r="AV173" s="699"/>
      <c r="AW173" s="699"/>
      <c r="AX173" s="700"/>
      <c r="AY173" s="700"/>
      <c r="AZ173" s="701"/>
    </row>
    <row r="174" spans="1:52" ht="29.25" customHeight="1" thickBot="1">
      <c r="A174" s="64">
        <f t="shared" si="95"/>
        <v>44871</v>
      </c>
      <c r="B174" s="137"/>
      <c r="C174" s="137"/>
      <c r="D174" s="137"/>
      <c r="E174" s="137"/>
      <c r="F174" s="137"/>
      <c r="G174" s="137"/>
      <c r="H174" s="137"/>
      <c r="I174" s="137"/>
      <c r="J174" s="137"/>
      <c r="K174" s="137"/>
      <c r="L174" s="137"/>
      <c r="M174" s="137"/>
      <c r="N174" s="137"/>
      <c r="O174" s="137"/>
      <c r="P174" s="150"/>
      <c r="Q174" s="150"/>
      <c r="R174" s="138"/>
      <c r="S174" s="811"/>
      <c r="T174" s="830"/>
      <c r="U174" s="830"/>
      <c r="V174" s="830"/>
      <c r="W174" s="830"/>
      <c r="X174" s="830"/>
      <c r="Y174" s="255">
        <f t="shared" si="93"/>
        <v>0</v>
      </c>
      <c r="Z174" s="309">
        <f t="shared" si="94"/>
        <v>0</v>
      </c>
      <c r="AA174" s="256">
        <f t="shared" si="91"/>
        <v>0</v>
      </c>
      <c r="AB174" s="309"/>
      <c r="AC174" s="309"/>
      <c r="AD174" s="320">
        <f t="shared" si="92"/>
        <v>0</v>
      </c>
      <c r="AF174" s="11"/>
      <c r="AG174" s="24"/>
      <c r="AH174" s="64">
        <f t="shared" si="96"/>
        <v>43379</v>
      </c>
      <c r="AI174" s="698"/>
      <c r="AJ174" s="699"/>
      <c r="AK174" s="699"/>
      <c r="AL174" s="699"/>
      <c r="AM174" s="699"/>
      <c r="AN174" s="699"/>
      <c r="AO174" s="699"/>
      <c r="AP174" s="699"/>
      <c r="AQ174" s="699"/>
      <c r="AR174" s="699"/>
      <c r="AS174" s="699"/>
      <c r="AT174" s="699"/>
      <c r="AU174" s="699"/>
      <c r="AV174" s="699"/>
      <c r="AW174" s="699"/>
      <c r="AX174" s="700"/>
      <c r="AY174" s="700"/>
      <c r="AZ174" s="701"/>
    </row>
    <row r="175" spans="1:52" ht="29.25" customHeight="1" thickBot="1">
      <c r="A175" s="64">
        <f t="shared" si="95"/>
        <v>44872</v>
      </c>
      <c r="B175" s="137"/>
      <c r="C175" s="137"/>
      <c r="D175" s="137"/>
      <c r="E175" s="137"/>
      <c r="F175" s="137"/>
      <c r="G175" s="137"/>
      <c r="H175" s="137"/>
      <c r="I175" s="137"/>
      <c r="J175" s="137"/>
      <c r="K175" s="137"/>
      <c r="L175" s="137"/>
      <c r="M175" s="137"/>
      <c r="N175" s="137"/>
      <c r="O175" s="137"/>
      <c r="P175" s="150"/>
      <c r="Q175" s="150"/>
      <c r="R175" s="138"/>
      <c r="S175" s="811"/>
      <c r="T175" s="830"/>
      <c r="U175" s="830"/>
      <c r="V175" s="830"/>
      <c r="W175" s="830"/>
      <c r="X175" s="830"/>
      <c r="Y175" s="255">
        <f t="shared" si="93"/>
        <v>0</v>
      </c>
      <c r="Z175" s="309">
        <f t="shared" si="94"/>
        <v>0</v>
      </c>
      <c r="AA175" s="256">
        <f t="shared" si="91"/>
        <v>0</v>
      </c>
      <c r="AB175" s="309"/>
      <c r="AC175" s="309"/>
      <c r="AD175" s="320">
        <f t="shared" si="92"/>
        <v>0</v>
      </c>
      <c r="AF175" s="11"/>
      <c r="AG175" s="24"/>
      <c r="AH175" s="64">
        <f t="shared" si="96"/>
        <v>43380</v>
      </c>
      <c r="AI175" s="698"/>
      <c r="AJ175" s="699"/>
      <c r="AK175" s="699"/>
      <c r="AL175" s="699"/>
      <c r="AM175" s="699"/>
      <c r="AN175" s="699"/>
      <c r="AO175" s="699"/>
      <c r="AP175" s="699"/>
      <c r="AQ175" s="699"/>
      <c r="AR175" s="699"/>
      <c r="AS175" s="699"/>
      <c r="AT175" s="699"/>
      <c r="AU175" s="699"/>
      <c r="AV175" s="699"/>
      <c r="AW175" s="699"/>
      <c r="AX175" s="700"/>
      <c r="AY175" s="700"/>
      <c r="AZ175" s="701"/>
    </row>
    <row r="176" spans="1:52" ht="29.25" customHeight="1" thickBot="1">
      <c r="A176" s="64">
        <f t="shared" si="95"/>
        <v>44873</v>
      </c>
      <c r="B176" s="137"/>
      <c r="C176" s="137"/>
      <c r="D176" s="137"/>
      <c r="E176" s="137"/>
      <c r="F176" s="137"/>
      <c r="G176" s="137"/>
      <c r="H176" s="137"/>
      <c r="I176" s="137"/>
      <c r="J176" s="137"/>
      <c r="K176" s="137"/>
      <c r="L176" s="137"/>
      <c r="M176" s="137"/>
      <c r="N176" s="137"/>
      <c r="O176" s="137"/>
      <c r="P176" s="150"/>
      <c r="Q176" s="150"/>
      <c r="R176" s="138"/>
      <c r="S176" s="811"/>
      <c r="T176" s="830"/>
      <c r="U176" s="830"/>
      <c r="V176" s="830"/>
      <c r="W176" s="830"/>
      <c r="X176" s="830"/>
      <c r="Y176" s="255">
        <f t="shared" si="93"/>
        <v>0</v>
      </c>
      <c r="Z176" s="309">
        <f t="shared" si="94"/>
        <v>0</v>
      </c>
      <c r="AA176" s="256">
        <f t="shared" si="91"/>
        <v>0</v>
      </c>
      <c r="AB176" s="309"/>
      <c r="AC176" s="309"/>
      <c r="AD176" s="320">
        <f t="shared" si="92"/>
        <v>0</v>
      </c>
      <c r="AF176" s="11"/>
      <c r="AG176" s="24"/>
      <c r="AH176" s="64">
        <f t="shared" si="96"/>
        <v>43381</v>
      </c>
      <c r="AI176" s="698"/>
      <c r="AJ176" s="699"/>
      <c r="AK176" s="699"/>
      <c r="AL176" s="699"/>
      <c r="AM176" s="699"/>
      <c r="AN176" s="699"/>
      <c r="AO176" s="699"/>
      <c r="AP176" s="699"/>
      <c r="AQ176" s="699"/>
      <c r="AR176" s="699"/>
      <c r="AS176" s="699"/>
      <c r="AT176" s="699"/>
      <c r="AU176" s="699"/>
      <c r="AV176" s="699"/>
      <c r="AW176" s="699"/>
      <c r="AX176" s="700"/>
      <c r="AY176" s="700"/>
      <c r="AZ176" s="701"/>
    </row>
    <row r="177" spans="1:52" ht="29.25" customHeight="1" thickBot="1">
      <c r="A177" s="64">
        <f t="shared" si="95"/>
        <v>44874</v>
      </c>
      <c r="B177" s="137"/>
      <c r="C177" s="137"/>
      <c r="D177" s="137"/>
      <c r="E177" s="137"/>
      <c r="F177" s="137"/>
      <c r="G177" s="137"/>
      <c r="H177" s="137"/>
      <c r="I177" s="137"/>
      <c r="J177" s="137"/>
      <c r="K177" s="137"/>
      <c r="L177" s="137"/>
      <c r="M177" s="137"/>
      <c r="N177" s="137"/>
      <c r="O177" s="137"/>
      <c r="P177" s="150"/>
      <c r="Q177" s="150"/>
      <c r="R177" s="138"/>
      <c r="S177" s="811"/>
      <c r="T177" s="830"/>
      <c r="U177" s="830"/>
      <c r="V177" s="830"/>
      <c r="W177" s="830"/>
      <c r="X177" s="830"/>
      <c r="Y177" s="255">
        <f t="shared" si="93"/>
        <v>0</v>
      </c>
      <c r="Z177" s="309">
        <f t="shared" si="94"/>
        <v>0</v>
      </c>
      <c r="AA177" s="256">
        <f t="shared" si="91"/>
        <v>0</v>
      </c>
      <c r="AB177" s="309"/>
      <c r="AC177" s="309"/>
      <c r="AD177" s="320">
        <f t="shared" si="92"/>
        <v>0</v>
      </c>
      <c r="AF177" s="11"/>
      <c r="AG177" s="24"/>
      <c r="AH177" s="64">
        <f t="shared" si="96"/>
        <v>43382</v>
      </c>
      <c r="AI177" s="698"/>
      <c r="AJ177" s="699"/>
      <c r="AK177" s="699"/>
      <c r="AL177" s="699"/>
      <c r="AM177" s="699"/>
      <c r="AN177" s="699"/>
      <c r="AO177" s="699"/>
      <c r="AP177" s="699"/>
      <c r="AQ177" s="699"/>
      <c r="AR177" s="699"/>
      <c r="AS177" s="699"/>
      <c r="AT177" s="699"/>
      <c r="AU177" s="699"/>
      <c r="AV177" s="699"/>
      <c r="AW177" s="699"/>
      <c r="AX177" s="700"/>
      <c r="AY177" s="700"/>
      <c r="AZ177" s="701"/>
    </row>
    <row r="178" spans="1:52" ht="29.25" customHeight="1" thickBot="1">
      <c r="A178" s="64">
        <f t="shared" si="95"/>
        <v>44875</v>
      </c>
      <c r="B178" s="137"/>
      <c r="C178" s="137"/>
      <c r="D178" s="137"/>
      <c r="E178" s="137"/>
      <c r="F178" s="137"/>
      <c r="G178" s="137"/>
      <c r="H178" s="137"/>
      <c r="I178" s="137"/>
      <c r="J178" s="137"/>
      <c r="K178" s="137"/>
      <c r="L178" s="137"/>
      <c r="M178" s="137"/>
      <c r="N178" s="137"/>
      <c r="O178" s="137"/>
      <c r="P178" s="150"/>
      <c r="Q178" s="150"/>
      <c r="R178" s="138"/>
      <c r="S178" s="811"/>
      <c r="T178" s="830"/>
      <c r="U178" s="830"/>
      <c r="V178" s="830"/>
      <c r="W178" s="830"/>
      <c r="X178" s="830"/>
      <c r="Y178" s="255">
        <f t="shared" si="93"/>
        <v>0</v>
      </c>
      <c r="Z178" s="309">
        <f t="shared" si="94"/>
        <v>0</v>
      </c>
      <c r="AA178" s="256">
        <f t="shared" si="91"/>
        <v>0</v>
      </c>
      <c r="AB178" s="309"/>
      <c r="AC178" s="309"/>
      <c r="AD178" s="320">
        <f t="shared" si="92"/>
        <v>0</v>
      </c>
      <c r="AF178" s="11"/>
      <c r="AG178" s="24"/>
      <c r="AH178" s="64">
        <f t="shared" si="96"/>
        <v>43383</v>
      </c>
      <c r="AI178" s="698"/>
      <c r="AJ178" s="699"/>
      <c r="AK178" s="699"/>
      <c r="AL178" s="699"/>
      <c r="AM178" s="699"/>
      <c r="AN178" s="699"/>
      <c r="AO178" s="699"/>
      <c r="AP178" s="699"/>
      <c r="AQ178" s="699"/>
      <c r="AR178" s="699"/>
      <c r="AS178" s="699"/>
      <c r="AT178" s="699"/>
      <c r="AU178" s="699"/>
      <c r="AV178" s="699"/>
      <c r="AW178" s="699"/>
      <c r="AX178" s="700"/>
      <c r="AY178" s="700"/>
      <c r="AZ178" s="701"/>
    </row>
    <row r="179" spans="1:52" ht="29.25" customHeight="1" thickBot="1">
      <c r="A179" s="64">
        <f t="shared" si="95"/>
        <v>44876</v>
      </c>
      <c r="B179" s="137"/>
      <c r="C179" s="137"/>
      <c r="D179" s="137"/>
      <c r="E179" s="137"/>
      <c r="F179" s="137"/>
      <c r="G179" s="137"/>
      <c r="H179" s="137"/>
      <c r="I179" s="137"/>
      <c r="J179" s="137"/>
      <c r="K179" s="137"/>
      <c r="L179" s="137"/>
      <c r="M179" s="137"/>
      <c r="N179" s="137"/>
      <c r="O179" s="137"/>
      <c r="P179" s="150"/>
      <c r="Q179" s="150"/>
      <c r="R179" s="138"/>
      <c r="S179" s="811"/>
      <c r="T179" s="830"/>
      <c r="U179" s="830"/>
      <c r="V179" s="830"/>
      <c r="W179" s="830"/>
      <c r="X179" s="830"/>
      <c r="Y179" s="255">
        <f t="shared" si="93"/>
        <v>0</v>
      </c>
      <c r="Z179" s="309">
        <f t="shared" si="94"/>
        <v>0</v>
      </c>
      <c r="AA179" s="256">
        <f t="shared" si="91"/>
        <v>0</v>
      </c>
      <c r="AB179" s="309"/>
      <c r="AC179" s="309"/>
      <c r="AD179" s="320">
        <f t="shared" si="92"/>
        <v>0</v>
      </c>
      <c r="AF179" s="11"/>
      <c r="AG179" s="24"/>
      <c r="AH179" s="64">
        <f t="shared" si="96"/>
        <v>43384</v>
      </c>
      <c r="AI179" s="698"/>
      <c r="AJ179" s="699"/>
      <c r="AK179" s="699"/>
      <c r="AL179" s="699"/>
      <c r="AM179" s="699"/>
      <c r="AN179" s="699"/>
      <c r="AO179" s="699"/>
      <c r="AP179" s="699"/>
      <c r="AQ179" s="699"/>
      <c r="AR179" s="699"/>
      <c r="AS179" s="699"/>
      <c r="AT179" s="699"/>
      <c r="AU179" s="699"/>
      <c r="AV179" s="699"/>
      <c r="AW179" s="699"/>
      <c r="AX179" s="700"/>
      <c r="AY179" s="700"/>
      <c r="AZ179" s="701"/>
    </row>
    <row r="180" spans="1:52" ht="29.25" customHeight="1" thickBot="1">
      <c r="A180" s="64">
        <f t="shared" si="95"/>
        <v>44877</v>
      </c>
      <c r="B180" s="137"/>
      <c r="C180" s="137"/>
      <c r="D180" s="137"/>
      <c r="E180" s="137"/>
      <c r="F180" s="137"/>
      <c r="G180" s="137"/>
      <c r="H180" s="137"/>
      <c r="I180" s="137"/>
      <c r="J180" s="137"/>
      <c r="K180" s="137"/>
      <c r="L180" s="137"/>
      <c r="M180" s="137"/>
      <c r="N180" s="137"/>
      <c r="O180" s="137"/>
      <c r="P180" s="150"/>
      <c r="Q180" s="150"/>
      <c r="R180" s="138"/>
      <c r="S180" s="811"/>
      <c r="T180" s="830"/>
      <c r="U180" s="830"/>
      <c r="V180" s="830"/>
      <c r="W180" s="830"/>
      <c r="X180" s="830"/>
      <c r="Y180" s="255">
        <f t="shared" si="93"/>
        <v>0</v>
      </c>
      <c r="Z180" s="309">
        <f t="shared" si="94"/>
        <v>0</v>
      </c>
      <c r="AA180" s="256">
        <f t="shared" si="91"/>
        <v>0</v>
      </c>
      <c r="AB180" s="309"/>
      <c r="AC180" s="309"/>
      <c r="AD180" s="320">
        <f t="shared" si="92"/>
        <v>0</v>
      </c>
      <c r="AF180" s="11"/>
      <c r="AG180" s="24"/>
      <c r="AH180" s="64">
        <f t="shared" si="96"/>
        <v>43385</v>
      </c>
      <c r="AI180" s="698"/>
      <c r="AJ180" s="699"/>
      <c r="AK180" s="699"/>
      <c r="AL180" s="699"/>
      <c r="AM180" s="699"/>
      <c r="AN180" s="699"/>
      <c r="AO180" s="699"/>
      <c r="AP180" s="699"/>
      <c r="AQ180" s="699"/>
      <c r="AR180" s="699"/>
      <c r="AS180" s="699"/>
      <c r="AT180" s="699"/>
      <c r="AU180" s="699"/>
      <c r="AV180" s="699"/>
      <c r="AW180" s="699"/>
      <c r="AX180" s="700"/>
      <c r="AY180" s="700"/>
      <c r="AZ180" s="701"/>
    </row>
    <row r="181" spans="1:52" ht="29.25" customHeight="1" thickBot="1">
      <c r="A181" s="64">
        <f t="shared" si="95"/>
        <v>44878</v>
      </c>
      <c r="B181" s="137"/>
      <c r="C181" s="137"/>
      <c r="D181" s="137"/>
      <c r="E181" s="137"/>
      <c r="F181" s="137"/>
      <c r="G181" s="137"/>
      <c r="H181" s="137"/>
      <c r="I181" s="137"/>
      <c r="J181" s="137"/>
      <c r="K181" s="137"/>
      <c r="L181" s="137"/>
      <c r="M181" s="137"/>
      <c r="N181" s="137"/>
      <c r="O181" s="137"/>
      <c r="P181" s="150"/>
      <c r="Q181" s="150"/>
      <c r="R181" s="138"/>
      <c r="S181" s="811"/>
      <c r="T181" s="830"/>
      <c r="U181" s="830"/>
      <c r="V181" s="830"/>
      <c r="W181" s="830"/>
      <c r="X181" s="830"/>
      <c r="Y181" s="255">
        <f t="shared" si="93"/>
        <v>0</v>
      </c>
      <c r="Z181" s="309">
        <f t="shared" si="94"/>
        <v>0</v>
      </c>
      <c r="AA181" s="256">
        <f t="shared" si="91"/>
        <v>0</v>
      </c>
      <c r="AB181" s="309"/>
      <c r="AC181" s="309"/>
      <c r="AD181" s="320">
        <f t="shared" si="92"/>
        <v>0</v>
      </c>
      <c r="AF181" s="11"/>
      <c r="AG181" s="24"/>
      <c r="AH181" s="64">
        <f t="shared" si="96"/>
        <v>43386</v>
      </c>
      <c r="AI181" s="698"/>
      <c r="AJ181" s="699"/>
      <c r="AK181" s="699"/>
      <c r="AL181" s="699"/>
      <c r="AM181" s="699"/>
      <c r="AN181" s="699"/>
      <c r="AO181" s="699"/>
      <c r="AP181" s="699"/>
      <c r="AQ181" s="699"/>
      <c r="AR181" s="699"/>
      <c r="AS181" s="699"/>
      <c r="AT181" s="699"/>
      <c r="AU181" s="699"/>
      <c r="AV181" s="699"/>
      <c r="AW181" s="699"/>
      <c r="AX181" s="700"/>
      <c r="AY181" s="700"/>
      <c r="AZ181" s="701"/>
    </row>
    <row r="182" spans="1:52" ht="29.25" customHeight="1" thickBot="1">
      <c r="A182" s="64">
        <f t="shared" si="95"/>
        <v>44879</v>
      </c>
      <c r="B182" s="137"/>
      <c r="C182" s="137"/>
      <c r="D182" s="137"/>
      <c r="E182" s="137"/>
      <c r="F182" s="137"/>
      <c r="G182" s="137"/>
      <c r="H182" s="137"/>
      <c r="I182" s="137"/>
      <c r="J182" s="137"/>
      <c r="K182" s="137"/>
      <c r="L182" s="137"/>
      <c r="M182" s="137"/>
      <c r="N182" s="137"/>
      <c r="O182" s="137"/>
      <c r="P182" s="150"/>
      <c r="Q182" s="150"/>
      <c r="R182" s="138"/>
      <c r="S182" s="811"/>
      <c r="T182" s="830"/>
      <c r="U182" s="830"/>
      <c r="V182" s="830"/>
      <c r="W182" s="830"/>
      <c r="X182" s="830"/>
      <c r="Y182" s="255">
        <f t="shared" si="93"/>
        <v>0</v>
      </c>
      <c r="Z182" s="309">
        <f t="shared" si="94"/>
        <v>0</v>
      </c>
      <c r="AA182" s="256">
        <f t="shared" si="91"/>
        <v>0</v>
      </c>
      <c r="AB182" s="309"/>
      <c r="AC182" s="309"/>
      <c r="AD182" s="320">
        <f t="shared" si="92"/>
        <v>0</v>
      </c>
      <c r="AF182" s="11"/>
      <c r="AG182" s="24"/>
      <c r="AH182" s="64">
        <f t="shared" si="96"/>
        <v>43387</v>
      </c>
      <c r="AI182" s="698"/>
      <c r="AJ182" s="699"/>
      <c r="AK182" s="699"/>
      <c r="AL182" s="699"/>
      <c r="AM182" s="699"/>
      <c r="AN182" s="699"/>
      <c r="AO182" s="699"/>
      <c r="AP182" s="699"/>
      <c r="AQ182" s="699"/>
      <c r="AR182" s="699"/>
      <c r="AS182" s="699"/>
      <c r="AT182" s="699"/>
      <c r="AU182" s="699"/>
      <c r="AV182" s="699"/>
      <c r="AW182" s="699"/>
      <c r="AX182" s="700"/>
      <c r="AY182" s="700"/>
      <c r="AZ182" s="701"/>
    </row>
    <row r="183" spans="1:52" ht="29.25" customHeight="1" thickBot="1">
      <c r="A183" s="64">
        <f t="shared" si="95"/>
        <v>44880</v>
      </c>
      <c r="B183" s="137"/>
      <c r="C183" s="137"/>
      <c r="D183" s="137"/>
      <c r="E183" s="137"/>
      <c r="F183" s="137"/>
      <c r="G183" s="137"/>
      <c r="H183" s="137"/>
      <c r="I183" s="137"/>
      <c r="J183" s="137"/>
      <c r="K183" s="137"/>
      <c r="L183" s="137"/>
      <c r="M183" s="137"/>
      <c r="N183" s="137"/>
      <c r="O183" s="137"/>
      <c r="P183" s="150"/>
      <c r="Q183" s="150"/>
      <c r="R183" s="138"/>
      <c r="S183" s="811"/>
      <c r="T183" s="830"/>
      <c r="U183" s="830"/>
      <c r="V183" s="830"/>
      <c r="W183" s="830"/>
      <c r="X183" s="830"/>
      <c r="Y183" s="255">
        <f t="shared" si="93"/>
        <v>0</v>
      </c>
      <c r="Z183" s="309">
        <f t="shared" si="94"/>
        <v>0</v>
      </c>
      <c r="AA183" s="256">
        <f t="shared" si="91"/>
        <v>0</v>
      </c>
      <c r="AB183" s="309"/>
      <c r="AC183" s="309"/>
      <c r="AD183" s="320">
        <f t="shared" si="92"/>
        <v>0</v>
      </c>
      <c r="AF183" s="11"/>
      <c r="AG183" s="24"/>
      <c r="AH183" s="64">
        <f t="shared" si="96"/>
        <v>43388</v>
      </c>
      <c r="AI183" s="698"/>
      <c r="AJ183" s="699"/>
      <c r="AK183" s="699"/>
      <c r="AL183" s="699"/>
      <c r="AM183" s="699"/>
      <c r="AN183" s="699"/>
      <c r="AO183" s="699"/>
      <c r="AP183" s="699"/>
      <c r="AQ183" s="699"/>
      <c r="AR183" s="699"/>
      <c r="AS183" s="699"/>
      <c r="AT183" s="699"/>
      <c r="AU183" s="699"/>
      <c r="AV183" s="699"/>
      <c r="AW183" s="699"/>
      <c r="AX183" s="700"/>
      <c r="AY183" s="700"/>
      <c r="AZ183" s="701"/>
    </row>
    <row r="184" spans="1:52" ht="29.25" customHeight="1" thickBot="1">
      <c r="A184" s="64">
        <f t="shared" si="95"/>
        <v>44881</v>
      </c>
      <c r="B184" s="137"/>
      <c r="C184" s="137"/>
      <c r="D184" s="137"/>
      <c r="E184" s="137"/>
      <c r="F184" s="137"/>
      <c r="G184" s="137"/>
      <c r="H184" s="137"/>
      <c r="I184" s="137"/>
      <c r="J184" s="137"/>
      <c r="K184" s="137"/>
      <c r="L184" s="137"/>
      <c r="M184" s="137"/>
      <c r="N184" s="137"/>
      <c r="O184" s="137"/>
      <c r="P184" s="150"/>
      <c r="Q184" s="150"/>
      <c r="R184" s="138"/>
      <c r="S184" s="811"/>
      <c r="T184" s="830"/>
      <c r="U184" s="830"/>
      <c r="V184" s="830"/>
      <c r="W184" s="830"/>
      <c r="X184" s="830"/>
      <c r="Y184" s="255">
        <f t="shared" si="93"/>
        <v>0</v>
      </c>
      <c r="Z184" s="309">
        <f t="shared" si="94"/>
        <v>0</v>
      </c>
      <c r="AA184" s="256">
        <f t="shared" si="91"/>
        <v>0</v>
      </c>
      <c r="AB184" s="309"/>
      <c r="AC184" s="309"/>
      <c r="AD184" s="320">
        <f t="shared" si="92"/>
        <v>0</v>
      </c>
      <c r="AF184" s="11"/>
      <c r="AG184" s="24"/>
      <c r="AH184" s="64">
        <f t="shared" si="96"/>
        <v>43389</v>
      </c>
      <c r="AI184" s="698"/>
      <c r="AJ184" s="699"/>
      <c r="AK184" s="699"/>
      <c r="AL184" s="699"/>
      <c r="AM184" s="699"/>
      <c r="AN184" s="699"/>
      <c r="AO184" s="699"/>
      <c r="AP184" s="699"/>
      <c r="AQ184" s="699"/>
      <c r="AR184" s="699"/>
      <c r="AS184" s="699"/>
      <c r="AT184" s="699"/>
      <c r="AU184" s="699"/>
      <c r="AV184" s="699"/>
      <c r="AW184" s="699"/>
      <c r="AX184" s="700"/>
      <c r="AY184" s="700"/>
      <c r="AZ184" s="701"/>
    </row>
    <row r="185" spans="1:52" ht="29.25" customHeight="1" thickBot="1">
      <c r="A185" s="64">
        <f t="shared" si="95"/>
        <v>44882</v>
      </c>
      <c r="B185" s="137"/>
      <c r="C185" s="137"/>
      <c r="D185" s="137"/>
      <c r="E185" s="137"/>
      <c r="F185" s="137"/>
      <c r="G185" s="137"/>
      <c r="H185" s="137"/>
      <c r="I185" s="137"/>
      <c r="J185" s="137"/>
      <c r="K185" s="137"/>
      <c r="L185" s="137"/>
      <c r="M185" s="137"/>
      <c r="N185" s="137"/>
      <c r="O185" s="137"/>
      <c r="P185" s="150"/>
      <c r="Q185" s="150"/>
      <c r="R185" s="138"/>
      <c r="S185" s="811"/>
      <c r="T185" s="830"/>
      <c r="U185" s="830"/>
      <c r="V185" s="830"/>
      <c r="W185" s="830"/>
      <c r="X185" s="830"/>
      <c r="Y185" s="255">
        <f t="shared" si="93"/>
        <v>0</v>
      </c>
      <c r="Z185" s="309">
        <f t="shared" si="94"/>
        <v>0</v>
      </c>
      <c r="AA185" s="256">
        <f t="shared" si="91"/>
        <v>0</v>
      </c>
      <c r="AB185" s="309"/>
      <c r="AC185" s="309"/>
      <c r="AD185" s="320">
        <f t="shared" si="92"/>
        <v>0</v>
      </c>
      <c r="AF185" s="11"/>
      <c r="AG185" s="24"/>
      <c r="AH185" s="64">
        <f t="shared" si="96"/>
        <v>43390</v>
      </c>
      <c r="AI185" s="698"/>
      <c r="AJ185" s="699"/>
      <c r="AK185" s="699"/>
      <c r="AL185" s="699"/>
      <c r="AM185" s="699"/>
      <c r="AN185" s="699"/>
      <c r="AO185" s="699"/>
      <c r="AP185" s="699"/>
      <c r="AQ185" s="699"/>
      <c r="AR185" s="699"/>
      <c r="AS185" s="699"/>
      <c r="AT185" s="699"/>
      <c r="AU185" s="699"/>
      <c r="AV185" s="699"/>
      <c r="AW185" s="699"/>
      <c r="AX185" s="700"/>
      <c r="AY185" s="700"/>
      <c r="AZ185" s="701"/>
    </row>
    <row r="186" spans="1:52" ht="29.25" customHeight="1" thickBot="1">
      <c r="A186" s="64">
        <f t="shared" si="95"/>
        <v>44883</v>
      </c>
      <c r="B186" s="137"/>
      <c r="C186" s="137"/>
      <c r="D186" s="137"/>
      <c r="E186" s="137"/>
      <c r="F186" s="137"/>
      <c r="G186" s="137"/>
      <c r="H186" s="137"/>
      <c r="I186" s="137"/>
      <c r="J186" s="137"/>
      <c r="K186" s="137"/>
      <c r="L186" s="137"/>
      <c r="M186" s="137"/>
      <c r="N186" s="137"/>
      <c r="O186" s="137"/>
      <c r="P186" s="150"/>
      <c r="Q186" s="150"/>
      <c r="R186" s="138"/>
      <c r="S186" s="811"/>
      <c r="T186" s="830"/>
      <c r="U186" s="830"/>
      <c r="V186" s="830"/>
      <c r="W186" s="830"/>
      <c r="X186" s="830"/>
      <c r="Y186" s="255">
        <f t="shared" si="93"/>
        <v>0</v>
      </c>
      <c r="Z186" s="309">
        <f t="shared" si="94"/>
        <v>0</v>
      </c>
      <c r="AA186" s="256">
        <f t="shared" si="91"/>
        <v>0</v>
      </c>
      <c r="AB186" s="309"/>
      <c r="AC186" s="309"/>
      <c r="AD186" s="320">
        <f t="shared" si="92"/>
        <v>0</v>
      </c>
      <c r="AF186" s="11"/>
      <c r="AG186" s="24"/>
      <c r="AH186" s="64">
        <f t="shared" si="96"/>
        <v>43391</v>
      </c>
      <c r="AI186" s="698"/>
      <c r="AJ186" s="699"/>
      <c r="AK186" s="699"/>
      <c r="AL186" s="699"/>
      <c r="AM186" s="699"/>
      <c r="AN186" s="699"/>
      <c r="AO186" s="699"/>
      <c r="AP186" s="699"/>
      <c r="AQ186" s="699"/>
      <c r="AR186" s="699"/>
      <c r="AS186" s="699"/>
      <c r="AT186" s="699"/>
      <c r="AU186" s="699"/>
      <c r="AV186" s="699"/>
      <c r="AW186" s="699"/>
      <c r="AX186" s="700"/>
      <c r="AY186" s="700"/>
      <c r="AZ186" s="701"/>
    </row>
    <row r="187" spans="1:52" ht="29.25" customHeight="1" thickBot="1">
      <c r="A187" s="64">
        <f t="shared" si="95"/>
        <v>44884</v>
      </c>
      <c r="B187" s="137"/>
      <c r="C187" s="137"/>
      <c r="D187" s="137"/>
      <c r="E187" s="137"/>
      <c r="F187" s="137"/>
      <c r="G187" s="137"/>
      <c r="H187" s="137"/>
      <c r="I187" s="137"/>
      <c r="J187" s="137"/>
      <c r="K187" s="137"/>
      <c r="L187" s="137"/>
      <c r="M187" s="137"/>
      <c r="N187" s="137"/>
      <c r="O187" s="137"/>
      <c r="P187" s="150"/>
      <c r="Q187" s="150"/>
      <c r="R187" s="138"/>
      <c r="S187" s="811"/>
      <c r="T187" s="830"/>
      <c r="U187" s="830"/>
      <c r="V187" s="830"/>
      <c r="W187" s="830"/>
      <c r="X187" s="830"/>
      <c r="Y187" s="255">
        <f t="shared" si="93"/>
        <v>0</v>
      </c>
      <c r="Z187" s="309">
        <f t="shared" si="94"/>
        <v>0</v>
      </c>
      <c r="AA187" s="256">
        <f t="shared" si="91"/>
        <v>0</v>
      </c>
      <c r="AB187" s="309"/>
      <c r="AC187" s="309"/>
      <c r="AD187" s="320">
        <f t="shared" si="92"/>
        <v>0</v>
      </c>
      <c r="AF187" s="11"/>
      <c r="AG187" s="24"/>
      <c r="AH187" s="64">
        <f t="shared" si="96"/>
        <v>43392</v>
      </c>
      <c r="AI187" s="698"/>
      <c r="AJ187" s="699"/>
      <c r="AK187" s="699"/>
      <c r="AL187" s="699"/>
      <c r="AM187" s="699"/>
      <c r="AN187" s="699"/>
      <c r="AO187" s="699"/>
      <c r="AP187" s="699"/>
      <c r="AQ187" s="699"/>
      <c r="AR187" s="699"/>
      <c r="AS187" s="699"/>
      <c r="AT187" s="699"/>
      <c r="AU187" s="699"/>
      <c r="AV187" s="699"/>
      <c r="AW187" s="699"/>
      <c r="AX187" s="700"/>
      <c r="AY187" s="700"/>
      <c r="AZ187" s="701"/>
    </row>
    <row r="188" spans="1:52" ht="29.25" customHeight="1" thickBot="1">
      <c r="A188" s="64">
        <f t="shared" si="95"/>
        <v>44885</v>
      </c>
      <c r="B188" s="137"/>
      <c r="C188" s="137"/>
      <c r="D188" s="137"/>
      <c r="E188" s="137"/>
      <c r="F188" s="137"/>
      <c r="G188" s="137"/>
      <c r="H188" s="137"/>
      <c r="I188" s="137"/>
      <c r="J188" s="137"/>
      <c r="K188" s="137"/>
      <c r="L188" s="137"/>
      <c r="M188" s="137"/>
      <c r="N188" s="137"/>
      <c r="O188" s="137"/>
      <c r="P188" s="150"/>
      <c r="Q188" s="150"/>
      <c r="R188" s="138"/>
      <c r="S188" s="811"/>
      <c r="T188" s="830"/>
      <c r="U188" s="830"/>
      <c r="V188" s="830"/>
      <c r="W188" s="830"/>
      <c r="X188" s="830"/>
      <c r="Y188" s="255">
        <f t="shared" si="93"/>
        <v>0</v>
      </c>
      <c r="Z188" s="309">
        <f t="shared" si="94"/>
        <v>0</v>
      </c>
      <c r="AA188" s="256">
        <f t="shared" si="91"/>
        <v>0</v>
      </c>
      <c r="AB188" s="309"/>
      <c r="AC188" s="309"/>
      <c r="AD188" s="320">
        <f t="shared" si="92"/>
        <v>0</v>
      </c>
      <c r="AF188" s="11"/>
      <c r="AG188" s="24"/>
      <c r="AH188" s="64">
        <f t="shared" si="96"/>
        <v>43393</v>
      </c>
      <c r="AI188" s="698"/>
      <c r="AJ188" s="699"/>
      <c r="AK188" s="699"/>
      <c r="AL188" s="699"/>
      <c r="AM188" s="699"/>
      <c r="AN188" s="699"/>
      <c r="AO188" s="699"/>
      <c r="AP188" s="699"/>
      <c r="AQ188" s="699"/>
      <c r="AR188" s="699"/>
      <c r="AS188" s="699"/>
      <c r="AT188" s="699"/>
      <c r="AU188" s="699"/>
      <c r="AV188" s="699"/>
      <c r="AW188" s="699"/>
      <c r="AX188" s="700"/>
      <c r="AY188" s="700"/>
      <c r="AZ188" s="701"/>
    </row>
    <row r="189" spans="1:52" ht="29.25" customHeight="1" thickBot="1">
      <c r="A189" s="64">
        <f t="shared" si="95"/>
        <v>44886</v>
      </c>
      <c r="B189" s="137"/>
      <c r="C189" s="137"/>
      <c r="D189" s="137"/>
      <c r="E189" s="137"/>
      <c r="F189" s="137"/>
      <c r="G189" s="137"/>
      <c r="H189" s="137"/>
      <c r="I189" s="137"/>
      <c r="J189" s="137"/>
      <c r="K189" s="137"/>
      <c r="L189" s="137"/>
      <c r="M189" s="137"/>
      <c r="N189" s="137"/>
      <c r="O189" s="137"/>
      <c r="P189" s="150"/>
      <c r="Q189" s="150"/>
      <c r="R189" s="138"/>
      <c r="S189" s="811"/>
      <c r="T189" s="830"/>
      <c r="U189" s="830"/>
      <c r="V189" s="830"/>
      <c r="W189" s="830"/>
      <c r="X189" s="830"/>
      <c r="Y189" s="255">
        <f t="shared" si="93"/>
        <v>0</v>
      </c>
      <c r="Z189" s="309">
        <f t="shared" si="94"/>
        <v>0</v>
      </c>
      <c r="AA189" s="256">
        <f t="shared" si="91"/>
        <v>0</v>
      </c>
      <c r="AB189" s="309"/>
      <c r="AC189" s="309"/>
      <c r="AD189" s="320">
        <f t="shared" si="92"/>
        <v>0</v>
      </c>
      <c r="AF189" s="11"/>
      <c r="AG189" s="24"/>
      <c r="AH189" s="64">
        <f t="shared" si="96"/>
        <v>43394</v>
      </c>
      <c r="AI189" s="698"/>
      <c r="AJ189" s="699"/>
      <c r="AK189" s="699"/>
      <c r="AL189" s="699"/>
      <c r="AM189" s="699"/>
      <c r="AN189" s="699"/>
      <c r="AO189" s="699"/>
      <c r="AP189" s="699"/>
      <c r="AQ189" s="699"/>
      <c r="AR189" s="699"/>
      <c r="AS189" s="699"/>
      <c r="AT189" s="699"/>
      <c r="AU189" s="699"/>
      <c r="AV189" s="699"/>
      <c r="AW189" s="699"/>
      <c r="AX189" s="700"/>
      <c r="AY189" s="700"/>
      <c r="AZ189" s="701"/>
    </row>
    <row r="190" spans="1:52" ht="29.25" customHeight="1" thickBot="1">
      <c r="A190" s="64">
        <f t="shared" si="95"/>
        <v>44887</v>
      </c>
      <c r="B190" s="137"/>
      <c r="C190" s="137"/>
      <c r="D190" s="137"/>
      <c r="E190" s="137"/>
      <c r="F190" s="137"/>
      <c r="G190" s="137"/>
      <c r="H190" s="137"/>
      <c r="I190" s="137"/>
      <c r="J190" s="137"/>
      <c r="K190" s="137"/>
      <c r="L190" s="137"/>
      <c r="M190" s="137"/>
      <c r="N190" s="137"/>
      <c r="O190" s="137"/>
      <c r="P190" s="150"/>
      <c r="Q190" s="150"/>
      <c r="R190" s="138"/>
      <c r="S190" s="811"/>
      <c r="T190" s="830"/>
      <c r="U190" s="830"/>
      <c r="V190" s="830"/>
      <c r="W190" s="830"/>
      <c r="X190" s="830"/>
      <c r="Y190" s="255">
        <f t="shared" si="93"/>
        <v>0</v>
      </c>
      <c r="Z190" s="309">
        <f t="shared" si="94"/>
        <v>0</v>
      </c>
      <c r="AA190" s="256">
        <f t="shared" si="91"/>
        <v>0</v>
      </c>
      <c r="AB190" s="309"/>
      <c r="AC190" s="309"/>
      <c r="AD190" s="320">
        <f t="shared" si="92"/>
        <v>0</v>
      </c>
      <c r="AF190" s="11"/>
      <c r="AG190" s="24"/>
      <c r="AH190" s="64">
        <f t="shared" si="96"/>
        <v>43395</v>
      </c>
      <c r="AI190" s="698"/>
      <c r="AJ190" s="699"/>
      <c r="AK190" s="699"/>
      <c r="AL190" s="699"/>
      <c r="AM190" s="699"/>
      <c r="AN190" s="699"/>
      <c r="AO190" s="699"/>
      <c r="AP190" s="699"/>
      <c r="AQ190" s="699"/>
      <c r="AR190" s="699"/>
      <c r="AS190" s="699"/>
      <c r="AT190" s="699"/>
      <c r="AU190" s="699"/>
      <c r="AV190" s="699"/>
      <c r="AW190" s="699"/>
      <c r="AX190" s="700"/>
      <c r="AY190" s="700"/>
      <c r="AZ190" s="701"/>
    </row>
    <row r="191" spans="1:52" ht="29.25" customHeight="1" thickBot="1">
      <c r="A191" s="64">
        <f t="shared" si="95"/>
        <v>44888</v>
      </c>
      <c r="B191" s="137"/>
      <c r="C191" s="137"/>
      <c r="D191" s="137"/>
      <c r="E191" s="137"/>
      <c r="F191" s="137"/>
      <c r="G191" s="137"/>
      <c r="H191" s="137"/>
      <c r="I191" s="137"/>
      <c r="J191" s="137"/>
      <c r="K191" s="137"/>
      <c r="L191" s="137"/>
      <c r="M191" s="137"/>
      <c r="N191" s="137"/>
      <c r="O191" s="137"/>
      <c r="P191" s="150"/>
      <c r="Q191" s="150"/>
      <c r="R191" s="138"/>
      <c r="S191" s="811"/>
      <c r="T191" s="830"/>
      <c r="U191" s="830"/>
      <c r="V191" s="830"/>
      <c r="W191" s="830"/>
      <c r="X191" s="830"/>
      <c r="Y191" s="255">
        <f t="shared" si="93"/>
        <v>0</v>
      </c>
      <c r="Z191" s="309">
        <f t="shared" si="94"/>
        <v>0</v>
      </c>
      <c r="AA191" s="256">
        <f t="shared" si="91"/>
        <v>0</v>
      </c>
      <c r="AB191" s="309"/>
      <c r="AC191" s="309"/>
      <c r="AD191" s="320">
        <f t="shared" si="92"/>
        <v>0</v>
      </c>
      <c r="AF191" s="11"/>
      <c r="AG191" s="24"/>
      <c r="AH191" s="64">
        <f t="shared" si="96"/>
        <v>43396</v>
      </c>
      <c r="AI191" s="698"/>
      <c r="AJ191" s="699"/>
      <c r="AK191" s="699"/>
      <c r="AL191" s="699"/>
      <c r="AM191" s="699"/>
      <c r="AN191" s="699"/>
      <c r="AO191" s="699"/>
      <c r="AP191" s="699"/>
      <c r="AQ191" s="699"/>
      <c r="AR191" s="699"/>
      <c r="AS191" s="699"/>
      <c r="AT191" s="699"/>
      <c r="AU191" s="699"/>
      <c r="AV191" s="699"/>
      <c r="AW191" s="699"/>
      <c r="AX191" s="700"/>
      <c r="AY191" s="700"/>
      <c r="AZ191" s="701"/>
    </row>
    <row r="192" spans="1:52" ht="29.25" customHeight="1" thickBot="1">
      <c r="A192" s="64">
        <f t="shared" si="95"/>
        <v>44889</v>
      </c>
      <c r="B192" s="137"/>
      <c r="C192" s="137"/>
      <c r="D192" s="137"/>
      <c r="E192" s="137"/>
      <c r="F192" s="137"/>
      <c r="G192" s="137"/>
      <c r="H192" s="137"/>
      <c r="I192" s="137"/>
      <c r="J192" s="137"/>
      <c r="K192" s="137"/>
      <c r="L192" s="137"/>
      <c r="M192" s="137"/>
      <c r="N192" s="137"/>
      <c r="O192" s="137"/>
      <c r="P192" s="150"/>
      <c r="Q192" s="150"/>
      <c r="R192" s="138"/>
      <c r="S192" s="811"/>
      <c r="T192" s="830"/>
      <c r="U192" s="830"/>
      <c r="V192" s="830"/>
      <c r="W192" s="830"/>
      <c r="X192" s="830"/>
      <c r="Y192" s="255">
        <f t="shared" si="93"/>
        <v>0</v>
      </c>
      <c r="Z192" s="309">
        <f t="shared" si="94"/>
        <v>0</v>
      </c>
      <c r="AA192" s="256">
        <f t="shared" si="91"/>
        <v>0</v>
      </c>
      <c r="AB192" s="309"/>
      <c r="AC192" s="309"/>
      <c r="AD192" s="320">
        <f t="shared" si="92"/>
        <v>0</v>
      </c>
      <c r="AF192" s="11"/>
      <c r="AG192" s="24"/>
      <c r="AH192" s="64">
        <f t="shared" si="96"/>
        <v>43397</v>
      </c>
      <c r="AI192" s="698"/>
      <c r="AJ192" s="699"/>
      <c r="AK192" s="699"/>
      <c r="AL192" s="699"/>
      <c r="AM192" s="699"/>
      <c r="AN192" s="699"/>
      <c r="AO192" s="699"/>
      <c r="AP192" s="699"/>
      <c r="AQ192" s="699"/>
      <c r="AR192" s="699"/>
      <c r="AS192" s="699"/>
      <c r="AT192" s="699"/>
      <c r="AU192" s="699"/>
      <c r="AV192" s="699"/>
      <c r="AW192" s="699"/>
      <c r="AX192" s="700"/>
      <c r="AY192" s="700"/>
      <c r="AZ192" s="701"/>
    </row>
    <row r="193" spans="1:52" ht="29.25" customHeight="1" thickBot="1">
      <c r="A193" s="64">
        <f t="shared" si="95"/>
        <v>44890</v>
      </c>
      <c r="B193" s="137"/>
      <c r="C193" s="137"/>
      <c r="D193" s="137"/>
      <c r="E193" s="137"/>
      <c r="F193" s="137"/>
      <c r="G193" s="137"/>
      <c r="H193" s="137"/>
      <c r="I193" s="137"/>
      <c r="J193" s="137"/>
      <c r="K193" s="137"/>
      <c r="L193" s="137"/>
      <c r="M193" s="137"/>
      <c r="N193" s="137"/>
      <c r="O193" s="137"/>
      <c r="P193" s="150"/>
      <c r="Q193" s="150"/>
      <c r="R193" s="138"/>
      <c r="S193" s="811"/>
      <c r="T193" s="830"/>
      <c r="U193" s="830"/>
      <c r="V193" s="830"/>
      <c r="W193" s="830"/>
      <c r="X193" s="830"/>
      <c r="Y193" s="255">
        <f t="shared" si="93"/>
        <v>0</v>
      </c>
      <c r="Z193" s="309">
        <f t="shared" si="94"/>
        <v>0</v>
      </c>
      <c r="AA193" s="256">
        <f t="shared" si="91"/>
        <v>0</v>
      </c>
      <c r="AB193" s="309"/>
      <c r="AC193" s="309"/>
      <c r="AD193" s="320">
        <f t="shared" si="92"/>
        <v>0</v>
      </c>
      <c r="AF193" s="11"/>
      <c r="AG193" s="24"/>
      <c r="AH193" s="64">
        <f t="shared" si="96"/>
        <v>43398</v>
      </c>
      <c r="AI193" s="698"/>
      <c r="AJ193" s="699"/>
      <c r="AK193" s="699"/>
      <c r="AL193" s="699"/>
      <c r="AM193" s="699"/>
      <c r="AN193" s="699"/>
      <c r="AO193" s="699"/>
      <c r="AP193" s="699"/>
      <c r="AQ193" s="699"/>
      <c r="AR193" s="699"/>
      <c r="AS193" s="699"/>
      <c r="AT193" s="699"/>
      <c r="AU193" s="699"/>
      <c r="AV193" s="699"/>
      <c r="AW193" s="699"/>
      <c r="AX193" s="700"/>
      <c r="AY193" s="700"/>
      <c r="AZ193" s="701"/>
    </row>
    <row r="194" spans="1:52" ht="29.25" customHeight="1" thickBot="1">
      <c r="A194" s="64">
        <f t="shared" si="95"/>
        <v>44891</v>
      </c>
      <c r="B194" s="137"/>
      <c r="C194" s="137"/>
      <c r="D194" s="137"/>
      <c r="E194" s="137"/>
      <c r="F194" s="137"/>
      <c r="G194" s="137"/>
      <c r="H194" s="137"/>
      <c r="I194" s="137"/>
      <c r="J194" s="137"/>
      <c r="K194" s="137"/>
      <c r="L194" s="137"/>
      <c r="M194" s="137"/>
      <c r="N194" s="137"/>
      <c r="O194" s="137"/>
      <c r="P194" s="150"/>
      <c r="Q194" s="150"/>
      <c r="R194" s="138"/>
      <c r="S194" s="811"/>
      <c r="T194" s="830"/>
      <c r="U194" s="830"/>
      <c r="V194" s="830"/>
      <c r="W194" s="830"/>
      <c r="X194" s="830"/>
      <c r="Y194" s="255">
        <f t="shared" si="93"/>
        <v>0</v>
      </c>
      <c r="Z194" s="309">
        <f t="shared" si="94"/>
        <v>0</v>
      </c>
      <c r="AA194" s="256">
        <f t="shared" si="91"/>
        <v>0</v>
      </c>
      <c r="AB194" s="309"/>
      <c r="AC194" s="309"/>
      <c r="AD194" s="320">
        <f t="shared" si="92"/>
        <v>0</v>
      </c>
      <c r="AF194" s="11"/>
      <c r="AG194" s="24"/>
      <c r="AH194" s="64">
        <f t="shared" si="96"/>
        <v>43399</v>
      </c>
      <c r="AI194" s="698"/>
      <c r="AJ194" s="699"/>
      <c r="AK194" s="699"/>
      <c r="AL194" s="699"/>
      <c r="AM194" s="699"/>
      <c r="AN194" s="699"/>
      <c r="AO194" s="699"/>
      <c r="AP194" s="699"/>
      <c r="AQ194" s="699"/>
      <c r="AR194" s="699"/>
      <c r="AS194" s="699"/>
      <c r="AT194" s="699"/>
      <c r="AU194" s="699"/>
      <c r="AV194" s="699"/>
      <c r="AW194" s="699"/>
      <c r="AX194" s="700"/>
      <c r="AY194" s="700"/>
      <c r="AZ194" s="701"/>
    </row>
    <row r="195" spans="1:52" ht="29.25" customHeight="1" thickBot="1">
      <c r="A195" s="64">
        <f t="shared" si="95"/>
        <v>44892</v>
      </c>
      <c r="B195" s="137"/>
      <c r="C195" s="137"/>
      <c r="D195" s="137"/>
      <c r="E195" s="137"/>
      <c r="F195" s="137"/>
      <c r="G195" s="137"/>
      <c r="H195" s="137"/>
      <c r="I195" s="137"/>
      <c r="J195" s="137"/>
      <c r="K195" s="137"/>
      <c r="L195" s="137"/>
      <c r="M195" s="137"/>
      <c r="N195" s="137"/>
      <c r="O195" s="137"/>
      <c r="P195" s="150"/>
      <c r="Q195" s="150"/>
      <c r="R195" s="138"/>
      <c r="S195" s="811"/>
      <c r="T195" s="830"/>
      <c r="U195" s="830"/>
      <c r="V195" s="830"/>
      <c r="W195" s="830"/>
      <c r="X195" s="830"/>
      <c r="Y195" s="255">
        <f t="shared" si="93"/>
        <v>0</v>
      </c>
      <c r="Z195" s="309">
        <f t="shared" si="94"/>
        <v>0</v>
      </c>
      <c r="AA195" s="256">
        <f t="shared" si="91"/>
        <v>0</v>
      </c>
      <c r="AB195" s="309"/>
      <c r="AC195" s="309"/>
      <c r="AD195" s="320">
        <f t="shared" si="92"/>
        <v>0</v>
      </c>
      <c r="AF195" s="11"/>
      <c r="AG195" s="24"/>
      <c r="AH195" s="64">
        <f t="shared" si="96"/>
        <v>43400</v>
      </c>
      <c r="AI195" s="698"/>
      <c r="AJ195" s="699"/>
      <c r="AK195" s="699"/>
      <c r="AL195" s="699"/>
      <c r="AM195" s="699"/>
      <c r="AN195" s="699"/>
      <c r="AO195" s="699"/>
      <c r="AP195" s="699"/>
      <c r="AQ195" s="699"/>
      <c r="AR195" s="699"/>
      <c r="AS195" s="699"/>
      <c r="AT195" s="699"/>
      <c r="AU195" s="699"/>
      <c r="AV195" s="699"/>
      <c r="AW195" s="699"/>
      <c r="AX195" s="700"/>
      <c r="AY195" s="700"/>
      <c r="AZ195" s="701"/>
    </row>
    <row r="196" spans="1:52" ht="29.25" customHeight="1" thickBot="1">
      <c r="A196" s="64">
        <f t="shared" si="95"/>
        <v>44893</v>
      </c>
      <c r="B196" s="137"/>
      <c r="C196" s="137"/>
      <c r="D196" s="137"/>
      <c r="E196" s="137"/>
      <c r="F196" s="137"/>
      <c r="G196" s="137"/>
      <c r="H196" s="137"/>
      <c r="I196" s="137"/>
      <c r="J196" s="137"/>
      <c r="K196" s="137"/>
      <c r="L196" s="137"/>
      <c r="M196" s="137"/>
      <c r="N196" s="137"/>
      <c r="O196" s="137"/>
      <c r="P196" s="150"/>
      <c r="Q196" s="150"/>
      <c r="R196" s="138"/>
      <c r="S196" s="811"/>
      <c r="T196" s="830"/>
      <c r="U196" s="830"/>
      <c r="V196" s="830"/>
      <c r="W196" s="830"/>
      <c r="X196" s="830"/>
      <c r="Y196" s="255">
        <f t="shared" si="93"/>
        <v>0</v>
      </c>
      <c r="Z196" s="309">
        <f t="shared" si="94"/>
        <v>0</v>
      </c>
      <c r="AA196" s="256">
        <f t="shared" si="91"/>
        <v>0</v>
      </c>
      <c r="AB196" s="309"/>
      <c r="AC196" s="309"/>
      <c r="AD196" s="320">
        <f t="shared" si="92"/>
        <v>0</v>
      </c>
      <c r="AF196" s="11"/>
      <c r="AG196" s="24"/>
      <c r="AH196" s="64">
        <f t="shared" si="96"/>
        <v>43401</v>
      </c>
      <c r="AI196" s="698"/>
      <c r="AJ196" s="699"/>
      <c r="AK196" s="699"/>
      <c r="AL196" s="699"/>
      <c r="AM196" s="699"/>
      <c r="AN196" s="699"/>
      <c r="AO196" s="699"/>
      <c r="AP196" s="699"/>
      <c r="AQ196" s="699"/>
      <c r="AR196" s="699"/>
      <c r="AS196" s="699"/>
      <c r="AT196" s="699"/>
      <c r="AU196" s="699"/>
      <c r="AV196" s="699"/>
      <c r="AW196" s="699"/>
      <c r="AX196" s="700"/>
      <c r="AY196" s="700"/>
      <c r="AZ196" s="701"/>
    </row>
    <row r="197" spans="1:52" ht="29.25" customHeight="1" thickBot="1">
      <c r="A197" s="64">
        <f t="shared" si="95"/>
        <v>44894</v>
      </c>
      <c r="B197" s="137"/>
      <c r="C197" s="137"/>
      <c r="D197" s="137"/>
      <c r="E197" s="137"/>
      <c r="F197" s="137"/>
      <c r="G197" s="137"/>
      <c r="H197" s="137"/>
      <c r="I197" s="137"/>
      <c r="J197" s="137"/>
      <c r="K197" s="137"/>
      <c r="L197" s="137"/>
      <c r="M197" s="137"/>
      <c r="N197" s="137"/>
      <c r="O197" s="137"/>
      <c r="P197" s="150"/>
      <c r="Q197" s="150"/>
      <c r="R197" s="138"/>
      <c r="S197" s="811"/>
      <c r="T197" s="830"/>
      <c r="U197" s="830"/>
      <c r="V197" s="830"/>
      <c r="W197" s="830"/>
      <c r="X197" s="830"/>
      <c r="Y197" s="255">
        <f t="shared" si="93"/>
        <v>0</v>
      </c>
      <c r="Z197" s="309">
        <f t="shared" si="94"/>
        <v>0</v>
      </c>
      <c r="AA197" s="256">
        <f t="shared" si="91"/>
        <v>0</v>
      </c>
      <c r="AB197" s="309"/>
      <c r="AC197" s="309"/>
      <c r="AD197" s="320">
        <f t="shared" si="92"/>
        <v>0</v>
      </c>
      <c r="AF197" s="11"/>
      <c r="AG197" s="24"/>
      <c r="AH197" s="64">
        <f>AH196+1</f>
        <v>43402</v>
      </c>
      <c r="AI197" s="698"/>
      <c r="AJ197" s="699"/>
      <c r="AK197" s="699"/>
      <c r="AL197" s="699"/>
      <c r="AM197" s="699"/>
      <c r="AN197" s="699"/>
      <c r="AO197" s="699"/>
      <c r="AP197" s="699"/>
      <c r="AQ197" s="699"/>
      <c r="AR197" s="699"/>
      <c r="AS197" s="699"/>
      <c r="AT197" s="699"/>
      <c r="AU197" s="699"/>
      <c r="AV197" s="699"/>
      <c r="AW197" s="699"/>
      <c r="AX197" s="700"/>
      <c r="AY197" s="700"/>
      <c r="AZ197" s="701"/>
    </row>
    <row r="198" spans="1:52" ht="29.25" customHeight="1" thickBot="1">
      <c r="A198" s="64">
        <f t="shared" si="95"/>
        <v>44895</v>
      </c>
      <c r="B198" s="140"/>
      <c r="C198" s="140"/>
      <c r="D198" s="140"/>
      <c r="E198" s="140"/>
      <c r="F198" s="140"/>
      <c r="G198" s="140"/>
      <c r="H198" s="140"/>
      <c r="I198" s="140"/>
      <c r="J198" s="140"/>
      <c r="K198" s="140"/>
      <c r="L198" s="140"/>
      <c r="M198" s="140"/>
      <c r="N198" s="140"/>
      <c r="O198" s="140"/>
      <c r="P198" s="187"/>
      <c r="Q198" s="187"/>
      <c r="R198" s="138"/>
      <c r="S198" s="811"/>
      <c r="T198" s="830"/>
      <c r="U198" s="830"/>
      <c r="V198" s="830"/>
      <c r="W198" s="830"/>
      <c r="X198" s="830"/>
      <c r="Y198" s="255">
        <f t="shared" si="93"/>
        <v>0</v>
      </c>
      <c r="Z198" s="309">
        <f t="shared" si="94"/>
        <v>0</v>
      </c>
      <c r="AA198" s="256">
        <f t="shared" si="91"/>
        <v>0</v>
      </c>
      <c r="AB198" s="309"/>
      <c r="AC198" s="309"/>
      <c r="AD198" s="320">
        <f t="shared" si="92"/>
        <v>0</v>
      </c>
      <c r="AF198" s="11"/>
      <c r="AG198" s="24"/>
      <c r="AH198" s="64">
        <f t="shared" si="96"/>
        <v>43403</v>
      </c>
      <c r="AI198" s="698"/>
      <c r="AJ198" s="699"/>
      <c r="AK198" s="699"/>
      <c r="AL198" s="699"/>
      <c r="AM198" s="699"/>
      <c r="AN198" s="699"/>
      <c r="AO198" s="699"/>
      <c r="AP198" s="699"/>
      <c r="AQ198" s="699"/>
      <c r="AR198" s="699"/>
      <c r="AS198" s="699"/>
      <c r="AT198" s="699"/>
      <c r="AU198" s="699"/>
      <c r="AV198" s="699"/>
      <c r="AW198" s="699"/>
      <c r="AX198" s="700"/>
      <c r="AY198" s="700"/>
      <c r="AZ198" s="701"/>
    </row>
    <row r="199" spans="1:52" ht="29.25" customHeight="1" thickBot="1">
      <c r="A199" s="65">
        <f t="shared" si="95"/>
        <v>44896</v>
      </c>
      <c r="B199" s="140"/>
      <c r="C199" s="140"/>
      <c r="D199" s="140"/>
      <c r="E199" s="140"/>
      <c r="F199" s="140"/>
      <c r="G199" s="140"/>
      <c r="H199" s="140"/>
      <c r="I199" s="140"/>
      <c r="J199" s="140"/>
      <c r="K199" s="140"/>
      <c r="L199" s="140"/>
      <c r="M199" s="140"/>
      <c r="N199" s="140"/>
      <c r="O199" s="140"/>
      <c r="P199" s="187"/>
      <c r="Q199" s="187"/>
      <c r="R199" s="138"/>
      <c r="S199" s="812"/>
      <c r="T199" s="831"/>
      <c r="U199" s="831"/>
      <c r="V199" s="831"/>
      <c r="W199" s="831"/>
      <c r="X199" s="831"/>
      <c r="Y199" s="255">
        <f t="shared" si="93"/>
        <v>0</v>
      </c>
      <c r="Z199" s="309">
        <f t="shared" si="94"/>
        <v>0</v>
      </c>
      <c r="AA199" s="256">
        <f t="shared" si="91"/>
        <v>0</v>
      </c>
      <c r="AB199" s="309"/>
      <c r="AC199" s="309">
        <f>Y202</f>
        <v>0</v>
      </c>
      <c r="AD199" s="320">
        <f t="shared" si="92"/>
        <v>0</v>
      </c>
      <c r="AF199" s="11"/>
      <c r="AG199" s="24"/>
      <c r="AH199" s="65">
        <f t="shared" si="96"/>
        <v>43404</v>
      </c>
      <c r="AI199" s="702"/>
      <c r="AJ199" s="703"/>
      <c r="AK199" s="703"/>
      <c r="AL199" s="703"/>
      <c r="AM199" s="703"/>
      <c r="AN199" s="703"/>
      <c r="AO199" s="703"/>
      <c r="AP199" s="703"/>
      <c r="AQ199" s="703"/>
      <c r="AR199" s="703"/>
      <c r="AS199" s="703"/>
      <c r="AT199" s="703"/>
      <c r="AU199" s="703"/>
      <c r="AV199" s="703"/>
      <c r="AW199" s="703"/>
      <c r="AX199" s="704"/>
      <c r="AY199" s="704"/>
      <c r="AZ199" s="705"/>
    </row>
    <row r="200" spans="1:52" ht="50.1" customHeight="1" thickTop="1" thickBot="1">
      <c r="A200" s="91" t="s">
        <v>74</v>
      </c>
      <c r="B200" s="90">
        <f>SUM(B169:B199)</f>
        <v>0</v>
      </c>
      <c r="C200" s="90">
        <f t="shared" ref="C200:Y200" si="97">SUM(C169:C199)</f>
        <v>0</v>
      </c>
      <c r="D200" s="90">
        <f t="shared" si="97"/>
        <v>0</v>
      </c>
      <c r="E200" s="90"/>
      <c r="F200" s="90">
        <f t="shared" si="97"/>
        <v>0</v>
      </c>
      <c r="G200" s="90">
        <f t="shared" si="97"/>
        <v>0</v>
      </c>
      <c r="H200" s="90">
        <f t="shared" si="97"/>
        <v>0</v>
      </c>
      <c r="I200" s="90">
        <f t="shared" si="97"/>
        <v>0</v>
      </c>
      <c r="J200" s="90">
        <f t="shared" si="97"/>
        <v>0</v>
      </c>
      <c r="K200" s="90">
        <f t="shared" si="97"/>
        <v>0</v>
      </c>
      <c r="L200" s="90">
        <f t="shared" si="97"/>
        <v>0</v>
      </c>
      <c r="M200" s="90">
        <f t="shared" si="97"/>
        <v>0</v>
      </c>
      <c r="N200" s="90">
        <f t="shared" si="97"/>
        <v>0</v>
      </c>
      <c r="O200" s="90">
        <f t="shared" si="97"/>
        <v>0</v>
      </c>
      <c r="P200" s="90"/>
      <c r="Q200" s="90">
        <f t="shared" si="97"/>
        <v>0</v>
      </c>
      <c r="R200" s="90">
        <f t="shared" si="97"/>
        <v>0</v>
      </c>
      <c r="S200" s="90">
        <f t="shared" si="97"/>
        <v>0</v>
      </c>
      <c r="T200" s="90"/>
      <c r="U200" s="90"/>
      <c r="V200" s="90"/>
      <c r="W200" s="90"/>
      <c r="X200" s="90"/>
      <c r="Y200" s="279">
        <f t="shared" si="97"/>
        <v>0</v>
      </c>
      <c r="Z200" s="258"/>
      <c r="AA200" s="259"/>
      <c r="AB200" s="316">
        <f>SUM(AB169:AB199)</f>
        <v>0</v>
      </c>
      <c r="AC200" s="316"/>
      <c r="AD200" s="260"/>
      <c r="AF200" s="9"/>
      <c r="AG200" s="16"/>
      <c r="AH200" s="706" t="s">
        <v>101</v>
      </c>
      <c r="AI200" s="707">
        <f>SUM(AI169:AI199)</f>
        <v>0</v>
      </c>
      <c r="AJ200" s="707">
        <f>SUM(AJ169:AJ199)</f>
        <v>0</v>
      </c>
      <c r="AK200" s="707">
        <f t="shared" ref="AK200:AZ200" si="98">SUM(AK169:AK199)</f>
        <v>0</v>
      </c>
      <c r="AL200" s="707">
        <f t="shared" si="98"/>
        <v>0</v>
      </c>
      <c r="AM200" s="707">
        <f t="shared" si="98"/>
        <v>0</v>
      </c>
      <c r="AN200" s="707">
        <f t="shared" si="98"/>
        <v>0</v>
      </c>
      <c r="AO200" s="707">
        <f t="shared" si="98"/>
        <v>0</v>
      </c>
      <c r="AP200" s="707">
        <f t="shared" si="98"/>
        <v>0</v>
      </c>
      <c r="AQ200" s="707">
        <f t="shared" si="98"/>
        <v>0</v>
      </c>
      <c r="AR200" s="707">
        <f t="shared" si="98"/>
        <v>0</v>
      </c>
      <c r="AS200" s="707">
        <f t="shared" si="98"/>
        <v>0</v>
      </c>
      <c r="AT200" s="707">
        <f t="shared" si="98"/>
        <v>0</v>
      </c>
      <c r="AU200" s="707">
        <f t="shared" si="98"/>
        <v>0</v>
      </c>
      <c r="AV200" s="707">
        <f t="shared" si="98"/>
        <v>0</v>
      </c>
      <c r="AW200" s="707">
        <f t="shared" si="98"/>
        <v>0</v>
      </c>
      <c r="AX200" s="707">
        <f t="shared" si="98"/>
        <v>0</v>
      </c>
      <c r="AY200" s="707">
        <f t="shared" si="98"/>
        <v>0</v>
      </c>
      <c r="AZ200" s="707">
        <f t="shared" si="98"/>
        <v>0</v>
      </c>
    </row>
    <row r="201" spans="1:52" ht="50.1" customHeight="1" thickTop="1" thickBot="1">
      <c r="A201" s="148" t="s">
        <v>102</v>
      </c>
      <c r="B201" s="473"/>
      <c r="C201" s="473"/>
      <c r="D201" s="473"/>
      <c r="E201" s="473"/>
      <c r="F201" s="473"/>
      <c r="G201" s="473"/>
      <c r="H201" s="473"/>
      <c r="I201" s="473"/>
      <c r="J201" s="473"/>
      <c r="K201" s="473"/>
      <c r="L201" s="473"/>
      <c r="M201" s="473"/>
      <c r="N201" s="473"/>
      <c r="O201" s="473"/>
      <c r="P201" s="473"/>
      <c r="Q201" s="473"/>
      <c r="R201" s="473"/>
      <c r="S201" s="473"/>
      <c r="T201" s="473"/>
      <c r="U201" s="473"/>
      <c r="V201" s="473"/>
      <c r="W201" s="473"/>
      <c r="X201" s="473"/>
      <c r="Y201" s="280"/>
      <c r="Z201" s="268"/>
      <c r="AA201" s="268"/>
      <c r="AB201" s="268" t="s">
        <v>1</v>
      </c>
      <c r="AC201" s="269"/>
      <c r="AD201" s="269"/>
      <c r="AE201" t="s">
        <v>1</v>
      </c>
      <c r="AF201" s="9"/>
      <c r="AG201" s="26"/>
      <c r="AH201" s="706" t="s">
        <v>45</v>
      </c>
      <c r="AI201" s="707">
        <v>220</v>
      </c>
      <c r="AJ201" s="707">
        <v>220</v>
      </c>
      <c r="AK201" s="707">
        <v>220</v>
      </c>
      <c r="AL201" s="707">
        <v>100</v>
      </c>
      <c r="AM201" s="707">
        <v>100</v>
      </c>
      <c r="AN201" s="707">
        <v>80</v>
      </c>
      <c r="AO201" s="707">
        <v>25</v>
      </c>
      <c r="AP201" s="707">
        <v>25</v>
      </c>
      <c r="AQ201" s="707">
        <v>25</v>
      </c>
      <c r="AR201" s="707">
        <v>400</v>
      </c>
      <c r="AS201" s="707">
        <v>400</v>
      </c>
      <c r="AT201" s="707">
        <v>400</v>
      </c>
      <c r="AU201" s="707">
        <v>0</v>
      </c>
      <c r="AV201" s="707">
        <v>0</v>
      </c>
      <c r="AW201" s="707">
        <v>200</v>
      </c>
      <c r="AX201" s="707">
        <v>200</v>
      </c>
      <c r="AY201" s="707">
        <v>0</v>
      </c>
      <c r="AZ201" s="707">
        <v>0</v>
      </c>
    </row>
    <row r="202" spans="1:52" ht="50.1" customHeight="1" thickTop="1" thickBot="1">
      <c r="A202" s="97"/>
      <c r="B202" s="90">
        <f>B200*B201</f>
        <v>0</v>
      </c>
      <c r="C202" s="90">
        <f t="shared" ref="C202:S202" si="99">C200*C201</f>
        <v>0</v>
      </c>
      <c r="D202" s="90">
        <f t="shared" si="99"/>
        <v>0</v>
      </c>
      <c r="E202" s="90"/>
      <c r="F202" s="90">
        <f t="shared" si="99"/>
        <v>0</v>
      </c>
      <c r="G202" s="90">
        <f t="shared" si="99"/>
        <v>0</v>
      </c>
      <c r="H202" s="90">
        <f t="shared" si="99"/>
        <v>0</v>
      </c>
      <c r="I202" s="90">
        <f t="shared" si="99"/>
        <v>0</v>
      </c>
      <c r="J202" s="90">
        <f t="shared" si="99"/>
        <v>0</v>
      </c>
      <c r="K202" s="90">
        <f t="shared" si="99"/>
        <v>0</v>
      </c>
      <c r="L202" s="90">
        <f t="shared" si="99"/>
        <v>0</v>
      </c>
      <c r="M202" s="90">
        <f t="shared" si="99"/>
        <v>0</v>
      </c>
      <c r="N202" s="90">
        <f t="shared" si="99"/>
        <v>0</v>
      </c>
      <c r="O202" s="90">
        <f t="shared" si="99"/>
        <v>0</v>
      </c>
      <c r="P202" s="90"/>
      <c r="Q202" s="90">
        <f t="shared" si="99"/>
        <v>0</v>
      </c>
      <c r="R202" s="90">
        <f t="shared" si="99"/>
        <v>0</v>
      </c>
      <c r="S202" s="90">
        <f t="shared" si="99"/>
        <v>0</v>
      </c>
      <c r="T202" s="90"/>
      <c r="U202" s="90"/>
      <c r="V202" s="90"/>
      <c r="W202" s="90"/>
      <c r="X202" s="90"/>
      <c r="Y202" s="279">
        <f>SUM(B202:S202)</f>
        <v>0</v>
      </c>
      <c r="Z202" s="268"/>
      <c r="AA202" s="268"/>
      <c r="AB202" s="268"/>
      <c r="AC202" s="269"/>
      <c r="AD202" s="269"/>
      <c r="AF202" s="8"/>
      <c r="AG202" s="8"/>
      <c r="AH202" s="706" t="s">
        <v>46</v>
      </c>
      <c r="AI202" s="707">
        <f>AI200*AI201</f>
        <v>0</v>
      </c>
      <c r="AJ202" s="707">
        <f t="shared" ref="AJ202" si="100">AJ200*AJ201</f>
        <v>0</v>
      </c>
      <c r="AK202" s="707">
        <f t="shared" ref="AK202" si="101">AK200*AK201</f>
        <v>0</v>
      </c>
      <c r="AL202" s="707">
        <f t="shared" ref="AL202" si="102">AL200*AL201</f>
        <v>0</v>
      </c>
      <c r="AM202" s="707">
        <f t="shared" ref="AM202" si="103">AM200*AM201</f>
        <v>0</v>
      </c>
      <c r="AN202" s="707">
        <f t="shared" ref="AN202" si="104">AN200*AN201</f>
        <v>0</v>
      </c>
      <c r="AO202" s="707">
        <f t="shared" ref="AO202" si="105">AO200*AO201</f>
        <v>0</v>
      </c>
      <c r="AP202" s="707">
        <f t="shared" ref="AP202" si="106">AP200*AP201</f>
        <v>0</v>
      </c>
      <c r="AQ202" s="707">
        <f t="shared" ref="AQ202" si="107">AQ200*AQ201</f>
        <v>0</v>
      </c>
      <c r="AR202" s="707">
        <f t="shared" ref="AR202" si="108">AR200*AR201</f>
        <v>0</v>
      </c>
      <c r="AS202" s="707">
        <f t="shared" ref="AS202" si="109">AS200*AS201</f>
        <v>0</v>
      </c>
      <c r="AT202" s="707">
        <f t="shared" ref="AT202" si="110">AT200*AT201</f>
        <v>0</v>
      </c>
      <c r="AU202" s="707">
        <f t="shared" ref="AU202" si="111">AU200*AU201</f>
        <v>0</v>
      </c>
      <c r="AV202" s="707">
        <f t="shared" ref="AV202" si="112">AV200*AV201</f>
        <v>0</v>
      </c>
      <c r="AW202" s="707">
        <f t="shared" ref="AW202" si="113">AW200*AW201</f>
        <v>0</v>
      </c>
      <c r="AX202" s="707">
        <f t="shared" ref="AX202" si="114">AX200*AX201</f>
        <v>0</v>
      </c>
      <c r="AY202" s="707">
        <f t="shared" ref="AY202" si="115">AY200*AY201</f>
        <v>0</v>
      </c>
      <c r="AZ202" s="707">
        <f t="shared" ref="AZ202" si="116">AZ200*AZ201</f>
        <v>0</v>
      </c>
    </row>
    <row r="203" spans="1:52" ht="24.75" thickTop="1" thickBot="1">
      <c r="A203" s="7"/>
      <c r="B203" s="7"/>
      <c r="C203" s="7"/>
      <c r="D203" s="7"/>
      <c r="E203" s="7"/>
      <c r="F203" s="7"/>
      <c r="G203" s="7"/>
      <c r="H203" s="1467"/>
      <c r="I203" s="1467"/>
      <c r="J203" s="1467"/>
      <c r="K203" s="7"/>
      <c r="L203" s="7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81">
        <f>Y200-Y202</f>
        <v>0</v>
      </c>
      <c r="Z203" s="269"/>
      <c r="AA203" s="269"/>
      <c r="AB203" s="269"/>
      <c r="AC203" s="269"/>
      <c r="AD203" s="269"/>
      <c r="AF203" s="8"/>
      <c r="AG203" s="8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714">
        <f>SUM(AI202:AZ202)</f>
        <v>0</v>
      </c>
    </row>
    <row r="204" spans="1:52" ht="15.75" thickTop="1">
      <c r="A204" s="7"/>
      <c r="B204" s="7"/>
      <c r="C204" s="7"/>
      <c r="D204" s="7"/>
      <c r="E204" s="7"/>
      <c r="F204" s="7"/>
      <c r="G204" s="7"/>
      <c r="H204" s="7"/>
      <c r="I204" s="7" t="s">
        <v>1</v>
      </c>
      <c r="J204" s="7"/>
      <c r="K204" s="7" t="s">
        <v>1</v>
      </c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t="s">
        <v>1</v>
      </c>
      <c r="AD204" t="s">
        <v>1</v>
      </c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</row>
    <row r="205" spans="1:52" ht="15.75" thickBo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8"/>
      <c r="AA205" s="8"/>
      <c r="AB205" s="8"/>
      <c r="AC205" s="2"/>
      <c r="AD205" t="s">
        <v>1</v>
      </c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</row>
    <row r="206" spans="1:52" ht="39.950000000000003" customHeight="1" thickBot="1">
      <c r="A206" s="109">
        <f>A5</f>
        <v>2022</v>
      </c>
      <c r="B206" s="1464" t="s">
        <v>181</v>
      </c>
      <c r="C206" s="1465"/>
      <c r="D206" s="1465"/>
      <c r="E206" s="1465"/>
      <c r="F206" s="1465"/>
      <c r="G206" s="1465"/>
      <c r="H206" s="1465"/>
      <c r="I206" s="1465"/>
      <c r="J206" s="1465"/>
      <c r="K206" s="1465"/>
      <c r="L206" s="1465"/>
      <c r="M206" s="1465"/>
      <c r="N206" s="1465"/>
      <c r="O206" s="1465"/>
      <c r="P206" s="1465"/>
      <c r="Q206" s="1465"/>
      <c r="R206" s="1465"/>
      <c r="S206" s="1465"/>
      <c r="T206" s="1465"/>
      <c r="U206" s="1465"/>
      <c r="V206" s="1465"/>
      <c r="W206" s="1465"/>
      <c r="X206" s="1465"/>
      <c r="Y206" s="1466"/>
      <c r="Z206" s="21"/>
      <c r="AA206" s="21"/>
      <c r="AB206" s="21"/>
      <c r="AC206" s="2"/>
      <c r="AF206" s="10"/>
      <c r="AG206" s="34"/>
      <c r="AH206" s="109">
        <v>2018</v>
      </c>
      <c r="AI206" s="1424" t="str">
        <f>B206</f>
        <v>QASIM ORANGI</v>
      </c>
      <c r="AJ206" s="1425"/>
      <c r="AK206" s="1425"/>
      <c r="AL206" s="1425"/>
      <c r="AM206" s="1425"/>
      <c r="AN206" s="1425"/>
      <c r="AO206" s="1425"/>
      <c r="AP206" s="1425"/>
      <c r="AQ206" s="1425"/>
      <c r="AR206" s="1425"/>
      <c r="AS206" s="1425"/>
      <c r="AT206" s="1425"/>
      <c r="AU206" s="1425"/>
      <c r="AV206" s="1425"/>
      <c r="AW206" s="1425"/>
      <c r="AX206" s="1425"/>
      <c r="AY206" s="1425"/>
      <c r="AZ206" s="1425"/>
    </row>
    <row r="207" spans="1:52" ht="60" customHeight="1" thickTop="1" thickBot="1">
      <c r="A207" s="1468" t="s">
        <v>94</v>
      </c>
      <c r="B207" s="1402" t="s">
        <v>95</v>
      </c>
      <c r="C207" s="1403"/>
      <c r="D207" s="1403"/>
      <c r="E207" s="1404"/>
      <c r="F207" s="1402" t="s">
        <v>7</v>
      </c>
      <c r="G207" s="1403"/>
      <c r="H207" s="1404"/>
      <c r="I207" s="1402" t="s">
        <v>8</v>
      </c>
      <c r="J207" s="1404"/>
      <c r="K207" s="1402" t="s">
        <v>9</v>
      </c>
      <c r="L207" s="1403"/>
      <c r="M207" s="1403"/>
      <c r="N207" s="1403"/>
      <c r="O207" s="1403"/>
      <c r="P207" s="1403"/>
      <c r="Q207" s="1403"/>
      <c r="R207" s="1405" t="s">
        <v>10</v>
      </c>
      <c r="S207" s="1406"/>
      <c r="T207" s="1400" t="s">
        <v>289</v>
      </c>
      <c r="U207" s="1401"/>
      <c r="V207" s="842" t="s">
        <v>258</v>
      </c>
      <c r="W207" s="842"/>
      <c r="X207" s="842"/>
      <c r="Y207" s="211"/>
      <c r="Z207" s="21"/>
      <c r="AA207" s="21"/>
      <c r="AB207" s="21"/>
      <c r="AC207" s="21"/>
      <c r="AF207" s="10"/>
      <c r="AG207" s="34"/>
      <c r="AH207" s="1422" t="s">
        <v>94</v>
      </c>
      <c r="AI207" s="1402" t="s">
        <v>95</v>
      </c>
      <c r="AJ207" s="1403"/>
      <c r="AK207" s="1404"/>
      <c r="AL207" s="1402" t="s">
        <v>7</v>
      </c>
      <c r="AM207" s="1403"/>
      <c r="AN207" s="1404"/>
      <c r="AO207" s="1402" t="s">
        <v>8</v>
      </c>
      <c r="AP207" s="1403"/>
      <c r="AQ207" s="1404"/>
      <c r="AR207" s="1402" t="s">
        <v>9</v>
      </c>
      <c r="AS207" s="1403"/>
      <c r="AT207" s="1404"/>
      <c r="AU207" s="1403" t="s">
        <v>9</v>
      </c>
      <c r="AV207" s="1404"/>
      <c r="AW207" s="1429" t="s">
        <v>10</v>
      </c>
      <c r="AX207" s="1430"/>
      <c r="AY207" s="690"/>
      <c r="AZ207" s="404" t="s">
        <v>11</v>
      </c>
    </row>
    <row r="208" spans="1:52" ht="37.5" customHeight="1" thickTop="1" thickBot="1">
      <c r="A208" s="1428"/>
      <c r="B208" s="482" t="s">
        <v>12</v>
      </c>
      <c r="C208" s="482" t="s">
        <v>13</v>
      </c>
      <c r="D208" s="482" t="s">
        <v>14</v>
      </c>
      <c r="E208" s="688" t="s">
        <v>198</v>
      </c>
      <c r="F208" s="482" t="s">
        <v>12</v>
      </c>
      <c r="G208" s="482" t="s">
        <v>13</v>
      </c>
      <c r="H208" s="482" t="s">
        <v>282</v>
      </c>
      <c r="I208" s="482" t="s">
        <v>12</v>
      </c>
      <c r="J208" s="482" t="s">
        <v>16</v>
      </c>
      <c r="K208" s="482" t="s">
        <v>17</v>
      </c>
      <c r="L208" s="482" t="s">
        <v>18</v>
      </c>
      <c r="M208" s="482" t="s">
        <v>19</v>
      </c>
      <c r="N208" s="484" t="s">
        <v>96</v>
      </c>
      <c r="O208" s="484" t="s">
        <v>257</v>
      </c>
      <c r="P208" s="484" t="s">
        <v>254</v>
      </c>
      <c r="Q208" s="484" t="s">
        <v>20</v>
      </c>
      <c r="R208" s="483" t="s">
        <v>14</v>
      </c>
      <c r="S208" s="482" t="s">
        <v>13</v>
      </c>
      <c r="T208" s="846" t="s">
        <v>284</v>
      </c>
      <c r="U208" s="846" t="s">
        <v>288</v>
      </c>
      <c r="V208" s="484" t="s">
        <v>259</v>
      </c>
      <c r="W208" s="484"/>
      <c r="X208" s="484"/>
      <c r="Y208" s="224" t="s">
        <v>90</v>
      </c>
      <c r="Z208" s="210" t="s">
        <v>97</v>
      </c>
      <c r="AA208" s="210" t="s">
        <v>74</v>
      </c>
      <c r="AB208" s="210" t="s">
        <v>98</v>
      </c>
      <c r="AC208" s="210" t="s">
        <v>99</v>
      </c>
      <c r="AD208" s="210" t="s">
        <v>100</v>
      </c>
      <c r="AF208" s="578" t="s">
        <v>1</v>
      </c>
      <c r="AG208" s="4"/>
      <c r="AH208" s="1428"/>
      <c r="AI208" s="482" t="s">
        <v>12</v>
      </c>
      <c r="AJ208" s="482" t="s">
        <v>13</v>
      </c>
      <c r="AK208" s="482" t="s">
        <v>14</v>
      </c>
      <c r="AL208" s="482" t="s">
        <v>12</v>
      </c>
      <c r="AM208" s="482" t="s">
        <v>13</v>
      </c>
      <c r="AN208" s="482" t="s">
        <v>15</v>
      </c>
      <c r="AO208" s="482" t="s">
        <v>12</v>
      </c>
      <c r="AP208" s="482" t="s">
        <v>205</v>
      </c>
      <c r="AQ208" s="482" t="s">
        <v>16</v>
      </c>
      <c r="AR208" s="482" t="s">
        <v>17</v>
      </c>
      <c r="AS208" s="482" t="s">
        <v>18</v>
      </c>
      <c r="AT208" s="482" t="s">
        <v>19</v>
      </c>
      <c r="AU208" s="482" t="s">
        <v>201</v>
      </c>
      <c r="AV208" s="482" t="s">
        <v>20</v>
      </c>
      <c r="AW208" s="482" t="s">
        <v>12</v>
      </c>
      <c r="AX208" s="483" t="s">
        <v>13</v>
      </c>
      <c r="AY208" s="688" t="s">
        <v>198</v>
      </c>
      <c r="AZ208" s="484" t="s">
        <v>96</v>
      </c>
    </row>
    <row r="209" spans="1:52" ht="29.25" customHeight="1" thickBot="1">
      <c r="A209" s="66">
        <f>A169</f>
        <v>44866</v>
      </c>
      <c r="B209" s="135"/>
      <c r="C209" s="135"/>
      <c r="D209" s="135"/>
      <c r="E209" s="135"/>
      <c r="F209" s="135"/>
      <c r="G209" s="135"/>
      <c r="H209" s="135"/>
      <c r="I209" s="135"/>
      <c r="J209" s="135"/>
      <c r="K209" s="135"/>
      <c r="L209" s="135"/>
      <c r="M209" s="135"/>
      <c r="N209" s="135"/>
      <c r="O209" s="135"/>
      <c r="P209" s="135"/>
      <c r="Q209" s="135"/>
      <c r="R209" s="136"/>
      <c r="S209" s="136"/>
      <c r="T209" s="149"/>
      <c r="U209" s="149"/>
      <c r="V209" s="149"/>
      <c r="W209" s="149"/>
      <c r="X209" s="149"/>
      <c r="Y209" s="255">
        <f>B209*400+C209*280+D209*400+E209*280+F209*130+G209*130+H209*90+I209*50+J209*35+K209*400+L209*400+M209*400+N209*22+O209*400+P209*80+Q209*200+R209*360+S209*360+T209*30+U209*60</f>
        <v>0</v>
      </c>
      <c r="Z209" s="308"/>
      <c r="AA209" s="263">
        <f t="shared" ref="AA209:AA239" si="117">Y209+Z209</f>
        <v>0</v>
      </c>
      <c r="AB209" s="308"/>
      <c r="AC209" s="308"/>
      <c r="AD209" s="319">
        <f t="shared" ref="AD209:AD239" si="118">AA209-AB209-AC209</f>
        <v>0</v>
      </c>
      <c r="AF209" s="11"/>
      <c r="AG209" s="24"/>
      <c r="AH209" s="63">
        <f>AH169</f>
        <v>43374</v>
      </c>
      <c r="AI209" s="694"/>
      <c r="AJ209" s="695"/>
      <c r="AK209" s="695"/>
      <c r="AL209" s="695"/>
      <c r="AM209" s="695"/>
      <c r="AN209" s="695"/>
      <c r="AO209" s="695"/>
      <c r="AP209" s="695"/>
      <c r="AQ209" s="695"/>
      <c r="AR209" s="695"/>
      <c r="AS209" s="695"/>
      <c r="AT209" s="695"/>
      <c r="AU209" s="695"/>
      <c r="AV209" s="695"/>
      <c r="AW209" s="695"/>
      <c r="AX209" s="696"/>
      <c r="AY209" s="696"/>
      <c r="AZ209" s="697"/>
    </row>
    <row r="210" spans="1:52" ht="29.25" customHeight="1" thickBot="1">
      <c r="A210" s="66">
        <f>A209+1</f>
        <v>44867</v>
      </c>
      <c r="B210" s="138"/>
      <c r="C210" s="138"/>
      <c r="D210" s="138"/>
      <c r="E210" s="138"/>
      <c r="F210" s="138"/>
      <c r="G210" s="138"/>
      <c r="H210" s="138"/>
      <c r="I210" s="138"/>
      <c r="J210" s="138"/>
      <c r="K210" s="138"/>
      <c r="L210" s="138"/>
      <c r="M210" s="138"/>
      <c r="N210" s="138"/>
      <c r="O210" s="138"/>
      <c r="P210" s="138"/>
      <c r="Q210" s="138"/>
      <c r="R210" s="139"/>
      <c r="S210" s="139"/>
      <c r="T210" s="149"/>
      <c r="U210" s="149"/>
      <c r="V210" s="149"/>
      <c r="W210" s="149"/>
      <c r="X210" s="149"/>
      <c r="Y210" s="255">
        <f t="shared" ref="Y210:Y239" si="119">B210*400+C210*280+D210*400+E210*280+F210*130+G210*130+H210*90+I210*50+J210*35+K210*400+L210*400+M210*400+N210*22+O210*400+P210*80+Q210*200+R210*360+S210*360+T210*30+U210*60</f>
        <v>0</v>
      </c>
      <c r="Z210" s="309">
        <f t="shared" ref="Z210:Z239" si="120">AD209</f>
        <v>0</v>
      </c>
      <c r="AA210" s="256">
        <f t="shared" si="117"/>
        <v>0</v>
      </c>
      <c r="AB210" s="309"/>
      <c r="AC210" s="309"/>
      <c r="AD210" s="320">
        <f t="shared" si="118"/>
        <v>0</v>
      </c>
      <c r="AF210" s="11"/>
      <c r="AG210" s="24"/>
      <c r="AH210" s="64">
        <f>AH209+1</f>
        <v>43375</v>
      </c>
      <c r="AI210" s="698"/>
      <c r="AJ210" s="699"/>
      <c r="AK210" s="699"/>
      <c r="AL210" s="699"/>
      <c r="AM210" s="699"/>
      <c r="AN210" s="699"/>
      <c r="AO210" s="699"/>
      <c r="AP210" s="699"/>
      <c r="AQ210" s="699"/>
      <c r="AR210" s="699"/>
      <c r="AS210" s="699"/>
      <c r="AT210" s="699"/>
      <c r="AU210" s="699"/>
      <c r="AV210" s="699"/>
      <c r="AW210" s="699"/>
      <c r="AX210" s="700"/>
      <c r="AY210" s="700"/>
      <c r="AZ210" s="701"/>
    </row>
    <row r="211" spans="1:52" ht="29.25" customHeight="1" thickBot="1">
      <c r="A211" s="66">
        <f t="shared" ref="A211:A239" si="121">A210+1</f>
        <v>44868</v>
      </c>
      <c r="B211" s="138"/>
      <c r="C211" s="138"/>
      <c r="D211" s="138"/>
      <c r="E211" s="138"/>
      <c r="F211" s="138"/>
      <c r="G211" s="138"/>
      <c r="H211" s="138"/>
      <c r="I211" s="138"/>
      <c r="J211" s="138"/>
      <c r="K211" s="138"/>
      <c r="L211" s="138"/>
      <c r="M211" s="138"/>
      <c r="N211" s="138"/>
      <c r="O211" s="138"/>
      <c r="P211" s="138"/>
      <c r="Q211" s="138"/>
      <c r="R211" s="139"/>
      <c r="S211" s="139"/>
      <c r="T211" s="149"/>
      <c r="U211" s="149"/>
      <c r="V211" s="149"/>
      <c r="W211" s="149"/>
      <c r="X211" s="149"/>
      <c r="Y211" s="255">
        <f t="shared" si="119"/>
        <v>0</v>
      </c>
      <c r="Z211" s="309">
        <f t="shared" si="120"/>
        <v>0</v>
      </c>
      <c r="AA211" s="256">
        <f t="shared" si="117"/>
        <v>0</v>
      </c>
      <c r="AB211" s="309"/>
      <c r="AC211" s="309"/>
      <c r="AD211" s="320">
        <f t="shared" si="118"/>
        <v>0</v>
      </c>
      <c r="AF211" s="11"/>
      <c r="AG211" s="24"/>
      <c r="AH211" s="64">
        <f t="shared" ref="AH211:AH239" si="122">AH210+1</f>
        <v>43376</v>
      </c>
      <c r="AI211" s="698"/>
      <c r="AJ211" s="699"/>
      <c r="AK211" s="699"/>
      <c r="AL211" s="699"/>
      <c r="AM211" s="699"/>
      <c r="AN211" s="699"/>
      <c r="AO211" s="699"/>
      <c r="AP211" s="699"/>
      <c r="AQ211" s="699"/>
      <c r="AR211" s="699"/>
      <c r="AS211" s="699"/>
      <c r="AT211" s="699"/>
      <c r="AU211" s="699"/>
      <c r="AV211" s="699"/>
      <c r="AW211" s="699"/>
      <c r="AX211" s="700"/>
      <c r="AY211" s="700"/>
      <c r="AZ211" s="701"/>
    </row>
    <row r="212" spans="1:52" ht="29.25" customHeight="1" thickBot="1">
      <c r="A212" s="66">
        <f t="shared" si="121"/>
        <v>44869</v>
      </c>
      <c r="B212" s="138"/>
      <c r="C212" s="138"/>
      <c r="D212" s="138"/>
      <c r="E212" s="138"/>
      <c r="F212" s="138"/>
      <c r="G212" s="138"/>
      <c r="H212" s="138"/>
      <c r="I212" s="138"/>
      <c r="J212" s="138"/>
      <c r="K212" s="138"/>
      <c r="L212" s="138"/>
      <c r="M212" s="138"/>
      <c r="N212" s="138"/>
      <c r="O212" s="138"/>
      <c r="P212" s="138"/>
      <c r="Q212" s="138"/>
      <c r="R212" s="139"/>
      <c r="S212" s="139"/>
      <c r="T212" s="149"/>
      <c r="U212" s="149"/>
      <c r="V212" s="149"/>
      <c r="W212" s="149"/>
      <c r="X212" s="149"/>
      <c r="Y212" s="255">
        <f t="shared" si="119"/>
        <v>0</v>
      </c>
      <c r="Z212" s="309">
        <f t="shared" si="120"/>
        <v>0</v>
      </c>
      <c r="AA212" s="256">
        <f t="shared" si="117"/>
        <v>0</v>
      </c>
      <c r="AB212" s="309"/>
      <c r="AC212" s="309"/>
      <c r="AD212" s="320">
        <f t="shared" si="118"/>
        <v>0</v>
      </c>
      <c r="AF212" s="11"/>
      <c r="AG212" s="24"/>
      <c r="AH212" s="64">
        <f t="shared" si="122"/>
        <v>43377</v>
      </c>
      <c r="AI212" s="698"/>
      <c r="AJ212" s="699"/>
      <c r="AK212" s="699"/>
      <c r="AL212" s="699"/>
      <c r="AM212" s="699"/>
      <c r="AN212" s="699"/>
      <c r="AO212" s="699"/>
      <c r="AP212" s="699"/>
      <c r="AQ212" s="699"/>
      <c r="AR212" s="699"/>
      <c r="AS212" s="699"/>
      <c r="AT212" s="699"/>
      <c r="AU212" s="699"/>
      <c r="AV212" s="699"/>
      <c r="AW212" s="699"/>
      <c r="AX212" s="700"/>
      <c r="AY212" s="700"/>
      <c r="AZ212" s="701"/>
    </row>
    <row r="213" spans="1:52" ht="29.25" customHeight="1" thickBot="1">
      <c r="A213" s="66">
        <f t="shared" si="121"/>
        <v>44870</v>
      </c>
      <c r="B213" s="138"/>
      <c r="C213" s="138"/>
      <c r="D213" s="138"/>
      <c r="E213" s="138"/>
      <c r="F213" s="138"/>
      <c r="G213" s="138"/>
      <c r="H213" s="138"/>
      <c r="I213" s="138"/>
      <c r="J213" s="138"/>
      <c r="K213" s="138"/>
      <c r="L213" s="138"/>
      <c r="M213" s="138"/>
      <c r="N213" s="138"/>
      <c r="O213" s="138"/>
      <c r="P213" s="138"/>
      <c r="Q213" s="138"/>
      <c r="R213" s="139"/>
      <c r="S213" s="139"/>
      <c r="T213" s="149"/>
      <c r="U213" s="149"/>
      <c r="V213" s="149"/>
      <c r="W213" s="149"/>
      <c r="X213" s="149"/>
      <c r="Y213" s="255">
        <f t="shared" si="119"/>
        <v>0</v>
      </c>
      <c r="Z213" s="309">
        <f t="shared" si="120"/>
        <v>0</v>
      </c>
      <c r="AA213" s="256">
        <f t="shared" si="117"/>
        <v>0</v>
      </c>
      <c r="AB213" s="309"/>
      <c r="AC213" s="309"/>
      <c r="AD213" s="320">
        <f t="shared" si="118"/>
        <v>0</v>
      </c>
      <c r="AF213" s="11"/>
      <c r="AG213" s="24"/>
      <c r="AH213" s="64">
        <f t="shared" si="122"/>
        <v>43378</v>
      </c>
      <c r="AI213" s="698"/>
      <c r="AJ213" s="699"/>
      <c r="AK213" s="699"/>
      <c r="AL213" s="699"/>
      <c r="AM213" s="699"/>
      <c r="AN213" s="699"/>
      <c r="AO213" s="699"/>
      <c r="AP213" s="699"/>
      <c r="AQ213" s="699"/>
      <c r="AR213" s="699"/>
      <c r="AS213" s="699"/>
      <c r="AT213" s="699"/>
      <c r="AU213" s="699"/>
      <c r="AV213" s="699"/>
      <c r="AW213" s="699"/>
      <c r="AX213" s="700"/>
      <c r="AY213" s="700"/>
      <c r="AZ213" s="701"/>
    </row>
    <row r="214" spans="1:52" ht="29.25" customHeight="1" thickBot="1">
      <c r="A214" s="66">
        <f t="shared" si="121"/>
        <v>44871</v>
      </c>
      <c r="B214" s="138"/>
      <c r="C214" s="138"/>
      <c r="D214" s="138"/>
      <c r="E214" s="138"/>
      <c r="F214" s="138"/>
      <c r="G214" s="138"/>
      <c r="H214" s="138"/>
      <c r="I214" s="138"/>
      <c r="J214" s="138"/>
      <c r="K214" s="138"/>
      <c r="L214" s="138"/>
      <c r="M214" s="138"/>
      <c r="N214" s="138"/>
      <c r="O214" s="138"/>
      <c r="P214" s="138"/>
      <c r="Q214" s="138"/>
      <c r="R214" s="139"/>
      <c r="S214" s="139"/>
      <c r="T214" s="149"/>
      <c r="U214" s="149"/>
      <c r="V214" s="149"/>
      <c r="W214" s="149"/>
      <c r="X214" s="149"/>
      <c r="Y214" s="255">
        <f t="shared" si="119"/>
        <v>0</v>
      </c>
      <c r="Z214" s="309">
        <f t="shared" si="120"/>
        <v>0</v>
      </c>
      <c r="AA214" s="256">
        <f t="shared" si="117"/>
        <v>0</v>
      </c>
      <c r="AB214" s="309"/>
      <c r="AC214" s="309"/>
      <c r="AD214" s="320">
        <f t="shared" si="118"/>
        <v>0</v>
      </c>
      <c r="AF214" s="11"/>
      <c r="AG214" s="24"/>
      <c r="AH214" s="64">
        <f t="shared" si="122"/>
        <v>43379</v>
      </c>
      <c r="AI214" s="698"/>
      <c r="AJ214" s="699"/>
      <c r="AK214" s="699"/>
      <c r="AL214" s="699"/>
      <c r="AM214" s="699"/>
      <c r="AN214" s="699"/>
      <c r="AO214" s="699"/>
      <c r="AP214" s="699"/>
      <c r="AQ214" s="699"/>
      <c r="AR214" s="699"/>
      <c r="AS214" s="699"/>
      <c r="AT214" s="699"/>
      <c r="AU214" s="699"/>
      <c r="AV214" s="699"/>
      <c r="AW214" s="699"/>
      <c r="AX214" s="700"/>
      <c r="AY214" s="700"/>
      <c r="AZ214" s="701"/>
    </row>
    <row r="215" spans="1:52" ht="29.25" customHeight="1" thickBot="1">
      <c r="A215" s="66">
        <f t="shared" si="121"/>
        <v>44872</v>
      </c>
      <c r="B215" s="138"/>
      <c r="C215" s="138"/>
      <c r="D215" s="138"/>
      <c r="E215" s="138"/>
      <c r="F215" s="138"/>
      <c r="G215" s="138"/>
      <c r="H215" s="138"/>
      <c r="I215" s="138"/>
      <c r="J215" s="138"/>
      <c r="K215" s="138"/>
      <c r="L215" s="138"/>
      <c r="M215" s="138"/>
      <c r="N215" s="138"/>
      <c r="O215" s="138"/>
      <c r="P215" s="138"/>
      <c r="Q215" s="138"/>
      <c r="R215" s="139"/>
      <c r="S215" s="139"/>
      <c r="T215" s="149"/>
      <c r="U215" s="149"/>
      <c r="V215" s="149"/>
      <c r="W215" s="149"/>
      <c r="X215" s="149"/>
      <c r="Y215" s="255">
        <f t="shared" si="119"/>
        <v>0</v>
      </c>
      <c r="Z215" s="309">
        <f t="shared" si="120"/>
        <v>0</v>
      </c>
      <c r="AA215" s="256">
        <f t="shared" si="117"/>
        <v>0</v>
      </c>
      <c r="AB215" s="309"/>
      <c r="AC215" s="309"/>
      <c r="AD215" s="320">
        <f t="shared" si="118"/>
        <v>0</v>
      </c>
      <c r="AF215" s="11"/>
      <c r="AG215" s="24"/>
      <c r="AH215" s="64">
        <f t="shared" si="122"/>
        <v>43380</v>
      </c>
      <c r="AI215" s="698"/>
      <c r="AJ215" s="699"/>
      <c r="AK215" s="699"/>
      <c r="AL215" s="699"/>
      <c r="AM215" s="699"/>
      <c r="AN215" s="699"/>
      <c r="AO215" s="699"/>
      <c r="AP215" s="699"/>
      <c r="AQ215" s="699"/>
      <c r="AR215" s="699"/>
      <c r="AS215" s="699"/>
      <c r="AT215" s="699"/>
      <c r="AU215" s="699"/>
      <c r="AV215" s="699"/>
      <c r="AW215" s="699"/>
      <c r="AX215" s="700"/>
      <c r="AY215" s="700"/>
      <c r="AZ215" s="701"/>
    </row>
    <row r="216" spans="1:52" ht="29.25" customHeight="1" thickBot="1">
      <c r="A216" s="66">
        <f t="shared" si="121"/>
        <v>44873</v>
      </c>
      <c r="B216" s="138"/>
      <c r="C216" s="138"/>
      <c r="D216" s="138"/>
      <c r="E216" s="138"/>
      <c r="F216" s="138"/>
      <c r="G216" s="138"/>
      <c r="H216" s="138"/>
      <c r="I216" s="138"/>
      <c r="J216" s="138"/>
      <c r="K216" s="138"/>
      <c r="L216" s="138"/>
      <c r="M216" s="138"/>
      <c r="N216" s="138"/>
      <c r="O216" s="138"/>
      <c r="P216" s="138"/>
      <c r="Q216" s="138"/>
      <c r="R216" s="139"/>
      <c r="S216" s="139"/>
      <c r="T216" s="149"/>
      <c r="U216" s="149"/>
      <c r="V216" s="149"/>
      <c r="W216" s="149"/>
      <c r="X216" s="149"/>
      <c r="Y216" s="255">
        <f t="shared" si="119"/>
        <v>0</v>
      </c>
      <c r="Z216" s="309">
        <f t="shared" si="120"/>
        <v>0</v>
      </c>
      <c r="AA216" s="256">
        <f t="shared" si="117"/>
        <v>0</v>
      </c>
      <c r="AB216" s="309"/>
      <c r="AC216" s="309"/>
      <c r="AD216" s="320">
        <f t="shared" si="118"/>
        <v>0</v>
      </c>
      <c r="AF216" s="11"/>
      <c r="AG216" s="24"/>
      <c r="AH216" s="64">
        <f t="shared" si="122"/>
        <v>43381</v>
      </c>
      <c r="AI216" s="698"/>
      <c r="AJ216" s="699"/>
      <c r="AK216" s="699"/>
      <c r="AL216" s="699"/>
      <c r="AM216" s="699"/>
      <c r="AN216" s="699"/>
      <c r="AO216" s="699"/>
      <c r="AP216" s="699"/>
      <c r="AQ216" s="699"/>
      <c r="AR216" s="699"/>
      <c r="AS216" s="699"/>
      <c r="AT216" s="699"/>
      <c r="AU216" s="699"/>
      <c r="AV216" s="699"/>
      <c r="AW216" s="699"/>
      <c r="AX216" s="700"/>
      <c r="AY216" s="700"/>
      <c r="AZ216" s="701"/>
    </row>
    <row r="217" spans="1:52" ht="29.25" customHeight="1" thickBot="1">
      <c r="A217" s="66">
        <f t="shared" si="121"/>
        <v>44874</v>
      </c>
      <c r="B217" s="138"/>
      <c r="C217" s="138"/>
      <c r="D217" s="138"/>
      <c r="E217" s="138"/>
      <c r="F217" s="138"/>
      <c r="G217" s="138"/>
      <c r="H217" s="138"/>
      <c r="I217" s="138"/>
      <c r="J217" s="138"/>
      <c r="K217" s="138"/>
      <c r="L217" s="138"/>
      <c r="M217" s="138"/>
      <c r="N217" s="138"/>
      <c r="O217" s="138"/>
      <c r="P217" s="138"/>
      <c r="Q217" s="138"/>
      <c r="R217" s="139"/>
      <c r="S217" s="139"/>
      <c r="T217" s="149"/>
      <c r="U217" s="149"/>
      <c r="V217" s="149"/>
      <c r="W217" s="149"/>
      <c r="X217" s="149"/>
      <c r="Y217" s="255">
        <f t="shared" si="119"/>
        <v>0</v>
      </c>
      <c r="Z217" s="309">
        <f t="shared" si="120"/>
        <v>0</v>
      </c>
      <c r="AA217" s="256">
        <f t="shared" si="117"/>
        <v>0</v>
      </c>
      <c r="AB217" s="309"/>
      <c r="AC217" s="309"/>
      <c r="AD217" s="320">
        <f t="shared" si="118"/>
        <v>0</v>
      </c>
      <c r="AF217" s="11"/>
      <c r="AG217" s="24"/>
      <c r="AH217" s="64">
        <f t="shared" si="122"/>
        <v>43382</v>
      </c>
      <c r="AI217" s="698"/>
      <c r="AJ217" s="699"/>
      <c r="AK217" s="699"/>
      <c r="AL217" s="699"/>
      <c r="AM217" s="699"/>
      <c r="AN217" s="699"/>
      <c r="AO217" s="699"/>
      <c r="AP217" s="699"/>
      <c r="AQ217" s="699"/>
      <c r="AR217" s="699"/>
      <c r="AS217" s="699"/>
      <c r="AT217" s="699"/>
      <c r="AU217" s="699"/>
      <c r="AV217" s="699"/>
      <c r="AW217" s="699"/>
      <c r="AX217" s="700"/>
      <c r="AY217" s="700"/>
      <c r="AZ217" s="701"/>
    </row>
    <row r="218" spans="1:52" ht="29.25" customHeight="1" thickBot="1">
      <c r="A218" s="66">
        <f t="shared" si="121"/>
        <v>44875</v>
      </c>
      <c r="B218" s="138"/>
      <c r="C218" s="138"/>
      <c r="D218" s="138"/>
      <c r="E218" s="138"/>
      <c r="F218" s="138"/>
      <c r="G218" s="138"/>
      <c r="H218" s="138"/>
      <c r="I218" s="138"/>
      <c r="J218" s="138"/>
      <c r="K218" s="138"/>
      <c r="L218" s="138"/>
      <c r="M218" s="138"/>
      <c r="N218" s="138"/>
      <c r="O218" s="138"/>
      <c r="P218" s="138"/>
      <c r="Q218" s="138"/>
      <c r="R218" s="139"/>
      <c r="S218" s="139"/>
      <c r="T218" s="149"/>
      <c r="U218" s="149"/>
      <c r="V218" s="149"/>
      <c r="W218" s="149"/>
      <c r="X218" s="149"/>
      <c r="Y218" s="255">
        <f t="shared" si="119"/>
        <v>0</v>
      </c>
      <c r="Z218" s="309">
        <f t="shared" si="120"/>
        <v>0</v>
      </c>
      <c r="AA218" s="256">
        <f t="shared" si="117"/>
        <v>0</v>
      </c>
      <c r="AB218" s="309"/>
      <c r="AC218" s="309"/>
      <c r="AD218" s="320">
        <f t="shared" si="118"/>
        <v>0</v>
      </c>
      <c r="AF218" s="11"/>
      <c r="AG218" s="24"/>
      <c r="AH218" s="64">
        <f t="shared" si="122"/>
        <v>43383</v>
      </c>
      <c r="AI218" s="698"/>
      <c r="AJ218" s="699"/>
      <c r="AK218" s="699"/>
      <c r="AL218" s="699"/>
      <c r="AM218" s="699"/>
      <c r="AN218" s="699"/>
      <c r="AO218" s="699"/>
      <c r="AP218" s="699"/>
      <c r="AQ218" s="699"/>
      <c r="AR218" s="699"/>
      <c r="AS218" s="699"/>
      <c r="AT218" s="699"/>
      <c r="AU218" s="699"/>
      <c r="AV218" s="699"/>
      <c r="AW218" s="699"/>
      <c r="AX218" s="700"/>
      <c r="AY218" s="700"/>
      <c r="AZ218" s="701"/>
    </row>
    <row r="219" spans="1:52" ht="29.25" customHeight="1" thickBot="1">
      <c r="A219" s="66">
        <f t="shared" si="121"/>
        <v>44876</v>
      </c>
      <c r="B219" s="138"/>
      <c r="C219" s="138"/>
      <c r="D219" s="138"/>
      <c r="E219" s="138"/>
      <c r="F219" s="138"/>
      <c r="G219" s="138"/>
      <c r="H219" s="138"/>
      <c r="I219" s="138"/>
      <c r="J219" s="138"/>
      <c r="K219" s="138"/>
      <c r="L219" s="138"/>
      <c r="M219" s="138"/>
      <c r="N219" s="138"/>
      <c r="O219" s="138"/>
      <c r="P219" s="138"/>
      <c r="Q219" s="138"/>
      <c r="R219" s="139"/>
      <c r="S219" s="139"/>
      <c r="T219" s="149"/>
      <c r="U219" s="149"/>
      <c r="V219" s="149"/>
      <c r="W219" s="149"/>
      <c r="X219" s="149"/>
      <c r="Y219" s="255">
        <f t="shared" si="119"/>
        <v>0</v>
      </c>
      <c r="Z219" s="309">
        <f t="shared" si="120"/>
        <v>0</v>
      </c>
      <c r="AA219" s="256">
        <f t="shared" si="117"/>
        <v>0</v>
      </c>
      <c r="AB219" s="309"/>
      <c r="AC219" s="309"/>
      <c r="AD219" s="320">
        <f t="shared" si="118"/>
        <v>0</v>
      </c>
      <c r="AF219" s="11"/>
      <c r="AG219" s="24"/>
      <c r="AH219" s="64">
        <f t="shared" si="122"/>
        <v>43384</v>
      </c>
      <c r="AI219" s="698"/>
      <c r="AJ219" s="699"/>
      <c r="AK219" s="699"/>
      <c r="AL219" s="699"/>
      <c r="AM219" s="699"/>
      <c r="AN219" s="699"/>
      <c r="AO219" s="699"/>
      <c r="AP219" s="699"/>
      <c r="AQ219" s="699"/>
      <c r="AR219" s="699"/>
      <c r="AS219" s="699"/>
      <c r="AT219" s="699"/>
      <c r="AU219" s="699"/>
      <c r="AV219" s="699"/>
      <c r="AW219" s="699"/>
      <c r="AX219" s="700"/>
      <c r="AY219" s="700"/>
      <c r="AZ219" s="701"/>
    </row>
    <row r="220" spans="1:52" ht="29.25" customHeight="1" thickBot="1">
      <c r="A220" s="66">
        <f t="shared" si="121"/>
        <v>44877</v>
      </c>
      <c r="B220" s="138"/>
      <c r="C220" s="138"/>
      <c r="D220" s="138"/>
      <c r="E220" s="138"/>
      <c r="F220" s="138"/>
      <c r="G220" s="138"/>
      <c r="H220" s="138"/>
      <c r="I220" s="138"/>
      <c r="J220" s="138"/>
      <c r="K220" s="138"/>
      <c r="L220" s="138"/>
      <c r="M220" s="138"/>
      <c r="N220" s="138"/>
      <c r="O220" s="138"/>
      <c r="P220" s="138"/>
      <c r="Q220" s="138"/>
      <c r="R220" s="139"/>
      <c r="S220" s="139"/>
      <c r="T220" s="149"/>
      <c r="U220" s="149"/>
      <c r="V220" s="149"/>
      <c r="W220" s="149"/>
      <c r="X220" s="149"/>
      <c r="Y220" s="255">
        <f t="shared" si="119"/>
        <v>0</v>
      </c>
      <c r="Z220" s="309">
        <f t="shared" si="120"/>
        <v>0</v>
      </c>
      <c r="AA220" s="256">
        <f t="shared" si="117"/>
        <v>0</v>
      </c>
      <c r="AB220" s="309"/>
      <c r="AC220" s="309"/>
      <c r="AD220" s="320">
        <f t="shared" si="118"/>
        <v>0</v>
      </c>
      <c r="AF220" s="11"/>
      <c r="AG220" s="24"/>
      <c r="AH220" s="64">
        <f t="shared" si="122"/>
        <v>43385</v>
      </c>
      <c r="AI220" s="698"/>
      <c r="AJ220" s="699"/>
      <c r="AK220" s="699"/>
      <c r="AL220" s="699"/>
      <c r="AM220" s="699"/>
      <c r="AN220" s="699"/>
      <c r="AO220" s="699"/>
      <c r="AP220" s="699"/>
      <c r="AQ220" s="699"/>
      <c r="AR220" s="699"/>
      <c r="AS220" s="699"/>
      <c r="AT220" s="699"/>
      <c r="AU220" s="699"/>
      <c r="AV220" s="699"/>
      <c r="AW220" s="699"/>
      <c r="AX220" s="700"/>
      <c r="AY220" s="700"/>
      <c r="AZ220" s="701"/>
    </row>
    <row r="221" spans="1:52" ht="29.25" customHeight="1" thickBot="1">
      <c r="A221" s="66">
        <f t="shared" si="121"/>
        <v>44878</v>
      </c>
      <c r="B221" s="138"/>
      <c r="C221" s="138"/>
      <c r="D221" s="138"/>
      <c r="E221" s="138"/>
      <c r="F221" s="138"/>
      <c r="G221" s="138"/>
      <c r="H221" s="138"/>
      <c r="I221" s="138"/>
      <c r="J221" s="138"/>
      <c r="K221" s="138"/>
      <c r="L221" s="138"/>
      <c r="M221" s="138"/>
      <c r="N221" s="138"/>
      <c r="O221" s="138"/>
      <c r="P221" s="138"/>
      <c r="Q221" s="138"/>
      <c r="R221" s="139"/>
      <c r="S221" s="139"/>
      <c r="T221" s="149"/>
      <c r="U221" s="149"/>
      <c r="V221" s="149"/>
      <c r="W221" s="149"/>
      <c r="X221" s="149"/>
      <c r="Y221" s="255">
        <f t="shared" si="119"/>
        <v>0</v>
      </c>
      <c r="Z221" s="309">
        <f t="shared" si="120"/>
        <v>0</v>
      </c>
      <c r="AA221" s="256">
        <f t="shared" si="117"/>
        <v>0</v>
      </c>
      <c r="AB221" s="309"/>
      <c r="AC221" s="309"/>
      <c r="AD221" s="320">
        <f t="shared" si="118"/>
        <v>0</v>
      </c>
      <c r="AF221" s="11"/>
      <c r="AG221" s="24"/>
      <c r="AH221" s="64">
        <f t="shared" si="122"/>
        <v>43386</v>
      </c>
      <c r="AI221" s="698"/>
      <c r="AJ221" s="699"/>
      <c r="AK221" s="699"/>
      <c r="AL221" s="699"/>
      <c r="AM221" s="699"/>
      <c r="AN221" s="699"/>
      <c r="AO221" s="699"/>
      <c r="AP221" s="699"/>
      <c r="AQ221" s="699"/>
      <c r="AR221" s="699"/>
      <c r="AS221" s="699"/>
      <c r="AT221" s="699"/>
      <c r="AU221" s="699"/>
      <c r="AV221" s="699"/>
      <c r="AW221" s="699"/>
      <c r="AX221" s="700"/>
      <c r="AY221" s="700"/>
      <c r="AZ221" s="701"/>
    </row>
    <row r="222" spans="1:52" ht="29.25" customHeight="1" thickBot="1">
      <c r="A222" s="66">
        <f t="shared" si="121"/>
        <v>44879</v>
      </c>
      <c r="B222" s="138"/>
      <c r="C222" s="138"/>
      <c r="D222" s="138"/>
      <c r="E222" s="138"/>
      <c r="F222" s="138"/>
      <c r="G222" s="138"/>
      <c r="H222" s="138"/>
      <c r="I222" s="138"/>
      <c r="J222" s="138"/>
      <c r="K222" s="138"/>
      <c r="L222" s="138"/>
      <c r="M222" s="138"/>
      <c r="N222" s="138"/>
      <c r="O222" s="138"/>
      <c r="P222" s="138"/>
      <c r="Q222" s="138"/>
      <c r="R222" s="139"/>
      <c r="S222" s="139"/>
      <c r="T222" s="149"/>
      <c r="U222" s="149"/>
      <c r="V222" s="149"/>
      <c r="W222" s="149"/>
      <c r="X222" s="149"/>
      <c r="Y222" s="255">
        <f t="shared" si="119"/>
        <v>0</v>
      </c>
      <c r="Z222" s="309">
        <f t="shared" si="120"/>
        <v>0</v>
      </c>
      <c r="AA222" s="256">
        <f t="shared" si="117"/>
        <v>0</v>
      </c>
      <c r="AB222" s="309"/>
      <c r="AC222" s="309"/>
      <c r="AD222" s="320">
        <f t="shared" si="118"/>
        <v>0</v>
      </c>
      <c r="AF222" s="11"/>
      <c r="AG222" s="24"/>
      <c r="AH222" s="64">
        <f t="shared" si="122"/>
        <v>43387</v>
      </c>
      <c r="AI222" s="698"/>
      <c r="AJ222" s="699"/>
      <c r="AK222" s="699"/>
      <c r="AL222" s="699"/>
      <c r="AM222" s="699"/>
      <c r="AN222" s="699"/>
      <c r="AO222" s="699"/>
      <c r="AP222" s="699"/>
      <c r="AQ222" s="699"/>
      <c r="AR222" s="699"/>
      <c r="AS222" s="699"/>
      <c r="AT222" s="699"/>
      <c r="AU222" s="699"/>
      <c r="AV222" s="699"/>
      <c r="AW222" s="699"/>
      <c r="AX222" s="700"/>
      <c r="AY222" s="700"/>
      <c r="AZ222" s="701"/>
    </row>
    <row r="223" spans="1:52" ht="29.25" customHeight="1" thickBot="1">
      <c r="A223" s="66">
        <f t="shared" si="121"/>
        <v>44880</v>
      </c>
      <c r="B223" s="138"/>
      <c r="C223" s="138"/>
      <c r="D223" s="138"/>
      <c r="E223" s="138"/>
      <c r="F223" s="138"/>
      <c r="G223" s="138"/>
      <c r="H223" s="138"/>
      <c r="I223" s="138"/>
      <c r="J223" s="138"/>
      <c r="K223" s="138"/>
      <c r="L223" s="138"/>
      <c r="M223" s="138"/>
      <c r="N223" s="138"/>
      <c r="O223" s="138"/>
      <c r="P223" s="138"/>
      <c r="Q223" s="138"/>
      <c r="R223" s="139"/>
      <c r="S223" s="139"/>
      <c r="T223" s="149"/>
      <c r="U223" s="149"/>
      <c r="V223" s="149"/>
      <c r="W223" s="149"/>
      <c r="X223" s="149"/>
      <c r="Y223" s="255">
        <f t="shared" si="119"/>
        <v>0</v>
      </c>
      <c r="Z223" s="309">
        <f t="shared" si="120"/>
        <v>0</v>
      </c>
      <c r="AA223" s="256">
        <f t="shared" si="117"/>
        <v>0</v>
      </c>
      <c r="AB223" s="309"/>
      <c r="AC223" s="309"/>
      <c r="AD223" s="320">
        <f t="shared" si="118"/>
        <v>0</v>
      </c>
      <c r="AF223" s="11"/>
      <c r="AG223" s="24"/>
      <c r="AH223" s="64">
        <f t="shared" si="122"/>
        <v>43388</v>
      </c>
      <c r="AI223" s="698"/>
      <c r="AJ223" s="699"/>
      <c r="AK223" s="699"/>
      <c r="AL223" s="699"/>
      <c r="AM223" s="699"/>
      <c r="AN223" s="699"/>
      <c r="AO223" s="699"/>
      <c r="AP223" s="699"/>
      <c r="AQ223" s="699"/>
      <c r="AR223" s="699"/>
      <c r="AS223" s="699"/>
      <c r="AT223" s="699"/>
      <c r="AU223" s="699"/>
      <c r="AV223" s="699"/>
      <c r="AW223" s="699"/>
      <c r="AX223" s="700"/>
      <c r="AY223" s="700"/>
      <c r="AZ223" s="701"/>
    </row>
    <row r="224" spans="1:52" ht="29.25" customHeight="1" thickBot="1">
      <c r="A224" s="66">
        <f t="shared" si="121"/>
        <v>44881</v>
      </c>
      <c r="B224" s="138"/>
      <c r="C224" s="138"/>
      <c r="D224" s="138"/>
      <c r="E224" s="138"/>
      <c r="F224" s="138"/>
      <c r="G224" s="138"/>
      <c r="H224" s="138"/>
      <c r="I224" s="138"/>
      <c r="J224" s="138"/>
      <c r="K224" s="138"/>
      <c r="L224" s="138"/>
      <c r="M224" s="138"/>
      <c r="N224" s="138"/>
      <c r="O224" s="138"/>
      <c r="P224" s="138"/>
      <c r="Q224" s="138"/>
      <c r="R224" s="139"/>
      <c r="S224" s="139"/>
      <c r="T224" s="149"/>
      <c r="U224" s="149"/>
      <c r="V224" s="149"/>
      <c r="W224" s="149"/>
      <c r="X224" s="149"/>
      <c r="Y224" s="255">
        <f t="shared" si="119"/>
        <v>0</v>
      </c>
      <c r="Z224" s="309">
        <f t="shared" si="120"/>
        <v>0</v>
      </c>
      <c r="AA224" s="256">
        <f t="shared" si="117"/>
        <v>0</v>
      </c>
      <c r="AB224" s="309"/>
      <c r="AC224" s="309"/>
      <c r="AD224" s="320">
        <f t="shared" si="118"/>
        <v>0</v>
      </c>
      <c r="AF224" s="11"/>
      <c r="AG224" s="24"/>
      <c r="AH224" s="64">
        <f t="shared" si="122"/>
        <v>43389</v>
      </c>
      <c r="AI224" s="698"/>
      <c r="AJ224" s="699"/>
      <c r="AK224" s="699"/>
      <c r="AL224" s="699"/>
      <c r="AM224" s="699"/>
      <c r="AN224" s="699"/>
      <c r="AO224" s="699"/>
      <c r="AP224" s="699"/>
      <c r="AQ224" s="699"/>
      <c r="AR224" s="699"/>
      <c r="AS224" s="699"/>
      <c r="AT224" s="699"/>
      <c r="AU224" s="699"/>
      <c r="AV224" s="699"/>
      <c r="AW224" s="699"/>
      <c r="AX224" s="700"/>
      <c r="AY224" s="700"/>
      <c r="AZ224" s="701"/>
    </row>
    <row r="225" spans="1:52" ht="29.25" customHeight="1" thickBot="1">
      <c r="A225" s="66">
        <f t="shared" si="121"/>
        <v>44882</v>
      </c>
      <c r="B225" s="138"/>
      <c r="C225" s="138"/>
      <c r="D225" s="138"/>
      <c r="E225" s="138"/>
      <c r="F225" s="138"/>
      <c r="G225" s="138"/>
      <c r="H225" s="138"/>
      <c r="I225" s="138"/>
      <c r="J225" s="138"/>
      <c r="K225" s="138"/>
      <c r="L225" s="138"/>
      <c r="M225" s="138"/>
      <c r="N225" s="138"/>
      <c r="O225" s="138"/>
      <c r="P225" s="138"/>
      <c r="Q225" s="138"/>
      <c r="R225" s="139"/>
      <c r="S225" s="139"/>
      <c r="T225" s="149"/>
      <c r="U225" s="149"/>
      <c r="V225" s="149"/>
      <c r="W225" s="149"/>
      <c r="X225" s="149"/>
      <c r="Y225" s="255">
        <f t="shared" si="119"/>
        <v>0</v>
      </c>
      <c r="Z225" s="309">
        <f t="shared" si="120"/>
        <v>0</v>
      </c>
      <c r="AA225" s="256">
        <f t="shared" si="117"/>
        <v>0</v>
      </c>
      <c r="AB225" s="309"/>
      <c r="AC225" s="309"/>
      <c r="AD225" s="320">
        <f t="shared" si="118"/>
        <v>0</v>
      </c>
      <c r="AF225" s="11"/>
      <c r="AG225" s="24"/>
      <c r="AH225" s="64">
        <f t="shared" si="122"/>
        <v>43390</v>
      </c>
      <c r="AI225" s="698"/>
      <c r="AJ225" s="699"/>
      <c r="AK225" s="699"/>
      <c r="AL225" s="699"/>
      <c r="AM225" s="699"/>
      <c r="AN225" s="699"/>
      <c r="AO225" s="699"/>
      <c r="AP225" s="699"/>
      <c r="AQ225" s="699"/>
      <c r="AR225" s="699"/>
      <c r="AS225" s="699"/>
      <c r="AT225" s="699"/>
      <c r="AU225" s="699"/>
      <c r="AV225" s="699"/>
      <c r="AW225" s="699"/>
      <c r="AX225" s="700"/>
      <c r="AY225" s="700"/>
      <c r="AZ225" s="701"/>
    </row>
    <row r="226" spans="1:52" ht="29.25" customHeight="1" thickBot="1">
      <c r="A226" s="66">
        <f t="shared" si="121"/>
        <v>44883</v>
      </c>
      <c r="B226" s="138"/>
      <c r="C226" s="138"/>
      <c r="D226" s="138"/>
      <c r="E226" s="138"/>
      <c r="F226" s="138"/>
      <c r="G226" s="138"/>
      <c r="H226" s="138"/>
      <c r="I226" s="138"/>
      <c r="J226" s="138"/>
      <c r="K226" s="138"/>
      <c r="L226" s="138"/>
      <c r="M226" s="138"/>
      <c r="N226" s="138"/>
      <c r="O226" s="138"/>
      <c r="P226" s="138"/>
      <c r="Q226" s="138"/>
      <c r="R226" s="139"/>
      <c r="S226" s="139"/>
      <c r="T226" s="149"/>
      <c r="U226" s="149"/>
      <c r="V226" s="149"/>
      <c r="W226" s="149"/>
      <c r="X226" s="149"/>
      <c r="Y226" s="255">
        <f t="shared" si="119"/>
        <v>0</v>
      </c>
      <c r="Z226" s="309">
        <f t="shared" si="120"/>
        <v>0</v>
      </c>
      <c r="AA226" s="256">
        <f t="shared" si="117"/>
        <v>0</v>
      </c>
      <c r="AB226" s="309"/>
      <c r="AC226" s="309"/>
      <c r="AD226" s="320">
        <f t="shared" si="118"/>
        <v>0</v>
      </c>
      <c r="AF226" s="11"/>
      <c r="AG226" s="24"/>
      <c r="AH226" s="64">
        <f t="shared" si="122"/>
        <v>43391</v>
      </c>
      <c r="AI226" s="698"/>
      <c r="AJ226" s="699"/>
      <c r="AK226" s="699"/>
      <c r="AL226" s="699"/>
      <c r="AM226" s="699"/>
      <c r="AN226" s="699"/>
      <c r="AO226" s="699"/>
      <c r="AP226" s="699"/>
      <c r="AQ226" s="699"/>
      <c r="AR226" s="699"/>
      <c r="AS226" s="699"/>
      <c r="AT226" s="699"/>
      <c r="AU226" s="699"/>
      <c r="AV226" s="699"/>
      <c r="AW226" s="699"/>
      <c r="AX226" s="700"/>
      <c r="AY226" s="700"/>
      <c r="AZ226" s="701"/>
    </row>
    <row r="227" spans="1:52" ht="29.25" customHeight="1" thickBot="1">
      <c r="A227" s="66">
        <f t="shared" si="121"/>
        <v>44884</v>
      </c>
      <c r="B227" s="138"/>
      <c r="C227" s="138"/>
      <c r="D227" s="138"/>
      <c r="E227" s="138"/>
      <c r="F227" s="138"/>
      <c r="G227" s="138"/>
      <c r="H227" s="138"/>
      <c r="I227" s="138"/>
      <c r="J227" s="138"/>
      <c r="K227" s="138"/>
      <c r="L227" s="138"/>
      <c r="M227" s="138"/>
      <c r="N227" s="138"/>
      <c r="O227" s="138"/>
      <c r="P227" s="138"/>
      <c r="Q227" s="138"/>
      <c r="R227" s="139"/>
      <c r="S227" s="139"/>
      <c r="T227" s="149"/>
      <c r="U227" s="149"/>
      <c r="V227" s="149"/>
      <c r="W227" s="149"/>
      <c r="X227" s="149"/>
      <c r="Y227" s="255">
        <f t="shared" si="119"/>
        <v>0</v>
      </c>
      <c r="Z227" s="309">
        <f t="shared" si="120"/>
        <v>0</v>
      </c>
      <c r="AA227" s="256">
        <f t="shared" si="117"/>
        <v>0</v>
      </c>
      <c r="AB227" s="309"/>
      <c r="AC227" s="309"/>
      <c r="AD227" s="320">
        <f t="shared" si="118"/>
        <v>0</v>
      </c>
      <c r="AF227" s="11"/>
      <c r="AG227" s="24"/>
      <c r="AH227" s="64">
        <f t="shared" si="122"/>
        <v>43392</v>
      </c>
      <c r="AI227" s="698"/>
      <c r="AJ227" s="699"/>
      <c r="AK227" s="699"/>
      <c r="AL227" s="699"/>
      <c r="AM227" s="699"/>
      <c r="AN227" s="699"/>
      <c r="AO227" s="699"/>
      <c r="AP227" s="699"/>
      <c r="AQ227" s="699"/>
      <c r="AR227" s="699"/>
      <c r="AS227" s="699"/>
      <c r="AT227" s="699"/>
      <c r="AU227" s="699"/>
      <c r="AV227" s="699"/>
      <c r="AW227" s="699"/>
      <c r="AX227" s="700"/>
      <c r="AY227" s="700"/>
      <c r="AZ227" s="701"/>
    </row>
    <row r="228" spans="1:52" ht="29.25" customHeight="1" thickBot="1">
      <c r="A228" s="66">
        <f t="shared" si="121"/>
        <v>44885</v>
      </c>
      <c r="B228" s="138"/>
      <c r="C228" s="138"/>
      <c r="D228" s="138"/>
      <c r="E228" s="138"/>
      <c r="F228" s="138"/>
      <c r="G228" s="138"/>
      <c r="H228" s="138"/>
      <c r="I228" s="138"/>
      <c r="J228" s="138"/>
      <c r="K228" s="138"/>
      <c r="L228" s="138"/>
      <c r="M228" s="138"/>
      <c r="N228" s="138"/>
      <c r="O228" s="138"/>
      <c r="P228" s="138"/>
      <c r="Q228" s="138"/>
      <c r="R228" s="139"/>
      <c r="S228" s="139"/>
      <c r="T228" s="149"/>
      <c r="U228" s="149"/>
      <c r="V228" s="149"/>
      <c r="W228" s="149"/>
      <c r="X228" s="149"/>
      <c r="Y228" s="255">
        <f t="shared" si="119"/>
        <v>0</v>
      </c>
      <c r="Z228" s="309">
        <f t="shared" si="120"/>
        <v>0</v>
      </c>
      <c r="AA228" s="256">
        <f t="shared" si="117"/>
        <v>0</v>
      </c>
      <c r="AB228" s="309"/>
      <c r="AC228" s="309"/>
      <c r="AD228" s="320">
        <f t="shared" si="118"/>
        <v>0</v>
      </c>
      <c r="AF228" s="11"/>
      <c r="AG228" s="24"/>
      <c r="AH228" s="64">
        <f t="shared" si="122"/>
        <v>43393</v>
      </c>
      <c r="AI228" s="698"/>
      <c r="AJ228" s="699"/>
      <c r="AK228" s="699"/>
      <c r="AL228" s="699"/>
      <c r="AM228" s="699"/>
      <c r="AN228" s="699"/>
      <c r="AO228" s="699"/>
      <c r="AP228" s="699"/>
      <c r="AQ228" s="699"/>
      <c r="AR228" s="699"/>
      <c r="AS228" s="699"/>
      <c r="AT228" s="699"/>
      <c r="AU228" s="699"/>
      <c r="AV228" s="699"/>
      <c r="AW228" s="699"/>
      <c r="AX228" s="700"/>
      <c r="AY228" s="700"/>
      <c r="AZ228" s="701"/>
    </row>
    <row r="229" spans="1:52" ht="29.25" customHeight="1" thickBot="1">
      <c r="A229" s="66">
        <f t="shared" si="121"/>
        <v>44886</v>
      </c>
      <c r="B229" s="138"/>
      <c r="C229" s="138"/>
      <c r="D229" s="138"/>
      <c r="E229" s="138"/>
      <c r="F229" s="138"/>
      <c r="G229" s="138"/>
      <c r="H229" s="138"/>
      <c r="I229" s="138"/>
      <c r="J229" s="138"/>
      <c r="K229" s="138"/>
      <c r="L229" s="138"/>
      <c r="M229" s="138"/>
      <c r="N229" s="138"/>
      <c r="O229" s="138"/>
      <c r="P229" s="138"/>
      <c r="Q229" s="138"/>
      <c r="R229" s="139"/>
      <c r="S229" s="139"/>
      <c r="T229" s="149"/>
      <c r="U229" s="149"/>
      <c r="V229" s="149"/>
      <c r="W229" s="149"/>
      <c r="X229" s="149"/>
      <c r="Y229" s="255">
        <f t="shared" si="119"/>
        <v>0</v>
      </c>
      <c r="Z229" s="309">
        <f t="shared" si="120"/>
        <v>0</v>
      </c>
      <c r="AA229" s="256">
        <f t="shared" si="117"/>
        <v>0</v>
      </c>
      <c r="AB229" s="309"/>
      <c r="AC229" s="309"/>
      <c r="AD229" s="320">
        <f t="shared" si="118"/>
        <v>0</v>
      </c>
      <c r="AF229" s="11"/>
      <c r="AG229" s="24"/>
      <c r="AH229" s="64">
        <f t="shared" si="122"/>
        <v>43394</v>
      </c>
      <c r="AI229" s="698"/>
      <c r="AJ229" s="699"/>
      <c r="AK229" s="699"/>
      <c r="AL229" s="699"/>
      <c r="AM229" s="699"/>
      <c r="AN229" s="699"/>
      <c r="AO229" s="699"/>
      <c r="AP229" s="699"/>
      <c r="AQ229" s="699"/>
      <c r="AR229" s="699"/>
      <c r="AS229" s="699"/>
      <c r="AT229" s="699"/>
      <c r="AU229" s="699"/>
      <c r="AV229" s="699"/>
      <c r="AW229" s="699"/>
      <c r="AX229" s="700"/>
      <c r="AY229" s="700"/>
      <c r="AZ229" s="701"/>
    </row>
    <row r="230" spans="1:52" ht="29.25" customHeight="1" thickBot="1">
      <c r="A230" s="66">
        <f t="shared" si="121"/>
        <v>44887</v>
      </c>
      <c r="B230" s="138"/>
      <c r="C230" s="138"/>
      <c r="D230" s="138"/>
      <c r="E230" s="138"/>
      <c r="F230" s="138"/>
      <c r="G230" s="138"/>
      <c r="H230" s="138"/>
      <c r="I230" s="138"/>
      <c r="J230" s="138"/>
      <c r="K230" s="138"/>
      <c r="L230" s="138"/>
      <c r="M230" s="138"/>
      <c r="N230" s="138"/>
      <c r="O230" s="138"/>
      <c r="P230" s="138"/>
      <c r="Q230" s="138"/>
      <c r="R230" s="139"/>
      <c r="S230" s="139"/>
      <c r="T230" s="149"/>
      <c r="U230" s="149"/>
      <c r="V230" s="149"/>
      <c r="W230" s="149"/>
      <c r="X230" s="149"/>
      <c r="Y230" s="255">
        <f t="shared" si="119"/>
        <v>0</v>
      </c>
      <c r="Z230" s="309">
        <f t="shared" si="120"/>
        <v>0</v>
      </c>
      <c r="AA230" s="256">
        <f t="shared" si="117"/>
        <v>0</v>
      </c>
      <c r="AB230" s="309"/>
      <c r="AC230" s="309"/>
      <c r="AD230" s="320">
        <f t="shared" si="118"/>
        <v>0</v>
      </c>
      <c r="AF230" s="11"/>
      <c r="AG230" s="24"/>
      <c r="AH230" s="64">
        <f t="shared" si="122"/>
        <v>43395</v>
      </c>
      <c r="AI230" s="698"/>
      <c r="AJ230" s="699"/>
      <c r="AK230" s="699"/>
      <c r="AL230" s="699"/>
      <c r="AM230" s="699"/>
      <c r="AN230" s="699"/>
      <c r="AO230" s="699"/>
      <c r="AP230" s="699"/>
      <c r="AQ230" s="699"/>
      <c r="AR230" s="699"/>
      <c r="AS230" s="699"/>
      <c r="AT230" s="699"/>
      <c r="AU230" s="699"/>
      <c r="AV230" s="699"/>
      <c r="AW230" s="699"/>
      <c r="AX230" s="700"/>
      <c r="AY230" s="700"/>
      <c r="AZ230" s="701"/>
    </row>
    <row r="231" spans="1:52" ht="29.25" customHeight="1" thickBot="1">
      <c r="A231" s="66">
        <f t="shared" si="121"/>
        <v>44888</v>
      </c>
      <c r="B231" s="138"/>
      <c r="C231" s="138"/>
      <c r="D231" s="138"/>
      <c r="E231" s="138"/>
      <c r="F231" s="138"/>
      <c r="G231" s="138"/>
      <c r="H231" s="138"/>
      <c r="I231" s="138"/>
      <c r="J231" s="138"/>
      <c r="K231" s="138"/>
      <c r="L231" s="138"/>
      <c r="M231" s="138"/>
      <c r="N231" s="138"/>
      <c r="O231" s="138"/>
      <c r="P231" s="138"/>
      <c r="Q231" s="138"/>
      <c r="R231" s="139"/>
      <c r="S231" s="139"/>
      <c r="T231" s="149"/>
      <c r="U231" s="149"/>
      <c r="V231" s="149"/>
      <c r="W231" s="149"/>
      <c r="X231" s="149"/>
      <c r="Y231" s="255">
        <f t="shared" si="119"/>
        <v>0</v>
      </c>
      <c r="Z231" s="309">
        <f t="shared" si="120"/>
        <v>0</v>
      </c>
      <c r="AA231" s="256">
        <f t="shared" si="117"/>
        <v>0</v>
      </c>
      <c r="AB231" s="309"/>
      <c r="AC231" s="309"/>
      <c r="AD231" s="320">
        <f t="shared" si="118"/>
        <v>0</v>
      </c>
      <c r="AF231" s="11"/>
      <c r="AG231" s="24"/>
      <c r="AH231" s="64">
        <f t="shared" si="122"/>
        <v>43396</v>
      </c>
      <c r="AI231" s="698"/>
      <c r="AJ231" s="699"/>
      <c r="AK231" s="699"/>
      <c r="AL231" s="699"/>
      <c r="AM231" s="699"/>
      <c r="AN231" s="699"/>
      <c r="AO231" s="699"/>
      <c r="AP231" s="699"/>
      <c r="AQ231" s="699"/>
      <c r="AR231" s="699"/>
      <c r="AS231" s="699"/>
      <c r="AT231" s="699"/>
      <c r="AU231" s="699"/>
      <c r="AV231" s="699"/>
      <c r="AW231" s="699"/>
      <c r="AX231" s="700"/>
      <c r="AY231" s="700"/>
      <c r="AZ231" s="701"/>
    </row>
    <row r="232" spans="1:52" ht="29.25" customHeight="1" thickBot="1">
      <c r="A232" s="66">
        <f t="shared" si="121"/>
        <v>44889</v>
      </c>
      <c r="B232" s="138"/>
      <c r="C232" s="138"/>
      <c r="D232" s="138"/>
      <c r="E232" s="138"/>
      <c r="F232" s="138"/>
      <c r="G232" s="138"/>
      <c r="H232" s="138"/>
      <c r="I232" s="138"/>
      <c r="J232" s="138"/>
      <c r="K232" s="138"/>
      <c r="L232" s="138"/>
      <c r="M232" s="138"/>
      <c r="N232" s="138"/>
      <c r="O232" s="138"/>
      <c r="P232" s="138"/>
      <c r="Q232" s="138"/>
      <c r="R232" s="139"/>
      <c r="S232" s="139"/>
      <c r="T232" s="149"/>
      <c r="U232" s="149"/>
      <c r="V232" s="149"/>
      <c r="W232" s="149"/>
      <c r="X232" s="149"/>
      <c r="Y232" s="255">
        <f t="shared" si="119"/>
        <v>0</v>
      </c>
      <c r="Z232" s="309">
        <f t="shared" si="120"/>
        <v>0</v>
      </c>
      <c r="AA232" s="256">
        <f t="shared" si="117"/>
        <v>0</v>
      </c>
      <c r="AB232" s="309"/>
      <c r="AC232" s="309"/>
      <c r="AD232" s="320">
        <f t="shared" si="118"/>
        <v>0</v>
      </c>
      <c r="AF232" s="11"/>
      <c r="AG232" s="24"/>
      <c r="AH232" s="64">
        <f t="shared" si="122"/>
        <v>43397</v>
      </c>
      <c r="AI232" s="698"/>
      <c r="AJ232" s="699"/>
      <c r="AK232" s="699"/>
      <c r="AL232" s="699"/>
      <c r="AM232" s="699"/>
      <c r="AN232" s="699"/>
      <c r="AO232" s="699"/>
      <c r="AP232" s="699"/>
      <c r="AQ232" s="699"/>
      <c r="AR232" s="699"/>
      <c r="AS232" s="699"/>
      <c r="AT232" s="699"/>
      <c r="AU232" s="699"/>
      <c r="AV232" s="699"/>
      <c r="AW232" s="699"/>
      <c r="AX232" s="700"/>
      <c r="AY232" s="700"/>
      <c r="AZ232" s="701"/>
    </row>
    <row r="233" spans="1:52" ht="29.25" customHeight="1" thickBot="1">
      <c r="A233" s="66">
        <f t="shared" si="121"/>
        <v>44890</v>
      </c>
      <c r="B233" s="138"/>
      <c r="C233" s="138"/>
      <c r="D233" s="138"/>
      <c r="E233" s="138"/>
      <c r="F233" s="138"/>
      <c r="G233" s="138"/>
      <c r="H233" s="138"/>
      <c r="I233" s="138"/>
      <c r="J233" s="138"/>
      <c r="K233" s="138"/>
      <c r="L233" s="138"/>
      <c r="M233" s="138"/>
      <c r="N233" s="138"/>
      <c r="O233" s="138"/>
      <c r="P233" s="138"/>
      <c r="Q233" s="138"/>
      <c r="R233" s="139"/>
      <c r="S233" s="139"/>
      <c r="T233" s="149"/>
      <c r="U233" s="149"/>
      <c r="V233" s="149"/>
      <c r="W233" s="149"/>
      <c r="X233" s="149"/>
      <c r="Y233" s="255">
        <f t="shared" si="119"/>
        <v>0</v>
      </c>
      <c r="Z233" s="309">
        <f t="shared" si="120"/>
        <v>0</v>
      </c>
      <c r="AA233" s="256">
        <f t="shared" si="117"/>
        <v>0</v>
      </c>
      <c r="AB233" s="309"/>
      <c r="AC233" s="309"/>
      <c r="AD233" s="320">
        <f t="shared" si="118"/>
        <v>0</v>
      </c>
      <c r="AF233" s="11"/>
      <c r="AG233" s="24"/>
      <c r="AH233" s="64">
        <f t="shared" si="122"/>
        <v>43398</v>
      </c>
      <c r="AI233" s="698"/>
      <c r="AJ233" s="699"/>
      <c r="AK233" s="699"/>
      <c r="AL233" s="699"/>
      <c r="AM233" s="699"/>
      <c r="AN233" s="699"/>
      <c r="AO233" s="699"/>
      <c r="AP233" s="699"/>
      <c r="AQ233" s="699"/>
      <c r="AR233" s="699"/>
      <c r="AS233" s="699"/>
      <c r="AT233" s="699"/>
      <c r="AU233" s="699"/>
      <c r="AV233" s="699"/>
      <c r="AW233" s="699"/>
      <c r="AX233" s="700"/>
      <c r="AY233" s="700"/>
      <c r="AZ233" s="701"/>
    </row>
    <row r="234" spans="1:52" ht="29.25" customHeight="1" thickBot="1">
      <c r="A234" s="66">
        <f t="shared" si="121"/>
        <v>44891</v>
      </c>
      <c r="B234" s="138"/>
      <c r="C234" s="138"/>
      <c r="D234" s="138"/>
      <c r="E234" s="138"/>
      <c r="F234" s="138"/>
      <c r="G234" s="138"/>
      <c r="H234" s="138"/>
      <c r="I234" s="138"/>
      <c r="J234" s="138"/>
      <c r="K234" s="138"/>
      <c r="L234" s="138"/>
      <c r="M234" s="138"/>
      <c r="N234" s="138"/>
      <c r="O234" s="138"/>
      <c r="P234" s="138"/>
      <c r="Q234" s="138"/>
      <c r="R234" s="139"/>
      <c r="S234" s="139"/>
      <c r="T234" s="149"/>
      <c r="U234" s="149"/>
      <c r="V234" s="149"/>
      <c r="W234" s="149"/>
      <c r="X234" s="149"/>
      <c r="Y234" s="255">
        <f t="shared" si="119"/>
        <v>0</v>
      </c>
      <c r="Z234" s="309">
        <f t="shared" si="120"/>
        <v>0</v>
      </c>
      <c r="AA234" s="256">
        <f t="shared" si="117"/>
        <v>0</v>
      </c>
      <c r="AB234" s="309"/>
      <c r="AC234" s="309"/>
      <c r="AD234" s="320">
        <f t="shared" si="118"/>
        <v>0</v>
      </c>
      <c r="AF234" s="11"/>
      <c r="AG234" s="24"/>
      <c r="AH234" s="64">
        <f t="shared" si="122"/>
        <v>43399</v>
      </c>
      <c r="AI234" s="698"/>
      <c r="AJ234" s="699"/>
      <c r="AK234" s="699"/>
      <c r="AL234" s="699"/>
      <c r="AM234" s="699"/>
      <c r="AN234" s="699"/>
      <c r="AO234" s="699"/>
      <c r="AP234" s="699"/>
      <c r="AQ234" s="699"/>
      <c r="AR234" s="699"/>
      <c r="AS234" s="699"/>
      <c r="AT234" s="699"/>
      <c r="AU234" s="699"/>
      <c r="AV234" s="699"/>
      <c r="AW234" s="699"/>
      <c r="AX234" s="700"/>
      <c r="AY234" s="700"/>
      <c r="AZ234" s="701"/>
    </row>
    <row r="235" spans="1:52" ht="29.25" customHeight="1" thickBot="1">
      <c r="A235" s="66">
        <f t="shared" si="121"/>
        <v>44892</v>
      </c>
      <c r="B235" s="138"/>
      <c r="C235" s="138"/>
      <c r="D235" s="138"/>
      <c r="E235" s="138"/>
      <c r="F235" s="138"/>
      <c r="G235" s="138"/>
      <c r="H235" s="138"/>
      <c r="I235" s="138"/>
      <c r="J235" s="138"/>
      <c r="K235" s="138"/>
      <c r="L235" s="138"/>
      <c r="M235" s="138"/>
      <c r="N235" s="138"/>
      <c r="O235" s="138"/>
      <c r="P235" s="138"/>
      <c r="Q235" s="138"/>
      <c r="R235" s="139"/>
      <c r="S235" s="139"/>
      <c r="T235" s="149"/>
      <c r="U235" s="149"/>
      <c r="V235" s="149"/>
      <c r="W235" s="149"/>
      <c r="X235" s="149"/>
      <c r="Y235" s="255">
        <f t="shared" si="119"/>
        <v>0</v>
      </c>
      <c r="Z235" s="309">
        <f t="shared" si="120"/>
        <v>0</v>
      </c>
      <c r="AA235" s="256">
        <f t="shared" si="117"/>
        <v>0</v>
      </c>
      <c r="AB235" s="309"/>
      <c r="AC235" s="309"/>
      <c r="AD235" s="320">
        <f t="shared" si="118"/>
        <v>0</v>
      </c>
      <c r="AF235" s="11"/>
      <c r="AG235" s="24"/>
      <c r="AH235" s="64">
        <f t="shared" si="122"/>
        <v>43400</v>
      </c>
      <c r="AI235" s="698"/>
      <c r="AJ235" s="699"/>
      <c r="AK235" s="699"/>
      <c r="AL235" s="699"/>
      <c r="AM235" s="699"/>
      <c r="AN235" s="699"/>
      <c r="AO235" s="699"/>
      <c r="AP235" s="699"/>
      <c r="AQ235" s="699"/>
      <c r="AR235" s="699"/>
      <c r="AS235" s="699"/>
      <c r="AT235" s="699"/>
      <c r="AU235" s="699"/>
      <c r="AV235" s="699"/>
      <c r="AW235" s="699"/>
      <c r="AX235" s="700"/>
      <c r="AY235" s="700"/>
      <c r="AZ235" s="701"/>
    </row>
    <row r="236" spans="1:52" ht="29.25" customHeight="1" thickBot="1">
      <c r="A236" s="66">
        <f t="shared" si="121"/>
        <v>44893</v>
      </c>
      <c r="B236" s="138"/>
      <c r="C236" s="138"/>
      <c r="D236" s="138"/>
      <c r="E236" s="138"/>
      <c r="F236" s="138"/>
      <c r="G236" s="138"/>
      <c r="H236" s="138"/>
      <c r="I236" s="138"/>
      <c r="J236" s="138"/>
      <c r="K236" s="138"/>
      <c r="L236" s="138"/>
      <c r="M236" s="138"/>
      <c r="N236" s="138"/>
      <c r="O236" s="138"/>
      <c r="P236" s="138"/>
      <c r="Q236" s="138"/>
      <c r="R236" s="139"/>
      <c r="S236" s="139"/>
      <c r="T236" s="149"/>
      <c r="U236" s="149"/>
      <c r="V236" s="149"/>
      <c r="W236" s="149"/>
      <c r="X236" s="149"/>
      <c r="Y236" s="255">
        <f t="shared" si="119"/>
        <v>0</v>
      </c>
      <c r="Z236" s="309">
        <f t="shared" si="120"/>
        <v>0</v>
      </c>
      <c r="AA236" s="256">
        <f t="shared" si="117"/>
        <v>0</v>
      </c>
      <c r="AB236" s="309"/>
      <c r="AC236" s="309"/>
      <c r="AD236" s="320">
        <f t="shared" si="118"/>
        <v>0</v>
      </c>
      <c r="AF236" s="11"/>
      <c r="AG236" s="24"/>
      <c r="AH236" s="64">
        <f t="shared" si="122"/>
        <v>43401</v>
      </c>
      <c r="AI236" s="698"/>
      <c r="AJ236" s="699"/>
      <c r="AK236" s="699"/>
      <c r="AL236" s="699"/>
      <c r="AM236" s="699"/>
      <c r="AN236" s="699"/>
      <c r="AO236" s="699"/>
      <c r="AP236" s="699"/>
      <c r="AQ236" s="699"/>
      <c r="AR236" s="699"/>
      <c r="AS236" s="699"/>
      <c r="AT236" s="699"/>
      <c r="AU236" s="699"/>
      <c r="AV236" s="699"/>
      <c r="AW236" s="699"/>
      <c r="AX236" s="700"/>
      <c r="AY236" s="700"/>
      <c r="AZ236" s="701"/>
    </row>
    <row r="237" spans="1:52" ht="29.25" customHeight="1" thickBot="1">
      <c r="A237" s="66">
        <f t="shared" si="121"/>
        <v>44894</v>
      </c>
      <c r="B237" s="138"/>
      <c r="C237" s="138"/>
      <c r="D237" s="138"/>
      <c r="E237" s="138"/>
      <c r="F237" s="138"/>
      <c r="G237" s="138"/>
      <c r="H237" s="138"/>
      <c r="I237" s="138"/>
      <c r="J237" s="138"/>
      <c r="K237" s="138"/>
      <c r="L237" s="138"/>
      <c r="M237" s="138"/>
      <c r="N237" s="138"/>
      <c r="O237" s="138"/>
      <c r="P237" s="138"/>
      <c r="Q237" s="138"/>
      <c r="R237" s="139"/>
      <c r="S237" s="139"/>
      <c r="T237" s="149"/>
      <c r="U237" s="149"/>
      <c r="V237" s="149"/>
      <c r="W237" s="149"/>
      <c r="X237" s="149"/>
      <c r="Y237" s="255">
        <f t="shared" si="119"/>
        <v>0</v>
      </c>
      <c r="Z237" s="309">
        <f t="shared" si="120"/>
        <v>0</v>
      </c>
      <c r="AA237" s="256">
        <f t="shared" si="117"/>
        <v>0</v>
      </c>
      <c r="AB237" s="309"/>
      <c r="AC237" s="309"/>
      <c r="AD237" s="320">
        <f t="shared" si="118"/>
        <v>0</v>
      </c>
      <c r="AF237" s="11"/>
      <c r="AG237" s="24"/>
      <c r="AH237" s="64">
        <f>AH236+1</f>
        <v>43402</v>
      </c>
      <c r="AI237" s="698"/>
      <c r="AJ237" s="699"/>
      <c r="AK237" s="699"/>
      <c r="AL237" s="699"/>
      <c r="AM237" s="699"/>
      <c r="AN237" s="699"/>
      <c r="AO237" s="699"/>
      <c r="AP237" s="699"/>
      <c r="AQ237" s="699"/>
      <c r="AR237" s="699"/>
      <c r="AS237" s="699"/>
      <c r="AT237" s="699"/>
      <c r="AU237" s="699"/>
      <c r="AV237" s="699"/>
      <c r="AW237" s="699"/>
      <c r="AX237" s="700"/>
      <c r="AY237" s="700"/>
      <c r="AZ237" s="701"/>
    </row>
    <row r="238" spans="1:52" ht="29.25" customHeight="1" thickBot="1">
      <c r="A238" s="66">
        <f t="shared" si="121"/>
        <v>44895</v>
      </c>
      <c r="B238" s="144"/>
      <c r="C238" s="144"/>
      <c r="D238" s="144"/>
      <c r="E238" s="144"/>
      <c r="F238" s="144"/>
      <c r="G238" s="144"/>
      <c r="H238" s="144"/>
      <c r="I238" s="141"/>
      <c r="J238" s="144"/>
      <c r="K238" s="144"/>
      <c r="L238" s="144"/>
      <c r="M238" s="144"/>
      <c r="N238" s="144"/>
      <c r="O238" s="144"/>
      <c r="P238" s="144"/>
      <c r="Q238" s="144"/>
      <c r="R238" s="145"/>
      <c r="S238" s="142"/>
      <c r="T238" s="152"/>
      <c r="U238" s="152"/>
      <c r="V238" s="152"/>
      <c r="W238" s="152"/>
      <c r="X238" s="152"/>
      <c r="Y238" s="255">
        <f t="shared" si="119"/>
        <v>0</v>
      </c>
      <c r="Z238" s="309">
        <f t="shared" si="120"/>
        <v>0</v>
      </c>
      <c r="AA238" s="256">
        <f t="shared" si="117"/>
        <v>0</v>
      </c>
      <c r="AB238" s="309"/>
      <c r="AC238" s="309"/>
      <c r="AD238" s="320">
        <f t="shared" si="118"/>
        <v>0</v>
      </c>
      <c r="AF238" s="11"/>
      <c r="AG238" s="24"/>
      <c r="AH238" s="64">
        <f t="shared" si="122"/>
        <v>43403</v>
      </c>
      <c r="AI238" s="698"/>
      <c r="AJ238" s="699"/>
      <c r="AK238" s="699"/>
      <c r="AL238" s="699"/>
      <c r="AM238" s="699"/>
      <c r="AN238" s="699"/>
      <c r="AO238" s="699"/>
      <c r="AP238" s="699"/>
      <c r="AQ238" s="699"/>
      <c r="AR238" s="699"/>
      <c r="AS238" s="699"/>
      <c r="AT238" s="699"/>
      <c r="AU238" s="699"/>
      <c r="AV238" s="699"/>
      <c r="AW238" s="699"/>
      <c r="AX238" s="700"/>
      <c r="AY238" s="700"/>
      <c r="AZ238" s="701"/>
    </row>
    <row r="239" spans="1:52" ht="29.25" customHeight="1" thickBot="1">
      <c r="A239" s="95">
        <f t="shared" si="121"/>
        <v>44896</v>
      </c>
      <c r="B239" s="146"/>
      <c r="C239" s="146"/>
      <c r="D239" s="146"/>
      <c r="E239" s="146"/>
      <c r="F239" s="146"/>
      <c r="G239" s="146"/>
      <c r="H239" s="147"/>
      <c r="I239" s="146"/>
      <c r="J239" s="146"/>
      <c r="K239" s="146"/>
      <c r="L239" s="146"/>
      <c r="M239" s="146"/>
      <c r="N239" s="146"/>
      <c r="O239" s="146"/>
      <c r="P239" s="146"/>
      <c r="Q239" s="146"/>
      <c r="R239" s="147"/>
      <c r="S239" s="147"/>
      <c r="T239" s="152"/>
      <c r="U239" s="152"/>
      <c r="V239" s="152"/>
      <c r="W239" s="152"/>
      <c r="X239" s="152"/>
      <c r="Y239" s="255">
        <f t="shared" si="119"/>
        <v>0</v>
      </c>
      <c r="Z239" s="309">
        <f t="shared" si="120"/>
        <v>0</v>
      </c>
      <c r="AA239" s="256">
        <f t="shared" si="117"/>
        <v>0</v>
      </c>
      <c r="AB239" s="309"/>
      <c r="AC239" s="309"/>
      <c r="AD239" s="320">
        <f t="shared" si="118"/>
        <v>0</v>
      </c>
      <c r="AF239" s="11"/>
      <c r="AG239" s="24"/>
      <c r="AH239" s="65">
        <f t="shared" si="122"/>
        <v>43404</v>
      </c>
      <c r="AI239" s="702"/>
      <c r="AJ239" s="703"/>
      <c r="AK239" s="703"/>
      <c r="AL239" s="703"/>
      <c r="AM239" s="703"/>
      <c r="AN239" s="703"/>
      <c r="AO239" s="703"/>
      <c r="AP239" s="703"/>
      <c r="AQ239" s="703"/>
      <c r="AR239" s="703"/>
      <c r="AS239" s="703"/>
      <c r="AT239" s="703"/>
      <c r="AU239" s="703"/>
      <c r="AV239" s="703"/>
      <c r="AW239" s="703"/>
      <c r="AX239" s="704"/>
      <c r="AY239" s="704"/>
      <c r="AZ239" s="705"/>
    </row>
    <row r="240" spans="1:52" ht="50.1" customHeight="1" thickTop="1" thickBot="1">
      <c r="A240" s="91" t="s">
        <v>74</v>
      </c>
      <c r="B240" s="90">
        <f>SUM(B209:B239)</f>
        <v>0</v>
      </c>
      <c r="C240" s="90">
        <f t="shared" ref="C240:Y240" si="123">SUM(C209:C239)</f>
        <v>0</v>
      </c>
      <c r="D240" s="90">
        <f t="shared" si="123"/>
        <v>0</v>
      </c>
      <c r="E240" s="90"/>
      <c r="F240" s="90">
        <f t="shared" si="123"/>
        <v>0</v>
      </c>
      <c r="G240" s="90">
        <f t="shared" si="123"/>
        <v>0</v>
      </c>
      <c r="H240" s="90">
        <f t="shared" si="123"/>
        <v>0</v>
      </c>
      <c r="I240" s="90">
        <f t="shared" si="123"/>
        <v>0</v>
      </c>
      <c r="J240" s="90">
        <f t="shared" si="123"/>
        <v>0</v>
      </c>
      <c r="K240" s="90">
        <f t="shared" si="123"/>
        <v>0</v>
      </c>
      <c r="L240" s="90">
        <f t="shared" si="123"/>
        <v>0</v>
      </c>
      <c r="M240" s="90">
        <f t="shared" si="123"/>
        <v>0</v>
      </c>
      <c r="N240" s="90">
        <f t="shared" si="123"/>
        <v>0</v>
      </c>
      <c r="O240" s="90">
        <f t="shared" si="123"/>
        <v>0</v>
      </c>
      <c r="P240" s="90"/>
      <c r="Q240" s="90">
        <f t="shared" si="123"/>
        <v>0</v>
      </c>
      <c r="R240" s="90">
        <f t="shared" si="123"/>
        <v>0</v>
      </c>
      <c r="S240" s="90">
        <f t="shared" si="123"/>
        <v>0</v>
      </c>
      <c r="T240" s="90"/>
      <c r="U240" s="90"/>
      <c r="V240" s="90"/>
      <c r="W240" s="90"/>
      <c r="X240" s="90"/>
      <c r="Y240" s="279">
        <f t="shared" si="123"/>
        <v>0</v>
      </c>
      <c r="Z240" s="258"/>
      <c r="AA240" s="259"/>
      <c r="AB240" s="316">
        <f>SUM(AB209:AB239)</f>
        <v>0</v>
      </c>
      <c r="AC240" s="316"/>
      <c r="AD240" s="260"/>
      <c r="AF240" s="9"/>
      <c r="AG240" s="16"/>
      <c r="AH240" s="706" t="s">
        <v>101</v>
      </c>
      <c r="AI240" s="707">
        <f>SUM(AI209:AI239)</f>
        <v>0</v>
      </c>
      <c r="AJ240" s="707">
        <f>SUM(AJ209:AJ239)</f>
        <v>0</v>
      </c>
      <c r="AK240" s="707">
        <f t="shared" ref="AK240:AZ240" si="124">SUM(AK209:AK239)</f>
        <v>0</v>
      </c>
      <c r="AL240" s="707">
        <f t="shared" si="124"/>
        <v>0</v>
      </c>
      <c r="AM240" s="707">
        <f t="shared" si="124"/>
        <v>0</v>
      </c>
      <c r="AN240" s="707">
        <f t="shared" si="124"/>
        <v>0</v>
      </c>
      <c r="AO240" s="707">
        <f t="shared" si="124"/>
        <v>0</v>
      </c>
      <c r="AP240" s="707">
        <f t="shared" si="124"/>
        <v>0</v>
      </c>
      <c r="AQ240" s="707">
        <f t="shared" si="124"/>
        <v>0</v>
      </c>
      <c r="AR240" s="707">
        <f t="shared" si="124"/>
        <v>0</v>
      </c>
      <c r="AS240" s="707">
        <f t="shared" si="124"/>
        <v>0</v>
      </c>
      <c r="AT240" s="707">
        <f t="shared" si="124"/>
        <v>0</v>
      </c>
      <c r="AU240" s="707">
        <f t="shared" si="124"/>
        <v>0</v>
      </c>
      <c r="AV240" s="707">
        <f t="shared" si="124"/>
        <v>0</v>
      </c>
      <c r="AW240" s="707">
        <f t="shared" si="124"/>
        <v>0</v>
      </c>
      <c r="AX240" s="707">
        <f t="shared" si="124"/>
        <v>0</v>
      </c>
      <c r="AY240" s="707">
        <f t="shared" si="124"/>
        <v>0</v>
      </c>
      <c r="AZ240" s="707">
        <f t="shared" si="124"/>
        <v>0</v>
      </c>
    </row>
    <row r="241" spans="1:52" ht="43.5" customHeight="1" thickTop="1" thickBot="1">
      <c r="A241" s="148" t="s">
        <v>102</v>
      </c>
      <c r="B241" s="471"/>
      <c r="C241" s="471"/>
      <c r="D241" s="471"/>
      <c r="E241" s="471"/>
      <c r="F241" s="471"/>
      <c r="G241" s="471"/>
      <c r="H241" s="471"/>
      <c r="I241" s="471"/>
      <c r="J241" s="471"/>
      <c r="K241" s="471"/>
      <c r="L241" s="471"/>
      <c r="M241" s="471"/>
      <c r="N241" s="471"/>
      <c r="O241" s="471"/>
      <c r="P241" s="471"/>
      <c r="Q241" s="471"/>
      <c r="R241" s="471"/>
      <c r="S241" s="472"/>
      <c r="T241" s="472"/>
      <c r="U241" s="472"/>
      <c r="V241" s="472"/>
      <c r="W241" s="472"/>
      <c r="X241" s="472"/>
      <c r="Y241" s="203"/>
      <c r="Z241" s="7"/>
      <c r="AA241" s="7"/>
      <c r="AB241" s="7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</row>
    <row r="242" spans="1:52" ht="45.75" customHeight="1" thickTop="1" thickBot="1">
      <c r="A242" s="81"/>
      <c r="B242" s="76">
        <f>B240*B241</f>
        <v>0</v>
      </c>
      <c r="C242" s="76">
        <f t="shared" ref="C242:D242" si="125">C240*C241</f>
        <v>0</v>
      </c>
      <c r="D242" s="76">
        <f t="shared" si="125"/>
        <v>0</v>
      </c>
      <c r="E242" s="76"/>
      <c r="F242" s="76">
        <f t="shared" ref="F242:O242" si="126">F240*F241</f>
        <v>0</v>
      </c>
      <c r="G242" s="76">
        <f t="shared" si="126"/>
        <v>0</v>
      </c>
      <c r="H242" s="76">
        <f t="shared" si="126"/>
        <v>0</v>
      </c>
      <c r="I242" s="76">
        <f t="shared" si="126"/>
        <v>0</v>
      </c>
      <c r="J242" s="76">
        <f t="shared" si="126"/>
        <v>0</v>
      </c>
      <c r="K242" s="76">
        <f t="shared" si="126"/>
        <v>0</v>
      </c>
      <c r="L242" s="76">
        <f t="shared" si="126"/>
        <v>0</v>
      </c>
      <c r="M242" s="76">
        <f t="shared" si="126"/>
        <v>0</v>
      </c>
      <c r="N242" s="76">
        <f t="shared" si="126"/>
        <v>0</v>
      </c>
      <c r="O242" s="76">
        <f t="shared" si="126"/>
        <v>0</v>
      </c>
      <c r="P242" s="76"/>
      <c r="Q242" s="76">
        <f t="shared" ref="Q242:R242" si="127">Q240*Q241</f>
        <v>0</v>
      </c>
      <c r="R242" s="76">
        <f t="shared" si="127"/>
        <v>0</v>
      </c>
      <c r="S242" s="253">
        <f t="shared" ref="S242" si="128">S240*S241</f>
        <v>0</v>
      </c>
      <c r="T242" s="253"/>
      <c r="U242" s="253"/>
      <c r="V242" s="253"/>
      <c r="W242" s="253"/>
      <c r="X242" s="253"/>
      <c r="Y242" s="261">
        <f>SUM(B242:S242)</f>
        <v>0</v>
      </c>
      <c r="Z242" s="8" t="e">
        <f>Y240/Y242</f>
        <v>#DIV/0!</v>
      </c>
      <c r="AA242" s="8"/>
      <c r="AB242" s="8"/>
      <c r="AC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</row>
    <row r="243" spans="1:52" ht="39.950000000000003" customHeight="1" thickTop="1" thickBot="1">
      <c r="A243" s="109">
        <f>A5</f>
        <v>2022</v>
      </c>
      <c r="B243" s="1440" t="s">
        <v>223</v>
      </c>
      <c r="C243" s="1441"/>
      <c r="D243" s="1441"/>
      <c r="E243" s="1441"/>
      <c r="F243" s="1441"/>
      <c r="G243" s="1441"/>
      <c r="H243" s="1441"/>
      <c r="I243" s="1441"/>
      <c r="J243" s="1441"/>
      <c r="K243" s="1441"/>
      <c r="L243" s="1441"/>
      <c r="M243" s="1441"/>
      <c r="N243" s="1441"/>
      <c r="O243" s="1441"/>
      <c r="P243" s="1441"/>
      <c r="Q243" s="1441"/>
      <c r="R243" s="1441"/>
      <c r="S243" s="1441"/>
      <c r="T243" s="1441"/>
      <c r="U243" s="1441"/>
      <c r="V243" s="1441"/>
      <c r="W243" s="1441"/>
      <c r="X243" s="1441"/>
      <c r="Y243" s="1442"/>
      <c r="Z243" s="21"/>
      <c r="AA243" s="21"/>
      <c r="AB243" s="21"/>
      <c r="AC243" s="2"/>
      <c r="AF243" s="10"/>
      <c r="AG243" s="34"/>
      <c r="AH243" s="109">
        <v>2018</v>
      </c>
      <c r="AI243" s="1424" t="str">
        <f>B243</f>
        <v>BADSHAH KHAN</v>
      </c>
      <c r="AJ243" s="1425"/>
      <c r="AK243" s="1425"/>
      <c r="AL243" s="1425"/>
      <c r="AM243" s="1425"/>
      <c r="AN243" s="1425"/>
      <c r="AO243" s="1425"/>
      <c r="AP243" s="1425"/>
      <c r="AQ243" s="1425"/>
      <c r="AR243" s="1425"/>
      <c r="AS243" s="1425"/>
      <c r="AT243" s="1425"/>
      <c r="AU243" s="1425"/>
      <c r="AV243" s="1425"/>
      <c r="AW243" s="1425"/>
      <c r="AX243" s="1425"/>
      <c r="AY243" s="1425"/>
      <c r="AZ243" s="1425"/>
    </row>
    <row r="244" spans="1:52" ht="60" customHeight="1" thickTop="1" thickBot="1">
      <c r="A244" s="1468" t="s">
        <v>94</v>
      </c>
      <c r="B244" s="1402" t="s">
        <v>95</v>
      </c>
      <c r="C244" s="1403"/>
      <c r="D244" s="1403"/>
      <c r="E244" s="1404"/>
      <c r="F244" s="1402" t="s">
        <v>7</v>
      </c>
      <c r="G244" s="1403"/>
      <c r="H244" s="1404"/>
      <c r="I244" s="1402" t="s">
        <v>8</v>
      </c>
      <c r="J244" s="1404"/>
      <c r="K244" s="1402" t="s">
        <v>9</v>
      </c>
      <c r="L244" s="1403"/>
      <c r="M244" s="1403"/>
      <c r="N244" s="1403"/>
      <c r="O244" s="1403"/>
      <c r="P244" s="1403"/>
      <c r="Q244" s="1403"/>
      <c r="R244" s="1405" t="s">
        <v>10</v>
      </c>
      <c r="S244" s="1406"/>
      <c r="T244" s="1400" t="s">
        <v>289</v>
      </c>
      <c r="U244" s="1401"/>
      <c r="V244" s="842" t="s">
        <v>258</v>
      </c>
      <c r="W244" s="842"/>
      <c r="X244" s="842"/>
      <c r="Y244" s="211"/>
      <c r="Z244" s="21"/>
      <c r="AA244" s="21"/>
      <c r="AB244" s="21"/>
      <c r="AC244" s="21"/>
      <c r="AF244" s="10"/>
      <c r="AG244" s="34"/>
      <c r="AH244" s="1422" t="s">
        <v>94</v>
      </c>
      <c r="AI244" s="1402" t="s">
        <v>95</v>
      </c>
      <c r="AJ244" s="1403"/>
      <c r="AK244" s="1404"/>
      <c r="AL244" s="1402" t="s">
        <v>7</v>
      </c>
      <c r="AM244" s="1403"/>
      <c r="AN244" s="1404"/>
      <c r="AO244" s="1402" t="s">
        <v>8</v>
      </c>
      <c r="AP244" s="1403"/>
      <c r="AQ244" s="1404"/>
      <c r="AR244" s="1402" t="s">
        <v>9</v>
      </c>
      <c r="AS244" s="1403"/>
      <c r="AT244" s="1404"/>
      <c r="AU244" s="1403" t="s">
        <v>9</v>
      </c>
      <c r="AV244" s="1404"/>
      <c r="AW244" s="1429" t="s">
        <v>10</v>
      </c>
      <c r="AX244" s="1430"/>
      <c r="AY244" s="690"/>
      <c r="AZ244" s="404" t="s">
        <v>11</v>
      </c>
    </row>
    <row r="245" spans="1:52" ht="42" thickTop="1" thickBot="1">
      <c r="A245" s="1428"/>
      <c r="B245" s="482" t="s">
        <v>12</v>
      </c>
      <c r="C245" s="482" t="s">
        <v>13</v>
      </c>
      <c r="D245" s="482" t="s">
        <v>14</v>
      </c>
      <c r="E245" s="688" t="s">
        <v>198</v>
      </c>
      <c r="F245" s="482" t="s">
        <v>12</v>
      </c>
      <c r="G245" s="482" t="s">
        <v>13</v>
      </c>
      <c r="H245" s="482" t="s">
        <v>282</v>
      </c>
      <c r="I245" s="482" t="s">
        <v>12</v>
      </c>
      <c r="J245" s="482" t="s">
        <v>16</v>
      </c>
      <c r="K245" s="482" t="s">
        <v>17</v>
      </c>
      <c r="L245" s="482" t="s">
        <v>18</v>
      </c>
      <c r="M245" s="482" t="s">
        <v>19</v>
      </c>
      <c r="N245" s="484" t="s">
        <v>96</v>
      </c>
      <c r="O245" s="484" t="s">
        <v>257</v>
      </c>
      <c r="P245" s="484" t="s">
        <v>254</v>
      </c>
      <c r="Q245" s="484" t="s">
        <v>20</v>
      </c>
      <c r="R245" s="483" t="s">
        <v>14</v>
      </c>
      <c r="S245" s="482" t="s">
        <v>13</v>
      </c>
      <c r="T245" s="846" t="s">
        <v>284</v>
      </c>
      <c r="U245" s="846" t="s">
        <v>288</v>
      </c>
      <c r="V245" s="484" t="s">
        <v>259</v>
      </c>
      <c r="W245" s="484"/>
      <c r="X245" s="484"/>
      <c r="Y245" s="209" t="s">
        <v>90</v>
      </c>
      <c r="Z245" s="210" t="s">
        <v>97</v>
      </c>
      <c r="AA245" s="210" t="s">
        <v>74</v>
      </c>
      <c r="AB245" s="210" t="s">
        <v>98</v>
      </c>
      <c r="AC245" s="210" t="s">
        <v>99</v>
      </c>
      <c r="AD245" s="210" t="s">
        <v>100</v>
      </c>
      <c r="AF245" s="578" t="s">
        <v>1</v>
      </c>
      <c r="AG245" s="4"/>
      <c r="AH245" s="1428"/>
      <c r="AI245" s="482" t="s">
        <v>12</v>
      </c>
      <c r="AJ245" s="482" t="s">
        <v>13</v>
      </c>
      <c r="AK245" s="482" t="s">
        <v>14</v>
      </c>
      <c r="AL245" s="482" t="s">
        <v>12</v>
      </c>
      <c r="AM245" s="482" t="s">
        <v>13</v>
      </c>
      <c r="AN245" s="482" t="s">
        <v>15</v>
      </c>
      <c r="AO245" s="482" t="s">
        <v>12</v>
      </c>
      <c r="AP245" s="482" t="s">
        <v>205</v>
      </c>
      <c r="AQ245" s="482" t="s">
        <v>16</v>
      </c>
      <c r="AR245" s="482" t="s">
        <v>17</v>
      </c>
      <c r="AS245" s="482" t="s">
        <v>18</v>
      </c>
      <c r="AT245" s="482" t="s">
        <v>19</v>
      </c>
      <c r="AU245" s="482" t="s">
        <v>201</v>
      </c>
      <c r="AV245" s="482" t="s">
        <v>20</v>
      </c>
      <c r="AW245" s="482" t="s">
        <v>12</v>
      </c>
      <c r="AX245" s="483" t="s">
        <v>13</v>
      </c>
      <c r="AY245" s="688" t="s">
        <v>198</v>
      </c>
      <c r="AZ245" s="484" t="s">
        <v>96</v>
      </c>
    </row>
    <row r="246" spans="1:52" ht="29.25" customHeight="1" thickBot="1">
      <c r="A246" s="64">
        <f>A209</f>
        <v>44866</v>
      </c>
      <c r="B246" s="134"/>
      <c r="C246" s="134"/>
      <c r="D246" s="134"/>
      <c r="E246" s="134"/>
      <c r="F246" s="134"/>
      <c r="G246" s="134"/>
      <c r="H246" s="134"/>
      <c r="I246" s="134"/>
      <c r="J246" s="134"/>
      <c r="K246" s="134"/>
      <c r="L246" s="134"/>
      <c r="M246" s="134"/>
      <c r="N246" s="134"/>
      <c r="O246" s="134"/>
      <c r="P246" s="149"/>
      <c r="Q246" s="149"/>
      <c r="R246" s="135"/>
      <c r="S246" s="149"/>
      <c r="T246" s="149"/>
      <c r="U246" s="149"/>
      <c r="V246" s="149"/>
      <c r="W246" s="149"/>
      <c r="X246" s="149"/>
      <c r="Y246" s="255">
        <f>B246*280+C246*280+D246*280+E246*280+F246*130+G246*130+H246*90+I246*35+J246*35+K246*380+L246*380+M246*380+N246*380+O246*380+P246*80+Q246*200+R246*260+S246*41+T246*30+U246*60</f>
        <v>0</v>
      </c>
      <c r="Z246" s="308"/>
      <c r="AA246" s="263">
        <f t="shared" ref="AA246:AA276" si="129">Y246+Z246</f>
        <v>0</v>
      </c>
      <c r="AB246" s="308"/>
      <c r="AC246" s="308"/>
      <c r="AD246" s="319">
        <f t="shared" ref="AD246:AD276" si="130">AA246-AB246-AC246</f>
        <v>0</v>
      </c>
      <c r="AE246" t="s">
        <v>1</v>
      </c>
      <c r="AF246" s="11"/>
      <c r="AG246" s="24"/>
      <c r="AH246" s="63">
        <f>AH209</f>
        <v>43374</v>
      </c>
      <c r="AI246" s="694"/>
      <c r="AJ246" s="695"/>
      <c r="AK246" s="695"/>
      <c r="AL246" s="695"/>
      <c r="AM246" s="695"/>
      <c r="AN246" s="695"/>
      <c r="AO246" s="695"/>
      <c r="AP246" s="695"/>
      <c r="AQ246" s="695"/>
      <c r="AR246" s="695"/>
      <c r="AS246" s="695"/>
      <c r="AT246" s="695"/>
      <c r="AU246" s="695"/>
      <c r="AV246" s="695"/>
      <c r="AW246" s="695"/>
      <c r="AX246" s="696"/>
      <c r="AY246" s="696"/>
      <c r="AZ246" s="697"/>
    </row>
    <row r="247" spans="1:52" ht="29.25" customHeight="1" thickBot="1">
      <c r="A247" s="64">
        <f>A246+1</f>
        <v>44867</v>
      </c>
      <c r="B247" s="137"/>
      <c r="C247" s="137"/>
      <c r="D247" s="137"/>
      <c r="E247" s="137"/>
      <c r="F247" s="134"/>
      <c r="G247" s="134"/>
      <c r="H247" s="134"/>
      <c r="I247" s="134"/>
      <c r="J247" s="134"/>
      <c r="K247" s="134"/>
      <c r="L247" s="134"/>
      <c r="M247" s="134"/>
      <c r="N247" s="134"/>
      <c r="O247" s="134"/>
      <c r="P247" s="149"/>
      <c r="Q247" s="150"/>
      <c r="R247" s="138"/>
      <c r="S247" s="150"/>
      <c r="T247" s="149"/>
      <c r="U247" s="149"/>
      <c r="V247" s="149"/>
      <c r="W247" s="149"/>
      <c r="X247" s="149"/>
      <c r="Y247" s="255">
        <f t="shared" ref="Y247:Y276" si="131">B247*280+C247*280+D247*280+E247*280+F247*130+G247*130+H247*90+I247*35+J247*35+K247*380+L247*380+M247*380+N247*380+O247*380+P247*80+Q247*200+R247*260+S247*41+T247*30+U247*60</f>
        <v>0</v>
      </c>
      <c r="Z247" s="309">
        <f t="shared" ref="Z247:Z276" si="132">AD246</f>
        <v>0</v>
      </c>
      <c r="AA247" s="256">
        <f t="shared" si="129"/>
        <v>0</v>
      </c>
      <c r="AB247" s="309"/>
      <c r="AC247" s="309"/>
      <c r="AD247" s="320">
        <f t="shared" si="130"/>
        <v>0</v>
      </c>
      <c r="AF247" s="11"/>
      <c r="AG247" s="24"/>
      <c r="AH247" s="64">
        <f>AH246+1</f>
        <v>43375</v>
      </c>
      <c r="AI247" s="698"/>
      <c r="AJ247" s="699"/>
      <c r="AK247" s="699"/>
      <c r="AL247" s="699"/>
      <c r="AM247" s="699"/>
      <c r="AN247" s="699"/>
      <c r="AO247" s="699"/>
      <c r="AP247" s="699"/>
      <c r="AQ247" s="699"/>
      <c r="AR247" s="699"/>
      <c r="AS247" s="699"/>
      <c r="AT247" s="699"/>
      <c r="AU247" s="699"/>
      <c r="AV247" s="699"/>
      <c r="AW247" s="699"/>
      <c r="AX247" s="700"/>
      <c r="AY247" s="700"/>
      <c r="AZ247" s="701"/>
    </row>
    <row r="248" spans="1:52" ht="29.25" customHeight="1" thickBot="1">
      <c r="A248" s="64">
        <f t="shared" ref="A248:A276" si="133">A247+1</f>
        <v>44868</v>
      </c>
      <c r="B248" s="137"/>
      <c r="C248" s="137"/>
      <c r="D248" s="137"/>
      <c r="E248" s="137"/>
      <c r="F248" s="137"/>
      <c r="G248" s="137"/>
      <c r="H248" s="137"/>
      <c r="I248" s="137"/>
      <c r="J248" s="137"/>
      <c r="K248" s="137"/>
      <c r="L248" s="137"/>
      <c r="M248" s="137"/>
      <c r="N248" s="137"/>
      <c r="O248" s="137"/>
      <c r="P248" s="150"/>
      <c r="Q248" s="150"/>
      <c r="R248" s="138"/>
      <c r="S248" s="150"/>
      <c r="T248" s="149"/>
      <c r="U248" s="149"/>
      <c r="V248" s="149"/>
      <c r="W248" s="149"/>
      <c r="X248" s="149"/>
      <c r="Y248" s="255">
        <f t="shared" si="131"/>
        <v>0</v>
      </c>
      <c r="Z248" s="309">
        <f t="shared" si="132"/>
        <v>0</v>
      </c>
      <c r="AA248" s="256">
        <f t="shared" si="129"/>
        <v>0</v>
      </c>
      <c r="AB248" s="309"/>
      <c r="AC248" s="309"/>
      <c r="AD248" s="320">
        <f t="shared" si="130"/>
        <v>0</v>
      </c>
      <c r="AF248" s="11"/>
      <c r="AG248" s="24"/>
      <c r="AH248" s="64">
        <f t="shared" ref="AH248:AH276" si="134">AH247+1</f>
        <v>43376</v>
      </c>
      <c r="AI248" s="698"/>
      <c r="AJ248" s="699"/>
      <c r="AK248" s="699"/>
      <c r="AL248" s="699"/>
      <c r="AM248" s="699"/>
      <c r="AN248" s="699"/>
      <c r="AO248" s="699"/>
      <c r="AP248" s="699"/>
      <c r="AQ248" s="699"/>
      <c r="AR248" s="699"/>
      <c r="AS248" s="699"/>
      <c r="AT248" s="699"/>
      <c r="AU248" s="699"/>
      <c r="AV248" s="699"/>
      <c r="AW248" s="699"/>
      <c r="AX248" s="700"/>
      <c r="AY248" s="700"/>
      <c r="AZ248" s="701"/>
    </row>
    <row r="249" spans="1:52" ht="29.25" customHeight="1" thickBot="1">
      <c r="A249" s="64">
        <f t="shared" si="133"/>
        <v>44869</v>
      </c>
      <c r="B249" s="137"/>
      <c r="C249" s="137"/>
      <c r="D249" s="137"/>
      <c r="E249" s="137"/>
      <c r="F249" s="137"/>
      <c r="G249" s="137"/>
      <c r="H249" s="137"/>
      <c r="I249" s="137"/>
      <c r="J249" s="137"/>
      <c r="K249" s="137"/>
      <c r="L249" s="137"/>
      <c r="M249" s="137"/>
      <c r="N249" s="137"/>
      <c r="O249" s="137"/>
      <c r="P249" s="150"/>
      <c r="Q249" s="150"/>
      <c r="R249" s="138"/>
      <c r="S249" s="150"/>
      <c r="T249" s="149"/>
      <c r="U249" s="149"/>
      <c r="V249" s="149"/>
      <c r="W249" s="149"/>
      <c r="X249" s="149"/>
      <c r="Y249" s="255">
        <f t="shared" si="131"/>
        <v>0</v>
      </c>
      <c r="Z249" s="309">
        <f t="shared" si="132"/>
        <v>0</v>
      </c>
      <c r="AA249" s="256">
        <f t="shared" si="129"/>
        <v>0</v>
      </c>
      <c r="AB249" s="309"/>
      <c r="AC249" s="309"/>
      <c r="AD249" s="320">
        <f t="shared" si="130"/>
        <v>0</v>
      </c>
      <c r="AF249" s="11"/>
      <c r="AG249" s="24"/>
      <c r="AH249" s="64">
        <f t="shared" si="134"/>
        <v>43377</v>
      </c>
      <c r="AI249" s="698"/>
      <c r="AJ249" s="699"/>
      <c r="AK249" s="699"/>
      <c r="AL249" s="699"/>
      <c r="AM249" s="699"/>
      <c r="AN249" s="699"/>
      <c r="AO249" s="699"/>
      <c r="AP249" s="699"/>
      <c r="AQ249" s="699"/>
      <c r="AR249" s="699"/>
      <c r="AS249" s="699"/>
      <c r="AT249" s="699"/>
      <c r="AU249" s="699"/>
      <c r="AV249" s="699"/>
      <c r="AW249" s="699"/>
      <c r="AX249" s="700"/>
      <c r="AY249" s="700"/>
      <c r="AZ249" s="701"/>
    </row>
    <row r="250" spans="1:52" ht="29.25" customHeight="1" thickBot="1">
      <c r="A250" s="64">
        <f t="shared" si="133"/>
        <v>44870</v>
      </c>
      <c r="B250" s="137"/>
      <c r="C250" s="137"/>
      <c r="D250" s="137"/>
      <c r="E250" s="137"/>
      <c r="F250" s="137"/>
      <c r="G250" s="137"/>
      <c r="H250" s="137"/>
      <c r="I250" s="137"/>
      <c r="J250" s="137"/>
      <c r="K250" s="137"/>
      <c r="L250" s="137"/>
      <c r="M250" s="137"/>
      <c r="N250" s="137"/>
      <c r="O250" s="137"/>
      <c r="P250" s="150"/>
      <c r="Q250" s="150"/>
      <c r="R250" s="138"/>
      <c r="S250" s="150"/>
      <c r="T250" s="149"/>
      <c r="U250" s="149"/>
      <c r="V250" s="149"/>
      <c r="W250" s="149"/>
      <c r="X250" s="149"/>
      <c r="Y250" s="255">
        <f t="shared" si="131"/>
        <v>0</v>
      </c>
      <c r="Z250" s="309">
        <f t="shared" si="132"/>
        <v>0</v>
      </c>
      <c r="AA250" s="256">
        <f t="shared" si="129"/>
        <v>0</v>
      </c>
      <c r="AB250" s="309"/>
      <c r="AC250" s="309"/>
      <c r="AD250" s="320">
        <f t="shared" si="130"/>
        <v>0</v>
      </c>
      <c r="AF250" s="11"/>
      <c r="AG250" s="24"/>
      <c r="AH250" s="64">
        <f t="shared" si="134"/>
        <v>43378</v>
      </c>
      <c r="AI250" s="698"/>
      <c r="AJ250" s="699"/>
      <c r="AK250" s="699"/>
      <c r="AL250" s="699"/>
      <c r="AM250" s="699"/>
      <c r="AN250" s="699"/>
      <c r="AO250" s="699"/>
      <c r="AP250" s="699"/>
      <c r="AQ250" s="699"/>
      <c r="AR250" s="699"/>
      <c r="AS250" s="699"/>
      <c r="AT250" s="699"/>
      <c r="AU250" s="699"/>
      <c r="AV250" s="699"/>
      <c r="AW250" s="699"/>
      <c r="AX250" s="700"/>
      <c r="AY250" s="700"/>
      <c r="AZ250" s="701"/>
    </row>
    <row r="251" spans="1:52" ht="29.25" customHeight="1" thickBot="1">
      <c r="A251" s="64">
        <f t="shared" si="133"/>
        <v>44871</v>
      </c>
      <c r="B251" s="137"/>
      <c r="C251" s="137"/>
      <c r="D251" s="137"/>
      <c r="E251" s="137"/>
      <c r="F251" s="137"/>
      <c r="G251" s="137"/>
      <c r="H251" s="137"/>
      <c r="I251" s="137"/>
      <c r="J251" s="137"/>
      <c r="K251" s="137"/>
      <c r="L251" s="137"/>
      <c r="M251" s="137"/>
      <c r="N251" s="137"/>
      <c r="O251" s="137"/>
      <c r="P251" s="150"/>
      <c r="Q251" s="150"/>
      <c r="R251" s="138"/>
      <c r="S251" s="150"/>
      <c r="T251" s="149"/>
      <c r="U251" s="149"/>
      <c r="V251" s="149"/>
      <c r="W251" s="149"/>
      <c r="X251" s="149"/>
      <c r="Y251" s="255">
        <f t="shared" si="131"/>
        <v>0</v>
      </c>
      <c r="Z251" s="309">
        <f t="shared" si="132"/>
        <v>0</v>
      </c>
      <c r="AA251" s="256">
        <f t="shared" si="129"/>
        <v>0</v>
      </c>
      <c r="AB251" s="309"/>
      <c r="AC251" s="309"/>
      <c r="AD251" s="320">
        <f t="shared" si="130"/>
        <v>0</v>
      </c>
      <c r="AF251" s="11"/>
      <c r="AG251" s="24"/>
      <c r="AH251" s="64">
        <f t="shared" si="134"/>
        <v>43379</v>
      </c>
      <c r="AI251" s="698"/>
      <c r="AJ251" s="699"/>
      <c r="AK251" s="699"/>
      <c r="AL251" s="699"/>
      <c r="AM251" s="699"/>
      <c r="AN251" s="699"/>
      <c r="AO251" s="699"/>
      <c r="AP251" s="699"/>
      <c r="AQ251" s="699"/>
      <c r="AR251" s="699"/>
      <c r="AS251" s="699"/>
      <c r="AT251" s="699"/>
      <c r="AU251" s="699"/>
      <c r="AV251" s="699"/>
      <c r="AW251" s="699"/>
      <c r="AX251" s="700"/>
      <c r="AY251" s="700"/>
      <c r="AZ251" s="701"/>
    </row>
    <row r="252" spans="1:52" ht="29.25" customHeight="1" thickBot="1">
      <c r="A252" s="64">
        <f t="shared" si="133"/>
        <v>44872</v>
      </c>
      <c r="B252" s="137"/>
      <c r="C252" s="137"/>
      <c r="D252" s="137"/>
      <c r="E252" s="137"/>
      <c r="F252" s="137"/>
      <c r="G252" s="137"/>
      <c r="H252" s="137"/>
      <c r="I252" s="137"/>
      <c r="J252" s="137"/>
      <c r="K252" s="137"/>
      <c r="L252" s="137"/>
      <c r="M252" s="137"/>
      <c r="N252" s="137"/>
      <c r="O252" s="137"/>
      <c r="P252" s="150"/>
      <c r="Q252" s="150"/>
      <c r="R252" s="138"/>
      <c r="S252" s="150"/>
      <c r="T252" s="149"/>
      <c r="U252" s="149"/>
      <c r="V252" s="149"/>
      <c r="W252" s="149"/>
      <c r="X252" s="149"/>
      <c r="Y252" s="255">
        <f t="shared" si="131"/>
        <v>0</v>
      </c>
      <c r="Z252" s="309">
        <f t="shared" si="132"/>
        <v>0</v>
      </c>
      <c r="AA252" s="256">
        <f t="shared" si="129"/>
        <v>0</v>
      </c>
      <c r="AB252" s="309"/>
      <c r="AC252" s="309"/>
      <c r="AD252" s="320">
        <f t="shared" si="130"/>
        <v>0</v>
      </c>
      <c r="AF252" s="11"/>
      <c r="AG252" s="24"/>
      <c r="AH252" s="64">
        <f t="shared" si="134"/>
        <v>43380</v>
      </c>
      <c r="AI252" s="698"/>
      <c r="AJ252" s="699"/>
      <c r="AK252" s="699"/>
      <c r="AL252" s="699"/>
      <c r="AM252" s="699"/>
      <c r="AN252" s="699"/>
      <c r="AO252" s="699"/>
      <c r="AP252" s="699"/>
      <c r="AQ252" s="699"/>
      <c r="AR252" s="699"/>
      <c r="AS252" s="699"/>
      <c r="AT252" s="699"/>
      <c r="AU252" s="699"/>
      <c r="AV252" s="699"/>
      <c r="AW252" s="699"/>
      <c r="AX252" s="700"/>
      <c r="AY252" s="700"/>
      <c r="AZ252" s="701"/>
    </row>
    <row r="253" spans="1:52" ht="29.25" customHeight="1" thickBot="1">
      <c r="A253" s="64">
        <f t="shared" si="133"/>
        <v>44873</v>
      </c>
      <c r="B253" s="137"/>
      <c r="C253" s="137"/>
      <c r="D253" s="137"/>
      <c r="E253" s="137"/>
      <c r="F253" s="137"/>
      <c r="G253" s="137"/>
      <c r="H253" s="137"/>
      <c r="I253" s="137"/>
      <c r="J253" s="137"/>
      <c r="K253" s="137"/>
      <c r="L253" s="137"/>
      <c r="M253" s="137"/>
      <c r="N253" s="137"/>
      <c r="O253" s="137"/>
      <c r="P253" s="150"/>
      <c r="Q253" s="150"/>
      <c r="R253" s="138"/>
      <c r="S253" s="150"/>
      <c r="T253" s="149"/>
      <c r="U253" s="149"/>
      <c r="V253" s="149"/>
      <c r="W253" s="149"/>
      <c r="X253" s="149"/>
      <c r="Y253" s="255">
        <f t="shared" si="131"/>
        <v>0</v>
      </c>
      <c r="Z253" s="309">
        <f t="shared" si="132"/>
        <v>0</v>
      </c>
      <c r="AA253" s="256">
        <f t="shared" si="129"/>
        <v>0</v>
      </c>
      <c r="AB253" s="309"/>
      <c r="AC253" s="309"/>
      <c r="AD253" s="320">
        <f t="shared" si="130"/>
        <v>0</v>
      </c>
      <c r="AF253" s="11"/>
      <c r="AG253" s="24"/>
      <c r="AH253" s="64">
        <f t="shared" si="134"/>
        <v>43381</v>
      </c>
      <c r="AI253" s="698"/>
      <c r="AJ253" s="699"/>
      <c r="AK253" s="699"/>
      <c r="AL253" s="699"/>
      <c r="AM253" s="699"/>
      <c r="AN253" s="699"/>
      <c r="AO253" s="699"/>
      <c r="AP253" s="699"/>
      <c r="AQ253" s="699"/>
      <c r="AR253" s="699"/>
      <c r="AS253" s="699"/>
      <c r="AT253" s="699"/>
      <c r="AU253" s="699"/>
      <c r="AV253" s="699"/>
      <c r="AW253" s="699"/>
      <c r="AX253" s="700"/>
      <c r="AY253" s="700"/>
      <c r="AZ253" s="701"/>
    </row>
    <row r="254" spans="1:52" ht="29.25" customHeight="1" thickBot="1">
      <c r="A254" s="64">
        <f t="shared" si="133"/>
        <v>44874</v>
      </c>
      <c r="B254" s="137"/>
      <c r="C254" s="137"/>
      <c r="D254" s="137"/>
      <c r="E254" s="137"/>
      <c r="F254" s="137"/>
      <c r="G254" s="137"/>
      <c r="H254" s="137"/>
      <c r="I254" s="137"/>
      <c r="J254" s="137"/>
      <c r="K254" s="137"/>
      <c r="L254" s="137"/>
      <c r="M254" s="137"/>
      <c r="N254" s="137"/>
      <c r="O254" s="137"/>
      <c r="P254" s="150"/>
      <c r="Q254" s="150"/>
      <c r="R254" s="138"/>
      <c r="S254" s="150"/>
      <c r="T254" s="149"/>
      <c r="U254" s="149"/>
      <c r="V254" s="149"/>
      <c r="W254" s="149"/>
      <c r="X254" s="149"/>
      <c r="Y254" s="255">
        <f t="shared" si="131"/>
        <v>0</v>
      </c>
      <c r="Z254" s="309">
        <f t="shared" si="132"/>
        <v>0</v>
      </c>
      <c r="AA254" s="256">
        <f t="shared" si="129"/>
        <v>0</v>
      </c>
      <c r="AB254" s="309"/>
      <c r="AC254" s="309"/>
      <c r="AD254" s="320">
        <f t="shared" si="130"/>
        <v>0</v>
      </c>
      <c r="AF254" s="11"/>
      <c r="AG254" s="24"/>
      <c r="AH254" s="64">
        <f t="shared" si="134"/>
        <v>43382</v>
      </c>
      <c r="AI254" s="698"/>
      <c r="AJ254" s="699"/>
      <c r="AK254" s="699"/>
      <c r="AL254" s="699"/>
      <c r="AM254" s="699"/>
      <c r="AN254" s="699"/>
      <c r="AO254" s="699"/>
      <c r="AP254" s="699"/>
      <c r="AQ254" s="699"/>
      <c r="AR254" s="699"/>
      <c r="AS254" s="699"/>
      <c r="AT254" s="699"/>
      <c r="AU254" s="699"/>
      <c r="AV254" s="699"/>
      <c r="AW254" s="699"/>
      <c r="AX254" s="700"/>
      <c r="AY254" s="700"/>
      <c r="AZ254" s="701"/>
    </row>
    <row r="255" spans="1:52" ht="29.25" customHeight="1" thickBot="1">
      <c r="A255" s="64">
        <f t="shared" si="133"/>
        <v>44875</v>
      </c>
      <c r="B255" s="137"/>
      <c r="C255" s="137"/>
      <c r="D255" s="137"/>
      <c r="E255" s="137"/>
      <c r="F255" s="137"/>
      <c r="G255" s="137"/>
      <c r="H255" s="137"/>
      <c r="I255" s="137"/>
      <c r="J255" s="137"/>
      <c r="K255" s="137"/>
      <c r="L255" s="137"/>
      <c r="M255" s="137"/>
      <c r="N255" s="137"/>
      <c r="O255" s="137"/>
      <c r="P255" s="150"/>
      <c r="Q255" s="150"/>
      <c r="R255" s="138"/>
      <c r="S255" s="150"/>
      <c r="T255" s="149"/>
      <c r="U255" s="149"/>
      <c r="V255" s="149"/>
      <c r="W255" s="149"/>
      <c r="X255" s="149"/>
      <c r="Y255" s="255">
        <f t="shared" si="131"/>
        <v>0</v>
      </c>
      <c r="Z255" s="309">
        <f t="shared" si="132"/>
        <v>0</v>
      </c>
      <c r="AA255" s="256">
        <f t="shared" si="129"/>
        <v>0</v>
      </c>
      <c r="AB255" s="309"/>
      <c r="AC255" s="309"/>
      <c r="AD255" s="320">
        <f t="shared" si="130"/>
        <v>0</v>
      </c>
      <c r="AF255" s="11"/>
      <c r="AG255" s="24"/>
      <c r="AH255" s="64">
        <f t="shared" si="134"/>
        <v>43383</v>
      </c>
      <c r="AI255" s="698"/>
      <c r="AJ255" s="699"/>
      <c r="AK255" s="699"/>
      <c r="AL255" s="699"/>
      <c r="AM255" s="699"/>
      <c r="AN255" s="699"/>
      <c r="AO255" s="699"/>
      <c r="AP255" s="699"/>
      <c r="AQ255" s="699"/>
      <c r="AR255" s="699"/>
      <c r="AS255" s="699"/>
      <c r="AT255" s="699"/>
      <c r="AU255" s="699"/>
      <c r="AV255" s="699"/>
      <c r="AW255" s="699"/>
      <c r="AX255" s="700"/>
      <c r="AY255" s="700"/>
      <c r="AZ255" s="701"/>
    </row>
    <row r="256" spans="1:52" ht="29.25" customHeight="1" thickBot="1">
      <c r="A256" s="64">
        <f t="shared" si="133"/>
        <v>44876</v>
      </c>
      <c r="B256" s="137"/>
      <c r="C256" s="137"/>
      <c r="D256" s="137"/>
      <c r="E256" s="137"/>
      <c r="F256" s="137"/>
      <c r="G256" s="137"/>
      <c r="H256" s="137"/>
      <c r="I256" s="137"/>
      <c r="J256" s="137"/>
      <c r="K256" s="137"/>
      <c r="L256" s="137"/>
      <c r="M256" s="137"/>
      <c r="N256" s="137"/>
      <c r="O256" s="137"/>
      <c r="P256" s="150"/>
      <c r="Q256" s="150"/>
      <c r="R256" s="138"/>
      <c r="S256" s="150"/>
      <c r="T256" s="149"/>
      <c r="U256" s="149"/>
      <c r="V256" s="149"/>
      <c r="W256" s="149"/>
      <c r="X256" s="149"/>
      <c r="Y256" s="255">
        <f t="shared" si="131"/>
        <v>0</v>
      </c>
      <c r="Z256" s="309">
        <f t="shared" si="132"/>
        <v>0</v>
      </c>
      <c r="AA256" s="256">
        <f t="shared" si="129"/>
        <v>0</v>
      </c>
      <c r="AB256" s="309"/>
      <c r="AC256" s="309"/>
      <c r="AD256" s="320">
        <f t="shared" si="130"/>
        <v>0</v>
      </c>
      <c r="AF256" s="11"/>
      <c r="AG256" s="24"/>
      <c r="AH256" s="64">
        <f t="shared" si="134"/>
        <v>43384</v>
      </c>
      <c r="AI256" s="698"/>
      <c r="AJ256" s="699"/>
      <c r="AK256" s="699"/>
      <c r="AL256" s="699"/>
      <c r="AM256" s="699"/>
      <c r="AN256" s="699"/>
      <c r="AO256" s="699"/>
      <c r="AP256" s="699"/>
      <c r="AQ256" s="699"/>
      <c r="AR256" s="699"/>
      <c r="AS256" s="699"/>
      <c r="AT256" s="699"/>
      <c r="AU256" s="699"/>
      <c r="AV256" s="699"/>
      <c r="AW256" s="699"/>
      <c r="AX256" s="700"/>
      <c r="AY256" s="700"/>
      <c r="AZ256" s="701"/>
    </row>
    <row r="257" spans="1:52" ht="29.25" customHeight="1" thickBot="1">
      <c r="A257" s="64">
        <f t="shared" si="133"/>
        <v>44877</v>
      </c>
      <c r="B257" s="137"/>
      <c r="C257" s="137"/>
      <c r="D257" s="137"/>
      <c r="E257" s="137"/>
      <c r="F257" s="137"/>
      <c r="G257" s="137"/>
      <c r="H257" s="137"/>
      <c r="I257" s="137"/>
      <c r="J257" s="137"/>
      <c r="K257" s="137"/>
      <c r="L257" s="137"/>
      <c r="M257" s="137"/>
      <c r="N257" s="137"/>
      <c r="O257" s="137"/>
      <c r="P257" s="150"/>
      <c r="Q257" s="150"/>
      <c r="R257" s="138"/>
      <c r="S257" s="150"/>
      <c r="T257" s="149"/>
      <c r="U257" s="149"/>
      <c r="V257" s="149"/>
      <c r="W257" s="149"/>
      <c r="X257" s="149"/>
      <c r="Y257" s="255">
        <f t="shared" si="131"/>
        <v>0</v>
      </c>
      <c r="Z257" s="309">
        <f t="shared" si="132"/>
        <v>0</v>
      </c>
      <c r="AA257" s="256">
        <f t="shared" si="129"/>
        <v>0</v>
      </c>
      <c r="AB257" s="309"/>
      <c r="AC257" s="309"/>
      <c r="AD257" s="320">
        <f t="shared" si="130"/>
        <v>0</v>
      </c>
      <c r="AF257" s="11"/>
      <c r="AG257" s="24"/>
      <c r="AH257" s="64">
        <f t="shared" si="134"/>
        <v>43385</v>
      </c>
      <c r="AI257" s="698"/>
      <c r="AJ257" s="699"/>
      <c r="AK257" s="699"/>
      <c r="AL257" s="699"/>
      <c r="AM257" s="699"/>
      <c r="AN257" s="699"/>
      <c r="AO257" s="699"/>
      <c r="AP257" s="699"/>
      <c r="AQ257" s="699"/>
      <c r="AR257" s="699"/>
      <c r="AS257" s="699"/>
      <c r="AT257" s="699"/>
      <c r="AU257" s="699"/>
      <c r="AV257" s="699"/>
      <c r="AW257" s="699"/>
      <c r="AX257" s="700"/>
      <c r="AY257" s="700"/>
      <c r="AZ257" s="701"/>
    </row>
    <row r="258" spans="1:52" ht="29.25" customHeight="1" thickBot="1">
      <c r="A258" s="64">
        <f t="shared" si="133"/>
        <v>44878</v>
      </c>
      <c r="B258" s="137"/>
      <c r="C258" s="137"/>
      <c r="D258" s="137"/>
      <c r="E258" s="137"/>
      <c r="F258" s="137"/>
      <c r="G258" s="137"/>
      <c r="H258" s="137"/>
      <c r="I258" s="137"/>
      <c r="J258" s="137"/>
      <c r="K258" s="137"/>
      <c r="L258" s="137"/>
      <c r="M258" s="137"/>
      <c r="N258" s="137"/>
      <c r="O258" s="137"/>
      <c r="P258" s="150"/>
      <c r="Q258" s="150"/>
      <c r="R258" s="138"/>
      <c r="S258" s="150"/>
      <c r="T258" s="149"/>
      <c r="U258" s="149"/>
      <c r="V258" s="149"/>
      <c r="W258" s="149"/>
      <c r="X258" s="149"/>
      <c r="Y258" s="255">
        <f t="shared" si="131"/>
        <v>0</v>
      </c>
      <c r="Z258" s="309">
        <f t="shared" si="132"/>
        <v>0</v>
      </c>
      <c r="AA258" s="256">
        <f t="shared" si="129"/>
        <v>0</v>
      </c>
      <c r="AB258" s="309"/>
      <c r="AC258" s="309"/>
      <c r="AD258" s="320">
        <f t="shared" si="130"/>
        <v>0</v>
      </c>
      <c r="AF258" s="11"/>
      <c r="AG258" s="24"/>
      <c r="AH258" s="64">
        <f t="shared" si="134"/>
        <v>43386</v>
      </c>
      <c r="AI258" s="698"/>
      <c r="AJ258" s="699"/>
      <c r="AK258" s="699"/>
      <c r="AL258" s="699"/>
      <c r="AM258" s="699"/>
      <c r="AN258" s="699"/>
      <c r="AO258" s="699"/>
      <c r="AP258" s="699"/>
      <c r="AQ258" s="699"/>
      <c r="AR258" s="699"/>
      <c r="AS258" s="699"/>
      <c r="AT258" s="699"/>
      <c r="AU258" s="699"/>
      <c r="AV258" s="699"/>
      <c r="AW258" s="699"/>
      <c r="AX258" s="700"/>
      <c r="AY258" s="700"/>
      <c r="AZ258" s="701"/>
    </row>
    <row r="259" spans="1:52" ht="29.25" customHeight="1" thickBot="1">
      <c r="A259" s="64">
        <f t="shared" si="133"/>
        <v>44879</v>
      </c>
      <c r="B259" s="137"/>
      <c r="C259" s="137"/>
      <c r="D259" s="137"/>
      <c r="E259" s="137"/>
      <c r="F259" s="137"/>
      <c r="G259" s="137"/>
      <c r="H259" s="137"/>
      <c r="I259" s="137"/>
      <c r="J259" s="137"/>
      <c r="K259" s="137"/>
      <c r="L259" s="137"/>
      <c r="M259" s="137"/>
      <c r="N259" s="137"/>
      <c r="O259" s="137"/>
      <c r="P259" s="150"/>
      <c r="Q259" s="150"/>
      <c r="R259" s="138"/>
      <c r="S259" s="150"/>
      <c r="T259" s="149"/>
      <c r="U259" s="149"/>
      <c r="V259" s="149"/>
      <c r="W259" s="149"/>
      <c r="X259" s="149"/>
      <c r="Y259" s="255">
        <f t="shared" si="131"/>
        <v>0</v>
      </c>
      <c r="Z259" s="309">
        <f t="shared" si="132"/>
        <v>0</v>
      </c>
      <c r="AA259" s="256">
        <f t="shared" si="129"/>
        <v>0</v>
      </c>
      <c r="AB259" s="309"/>
      <c r="AC259" s="309"/>
      <c r="AD259" s="320">
        <f t="shared" si="130"/>
        <v>0</v>
      </c>
      <c r="AF259" s="11"/>
      <c r="AG259" s="24"/>
      <c r="AH259" s="64">
        <f t="shared" si="134"/>
        <v>43387</v>
      </c>
      <c r="AI259" s="698"/>
      <c r="AJ259" s="699"/>
      <c r="AK259" s="699"/>
      <c r="AL259" s="699"/>
      <c r="AM259" s="699"/>
      <c r="AN259" s="699"/>
      <c r="AO259" s="699"/>
      <c r="AP259" s="699"/>
      <c r="AQ259" s="699"/>
      <c r="AR259" s="699"/>
      <c r="AS259" s="699"/>
      <c r="AT259" s="699"/>
      <c r="AU259" s="699"/>
      <c r="AV259" s="699"/>
      <c r="AW259" s="699"/>
      <c r="AX259" s="700"/>
      <c r="AY259" s="700"/>
      <c r="AZ259" s="701"/>
    </row>
    <row r="260" spans="1:52" ht="29.25" customHeight="1" thickBot="1">
      <c r="A260" s="64">
        <f t="shared" si="133"/>
        <v>44880</v>
      </c>
      <c r="B260" s="137"/>
      <c r="C260" s="137"/>
      <c r="D260" s="137"/>
      <c r="E260" s="137"/>
      <c r="F260" s="137"/>
      <c r="G260" s="137"/>
      <c r="H260" s="137"/>
      <c r="I260" s="137"/>
      <c r="J260" s="137"/>
      <c r="K260" s="137"/>
      <c r="L260" s="137"/>
      <c r="M260" s="137"/>
      <c r="N260" s="137"/>
      <c r="O260" s="137"/>
      <c r="P260" s="150"/>
      <c r="Q260" s="150"/>
      <c r="R260" s="138"/>
      <c r="S260" s="150"/>
      <c r="T260" s="149"/>
      <c r="U260" s="149"/>
      <c r="V260" s="149"/>
      <c r="W260" s="149"/>
      <c r="X260" s="149"/>
      <c r="Y260" s="255">
        <f t="shared" si="131"/>
        <v>0</v>
      </c>
      <c r="Z260" s="309">
        <f t="shared" si="132"/>
        <v>0</v>
      </c>
      <c r="AA260" s="256">
        <f t="shared" si="129"/>
        <v>0</v>
      </c>
      <c r="AB260" s="309"/>
      <c r="AC260" s="309"/>
      <c r="AD260" s="320">
        <f t="shared" si="130"/>
        <v>0</v>
      </c>
      <c r="AF260" s="11"/>
      <c r="AG260" s="24"/>
      <c r="AH260" s="64">
        <f t="shared" si="134"/>
        <v>43388</v>
      </c>
      <c r="AI260" s="698"/>
      <c r="AJ260" s="699"/>
      <c r="AK260" s="699"/>
      <c r="AL260" s="699"/>
      <c r="AM260" s="699"/>
      <c r="AN260" s="699"/>
      <c r="AO260" s="699"/>
      <c r="AP260" s="699"/>
      <c r="AQ260" s="699"/>
      <c r="AR260" s="699"/>
      <c r="AS260" s="699"/>
      <c r="AT260" s="699"/>
      <c r="AU260" s="699"/>
      <c r="AV260" s="699"/>
      <c r="AW260" s="699"/>
      <c r="AX260" s="700"/>
      <c r="AY260" s="700"/>
      <c r="AZ260" s="701"/>
    </row>
    <row r="261" spans="1:52" ht="29.25" customHeight="1" thickBot="1">
      <c r="A261" s="64">
        <f t="shared" si="133"/>
        <v>44881</v>
      </c>
      <c r="B261" s="137"/>
      <c r="C261" s="137"/>
      <c r="D261" s="137"/>
      <c r="E261" s="137"/>
      <c r="F261" s="137"/>
      <c r="G261" s="137"/>
      <c r="H261" s="137"/>
      <c r="I261" s="137"/>
      <c r="J261" s="137"/>
      <c r="K261" s="137"/>
      <c r="L261" s="137"/>
      <c r="M261" s="137"/>
      <c r="N261" s="137"/>
      <c r="O261" s="137"/>
      <c r="P261" s="150"/>
      <c r="Q261" s="150"/>
      <c r="R261" s="138"/>
      <c r="S261" s="150"/>
      <c r="T261" s="149"/>
      <c r="U261" s="149"/>
      <c r="V261" s="149"/>
      <c r="W261" s="149"/>
      <c r="X261" s="149"/>
      <c r="Y261" s="255">
        <f t="shared" si="131"/>
        <v>0</v>
      </c>
      <c r="Z261" s="309">
        <f t="shared" si="132"/>
        <v>0</v>
      </c>
      <c r="AA261" s="256">
        <f t="shared" si="129"/>
        <v>0</v>
      </c>
      <c r="AB261" s="309"/>
      <c r="AC261" s="309"/>
      <c r="AD261" s="320">
        <f t="shared" si="130"/>
        <v>0</v>
      </c>
      <c r="AF261" s="11"/>
      <c r="AG261" s="24"/>
      <c r="AH261" s="64">
        <f t="shared" si="134"/>
        <v>43389</v>
      </c>
      <c r="AI261" s="698"/>
      <c r="AJ261" s="699"/>
      <c r="AK261" s="699"/>
      <c r="AL261" s="699"/>
      <c r="AM261" s="699"/>
      <c r="AN261" s="699"/>
      <c r="AO261" s="699"/>
      <c r="AP261" s="699"/>
      <c r="AQ261" s="699"/>
      <c r="AR261" s="699"/>
      <c r="AS261" s="699"/>
      <c r="AT261" s="699"/>
      <c r="AU261" s="699"/>
      <c r="AV261" s="699"/>
      <c r="AW261" s="699"/>
      <c r="AX261" s="700"/>
      <c r="AY261" s="700"/>
      <c r="AZ261" s="701"/>
    </row>
    <row r="262" spans="1:52" ht="29.25" customHeight="1" thickBot="1">
      <c r="A262" s="64">
        <f t="shared" si="133"/>
        <v>44882</v>
      </c>
      <c r="B262" s="137"/>
      <c r="C262" s="137"/>
      <c r="D262" s="137"/>
      <c r="E262" s="137"/>
      <c r="F262" s="137"/>
      <c r="G262" s="137"/>
      <c r="H262" s="137"/>
      <c r="I262" s="137"/>
      <c r="J262" s="137"/>
      <c r="K262" s="137"/>
      <c r="L262" s="137"/>
      <c r="M262" s="137"/>
      <c r="N262" s="137"/>
      <c r="O262" s="137"/>
      <c r="P262" s="150"/>
      <c r="Q262" s="150"/>
      <c r="R262" s="138"/>
      <c r="S262" s="150"/>
      <c r="T262" s="149"/>
      <c r="U262" s="149"/>
      <c r="V262" s="149"/>
      <c r="W262" s="149"/>
      <c r="X262" s="149"/>
      <c r="Y262" s="255">
        <f t="shared" si="131"/>
        <v>0</v>
      </c>
      <c r="Z262" s="309">
        <f t="shared" si="132"/>
        <v>0</v>
      </c>
      <c r="AA262" s="256">
        <f t="shared" si="129"/>
        <v>0</v>
      </c>
      <c r="AB262" s="309"/>
      <c r="AC262" s="309"/>
      <c r="AD262" s="320">
        <f t="shared" si="130"/>
        <v>0</v>
      </c>
      <c r="AF262" s="11"/>
      <c r="AG262" s="24"/>
      <c r="AH262" s="64">
        <f t="shared" si="134"/>
        <v>43390</v>
      </c>
      <c r="AI262" s="698"/>
      <c r="AJ262" s="699"/>
      <c r="AK262" s="699"/>
      <c r="AL262" s="699"/>
      <c r="AM262" s="699"/>
      <c r="AN262" s="699"/>
      <c r="AO262" s="699"/>
      <c r="AP262" s="699"/>
      <c r="AQ262" s="699"/>
      <c r="AR262" s="699"/>
      <c r="AS262" s="699"/>
      <c r="AT262" s="699"/>
      <c r="AU262" s="699"/>
      <c r="AV262" s="699"/>
      <c r="AW262" s="699"/>
      <c r="AX262" s="700"/>
      <c r="AY262" s="700"/>
      <c r="AZ262" s="701"/>
    </row>
    <row r="263" spans="1:52" ht="29.25" customHeight="1" thickBot="1">
      <c r="A263" s="64">
        <f t="shared" si="133"/>
        <v>44883</v>
      </c>
      <c r="B263" s="137"/>
      <c r="C263" s="137"/>
      <c r="D263" s="137"/>
      <c r="E263" s="137"/>
      <c r="F263" s="137"/>
      <c r="G263" s="137"/>
      <c r="H263" s="137"/>
      <c r="I263" s="137"/>
      <c r="J263" s="137"/>
      <c r="K263" s="137"/>
      <c r="L263" s="137"/>
      <c r="M263" s="137"/>
      <c r="N263" s="137"/>
      <c r="O263" s="137"/>
      <c r="P263" s="150"/>
      <c r="Q263" s="150"/>
      <c r="R263" s="138"/>
      <c r="S263" s="150"/>
      <c r="T263" s="149"/>
      <c r="U263" s="149"/>
      <c r="V263" s="149"/>
      <c r="W263" s="149"/>
      <c r="X263" s="149"/>
      <c r="Y263" s="255">
        <f t="shared" si="131"/>
        <v>0</v>
      </c>
      <c r="Z263" s="309">
        <f t="shared" si="132"/>
        <v>0</v>
      </c>
      <c r="AA263" s="256">
        <f t="shared" si="129"/>
        <v>0</v>
      </c>
      <c r="AB263" s="309"/>
      <c r="AC263" s="309"/>
      <c r="AD263" s="320">
        <f t="shared" si="130"/>
        <v>0</v>
      </c>
      <c r="AF263" s="11"/>
      <c r="AG263" s="24"/>
      <c r="AH263" s="64">
        <f t="shared" si="134"/>
        <v>43391</v>
      </c>
      <c r="AI263" s="698"/>
      <c r="AJ263" s="699"/>
      <c r="AK263" s="699"/>
      <c r="AL263" s="699"/>
      <c r="AM263" s="699"/>
      <c r="AN263" s="699"/>
      <c r="AO263" s="699"/>
      <c r="AP263" s="699"/>
      <c r="AQ263" s="699"/>
      <c r="AR263" s="699"/>
      <c r="AS263" s="699"/>
      <c r="AT263" s="699"/>
      <c r="AU263" s="699"/>
      <c r="AV263" s="699"/>
      <c r="AW263" s="699"/>
      <c r="AX263" s="700"/>
      <c r="AY263" s="700"/>
      <c r="AZ263" s="701"/>
    </row>
    <row r="264" spans="1:52" ht="29.25" customHeight="1" thickBot="1">
      <c r="A264" s="64">
        <f t="shared" si="133"/>
        <v>44884</v>
      </c>
      <c r="B264" s="137"/>
      <c r="C264" s="137"/>
      <c r="D264" s="137"/>
      <c r="E264" s="137"/>
      <c r="F264" s="137"/>
      <c r="G264" s="137"/>
      <c r="H264" s="137"/>
      <c r="I264" s="137"/>
      <c r="J264" s="137"/>
      <c r="K264" s="137"/>
      <c r="L264" s="137"/>
      <c r="M264" s="137"/>
      <c r="N264" s="137"/>
      <c r="O264" s="137"/>
      <c r="P264" s="150"/>
      <c r="Q264" s="150"/>
      <c r="R264" s="138"/>
      <c r="S264" s="150"/>
      <c r="T264" s="149"/>
      <c r="U264" s="149"/>
      <c r="V264" s="149"/>
      <c r="W264" s="149"/>
      <c r="X264" s="149"/>
      <c r="Y264" s="255">
        <f t="shared" si="131"/>
        <v>0</v>
      </c>
      <c r="Z264" s="309">
        <f t="shared" si="132"/>
        <v>0</v>
      </c>
      <c r="AA264" s="256">
        <f t="shared" si="129"/>
        <v>0</v>
      </c>
      <c r="AB264" s="309"/>
      <c r="AC264" s="309"/>
      <c r="AD264" s="320">
        <f t="shared" si="130"/>
        <v>0</v>
      </c>
      <c r="AF264" s="11"/>
      <c r="AG264" s="24"/>
      <c r="AH264" s="64">
        <f t="shared" si="134"/>
        <v>43392</v>
      </c>
      <c r="AI264" s="698"/>
      <c r="AJ264" s="699"/>
      <c r="AK264" s="699"/>
      <c r="AL264" s="699"/>
      <c r="AM264" s="699"/>
      <c r="AN264" s="699"/>
      <c r="AO264" s="699"/>
      <c r="AP264" s="699"/>
      <c r="AQ264" s="699"/>
      <c r="AR264" s="699"/>
      <c r="AS264" s="699"/>
      <c r="AT264" s="699"/>
      <c r="AU264" s="699"/>
      <c r="AV264" s="699"/>
      <c r="AW264" s="699"/>
      <c r="AX264" s="700"/>
      <c r="AY264" s="700"/>
      <c r="AZ264" s="701"/>
    </row>
    <row r="265" spans="1:52" ht="29.25" customHeight="1" thickBot="1">
      <c r="A265" s="64">
        <f t="shared" si="133"/>
        <v>44885</v>
      </c>
      <c r="B265" s="137"/>
      <c r="C265" s="137"/>
      <c r="D265" s="137"/>
      <c r="E265" s="137"/>
      <c r="F265" s="137"/>
      <c r="G265" s="137"/>
      <c r="H265" s="137"/>
      <c r="I265" s="137"/>
      <c r="J265" s="137"/>
      <c r="K265" s="137"/>
      <c r="L265" s="137"/>
      <c r="M265" s="137"/>
      <c r="N265" s="137"/>
      <c r="O265" s="137"/>
      <c r="P265" s="150"/>
      <c r="Q265" s="150"/>
      <c r="R265" s="138"/>
      <c r="S265" s="150"/>
      <c r="T265" s="149"/>
      <c r="U265" s="149"/>
      <c r="V265" s="149"/>
      <c r="W265" s="149"/>
      <c r="X265" s="149"/>
      <c r="Y265" s="255">
        <f t="shared" si="131"/>
        <v>0</v>
      </c>
      <c r="Z265" s="309">
        <f t="shared" si="132"/>
        <v>0</v>
      </c>
      <c r="AA265" s="256">
        <f t="shared" si="129"/>
        <v>0</v>
      </c>
      <c r="AB265" s="309"/>
      <c r="AC265" s="309"/>
      <c r="AD265" s="320">
        <f t="shared" si="130"/>
        <v>0</v>
      </c>
      <c r="AF265" s="11"/>
      <c r="AG265" s="24"/>
      <c r="AH265" s="64">
        <f t="shared" si="134"/>
        <v>43393</v>
      </c>
      <c r="AI265" s="698"/>
      <c r="AJ265" s="699"/>
      <c r="AK265" s="699"/>
      <c r="AL265" s="699"/>
      <c r="AM265" s="699"/>
      <c r="AN265" s="699"/>
      <c r="AO265" s="699"/>
      <c r="AP265" s="699"/>
      <c r="AQ265" s="699"/>
      <c r="AR265" s="699"/>
      <c r="AS265" s="699"/>
      <c r="AT265" s="699"/>
      <c r="AU265" s="699"/>
      <c r="AV265" s="699"/>
      <c r="AW265" s="699"/>
      <c r="AX265" s="700"/>
      <c r="AY265" s="700"/>
      <c r="AZ265" s="701"/>
    </row>
    <row r="266" spans="1:52" ht="29.25" customHeight="1" thickBot="1">
      <c r="A266" s="64">
        <f>A265+1</f>
        <v>44886</v>
      </c>
      <c r="B266" s="137"/>
      <c r="C266" s="137"/>
      <c r="D266" s="137"/>
      <c r="E266" s="137"/>
      <c r="F266" s="137"/>
      <c r="G266" s="137"/>
      <c r="H266" s="137"/>
      <c r="I266" s="137"/>
      <c r="J266" s="137"/>
      <c r="K266" s="137"/>
      <c r="L266" s="137"/>
      <c r="M266" s="137"/>
      <c r="N266" s="137"/>
      <c r="O266" s="137"/>
      <c r="P266" s="150"/>
      <c r="Q266" s="150"/>
      <c r="R266" s="138"/>
      <c r="S266" s="150"/>
      <c r="T266" s="149"/>
      <c r="U266" s="149"/>
      <c r="V266" s="149"/>
      <c r="W266" s="149"/>
      <c r="X266" s="149"/>
      <c r="Y266" s="255">
        <f t="shared" si="131"/>
        <v>0</v>
      </c>
      <c r="Z266" s="309">
        <f t="shared" si="132"/>
        <v>0</v>
      </c>
      <c r="AA266" s="256">
        <f t="shared" si="129"/>
        <v>0</v>
      </c>
      <c r="AB266" s="309"/>
      <c r="AC266" s="309"/>
      <c r="AD266" s="320">
        <f t="shared" si="130"/>
        <v>0</v>
      </c>
      <c r="AF266" s="11"/>
      <c r="AG266" s="24"/>
      <c r="AH266" s="64">
        <f t="shared" si="134"/>
        <v>43394</v>
      </c>
      <c r="AI266" s="698"/>
      <c r="AJ266" s="699"/>
      <c r="AK266" s="699"/>
      <c r="AL266" s="699"/>
      <c r="AM266" s="699"/>
      <c r="AN266" s="699"/>
      <c r="AO266" s="699"/>
      <c r="AP266" s="699"/>
      <c r="AQ266" s="699"/>
      <c r="AR266" s="699"/>
      <c r="AS266" s="699"/>
      <c r="AT266" s="699"/>
      <c r="AU266" s="699"/>
      <c r="AV266" s="699"/>
      <c r="AW266" s="699"/>
      <c r="AX266" s="700"/>
      <c r="AY266" s="700"/>
      <c r="AZ266" s="701"/>
    </row>
    <row r="267" spans="1:52" ht="29.25" customHeight="1" thickBot="1">
      <c r="A267" s="64">
        <f>A266+1</f>
        <v>44887</v>
      </c>
      <c r="B267" s="137"/>
      <c r="C267" s="137"/>
      <c r="D267" s="137"/>
      <c r="E267" s="137"/>
      <c r="F267" s="137"/>
      <c r="G267" s="137"/>
      <c r="H267" s="137"/>
      <c r="I267" s="137"/>
      <c r="J267" s="137"/>
      <c r="K267" s="137"/>
      <c r="L267" s="137"/>
      <c r="M267" s="137"/>
      <c r="N267" s="137"/>
      <c r="O267" s="137"/>
      <c r="P267" s="150"/>
      <c r="Q267" s="150"/>
      <c r="R267" s="138"/>
      <c r="S267" s="150"/>
      <c r="T267" s="149"/>
      <c r="U267" s="149"/>
      <c r="V267" s="149"/>
      <c r="W267" s="149"/>
      <c r="X267" s="149"/>
      <c r="Y267" s="255">
        <f t="shared" si="131"/>
        <v>0</v>
      </c>
      <c r="Z267" s="309">
        <f t="shared" si="132"/>
        <v>0</v>
      </c>
      <c r="AA267" s="256">
        <f t="shared" si="129"/>
        <v>0</v>
      </c>
      <c r="AB267" s="309"/>
      <c r="AC267" s="309"/>
      <c r="AD267" s="320">
        <f t="shared" si="130"/>
        <v>0</v>
      </c>
      <c r="AF267" s="11"/>
      <c r="AG267" s="24"/>
      <c r="AH267" s="64">
        <f t="shared" si="134"/>
        <v>43395</v>
      </c>
      <c r="AI267" s="698"/>
      <c r="AJ267" s="699"/>
      <c r="AK267" s="699"/>
      <c r="AL267" s="699"/>
      <c r="AM267" s="699"/>
      <c r="AN267" s="699"/>
      <c r="AO267" s="699"/>
      <c r="AP267" s="699"/>
      <c r="AQ267" s="699"/>
      <c r="AR267" s="699"/>
      <c r="AS267" s="699"/>
      <c r="AT267" s="699"/>
      <c r="AU267" s="699"/>
      <c r="AV267" s="699"/>
      <c r="AW267" s="699"/>
      <c r="AX267" s="700"/>
      <c r="AY267" s="700"/>
      <c r="AZ267" s="701"/>
    </row>
    <row r="268" spans="1:52" ht="29.25" customHeight="1" thickBot="1">
      <c r="A268" s="64">
        <f t="shared" si="133"/>
        <v>44888</v>
      </c>
      <c r="B268" s="137"/>
      <c r="C268" s="137"/>
      <c r="D268" s="137"/>
      <c r="E268" s="137"/>
      <c r="F268" s="137"/>
      <c r="G268" s="137"/>
      <c r="H268" s="137"/>
      <c r="I268" s="137"/>
      <c r="J268" s="137"/>
      <c r="K268" s="137"/>
      <c r="L268" s="137"/>
      <c r="M268" s="137"/>
      <c r="N268" s="137"/>
      <c r="O268" s="137"/>
      <c r="P268" s="150"/>
      <c r="Q268" s="150"/>
      <c r="R268" s="138"/>
      <c r="S268" s="150"/>
      <c r="T268" s="149"/>
      <c r="U268" s="149"/>
      <c r="V268" s="149"/>
      <c r="W268" s="149"/>
      <c r="X268" s="149"/>
      <c r="Y268" s="255">
        <f t="shared" si="131"/>
        <v>0</v>
      </c>
      <c r="Z268" s="309">
        <f t="shared" si="132"/>
        <v>0</v>
      </c>
      <c r="AA268" s="256">
        <f t="shared" si="129"/>
        <v>0</v>
      </c>
      <c r="AB268" s="309"/>
      <c r="AC268" s="309"/>
      <c r="AD268" s="320">
        <f t="shared" si="130"/>
        <v>0</v>
      </c>
      <c r="AF268" s="11"/>
      <c r="AG268" s="24"/>
      <c r="AH268" s="64">
        <f t="shared" si="134"/>
        <v>43396</v>
      </c>
      <c r="AI268" s="698"/>
      <c r="AJ268" s="699"/>
      <c r="AK268" s="699"/>
      <c r="AL268" s="699"/>
      <c r="AM268" s="699"/>
      <c r="AN268" s="699"/>
      <c r="AO268" s="699"/>
      <c r="AP268" s="699"/>
      <c r="AQ268" s="699"/>
      <c r="AR268" s="699"/>
      <c r="AS268" s="699"/>
      <c r="AT268" s="699"/>
      <c r="AU268" s="699"/>
      <c r="AV268" s="699"/>
      <c r="AW268" s="699"/>
      <c r="AX268" s="700"/>
      <c r="AY268" s="700"/>
      <c r="AZ268" s="701"/>
    </row>
    <row r="269" spans="1:52" ht="29.25" customHeight="1" thickBot="1">
      <c r="A269" s="64">
        <f t="shared" si="133"/>
        <v>44889</v>
      </c>
      <c r="B269" s="137"/>
      <c r="C269" s="137"/>
      <c r="D269" s="137"/>
      <c r="E269" s="137"/>
      <c r="F269" s="137"/>
      <c r="G269" s="137"/>
      <c r="H269" s="137"/>
      <c r="I269" s="137"/>
      <c r="J269" s="137"/>
      <c r="K269" s="137"/>
      <c r="L269" s="137"/>
      <c r="M269" s="137"/>
      <c r="N269" s="137"/>
      <c r="O269" s="137"/>
      <c r="P269" s="150"/>
      <c r="Q269" s="150"/>
      <c r="R269" s="138"/>
      <c r="S269" s="150"/>
      <c r="T269" s="149"/>
      <c r="U269" s="149"/>
      <c r="V269" s="149"/>
      <c r="W269" s="149"/>
      <c r="X269" s="149"/>
      <c r="Y269" s="255">
        <f t="shared" si="131"/>
        <v>0</v>
      </c>
      <c r="Z269" s="309">
        <f t="shared" si="132"/>
        <v>0</v>
      </c>
      <c r="AA269" s="256">
        <f>Y269+Z269</f>
        <v>0</v>
      </c>
      <c r="AB269" s="309"/>
      <c r="AC269" s="309"/>
      <c r="AD269" s="320">
        <f t="shared" si="130"/>
        <v>0</v>
      </c>
      <c r="AF269" s="11"/>
      <c r="AG269" s="24"/>
      <c r="AH269" s="64">
        <f t="shared" si="134"/>
        <v>43397</v>
      </c>
      <c r="AI269" s="698"/>
      <c r="AJ269" s="699"/>
      <c r="AK269" s="699"/>
      <c r="AL269" s="699"/>
      <c r="AM269" s="699"/>
      <c r="AN269" s="699"/>
      <c r="AO269" s="699"/>
      <c r="AP269" s="699"/>
      <c r="AQ269" s="699"/>
      <c r="AR269" s="699"/>
      <c r="AS269" s="699"/>
      <c r="AT269" s="699"/>
      <c r="AU269" s="699"/>
      <c r="AV269" s="699"/>
      <c r="AW269" s="699"/>
      <c r="AX269" s="700"/>
      <c r="AY269" s="700"/>
      <c r="AZ269" s="701"/>
    </row>
    <row r="270" spans="1:52" ht="29.25" customHeight="1" thickBot="1">
      <c r="A270" s="64">
        <f t="shared" si="133"/>
        <v>44890</v>
      </c>
      <c r="B270" s="137"/>
      <c r="C270" s="137"/>
      <c r="D270" s="137"/>
      <c r="E270" s="137"/>
      <c r="F270" s="137"/>
      <c r="G270" s="137"/>
      <c r="H270" s="137"/>
      <c r="I270" s="137"/>
      <c r="J270" s="137"/>
      <c r="K270" s="137"/>
      <c r="L270" s="137"/>
      <c r="M270" s="137"/>
      <c r="N270" s="137"/>
      <c r="O270" s="137"/>
      <c r="P270" s="150"/>
      <c r="Q270" s="150"/>
      <c r="R270" s="138"/>
      <c r="S270" s="150"/>
      <c r="T270" s="149"/>
      <c r="U270" s="149"/>
      <c r="V270" s="149"/>
      <c r="W270" s="149"/>
      <c r="X270" s="149"/>
      <c r="Y270" s="255">
        <f t="shared" si="131"/>
        <v>0</v>
      </c>
      <c r="Z270" s="309">
        <f t="shared" si="132"/>
        <v>0</v>
      </c>
      <c r="AA270" s="256">
        <f t="shared" si="129"/>
        <v>0</v>
      </c>
      <c r="AB270" s="309"/>
      <c r="AC270" s="309"/>
      <c r="AD270" s="320">
        <f t="shared" si="130"/>
        <v>0</v>
      </c>
      <c r="AF270" s="11"/>
      <c r="AG270" s="24"/>
      <c r="AH270" s="64">
        <f t="shared" si="134"/>
        <v>43398</v>
      </c>
      <c r="AI270" s="698"/>
      <c r="AJ270" s="699"/>
      <c r="AK270" s="699"/>
      <c r="AL270" s="699"/>
      <c r="AM270" s="699"/>
      <c r="AN270" s="699"/>
      <c r="AO270" s="699"/>
      <c r="AP270" s="699"/>
      <c r="AQ270" s="699"/>
      <c r="AR270" s="699"/>
      <c r="AS270" s="699"/>
      <c r="AT270" s="699"/>
      <c r="AU270" s="699"/>
      <c r="AV270" s="699"/>
      <c r="AW270" s="699"/>
      <c r="AX270" s="700"/>
      <c r="AY270" s="700"/>
      <c r="AZ270" s="701"/>
    </row>
    <row r="271" spans="1:52" ht="29.25" customHeight="1" thickBot="1">
      <c r="A271" s="64">
        <f t="shared" si="133"/>
        <v>44891</v>
      </c>
      <c r="B271" s="137"/>
      <c r="C271" s="137"/>
      <c r="D271" s="137"/>
      <c r="E271" s="137"/>
      <c r="F271" s="137"/>
      <c r="G271" s="137"/>
      <c r="H271" s="137"/>
      <c r="I271" s="137"/>
      <c r="J271" s="137"/>
      <c r="K271" s="137"/>
      <c r="L271" s="137"/>
      <c r="M271" s="137"/>
      <c r="N271" s="137"/>
      <c r="O271" s="137"/>
      <c r="P271" s="150"/>
      <c r="Q271" s="150"/>
      <c r="R271" s="138"/>
      <c r="S271" s="150"/>
      <c r="T271" s="149"/>
      <c r="U271" s="149"/>
      <c r="V271" s="149"/>
      <c r="W271" s="149"/>
      <c r="X271" s="149"/>
      <c r="Y271" s="255">
        <f t="shared" si="131"/>
        <v>0</v>
      </c>
      <c r="Z271" s="309">
        <f t="shared" si="132"/>
        <v>0</v>
      </c>
      <c r="AA271" s="256">
        <f t="shared" si="129"/>
        <v>0</v>
      </c>
      <c r="AB271" s="309"/>
      <c r="AC271" s="309"/>
      <c r="AD271" s="320">
        <f t="shared" si="130"/>
        <v>0</v>
      </c>
      <c r="AF271" s="11"/>
      <c r="AG271" s="24"/>
      <c r="AH271" s="64">
        <f t="shared" si="134"/>
        <v>43399</v>
      </c>
      <c r="AI271" s="698"/>
      <c r="AJ271" s="699"/>
      <c r="AK271" s="699"/>
      <c r="AL271" s="699"/>
      <c r="AM271" s="699"/>
      <c r="AN271" s="699"/>
      <c r="AO271" s="699"/>
      <c r="AP271" s="699"/>
      <c r="AQ271" s="699"/>
      <c r="AR271" s="699"/>
      <c r="AS271" s="699"/>
      <c r="AT271" s="699"/>
      <c r="AU271" s="699"/>
      <c r="AV271" s="699"/>
      <c r="AW271" s="699"/>
      <c r="AX271" s="700"/>
      <c r="AY271" s="700"/>
      <c r="AZ271" s="701"/>
    </row>
    <row r="272" spans="1:52" ht="29.25" customHeight="1" thickBot="1">
      <c r="A272" s="64">
        <f t="shared" si="133"/>
        <v>44892</v>
      </c>
      <c r="B272" s="137"/>
      <c r="C272" s="137"/>
      <c r="D272" s="137"/>
      <c r="E272" s="137"/>
      <c r="F272" s="137"/>
      <c r="G272" s="137"/>
      <c r="H272" s="137"/>
      <c r="I272" s="137"/>
      <c r="J272" s="137"/>
      <c r="K272" s="137"/>
      <c r="L272" s="137"/>
      <c r="M272" s="137"/>
      <c r="N272" s="137"/>
      <c r="O272" s="137"/>
      <c r="P272" s="150"/>
      <c r="Q272" s="150"/>
      <c r="R272" s="138"/>
      <c r="S272" s="150"/>
      <c r="T272" s="149"/>
      <c r="U272" s="149"/>
      <c r="V272" s="149"/>
      <c r="W272" s="149"/>
      <c r="X272" s="149"/>
      <c r="Y272" s="255">
        <f t="shared" si="131"/>
        <v>0</v>
      </c>
      <c r="Z272" s="309">
        <f t="shared" si="132"/>
        <v>0</v>
      </c>
      <c r="AA272" s="256">
        <f t="shared" si="129"/>
        <v>0</v>
      </c>
      <c r="AB272" s="309"/>
      <c r="AC272" s="309"/>
      <c r="AD272" s="320">
        <f t="shared" si="130"/>
        <v>0</v>
      </c>
      <c r="AF272" s="11"/>
      <c r="AG272" s="24"/>
      <c r="AH272" s="64">
        <f t="shared" si="134"/>
        <v>43400</v>
      </c>
      <c r="AI272" s="698"/>
      <c r="AJ272" s="699"/>
      <c r="AK272" s="699"/>
      <c r="AL272" s="699"/>
      <c r="AM272" s="699"/>
      <c r="AN272" s="699"/>
      <c r="AO272" s="699"/>
      <c r="AP272" s="699"/>
      <c r="AQ272" s="699"/>
      <c r="AR272" s="699"/>
      <c r="AS272" s="699"/>
      <c r="AT272" s="699"/>
      <c r="AU272" s="699"/>
      <c r="AV272" s="699"/>
      <c r="AW272" s="699"/>
      <c r="AX272" s="700"/>
      <c r="AY272" s="700"/>
      <c r="AZ272" s="701"/>
    </row>
    <row r="273" spans="1:52" ht="29.25" customHeight="1" thickBot="1">
      <c r="A273" s="64">
        <f t="shared" si="133"/>
        <v>44893</v>
      </c>
      <c r="B273" s="137"/>
      <c r="C273" s="137"/>
      <c r="D273" s="137"/>
      <c r="E273" s="137"/>
      <c r="F273" s="137"/>
      <c r="G273" s="137"/>
      <c r="H273" s="137"/>
      <c r="I273" s="137"/>
      <c r="J273" s="137"/>
      <c r="K273" s="137"/>
      <c r="L273" s="137"/>
      <c r="M273" s="137"/>
      <c r="N273" s="137"/>
      <c r="O273" s="137"/>
      <c r="P273" s="150"/>
      <c r="Q273" s="150"/>
      <c r="R273" s="138"/>
      <c r="S273" s="150"/>
      <c r="T273" s="149"/>
      <c r="U273" s="149"/>
      <c r="V273" s="149"/>
      <c r="W273" s="149"/>
      <c r="X273" s="149"/>
      <c r="Y273" s="255">
        <f t="shared" si="131"/>
        <v>0</v>
      </c>
      <c r="Z273" s="309">
        <f t="shared" si="132"/>
        <v>0</v>
      </c>
      <c r="AA273" s="256">
        <f t="shared" si="129"/>
        <v>0</v>
      </c>
      <c r="AB273" s="309"/>
      <c r="AC273" s="309"/>
      <c r="AD273" s="320">
        <f t="shared" si="130"/>
        <v>0</v>
      </c>
      <c r="AF273" s="11"/>
      <c r="AG273" s="24"/>
      <c r="AH273" s="64">
        <f t="shared" si="134"/>
        <v>43401</v>
      </c>
      <c r="AI273" s="698"/>
      <c r="AJ273" s="699"/>
      <c r="AK273" s="699"/>
      <c r="AL273" s="699"/>
      <c r="AM273" s="699"/>
      <c r="AN273" s="699"/>
      <c r="AO273" s="699"/>
      <c r="AP273" s="699"/>
      <c r="AQ273" s="699"/>
      <c r="AR273" s="699"/>
      <c r="AS273" s="699"/>
      <c r="AT273" s="699"/>
      <c r="AU273" s="699"/>
      <c r="AV273" s="699"/>
      <c r="AW273" s="699"/>
      <c r="AX273" s="700"/>
      <c r="AY273" s="700"/>
      <c r="AZ273" s="701"/>
    </row>
    <row r="274" spans="1:52" ht="29.25" customHeight="1" thickBot="1">
      <c r="A274" s="64">
        <f t="shared" si="133"/>
        <v>44894</v>
      </c>
      <c r="B274" s="137"/>
      <c r="C274" s="137"/>
      <c r="D274" s="137"/>
      <c r="E274" s="137"/>
      <c r="F274" s="137"/>
      <c r="G274" s="137"/>
      <c r="H274" s="137"/>
      <c r="I274" s="137"/>
      <c r="J274" s="137"/>
      <c r="K274" s="137"/>
      <c r="L274" s="137"/>
      <c r="M274" s="137"/>
      <c r="N274" s="137"/>
      <c r="O274" s="137"/>
      <c r="P274" s="150"/>
      <c r="Q274" s="150"/>
      <c r="R274" s="138"/>
      <c r="S274" s="150"/>
      <c r="T274" s="149"/>
      <c r="U274" s="149"/>
      <c r="V274" s="149"/>
      <c r="W274" s="149"/>
      <c r="X274" s="149"/>
      <c r="Y274" s="255">
        <f t="shared" si="131"/>
        <v>0</v>
      </c>
      <c r="Z274" s="309">
        <f t="shared" si="132"/>
        <v>0</v>
      </c>
      <c r="AA274" s="256">
        <f t="shared" si="129"/>
        <v>0</v>
      </c>
      <c r="AB274" s="309"/>
      <c r="AC274" s="309"/>
      <c r="AD274" s="320">
        <f t="shared" si="130"/>
        <v>0</v>
      </c>
      <c r="AF274" s="11"/>
      <c r="AG274" s="24"/>
      <c r="AH274" s="64">
        <f>AH273+1</f>
        <v>43402</v>
      </c>
      <c r="AI274" s="698"/>
      <c r="AJ274" s="699"/>
      <c r="AK274" s="699"/>
      <c r="AL274" s="699"/>
      <c r="AM274" s="699"/>
      <c r="AN274" s="699"/>
      <c r="AO274" s="699"/>
      <c r="AP274" s="699"/>
      <c r="AQ274" s="699"/>
      <c r="AR274" s="699"/>
      <c r="AS274" s="699"/>
      <c r="AT274" s="699"/>
      <c r="AU274" s="699"/>
      <c r="AV274" s="699"/>
      <c r="AW274" s="699"/>
      <c r="AX274" s="700"/>
      <c r="AY274" s="700"/>
      <c r="AZ274" s="701"/>
    </row>
    <row r="275" spans="1:52" ht="29.25" customHeight="1" thickBot="1">
      <c r="A275" s="64">
        <f t="shared" si="133"/>
        <v>44895</v>
      </c>
      <c r="B275" s="137"/>
      <c r="C275" s="137"/>
      <c r="D275" s="137"/>
      <c r="E275" s="137"/>
      <c r="F275" s="137"/>
      <c r="G275" s="137"/>
      <c r="H275" s="137"/>
      <c r="I275" s="137"/>
      <c r="J275" s="137"/>
      <c r="K275" s="137"/>
      <c r="L275" s="137"/>
      <c r="M275" s="137"/>
      <c r="N275" s="137"/>
      <c r="O275" s="137"/>
      <c r="P275" s="150"/>
      <c r="Q275" s="150"/>
      <c r="R275" s="138"/>
      <c r="S275" s="150"/>
      <c r="T275" s="149"/>
      <c r="U275" s="149"/>
      <c r="V275" s="149"/>
      <c r="W275" s="149"/>
      <c r="X275" s="149"/>
      <c r="Y275" s="255">
        <f t="shared" si="131"/>
        <v>0</v>
      </c>
      <c r="Z275" s="309">
        <f t="shared" si="132"/>
        <v>0</v>
      </c>
      <c r="AA275" s="256">
        <f t="shared" si="129"/>
        <v>0</v>
      </c>
      <c r="AB275" s="309"/>
      <c r="AC275" s="309"/>
      <c r="AD275" s="320">
        <f t="shared" si="130"/>
        <v>0</v>
      </c>
      <c r="AF275" s="11"/>
      <c r="AG275" s="24"/>
      <c r="AH275" s="64">
        <f t="shared" si="134"/>
        <v>43403</v>
      </c>
      <c r="AI275" s="698"/>
      <c r="AJ275" s="699"/>
      <c r="AK275" s="699"/>
      <c r="AL275" s="699"/>
      <c r="AM275" s="699"/>
      <c r="AN275" s="699"/>
      <c r="AO275" s="699"/>
      <c r="AP275" s="699"/>
      <c r="AQ275" s="699"/>
      <c r="AR275" s="699"/>
      <c r="AS275" s="699"/>
      <c r="AT275" s="699"/>
      <c r="AU275" s="699"/>
      <c r="AV275" s="699"/>
      <c r="AW275" s="699"/>
      <c r="AX275" s="700"/>
      <c r="AY275" s="700"/>
      <c r="AZ275" s="701"/>
    </row>
    <row r="276" spans="1:52" ht="29.25" customHeight="1" thickBot="1">
      <c r="A276" s="65">
        <f t="shared" si="133"/>
        <v>44896</v>
      </c>
      <c r="B276" s="151"/>
      <c r="C276" s="151"/>
      <c r="D276" s="151"/>
      <c r="E276" s="151"/>
      <c r="F276" s="151"/>
      <c r="G276" s="151"/>
      <c r="H276" s="151"/>
      <c r="I276" s="151"/>
      <c r="J276" s="151"/>
      <c r="K276" s="151"/>
      <c r="L276" s="151"/>
      <c r="M276" s="151"/>
      <c r="N276" s="151"/>
      <c r="O276" s="151"/>
      <c r="P276" s="152"/>
      <c r="Q276" s="152"/>
      <c r="R276" s="141"/>
      <c r="S276" s="152"/>
      <c r="T276" s="152"/>
      <c r="U276" s="152"/>
      <c r="V276" s="152"/>
      <c r="W276" s="152"/>
      <c r="X276" s="152"/>
      <c r="Y276" s="255">
        <f t="shared" si="131"/>
        <v>0</v>
      </c>
      <c r="Z276" s="309">
        <f t="shared" si="132"/>
        <v>0</v>
      </c>
      <c r="AA276" s="256">
        <f t="shared" si="129"/>
        <v>0</v>
      </c>
      <c r="AB276" s="309"/>
      <c r="AC276" s="309"/>
      <c r="AD276" s="320">
        <f t="shared" si="130"/>
        <v>0</v>
      </c>
      <c r="AF276" s="11"/>
      <c r="AG276" s="24"/>
      <c r="AH276" s="65">
        <f t="shared" si="134"/>
        <v>43404</v>
      </c>
      <c r="AI276" s="702"/>
      <c r="AJ276" s="703"/>
      <c r="AK276" s="703"/>
      <c r="AL276" s="703"/>
      <c r="AM276" s="703"/>
      <c r="AN276" s="703"/>
      <c r="AO276" s="703"/>
      <c r="AP276" s="703"/>
      <c r="AQ276" s="703"/>
      <c r="AR276" s="703"/>
      <c r="AS276" s="703"/>
      <c r="AT276" s="703"/>
      <c r="AU276" s="703"/>
      <c r="AV276" s="703"/>
      <c r="AW276" s="703"/>
      <c r="AX276" s="704"/>
      <c r="AY276" s="704"/>
      <c r="AZ276" s="705"/>
    </row>
    <row r="277" spans="1:52" ht="50.1" customHeight="1" thickTop="1" thickBot="1">
      <c r="A277" s="91" t="s">
        <v>74</v>
      </c>
      <c r="B277" s="90">
        <f>SUM(B246:B276)</f>
        <v>0</v>
      </c>
      <c r="C277" s="90">
        <f t="shared" ref="C277:Y277" si="135">SUM(C246:C276)</f>
        <v>0</v>
      </c>
      <c r="D277" s="90">
        <f t="shared" si="135"/>
        <v>0</v>
      </c>
      <c r="E277" s="90"/>
      <c r="F277" s="90">
        <f t="shared" si="135"/>
        <v>0</v>
      </c>
      <c r="G277" s="90">
        <f t="shared" si="135"/>
        <v>0</v>
      </c>
      <c r="H277" s="90">
        <f t="shared" si="135"/>
        <v>0</v>
      </c>
      <c r="I277" s="90">
        <f t="shared" si="135"/>
        <v>0</v>
      </c>
      <c r="J277" s="90">
        <f t="shared" si="135"/>
        <v>0</v>
      </c>
      <c r="K277" s="90">
        <f t="shared" si="135"/>
        <v>0</v>
      </c>
      <c r="L277" s="90">
        <f t="shared" si="135"/>
        <v>0</v>
      </c>
      <c r="M277" s="90">
        <f t="shared" si="135"/>
        <v>0</v>
      </c>
      <c r="N277" s="90">
        <f t="shared" si="135"/>
        <v>0</v>
      </c>
      <c r="O277" s="90">
        <f t="shared" si="135"/>
        <v>0</v>
      </c>
      <c r="P277" s="90"/>
      <c r="Q277" s="90">
        <f t="shared" si="135"/>
        <v>0</v>
      </c>
      <c r="R277" s="90">
        <f t="shared" si="135"/>
        <v>0</v>
      </c>
      <c r="S277" s="90">
        <f t="shared" si="135"/>
        <v>0</v>
      </c>
      <c r="T277" s="90"/>
      <c r="U277" s="90"/>
      <c r="V277" s="90"/>
      <c r="W277" s="90"/>
      <c r="X277" s="90"/>
      <c r="Y277" s="262">
        <f t="shared" si="135"/>
        <v>0</v>
      </c>
      <c r="Z277" s="258"/>
      <c r="AA277" s="259"/>
      <c r="AB277" s="316">
        <f>SUM(AB246:AB276)</f>
        <v>0</v>
      </c>
      <c r="AC277" s="316"/>
      <c r="AD277" s="260"/>
      <c r="AF277" s="9"/>
      <c r="AG277" s="16"/>
      <c r="AH277" s="706" t="s">
        <v>101</v>
      </c>
      <c r="AI277" s="707">
        <f>SUM(AI246:AI276)</f>
        <v>0</v>
      </c>
      <c r="AJ277" s="707">
        <f>SUM(AJ246:AJ276)</f>
        <v>0</v>
      </c>
      <c r="AK277" s="707">
        <f t="shared" ref="AK277:AZ277" si="136">SUM(AK246:AK276)</f>
        <v>0</v>
      </c>
      <c r="AL277" s="707">
        <f t="shared" si="136"/>
        <v>0</v>
      </c>
      <c r="AM277" s="707">
        <f t="shared" si="136"/>
        <v>0</v>
      </c>
      <c r="AN277" s="707">
        <f t="shared" si="136"/>
        <v>0</v>
      </c>
      <c r="AO277" s="707">
        <f t="shared" si="136"/>
        <v>0</v>
      </c>
      <c r="AP277" s="707">
        <f t="shared" si="136"/>
        <v>0</v>
      </c>
      <c r="AQ277" s="707">
        <f t="shared" si="136"/>
        <v>0</v>
      </c>
      <c r="AR277" s="707">
        <f t="shared" si="136"/>
        <v>0</v>
      </c>
      <c r="AS277" s="707">
        <f t="shared" si="136"/>
        <v>0</v>
      </c>
      <c r="AT277" s="707">
        <f t="shared" si="136"/>
        <v>0</v>
      </c>
      <c r="AU277" s="707">
        <f t="shared" si="136"/>
        <v>0</v>
      </c>
      <c r="AV277" s="707">
        <f t="shared" si="136"/>
        <v>0</v>
      </c>
      <c r="AW277" s="707">
        <f t="shared" si="136"/>
        <v>0</v>
      </c>
      <c r="AX277" s="707">
        <f t="shared" si="136"/>
        <v>0</v>
      </c>
      <c r="AY277" s="707">
        <f t="shared" si="136"/>
        <v>0</v>
      </c>
      <c r="AZ277" s="707">
        <f t="shared" si="136"/>
        <v>0</v>
      </c>
    </row>
    <row r="278" spans="1:52" ht="20.100000000000001" customHeight="1" thickTop="1">
      <c r="A278" s="7"/>
      <c r="B278" s="7"/>
      <c r="C278" s="7" t="s">
        <v>1</v>
      </c>
      <c r="D278" s="7"/>
      <c r="E278" s="7"/>
      <c r="F278" s="7"/>
      <c r="G278" s="7"/>
      <c r="H278" s="98"/>
      <c r="I278" s="98"/>
      <c r="J278" s="98"/>
      <c r="K278" s="98">
        <v>10</v>
      </c>
      <c r="L278" s="98"/>
      <c r="M278" s="98"/>
      <c r="N278" s="580"/>
      <c r="O278" s="580"/>
      <c r="P278" s="845"/>
      <c r="Q278" s="10"/>
      <c r="R278" s="10"/>
      <c r="S278" s="10"/>
      <c r="T278" s="10"/>
      <c r="U278" s="10"/>
      <c r="V278" s="10"/>
      <c r="W278" s="10"/>
      <c r="X278" s="10"/>
      <c r="Y278" s="575"/>
      <c r="Z278" s="2"/>
      <c r="AA278" s="2"/>
      <c r="AB278" s="2"/>
      <c r="AC278" s="2"/>
      <c r="AD278" s="2"/>
      <c r="AF278" s="8"/>
      <c r="AG278" s="8"/>
      <c r="AH278" s="8"/>
      <c r="AI278" s="8"/>
      <c r="AJ278" s="8"/>
      <c r="AK278" s="8"/>
      <c r="AL278" s="2"/>
      <c r="AM278" s="3"/>
      <c r="AN278" s="3"/>
      <c r="AO278" s="3"/>
      <c r="AP278" s="25"/>
      <c r="AQ278" s="8"/>
      <c r="AR278" s="8"/>
      <c r="AS278" s="8"/>
      <c r="AT278" s="8"/>
      <c r="AU278" s="8"/>
      <c r="AV278" s="22"/>
      <c r="AW278" s="22"/>
      <c r="AX278" s="22"/>
      <c r="AY278" s="10"/>
    </row>
    <row r="279" spans="1:52" ht="26.25">
      <c r="A279" s="7"/>
      <c r="B279" s="7"/>
      <c r="C279" s="7"/>
      <c r="D279" s="7"/>
      <c r="E279" s="7"/>
      <c r="F279" s="7"/>
      <c r="G279" s="7"/>
      <c r="H279" s="22"/>
      <c r="I279" s="22"/>
      <c r="J279" s="22"/>
      <c r="K279" s="22">
        <f>K277*K278</f>
        <v>0</v>
      </c>
      <c r="L279" s="22"/>
      <c r="M279" s="22"/>
      <c r="N279" s="580"/>
      <c r="O279" s="580"/>
      <c r="P279" s="845"/>
      <c r="Q279" s="10"/>
      <c r="R279" s="10"/>
      <c r="S279" s="10"/>
      <c r="T279" s="10"/>
      <c r="U279" s="10"/>
      <c r="V279" s="10"/>
      <c r="W279" s="10"/>
      <c r="X279" s="10"/>
      <c r="Y279" s="133"/>
      <c r="Z279" s="2"/>
      <c r="AA279" s="2"/>
      <c r="AB279" s="2"/>
      <c r="AC279" s="2"/>
      <c r="AD279" s="2"/>
      <c r="AF279" s="8"/>
      <c r="AG279" s="8"/>
      <c r="AH279" s="8"/>
      <c r="AI279" s="8"/>
      <c r="AJ279" s="8"/>
      <c r="AK279" s="8"/>
      <c r="AL279" s="2"/>
      <c r="AM279" s="3"/>
      <c r="AN279" s="3"/>
      <c r="AO279" s="3"/>
      <c r="AP279" s="25"/>
      <c r="AQ279" s="8"/>
      <c r="AR279" s="8"/>
      <c r="AS279" s="8"/>
      <c r="AT279" s="8"/>
      <c r="AU279" s="8"/>
      <c r="AV279" s="22"/>
      <c r="AW279" s="22"/>
      <c r="AX279" s="22"/>
      <c r="AY279" s="10"/>
    </row>
    <row r="280" spans="1:5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8"/>
      <c r="R280" s="8"/>
      <c r="S280" s="8"/>
      <c r="T280" s="8"/>
      <c r="U280" s="8"/>
      <c r="V280" s="8"/>
      <c r="W280" s="8"/>
      <c r="X280" s="8"/>
      <c r="Y280" s="9"/>
      <c r="Z280" s="9"/>
      <c r="AA280" s="9"/>
      <c r="AB280" s="10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</row>
    <row r="281" spans="1:5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9"/>
      <c r="Z281" s="9"/>
      <c r="AA281" s="9"/>
      <c r="AB281" s="10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</row>
    <row r="282" spans="1:52" ht="15.75" thickBo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9"/>
      <c r="Z282" s="9"/>
      <c r="AA282" s="9"/>
      <c r="AB282" s="10"/>
      <c r="AC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</row>
    <row r="283" spans="1:52" ht="39.950000000000003" customHeight="1" thickBot="1">
      <c r="A283" s="109">
        <f>A5</f>
        <v>2022</v>
      </c>
      <c r="B283" s="1447" t="s">
        <v>195</v>
      </c>
      <c r="C283" s="1448"/>
      <c r="D283" s="1448"/>
      <c r="E283" s="1448"/>
      <c r="F283" s="1448"/>
      <c r="G283" s="1448"/>
      <c r="H283" s="1448"/>
      <c r="I283" s="1448"/>
      <c r="J283" s="1448"/>
      <c r="K283" s="1448"/>
      <c r="L283" s="1448"/>
      <c r="M283" s="1448"/>
      <c r="N283" s="1448"/>
      <c r="O283" s="1448"/>
      <c r="P283" s="1448"/>
      <c r="Q283" s="1448"/>
      <c r="R283" s="1448"/>
      <c r="S283" s="1448"/>
      <c r="T283" s="1448"/>
      <c r="U283" s="1448"/>
      <c r="V283" s="1448"/>
      <c r="W283" s="1448"/>
      <c r="X283" s="1448"/>
      <c r="Y283" s="1449"/>
      <c r="Z283" s="21"/>
      <c r="AA283" s="21"/>
      <c r="AB283" s="21"/>
      <c r="AC283" s="2"/>
      <c r="AF283" s="10"/>
      <c r="AG283" s="21"/>
      <c r="AH283" s="109">
        <v>2018</v>
      </c>
      <c r="AI283" s="1424" t="str">
        <f>B283</f>
        <v>SHAMOON</v>
      </c>
      <c r="AJ283" s="1425"/>
      <c r="AK283" s="1425"/>
      <c r="AL283" s="1425"/>
      <c r="AM283" s="1425"/>
      <c r="AN283" s="1425"/>
      <c r="AO283" s="1425"/>
      <c r="AP283" s="1425"/>
      <c r="AQ283" s="1425"/>
      <c r="AR283" s="1425"/>
      <c r="AS283" s="1425"/>
      <c r="AT283" s="1425"/>
      <c r="AU283" s="1425"/>
      <c r="AV283" s="1425"/>
      <c r="AW283" s="1425"/>
      <c r="AX283" s="1425"/>
      <c r="AY283" s="1425"/>
      <c r="AZ283" s="1425"/>
    </row>
    <row r="284" spans="1:52" ht="60" customHeight="1" thickTop="1" thickBot="1">
      <c r="A284" s="1468" t="s">
        <v>94</v>
      </c>
      <c r="B284" s="1402" t="s">
        <v>95</v>
      </c>
      <c r="C284" s="1403"/>
      <c r="D284" s="1403"/>
      <c r="E284" s="1404"/>
      <c r="F284" s="1402" t="s">
        <v>7</v>
      </c>
      <c r="G284" s="1403"/>
      <c r="H284" s="1404"/>
      <c r="I284" s="1402" t="s">
        <v>8</v>
      </c>
      <c r="J284" s="1404"/>
      <c r="K284" s="1402" t="s">
        <v>9</v>
      </c>
      <c r="L284" s="1403"/>
      <c r="M284" s="1403"/>
      <c r="N284" s="1403"/>
      <c r="O284" s="1403"/>
      <c r="P284" s="1403"/>
      <c r="Q284" s="1403"/>
      <c r="R284" s="1405" t="s">
        <v>10</v>
      </c>
      <c r="S284" s="1406"/>
      <c r="T284" s="1400" t="s">
        <v>289</v>
      </c>
      <c r="U284" s="1401"/>
      <c r="V284" s="842" t="s">
        <v>258</v>
      </c>
      <c r="W284" s="842"/>
      <c r="X284" s="842"/>
      <c r="Y284" s="211"/>
      <c r="Z284" s="21"/>
      <c r="AA284" s="21"/>
      <c r="AB284" s="21"/>
      <c r="AC284" s="21"/>
      <c r="AF284" s="10"/>
      <c r="AG284" s="34"/>
      <c r="AH284" s="1422" t="s">
        <v>94</v>
      </c>
      <c r="AI284" s="1402" t="s">
        <v>95</v>
      </c>
      <c r="AJ284" s="1403"/>
      <c r="AK284" s="1404"/>
      <c r="AL284" s="1402" t="s">
        <v>7</v>
      </c>
      <c r="AM284" s="1403"/>
      <c r="AN284" s="1404"/>
      <c r="AO284" s="1402" t="s">
        <v>8</v>
      </c>
      <c r="AP284" s="1403"/>
      <c r="AQ284" s="1404"/>
      <c r="AR284" s="1402" t="s">
        <v>9</v>
      </c>
      <c r="AS284" s="1403"/>
      <c r="AT284" s="1404"/>
      <c r="AU284" s="1403" t="s">
        <v>9</v>
      </c>
      <c r="AV284" s="1404"/>
      <c r="AW284" s="1429" t="s">
        <v>10</v>
      </c>
      <c r="AX284" s="1430"/>
      <c r="AY284" s="690"/>
      <c r="AZ284" s="404" t="s">
        <v>11</v>
      </c>
    </row>
    <row r="285" spans="1:52" ht="42" thickTop="1" thickBot="1">
      <c r="A285" s="1428"/>
      <c r="B285" s="482" t="s">
        <v>12</v>
      </c>
      <c r="C285" s="482" t="s">
        <v>13</v>
      </c>
      <c r="D285" s="482" t="s">
        <v>14</v>
      </c>
      <c r="E285" s="688" t="s">
        <v>198</v>
      </c>
      <c r="F285" s="482" t="s">
        <v>12</v>
      </c>
      <c r="G285" s="482" t="s">
        <v>13</v>
      </c>
      <c r="H285" s="482" t="s">
        <v>282</v>
      </c>
      <c r="I285" s="482" t="s">
        <v>12</v>
      </c>
      <c r="J285" s="482" t="s">
        <v>16</v>
      </c>
      <c r="K285" s="482" t="s">
        <v>17</v>
      </c>
      <c r="L285" s="482" t="s">
        <v>18</v>
      </c>
      <c r="M285" s="482" t="s">
        <v>19</v>
      </c>
      <c r="N285" s="484" t="s">
        <v>96</v>
      </c>
      <c r="O285" s="484" t="s">
        <v>257</v>
      </c>
      <c r="P285" s="484" t="s">
        <v>254</v>
      </c>
      <c r="Q285" s="484" t="s">
        <v>20</v>
      </c>
      <c r="R285" s="483" t="s">
        <v>14</v>
      </c>
      <c r="S285" s="482" t="s">
        <v>13</v>
      </c>
      <c r="T285" s="846" t="s">
        <v>284</v>
      </c>
      <c r="U285" s="846" t="s">
        <v>288</v>
      </c>
      <c r="V285" s="484" t="s">
        <v>259</v>
      </c>
      <c r="W285" s="484"/>
      <c r="X285" s="484"/>
      <c r="Y285" s="224" t="s">
        <v>90</v>
      </c>
      <c r="Z285" s="210" t="s">
        <v>97</v>
      </c>
      <c r="AA285" s="210" t="s">
        <v>74</v>
      </c>
      <c r="AB285" s="210" t="s">
        <v>98</v>
      </c>
      <c r="AC285" s="210" t="s">
        <v>99</v>
      </c>
      <c r="AD285" s="210" t="s">
        <v>100</v>
      </c>
      <c r="AF285" s="578" t="s">
        <v>1</v>
      </c>
      <c r="AG285" s="4"/>
      <c r="AH285" s="1428"/>
      <c r="AI285" s="482" t="s">
        <v>12</v>
      </c>
      <c r="AJ285" s="482" t="s">
        <v>13</v>
      </c>
      <c r="AK285" s="482" t="s">
        <v>14</v>
      </c>
      <c r="AL285" s="482" t="s">
        <v>12</v>
      </c>
      <c r="AM285" s="482" t="s">
        <v>13</v>
      </c>
      <c r="AN285" s="482" t="s">
        <v>15</v>
      </c>
      <c r="AO285" s="482" t="s">
        <v>12</v>
      </c>
      <c r="AP285" s="482" t="s">
        <v>205</v>
      </c>
      <c r="AQ285" s="482" t="s">
        <v>16</v>
      </c>
      <c r="AR285" s="482" t="s">
        <v>17</v>
      </c>
      <c r="AS285" s="482" t="s">
        <v>18</v>
      </c>
      <c r="AT285" s="482" t="s">
        <v>19</v>
      </c>
      <c r="AU285" s="482" t="s">
        <v>201</v>
      </c>
      <c r="AV285" s="482" t="s">
        <v>20</v>
      </c>
      <c r="AW285" s="482" t="s">
        <v>12</v>
      </c>
      <c r="AX285" s="483" t="s">
        <v>13</v>
      </c>
      <c r="AY285" s="688" t="s">
        <v>198</v>
      </c>
      <c r="AZ285" s="484" t="s">
        <v>96</v>
      </c>
    </row>
    <row r="286" spans="1:52" ht="29.25" customHeight="1" thickBot="1">
      <c r="A286" s="64">
        <f>A246</f>
        <v>44866</v>
      </c>
      <c r="B286" s="134"/>
      <c r="C286" s="134"/>
      <c r="D286" s="134"/>
      <c r="E286" s="134"/>
      <c r="F286" s="134"/>
      <c r="G286" s="134"/>
      <c r="H286" s="134"/>
      <c r="I286" s="134"/>
      <c r="J286" s="134"/>
      <c r="K286" s="134"/>
      <c r="L286" s="134"/>
      <c r="M286" s="134"/>
      <c r="N286" s="134"/>
      <c r="O286" s="134"/>
      <c r="P286" s="149"/>
      <c r="Q286" s="149"/>
      <c r="R286" s="135"/>
      <c r="S286" s="149"/>
      <c r="T286" s="149"/>
      <c r="U286" s="149"/>
      <c r="V286" s="149"/>
      <c r="W286" s="149"/>
      <c r="X286" s="149"/>
      <c r="Y286" s="255">
        <f>B286*280+C286*280+D286*280+E286*280+F286*130+G286*130+H286*90+I286*35+J286*35+K286*380+L286*380+M286*380+N286*380+O286*375+P286*80+Q286*200+R286*260+S286*41+T286*30+U286*60+V286*45</f>
        <v>0</v>
      </c>
      <c r="Z286" s="308"/>
      <c r="AA286" s="263">
        <f t="shared" ref="AA286:AA316" si="137">Y286+Z286</f>
        <v>0</v>
      </c>
      <c r="AB286" s="308"/>
      <c r="AC286" s="308"/>
      <c r="AD286" s="319">
        <f t="shared" ref="AD286:AD316" si="138">AA286-AB286-AC286</f>
        <v>0</v>
      </c>
      <c r="AF286" s="11"/>
      <c r="AG286" s="579"/>
      <c r="AH286" s="63">
        <f>AH246</f>
        <v>43374</v>
      </c>
      <c r="AI286" s="694"/>
      <c r="AJ286" s="695"/>
      <c r="AK286" s="695"/>
      <c r="AL286" s="695"/>
      <c r="AM286" s="695"/>
      <c r="AN286" s="695"/>
      <c r="AO286" s="695"/>
      <c r="AP286" s="695"/>
      <c r="AQ286" s="695"/>
      <c r="AR286" s="695"/>
      <c r="AS286" s="695"/>
      <c r="AT286" s="695"/>
      <c r="AU286" s="695"/>
      <c r="AV286" s="695"/>
      <c r="AW286" s="695"/>
      <c r="AX286" s="696"/>
      <c r="AY286" s="696"/>
      <c r="AZ286" s="697"/>
    </row>
    <row r="287" spans="1:52" ht="29.25" customHeight="1" thickBot="1">
      <c r="A287" s="64">
        <f>A286+1</f>
        <v>44867</v>
      </c>
      <c r="B287" s="137"/>
      <c r="C287" s="137"/>
      <c r="D287" s="137"/>
      <c r="E287" s="137"/>
      <c r="F287" s="137"/>
      <c r="G287" s="137"/>
      <c r="H287" s="137"/>
      <c r="I287" s="137"/>
      <c r="J287" s="137"/>
      <c r="K287" s="134"/>
      <c r="L287" s="134"/>
      <c r="M287" s="134"/>
      <c r="N287" s="134"/>
      <c r="O287" s="134"/>
      <c r="P287" s="149"/>
      <c r="Q287" s="149"/>
      <c r="R287" s="135"/>
      <c r="S287" s="149"/>
      <c r="T287" s="149"/>
      <c r="U287" s="149"/>
      <c r="V287" s="149"/>
      <c r="W287" s="149"/>
      <c r="X287" s="149"/>
      <c r="Y287" s="255">
        <f>B287*280+C287*280+D287*280+E287*280+F287*130+G287*130+H287*90+I287*35+J287*35+K287*380+L287*380+M287*380+N287*380+O287*380+P287*80+Q287*200+R287*260+S287*41+T287*30+U287*60+V287*45</f>
        <v>0</v>
      </c>
      <c r="Z287" s="309">
        <f t="shared" ref="Z287:Z316" si="139">AD286</f>
        <v>0</v>
      </c>
      <c r="AA287" s="256">
        <f t="shared" si="137"/>
        <v>0</v>
      </c>
      <c r="AB287" s="309"/>
      <c r="AC287" s="309"/>
      <c r="AD287" s="320">
        <f t="shared" si="138"/>
        <v>0</v>
      </c>
      <c r="AF287" s="11"/>
      <c r="AG287" s="579"/>
      <c r="AH287" s="64">
        <f>AH286+1</f>
        <v>43375</v>
      </c>
      <c r="AI287" s="698"/>
      <c r="AJ287" s="699"/>
      <c r="AK287" s="699"/>
      <c r="AL287" s="699"/>
      <c r="AM287" s="699"/>
      <c r="AN287" s="699"/>
      <c r="AO287" s="699"/>
      <c r="AP287" s="699"/>
      <c r="AQ287" s="699"/>
      <c r="AR287" s="699"/>
      <c r="AS287" s="699"/>
      <c r="AT287" s="699"/>
      <c r="AU287" s="699"/>
      <c r="AV287" s="699"/>
      <c r="AW287" s="699"/>
      <c r="AX287" s="700"/>
      <c r="AY287" s="700"/>
      <c r="AZ287" s="701"/>
    </row>
    <row r="288" spans="1:52" ht="29.25" customHeight="1" thickBot="1">
      <c r="A288" s="64">
        <f t="shared" ref="A288:A316" si="140">A287+1</f>
        <v>44868</v>
      </c>
      <c r="B288" s="137"/>
      <c r="C288" s="137"/>
      <c r="D288" s="137"/>
      <c r="E288" s="137"/>
      <c r="F288" s="137"/>
      <c r="G288" s="137"/>
      <c r="H288" s="137"/>
      <c r="I288" s="137"/>
      <c r="J288" s="137"/>
      <c r="K288" s="137"/>
      <c r="L288" s="137"/>
      <c r="M288" s="137"/>
      <c r="N288" s="137"/>
      <c r="O288" s="137"/>
      <c r="P288" s="150"/>
      <c r="Q288" s="150"/>
      <c r="R288" s="138"/>
      <c r="S288" s="150"/>
      <c r="T288" s="149"/>
      <c r="U288" s="149"/>
      <c r="V288" s="149"/>
      <c r="W288" s="149"/>
      <c r="X288" s="149"/>
      <c r="Y288" s="255">
        <f t="shared" ref="Y288:Y316" si="141">B288*280+C288*280+D288*280+E288*280+F288*130+G288*130+H288*90+I288*35+J288*35+K288*380+L288*380+M288*380+N288*380+O288*380+P288*80+Q288*200+R288*260+S288*41+T288*30+U288*60+V288*45</f>
        <v>0</v>
      </c>
      <c r="Z288" s="309">
        <f t="shared" si="139"/>
        <v>0</v>
      </c>
      <c r="AA288" s="256">
        <f t="shared" si="137"/>
        <v>0</v>
      </c>
      <c r="AB288" s="309"/>
      <c r="AC288" s="309"/>
      <c r="AD288" s="320">
        <f t="shared" si="138"/>
        <v>0</v>
      </c>
      <c r="AF288" s="11"/>
      <c r="AG288" s="579"/>
      <c r="AH288" s="64">
        <f t="shared" ref="AH288:AH316" si="142">AH287+1</f>
        <v>43376</v>
      </c>
      <c r="AI288" s="698"/>
      <c r="AJ288" s="699"/>
      <c r="AK288" s="699"/>
      <c r="AL288" s="699"/>
      <c r="AM288" s="699"/>
      <c r="AN288" s="699"/>
      <c r="AO288" s="699"/>
      <c r="AP288" s="699"/>
      <c r="AQ288" s="699"/>
      <c r="AR288" s="699"/>
      <c r="AS288" s="699"/>
      <c r="AT288" s="699"/>
      <c r="AU288" s="699"/>
      <c r="AV288" s="699"/>
      <c r="AW288" s="699"/>
      <c r="AX288" s="700"/>
      <c r="AY288" s="700"/>
      <c r="AZ288" s="701"/>
    </row>
    <row r="289" spans="1:52" ht="29.25" customHeight="1" thickBot="1">
      <c r="A289" s="64">
        <f t="shared" si="140"/>
        <v>44869</v>
      </c>
      <c r="B289" s="137"/>
      <c r="C289" s="137"/>
      <c r="D289" s="137"/>
      <c r="E289" s="137"/>
      <c r="F289" s="137"/>
      <c r="G289" s="137"/>
      <c r="H289" s="137"/>
      <c r="I289" s="137"/>
      <c r="J289" s="137"/>
      <c r="K289" s="137"/>
      <c r="L289" s="137"/>
      <c r="M289" s="137"/>
      <c r="N289" s="137"/>
      <c r="O289" s="137"/>
      <c r="P289" s="150"/>
      <c r="Q289" s="150"/>
      <c r="R289" s="138"/>
      <c r="S289" s="150"/>
      <c r="T289" s="149"/>
      <c r="U289" s="149"/>
      <c r="V289" s="149"/>
      <c r="W289" s="149"/>
      <c r="X289" s="149"/>
      <c r="Y289" s="255">
        <f t="shared" si="141"/>
        <v>0</v>
      </c>
      <c r="Z289" s="309">
        <f t="shared" si="139"/>
        <v>0</v>
      </c>
      <c r="AA289" s="256">
        <f t="shared" si="137"/>
        <v>0</v>
      </c>
      <c r="AB289" s="309"/>
      <c r="AC289" s="309"/>
      <c r="AD289" s="320">
        <f t="shared" si="138"/>
        <v>0</v>
      </c>
      <c r="AF289" s="11"/>
      <c r="AG289" s="579"/>
      <c r="AH289" s="64">
        <f t="shared" si="142"/>
        <v>43377</v>
      </c>
      <c r="AI289" s="698"/>
      <c r="AJ289" s="699"/>
      <c r="AK289" s="699"/>
      <c r="AL289" s="699"/>
      <c r="AM289" s="699"/>
      <c r="AN289" s="699"/>
      <c r="AO289" s="699"/>
      <c r="AP289" s="699"/>
      <c r="AQ289" s="699"/>
      <c r="AR289" s="699"/>
      <c r="AS289" s="699"/>
      <c r="AT289" s="699"/>
      <c r="AU289" s="699"/>
      <c r="AV289" s="699"/>
      <c r="AW289" s="699"/>
      <c r="AX289" s="700"/>
      <c r="AY289" s="700"/>
      <c r="AZ289" s="701"/>
    </row>
    <row r="290" spans="1:52" ht="29.25" customHeight="1" thickBot="1">
      <c r="A290" s="64">
        <f t="shared" si="140"/>
        <v>44870</v>
      </c>
      <c r="B290" s="137"/>
      <c r="C290" s="137"/>
      <c r="D290" s="137"/>
      <c r="E290" s="137"/>
      <c r="F290" s="137"/>
      <c r="G290" s="137"/>
      <c r="H290" s="137"/>
      <c r="I290" s="137"/>
      <c r="J290" s="137"/>
      <c r="K290" s="137"/>
      <c r="L290" s="137"/>
      <c r="M290" s="137"/>
      <c r="N290" s="137"/>
      <c r="O290" s="137"/>
      <c r="P290" s="150"/>
      <c r="Q290" s="150"/>
      <c r="R290" s="138"/>
      <c r="S290" s="150"/>
      <c r="T290" s="149"/>
      <c r="U290" s="149"/>
      <c r="V290" s="149"/>
      <c r="W290" s="149"/>
      <c r="X290" s="149"/>
      <c r="Y290" s="255">
        <f t="shared" si="141"/>
        <v>0</v>
      </c>
      <c r="Z290" s="309">
        <f t="shared" si="139"/>
        <v>0</v>
      </c>
      <c r="AA290" s="256">
        <f t="shared" si="137"/>
        <v>0</v>
      </c>
      <c r="AB290" s="309"/>
      <c r="AC290" s="309"/>
      <c r="AD290" s="320">
        <f t="shared" si="138"/>
        <v>0</v>
      </c>
      <c r="AF290" s="11"/>
      <c r="AG290" s="579"/>
      <c r="AH290" s="64">
        <f t="shared" si="142"/>
        <v>43378</v>
      </c>
      <c r="AI290" s="698"/>
      <c r="AJ290" s="699"/>
      <c r="AK290" s="699"/>
      <c r="AL290" s="699"/>
      <c r="AM290" s="699"/>
      <c r="AN290" s="699"/>
      <c r="AO290" s="699"/>
      <c r="AP290" s="699"/>
      <c r="AQ290" s="699"/>
      <c r="AR290" s="699"/>
      <c r="AS290" s="699"/>
      <c r="AT290" s="699"/>
      <c r="AU290" s="699"/>
      <c r="AV290" s="699"/>
      <c r="AW290" s="699"/>
      <c r="AX290" s="700"/>
      <c r="AY290" s="700"/>
      <c r="AZ290" s="701"/>
    </row>
    <row r="291" spans="1:52" ht="29.25" customHeight="1" thickBot="1">
      <c r="A291" s="64">
        <f t="shared" si="140"/>
        <v>44871</v>
      </c>
      <c r="B291" s="137"/>
      <c r="C291" s="137"/>
      <c r="D291" s="137"/>
      <c r="E291" s="137"/>
      <c r="F291" s="137"/>
      <c r="G291" s="137"/>
      <c r="H291" s="137"/>
      <c r="I291" s="137"/>
      <c r="J291" s="137"/>
      <c r="K291" s="137"/>
      <c r="L291" s="137"/>
      <c r="M291" s="137"/>
      <c r="N291" s="137"/>
      <c r="O291" s="137"/>
      <c r="P291" s="150"/>
      <c r="Q291" s="150"/>
      <c r="R291" s="138"/>
      <c r="S291" s="150"/>
      <c r="T291" s="149"/>
      <c r="U291" s="149"/>
      <c r="V291" s="149"/>
      <c r="W291" s="149"/>
      <c r="X291" s="149"/>
      <c r="Y291" s="255">
        <f t="shared" si="141"/>
        <v>0</v>
      </c>
      <c r="Z291" s="309">
        <f t="shared" si="139"/>
        <v>0</v>
      </c>
      <c r="AA291" s="256">
        <f t="shared" si="137"/>
        <v>0</v>
      </c>
      <c r="AB291" s="309"/>
      <c r="AC291" s="309"/>
      <c r="AD291" s="320">
        <f t="shared" si="138"/>
        <v>0</v>
      </c>
      <c r="AF291" s="11"/>
      <c r="AG291" s="579"/>
      <c r="AH291" s="64">
        <f t="shared" si="142"/>
        <v>43379</v>
      </c>
      <c r="AI291" s="698"/>
      <c r="AJ291" s="699"/>
      <c r="AK291" s="699"/>
      <c r="AL291" s="699"/>
      <c r="AM291" s="699"/>
      <c r="AN291" s="699"/>
      <c r="AO291" s="699"/>
      <c r="AP291" s="699"/>
      <c r="AQ291" s="699"/>
      <c r="AR291" s="699"/>
      <c r="AS291" s="699"/>
      <c r="AT291" s="699"/>
      <c r="AU291" s="699"/>
      <c r="AV291" s="699"/>
      <c r="AW291" s="699"/>
      <c r="AX291" s="700"/>
      <c r="AY291" s="700"/>
      <c r="AZ291" s="701"/>
    </row>
    <row r="292" spans="1:52" ht="29.25" customHeight="1" thickBot="1">
      <c r="A292" s="64">
        <f t="shared" si="140"/>
        <v>44872</v>
      </c>
      <c r="B292" s="137"/>
      <c r="C292" s="137"/>
      <c r="D292" s="137"/>
      <c r="E292" s="137"/>
      <c r="F292" s="137"/>
      <c r="G292" s="137"/>
      <c r="H292" s="137"/>
      <c r="I292" s="137"/>
      <c r="J292" s="137"/>
      <c r="K292" s="137"/>
      <c r="L292" s="137"/>
      <c r="M292" s="137"/>
      <c r="N292" s="137"/>
      <c r="O292" s="137"/>
      <c r="P292" s="150"/>
      <c r="Q292" s="150"/>
      <c r="R292" s="138"/>
      <c r="S292" s="150"/>
      <c r="T292" s="149"/>
      <c r="U292" s="149"/>
      <c r="V292" s="149"/>
      <c r="W292" s="149"/>
      <c r="X292" s="149"/>
      <c r="Y292" s="255">
        <f t="shared" si="141"/>
        <v>0</v>
      </c>
      <c r="Z292" s="309">
        <f t="shared" si="139"/>
        <v>0</v>
      </c>
      <c r="AA292" s="256">
        <f t="shared" si="137"/>
        <v>0</v>
      </c>
      <c r="AB292" s="309"/>
      <c r="AC292" s="309"/>
      <c r="AD292" s="320">
        <f t="shared" si="138"/>
        <v>0</v>
      </c>
      <c r="AF292" s="11"/>
      <c r="AG292" s="579"/>
      <c r="AH292" s="64">
        <f t="shared" si="142"/>
        <v>43380</v>
      </c>
      <c r="AI292" s="698"/>
      <c r="AJ292" s="699"/>
      <c r="AK292" s="699"/>
      <c r="AL292" s="699"/>
      <c r="AM292" s="699"/>
      <c r="AN292" s="699"/>
      <c r="AO292" s="699"/>
      <c r="AP292" s="699"/>
      <c r="AQ292" s="699"/>
      <c r="AR292" s="699"/>
      <c r="AS292" s="699"/>
      <c r="AT292" s="699"/>
      <c r="AU292" s="699"/>
      <c r="AV292" s="699"/>
      <c r="AW292" s="699"/>
      <c r="AX292" s="700"/>
      <c r="AY292" s="700"/>
      <c r="AZ292" s="701"/>
    </row>
    <row r="293" spans="1:52" ht="29.25" customHeight="1" thickBot="1">
      <c r="A293" s="64">
        <f t="shared" si="140"/>
        <v>44873</v>
      </c>
      <c r="B293" s="137"/>
      <c r="C293" s="137"/>
      <c r="D293" s="137"/>
      <c r="E293" s="137"/>
      <c r="F293" s="137"/>
      <c r="G293" s="137"/>
      <c r="H293" s="137"/>
      <c r="I293" s="137"/>
      <c r="J293" s="137"/>
      <c r="K293" s="137"/>
      <c r="L293" s="137"/>
      <c r="M293" s="137"/>
      <c r="N293" s="137"/>
      <c r="O293" s="137"/>
      <c r="P293" s="150"/>
      <c r="Q293" s="150"/>
      <c r="R293" s="138"/>
      <c r="S293" s="150"/>
      <c r="T293" s="149"/>
      <c r="U293" s="149"/>
      <c r="V293" s="149"/>
      <c r="W293" s="149"/>
      <c r="X293" s="149"/>
      <c r="Y293" s="255">
        <f t="shared" si="141"/>
        <v>0</v>
      </c>
      <c r="Z293" s="309">
        <f t="shared" si="139"/>
        <v>0</v>
      </c>
      <c r="AA293" s="256">
        <f t="shared" si="137"/>
        <v>0</v>
      </c>
      <c r="AB293" s="309"/>
      <c r="AC293" s="309"/>
      <c r="AD293" s="320">
        <f t="shared" si="138"/>
        <v>0</v>
      </c>
      <c r="AF293" s="11"/>
      <c r="AG293" s="579"/>
      <c r="AH293" s="64">
        <f t="shared" si="142"/>
        <v>43381</v>
      </c>
      <c r="AI293" s="698"/>
      <c r="AJ293" s="699"/>
      <c r="AK293" s="699"/>
      <c r="AL293" s="699"/>
      <c r="AM293" s="699"/>
      <c r="AN293" s="699"/>
      <c r="AO293" s="699"/>
      <c r="AP293" s="699"/>
      <c r="AQ293" s="699"/>
      <c r="AR293" s="699"/>
      <c r="AS293" s="699"/>
      <c r="AT293" s="699"/>
      <c r="AU293" s="699"/>
      <c r="AV293" s="699"/>
      <c r="AW293" s="699"/>
      <c r="AX293" s="700"/>
      <c r="AY293" s="700"/>
      <c r="AZ293" s="701"/>
    </row>
    <row r="294" spans="1:52" ht="29.25" customHeight="1" thickBot="1">
      <c r="A294" s="64">
        <f t="shared" si="140"/>
        <v>44874</v>
      </c>
      <c r="B294" s="137"/>
      <c r="C294" s="137"/>
      <c r="D294" s="137"/>
      <c r="E294" s="137"/>
      <c r="F294" s="137"/>
      <c r="G294" s="137"/>
      <c r="H294" s="137"/>
      <c r="I294" s="137"/>
      <c r="J294" s="137"/>
      <c r="K294" s="137"/>
      <c r="L294" s="137"/>
      <c r="M294" s="137"/>
      <c r="N294" s="137"/>
      <c r="O294" s="137"/>
      <c r="P294" s="150"/>
      <c r="Q294" s="150"/>
      <c r="R294" s="138"/>
      <c r="S294" s="150"/>
      <c r="T294" s="149"/>
      <c r="U294" s="149"/>
      <c r="V294" s="149"/>
      <c r="W294" s="149"/>
      <c r="X294" s="149"/>
      <c r="Y294" s="255">
        <f t="shared" si="141"/>
        <v>0</v>
      </c>
      <c r="Z294" s="309">
        <f t="shared" si="139"/>
        <v>0</v>
      </c>
      <c r="AA294" s="256">
        <f t="shared" si="137"/>
        <v>0</v>
      </c>
      <c r="AB294" s="309"/>
      <c r="AC294" s="309"/>
      <c r="AD294" s="320">
        <f t="shared" si="138"/>
        <v>0</v>
      </c>
      <c r="AF294" s="11"/>
      <c r="AG294" s="579"/>
      <c r="AH294" s="64">
        <f t="shared" si="142"/>
        <v>43382</v>
      </c>
      <c r="AI294" s="698"/>
      <c r="AJ294" s="699"/>
      <c r="AK294" s="699"/>
      <c r="AL294" s="699"/>
      <c r="AM294" s="699"/>
      <c r="AN294" s="699"/>
      <c r="AO294" s="699"/>
      <c r="AP294" s="699"/>
      <c r="AQ294" s="699"/>
      <c r="AR294" s="699"/>
      <c r="AS294" s="699"/>
      <c r="AT294" s="699"/>
      <c r="AU294" s="699"/>
      <c r="AV294" s="699"/>
      <c r="AW294" s="699"/>
      <c r="AX294" s="700"/>
      <c r="AY294" s="700"/>
      <c r="AZ294" s="701"/>
    </row>
    <row r="295" spans="1:52" ht="29.25" customHeight="1" thickBot="1">
      <c r="A295" s="64">
        <f t="shared" si="140"/>
        <v>44875</v>
      </c>
      <c r="B295" s="137"/>
      <c r="C295" s="137"/>
      <c r="D295" s="137"/>
      <c r="E295" s="137"/>
      <c r="F295" s="137"/>
      <c r="G295" s="137"/>
      <c r="H295" s="137"/>
      <c r="I295" s="137"/>
      <c r="J295" s="137"/>
      <c r="K295" s="137"/>
      <c r="L295" s="137"/>
      <c r="M295" s="137"/>
      <c r="N295" s="137"/>
      <c r="O295" s="137"/>
      <c r="P295" s="150"/>
      <c r="Q295" s="150"/>
      <c r="R295" s="138"/>
      <c r="S295" s="150"/>
      <c r="T295" s="149"/>
      <c r="U295" s="149"/>
      <c r="V295" s="149"/>
      <c r="W295" s="149"/>
      <c r="X295" s="149"/>
      <c r="Y295" s="255">
        <f t="shared" si="141"/>
        <v>0</v>
      </c>
      <c r="Z295" s="309">
        <f t="shared" si="139"/>
        <v>0</v>
      </c>
      <c r="AA295" s="256">
        <f t="shared" si="137"/>
        <v>0</v>
      </c>
      <c r="AB295" s="309"/>
      <c r="AC295" s="309"/>
      <c r="AD295" s="320">
        <f t="shared" si="138"/>
        <v>0</v>
      </c>
      <c r="AF295" s="11"/>
      <c r="AG295" s="579"/>
      <c r="AH295" s="64">
        <f t="shared" si="142"/>
        <v>43383</v>
      </c>
      <c r="AI295" s="698"/>
      <c r="AJ295" s="699"/>
      <c r="AK295" s="699"/>
      <c r="AL295" s="699"/>
      <c r="AM295" s="699"/>
      <c r="AN295" s="699"/>
      <c r="AO295" s="699"/>
      <c r="AP295" s="699"/>
      <c r="AQ295" s="699"/>
      <c r="AR295" s="699"/>
      <c r="AS295" s="699"/>
      <c r="AT295" s="699"/>
      <c r="AU295" s="699"/>
      <c r="AV295" s="699"/>
      <c r="AW295" s="699"/>
      <c r="AX295" s="700"/>
      <c r="AY295" s="700"/>
      <c r="AZ295" s="701"/>
    </row>
    <row r="296" spans="1:52" ht="29.25" customHeight="1" thickBot="1">
      <c r="A296" s="64">
        <f t="shared" si="140"/>
        <v>44876</v>
      </c>
      <c r="B296" s="137"/>
      <c r="C296" s="137"/>
      <c r="D296" s="137"/>
      <c r="E296" s="137"/>
      <c r="F296" s="137"/>
      <c r="G296" s="137"/>
      <c r="H296" s="137"/>
      <c r="I296" s="137"/>
      <c r="J296" s="137"/>
      <c r="K296" s="137"/>
      <c r="L296" s="137"/>
      <c r="M296" s="137"/>
      <c r="N296" s="137"/>
      <c r="O296" s="137"/>
      <c r="P296" s="150"/>
      <c r="Q296" s="150"/>
      <c r="R296" s="138"/>
      <c r="S296" s="150"/>
      <c r="T296" s="149"/>
      <c r="U296" s="149"/>
      <c r="V296" s="149"/>
      <c r="W296" s="149"/>
      <c r="X296" s="149"/>
      <c r="Y296" s="255">
        <f t="shared" si="141"/>
        <v>0</v>
      </c>
      <c r="Z296" s="309">
        <f t="shared" si="139"/>
        <v>0</v>
      </c>
      <c r="AA296" s="256">
        <f t="shared" si="137"/>
        <v>0</v>
      </c>
      <c r="AB296" s="309"/>
      <c r="AC296" s="309"/>
      <c r="AD296" s="320">
        <f t="shared" si="138"/>
        <v>0</v>
      </c>
      <c r="AF296" s="11"/>
      <c r="AG296" s="579"/>
      <c r="AH296" s="64">
        <f t="shared" si="142"/>
        <v>43384</v>
      </c>
      <c r="AI296" s="698"/>
      <c r="AJ296" s="699"/>
      <c r="AK296" s="699"/>
      <c r="AL296" s="699"/>
      <c r="AM296" s="699"/>
      <c r="AN296" s="699"/>
      <c r="AO296" s="699"/>
      <c r="AP296" s="699"/>
      <c r="AQ296" s="699"/>
      <c r="AR296" s="699"/>
      <c r="AS296" s="699"/>
      <c r="AT296" s="699"/>
      <c r="AU296" s="699"/>
      <c r="AV296" s="699"/>
      <c r="AW296" s="699"/>
      <c r="AX296" s="700"/>
      <c r="AY296" s="700"/>
      <c r="AZ296" s="701"/>
    </row>
    <row r="297" spans="1:52" ht="29.25" customHeight="1" thickBot="1">
      <c r="A297" s="64">
        <f t="shared" si="140"/>
        <v>44877</v>
      </c>
      <c r="B297" s="137"/>
      <c r="C297" s="137"/>
      <c r="D297" s="137"/>
      <c r="E297" s="137"/>
      <c r="F297" s="137"/>
      <c r="G297" s="137"/>
      <c r="H297" s="137"/>
      <c r="I297" s="137"/>
      <c r="J297" s="137"/>
      <c r="K297" s="137"/>
      <c r="L297" s="137"/>
      <c r="M297" s="137"/>
      <c r="N297" s="137"/>
      <c r="O297" s="137"/>
      <c r="P297" s="150"/>
      <c r="Q297" s="150"/>
      <c r="R297" s="138"/>
      <c r="S297" s="150"/>
      <c r="T297" s="149"/>
      <c r="U297" s="149"/>
      <c r="V297" s="149"/>
      <c r="W297" s="149"/>
      <c r="X297" s="149"/>
      <c r="Y297" s="255">
        <f t="shared" si="141"/>
        <v>0</v>
      </c>
      <c r="Z297" s="309">
        <f t="shared" si="139"/>
        <v>0</v>
      </c>
      <c r="AA297" s="256">
        <f t="shared" si="137"/>
        <v>0</v>
      </c>
      <c r="AB297" s="309"/>
      <c r="AC297" s="309"/>
      <c r="AD297" s="320">
        <f t="shared" si="138"/>
        <v>0</v>
      </c>
      <c r="AF297" s="11"/>
      <c r="AG297" s="579"/>
      <c r="AH297" s="64">
        <f t="shared" si="142"/>
        <v>43385</v>
      </c>
      <c r="AI297" s="698"/>
      <c r="AJ297" s="699"/>
      <c r="AK297" s="699"/>
      <c r="AL297" s="699"/>
      <c r="AM297" s="699"/>
      <c r="AN297" s="699"/>
      <c r="AO297" s="699"/>
      <c r="AP297" s="699"/>
      <c r="AQ297" s="699"/>
      <c r="AR297" s="699"/>
      <c r="AS297" s="699"/>
      <c r="AT297" s="699"/>
      <c r="AU297" s="699"/>
      <c r="AV297" s="699"/>
      <c r="AW297" s="699"/>
      <c r="AX297" s="700"/>
      <c r="AY297" s="700"/>
      <c r="AZ297" s="701"/>
    </row>
    <row r="298" spans="1:52" ht="29.25" customHeight="1" thickBot="1">
      <c r="A298" s="64">
        <f t="shared" si="140"/>
        <v>44878</v>
      </c>
      <c r="B298" s="137"/>
      <c r="C298" s="137"/>
      <c r="D298" s="137"/>
      <c r="E298" s="137"/>
      <c r="F298" s="137"/>
      <c r="G298" s="137"/>
      <c r="H298" s="137"/>
      <c r="I298" s="137"/>
      <c r="J298" s="137"/>
      <c r="K298" s="137"/>
      <c r="L298" s="137"/>
      <c r="M298" s="137"/>
      <c r="N298" s="137"/>
      <c r="O298" s="137"/>
      <c r="P298" s="150"/>
      <c r="Q298" s="150"/>
      <c r="R298" s="138"/>
      <c r="S298" s="150"/>
      <c r="T298" s="149"/>
      <c r="U298" s="149"/>
      <c r="V298" s="149"/>
      <c r="W298" s="149"/>
      <c r="X298" s="149"/>
      <c r="Y298" s="255">
        <f t="shared" si="141"/>
        <v>0</v>
      </c>
      <c r="Z298" s="309">
        <f t="shared" si="139"/>
        <v>0</v>
      </c>
      <c r="AA298" s="256">
        <f t="shared" si="137"/>
        <v>0</v>
      </c>
      <c r="AB298" s="309"/>
      <c r="AC298" s="309"/>
      <c r="AD298" s="320">
        <f t="shared" si="138"/>
        <v>0</v>
      </c>
      <c r="AF298" s="11"/>
      <c r="AG298" s="579"/>
      <c r="AH298" s="64">
        <f t="shared" si="142"/>
        <v>43386</v>
      </c>
      <c r="AI298" s="698"/>
      <c r="AJ298" s="699"/>
      <c r="AK298" s="699"/>
      <c r="AL298" s="699"/>
      <c r="AM298" s="699"/>
      <c r="AN298" s="699"/>
      <c r="AO298" s="699"/>
      <c r="AP298" s="699"/>
      <c r="AQ298" s="699"/>
      <c r="AR298" s="699"/>
      <c r="AS298" s="699"/>
      <c r="AT298" s="699"/>
      <c r="AU298" s="699"/>
      <c r="AV298" s="699"/>
      <c r="AW298" s="699"/>
      <c r="AX298" s="700"/>
      <c r="AY298" s="700"/>
      <c r="AZ298" s="701"/>
    </row>
    <row r="299" spans="1:52" ht="29.25" customHeight="1" thickBot="1">
      <c r="A299" s="64">
        <f t="shared" si="140"/>
        <v>44879</v>
      </c>
      <c r="B299" s="137"/>
      <c r="C299" s="137"/>
      <c r="D299" s="137"/>
      <c r="E299" s="137"/>
      <c r="F299" s="137"/>
      <c r="G299" s="137"/>
      <c r="H299" s="137"/>
      <c r="I299" s="137"/>
      <c r="J299" s="137"/>
      <c r="K299" s="137"/>
      <c r="L299" s="137"/>
      <c r="M299" s="137"/>
      <c r="N299" s="137"/>
      <c r="O299" s="137"/>
      <c r="P299" s="150"/>
      <c r="Q299" s="150"/>
      <c r="R299" s="138"/>
      <c r="S299" s="150"/>
      <c r="T299" s="149"/>
      <c r="U299" s="149"/>
      <c r="V299" s="149"/>
      <c r="W299" s="149"/>
      <c r="X299" s="149"/>
      <c r="Y299" s="255">
        <f t="shared" si="141"/>
        <v>0</v>
      </c>
      <c r="Z299" s="309">
        <f t="shared" si="139"/>
        <v>0</v>
      </c>
      <c r="AA299" s="256">
        <f t="shared" si="137"/>
        <v>0</v>
      </c>
      <c r="AB299" s="309"/>
      <c r="AC299" s="309"/>
      <c r="AD299" s="320">
        <f t="shared" si="138"/>
        <v>0</v>
      </c>
      <c r="AF299" s="11"/>
      <c r="AG299" s="579"/>
      <c r="AH299" s="64">
        <f t="shared" si="142"/>
        <v>43387</v>
      </c>
      <c r="AI299" s="698"/>
      <c r="AJ299" s="699"/>
      <c r="AK299" s="699"/>
      <c r="AL299" s="699"/>
      <c r="AM299" s="699"/>
      <c r="AN299" s="699"/>
      <c r="AO299" s="699"/>
      <c r="AP299" s="699"/>
      <c r="AQ299" s="699"/>
      <c r="AR299" s="699"/>
      <c r="AS299" s="699"/>
      <c r="AT299" s="699"/>
      <c r="AU299" s="699"/>
      <c r="AV299" s="699"/>
      <c r="AW299" s="699"/>
      <c r="AX299" s="700"/>
      <c r="AY299" s="700"/>
      <c r="AZ299" s="701"/>
    </row>
    <row r="300" spans="1:52" ht="29.25" customHeight="1" thickBot="1">
      <c r="A300" s="64">
        <f t="shared" si="140"/>
        <v>44880</v>
      </c>
      <c r="B300" s="137"/>
      <c r="C300" s="137"/>
      <c r="D300" s="137"/>
      <c r="E300" s="137"/>
      <c r="F300" s="137"/>
      <c r="G300" s="137"/>
      <c r="H300" s="137"/>
      <c r="I300" s="137"/>
      <c r="J300" s="137"/>
      <c r="K300" s="137"/>
      <c r="L300" s="137"/>
      <c r="M300" s="137"/>
      <c r="N300" s="137"/>
      <c r="O300" s="137"/>
      <c r="P300" s="150"/>
      <c r="Q300" s="150"/>
      <c r="R300" s="138"/>
      <c r="S300" s="150"/>
      <c r="T300" s="149"/>
      <c r="U300" s="149"/>
      <c r="V300" s="149"/>
      <c r="W300" s="149"/>
      <c r="X300" s="149"/>
      <c r="Y300" s="255">
        <f t="shared" si="141"/>
        <v>0</v>
      </c>
      <c r="Z300" s="309">
        <f t="shared" si="139"/>
        <v>0</v>
      </c>
      <c r="AA300" s="256">
        <f t="shared" si="137"/>
        <v>0</v>
      </c>
      <c r="AB300" s="309"/>
      <c r="AC300" s="309"/>
      <c r="AD300" s="320">
        <f t="shared" si="138"/>
        <v>0</v>
      </c>
      <c r="AF300" s="11"/>
      <c r="AG300" s="579"/>
      <c r="AH300" s="64">
        <f t="shared" si="142"/>
        <v>43388</v>
      </c>
      <c r="AI300" s="698"/>
      <c r="AJ300" s="699"/>
      <c r="AK300" s="699"/>
      <c r="AL300" s="699"/>
      <c r="AM300" s="699"/>
      <c r="AN300" s="699"/>
      <c r="AO300" s="699"/>
      <c r="AP300" s="699"/>
      <c r="AQ300" s="699"/>
      <c r="AR300" s="699"/>
      <c r="AS300" s="699"/>
      <c r="AT300" s="699"/>
      <c r="AU300" s="699"/>
      <c r="AV300" s="699"/>
      <c r="AW300" s="699"/>
      <c r="AX300" s="700"/>
      <c r="AY300" s="700"/>
      <c r="AZ300" s="701"/>
    </row>
    <row r="301" spans="1:52" ht="29.25" customHeight="1" thickBot="1">
      <c r="A301" s="64">
        <f t="shared" si="140"/>
        <v>44881</v>
      </c>
      <c r="B301" s="137"/>
      <c r="C301" s="137"/>
      <c r="D301" s="137"/>
      <c r="E301" s="137"/>
      <c r="F301" s="137"/>
      <c r="G301" s="137"/>
      <c r="H301" s="137"/>
      <c r="I301" s="137"/>
      <c r="J301" s="137"/>
      <c r="K301" s="137"/>
      <c r="L301" s="137"/>
      <c r="M301" s="137"/>
      <c r="N301" s="137"/>
      <c r="O301" s="137"/>
      <c r="P301" s="150"/>
      <c r="Q301" s="150"/>
      <c r="R301" s="138"/>
      <c r="S301" s="150"/>
      <c r="T301" s="149"/>
      <c r="U301" s="149"/>
      <c r="V301" s="149"/>
      <c r="W301" s="149"/>
      <c r="X301" s="149"/>
      <c r="Y301" s="255">
        <f t="shared" si="141"/>
        <v>0</v>
      </c>
      <c r="Z301" s="309">
        <f t="shared" si="139"/>
        <v>0</v>
      </c>
      <c r="AA301" s="256">
        <f t="shared" si="137"/>
        <v>0</v>
      </c>
      <c r="AB301" s="309"/>
      <c r="AC301" s="309"/>
      <c r="AD301" s="320">
        <f t="shared" si="138"/>
        <v>0</v>
      </c>
      <c r="AF301" s="11"/>
      <c r="AG301" s="579"/>
      <c r="AH301" s="64">
        <f t="shared" si="142"/>
        <v>43389</v>
      </c>
      <c r="AI301" s="698"/>
      <c r="AJ301" s="699"/>
      <c r="AK301" s="699"/>
      <c r="AL301" s="699"/>
      <c r="AM301" s="699"/>
      <c r="AN301" s="699"/>
      <c r="AO301" s="699"/>
      <c r="AP301" s="699"/>
      <c r="AQ301" s="699"/>
      <c r="AR301" s="699"/>
      <c r="AS301" s="699"/>
      <c r="AT301" s="699"/>
      <c r="AU301" s="699"/>
      <c r="AV301" s="699"/>
      <c r="AW301" s="699"/>
      <c r="AX301" s="700"/>
      <c r="AY301" s="700"/>
      <c r="AZ301" s="701"/>
    </row>
    <row r="302" spans="1:52" ht="29.25" customHeight="1" thickBot="1">
      <c r="A302" s="64">
        <f t="shared" si="140"/>
        <v>44882</v>
      </c>
      <c r="B302" s="137"/>
      <c r="C302" s="137"/>
      <c r="D302" s="137"/>
      <c r="E302" s="137"/>
      <c r="F302" s="137"/>
      <c r="G302" s="137"/>
      <c r="H302" s="137"/>
      <c r="I302" s="137"/>
      <c r="J302" s="137"/>
      <c r="K302" s="137"/>
      <c r="L302" s="137"/>
      <c r="M302" s="137"/>
      <c r="N302" s="137"/>
      <c r="O302" s="137"/>
      <c r="P302" s="150"/>
      <c r="Q302" s="150"/>
      <c r="R302" s="138"/>
      <c r="S302" s="150"/>
      <c r="T302" s="149"/>
      <c r="U302" s="149"/>
      <c r="V302" s="149"/>
      <c r="W302" s="149"/>
      <c r="X302" s="149"/>
      <c r="Y302" s="255">
        <f t="shared" si="141"/>
        <v>0</v>
      </c>
      <c r="Z302" s="309">
        <f t="shared" si="139"/>
        <v>0</v>
      </c>
      <c r="AA302" s="256">
        <f t="shared" si="137"/>
        <v>0</v>
      </c>
      <c r="AB302" s="309"/>
      <c r="AC302" s="309"/>
      <c r="AD302" s="320">
        <f t="shared" si="138"/>
        <v>0</v>
      </c>
      <c r="AF302" s="11"/>
      <c r="AG302" s="579"/>
      <c r="AH302" s="64">
        <f t="shared" si="142"/>
        <v>43390</v>
      </c>
      <c r="AI302" s="698"/>
      <c r="AJ302" s="699"/>
      <c r="AK302" s="699"/>
      <c r="AL302" s="699"/>
      <c r="AM302" s="699"/>
      <c r="AN302" s="699"/>
      <c r="AO302" s="699"/>
      <c r="AP302" s="699"/>
      <c r="AQ302" s="699"/>
      <c r="AR302" s="699"/>
      <c r="AS302" s="699"/>
      <c r="AT302" s="699"/>
      <c r="AU302" s="699"/>
      <c r="AV302" s="699"/>
      <c r="AW302" s="699"/>
      <c r="AX302" s="700"/>
      <c r="AY302" s="700"/>
      <c r="AZ302" s="701"/>
    </row>
    <row r="303" spans="1:52" ht="29.25" customHeight="1" thickBot="1">
      <c r="A303" s="64">
        <f t="shared" si="140"/>
        <v>44883</v>
      </c>
      <c r="B303" s="137"/>
      <c r="C303" s="137"/>
      <c r="D303" s="137"/>
      <c r="E303" s="137"/>
      <c r="F303" s="137"/>
      <c r="G303" s="137"/>
      <c r="H303" s="137"/>
      <c r="I303" s="137"/>
      <c r="J303" s="137"/>
      <c r="K303" s="137"/>
      <c r="L303" s="137"/>
      <c r="M303" s="137"/>
      <c r="N303" s="137"/>
      <c r="O303" s="137"/>
      <c r="P303" s="150"/>
      <c r="Q303" s="150"/>
      <c r="R303" s="138"/>
      <c r="S303" s="150"/>
      <c r="T303" s="149"/>
      <c r="U303" s="149"/>
      <c r="V303" s="149"/>
      <c r="W303" s="149"/>
      <c r="X303" s="149"/>
      <c r="Y303" s="255">
        <f t="shared" si="141"/>
        <v>0</v>
      </c>
      <c r="Z303" s="309">
        <f t="shared" si="139"/>
        <v>0</v>
      </c>
      <c r="AA303" s="256">
        <f t="shared" si="137"/>
        <v>0</v>
      </c>
      <c r="AB303" s="309"/>
      <c r="AC303" s="309"/>
      <c r="AD303" s="320">
        <f t="shared" si="138"/>
        <v>0</v>
      </c>
      <c r="AF303" s="11"/>
      <c r="AG303" s="579"/>
      <c r="AH303" s="64">
        <f t="shared" si="142"/>
        <v>43391</v>
      </c>
      <c r="AI303" s="698"/>
      <c r="AJ303" s="699"/>
      <c r="AK303" s="699"/>
      <c r="AL303" s="699"/>
      <c r="AM303" s="699"/>
      <c r="AN303" s="699"/>
      <c r="AO303" s="699"/>
      <c r="AP303" s="699"/>
      <c r="AQ303" s="699"/>
      <c r="AR303" s="699"/>
      <c r="AS303" s="699"/>
      <c r="AT303" s="699"/>
      <c r="AU303" s="699"/>
      <c r="AV303" s="699"/>
      <c r="AW303" s="699"/>
      <c r="AX303" s="700"/>
      <c r="AY303" s="700"/>
      <c r="AZ303" s="701"/>
    </row>
    <row r="304" spans="1:52" ht="29.25" customHeight="1" thickBot="1">
      <c r="A304" s="64">
        <f t="shared" si="140"/>
        <v>44884</v>
      </c>
      <c r="B304" s="137"/>
      <c r="C304" s="137"/>
      <c r="D304" s="137"/>
      <c r="E304" s="137"/>
      <c r="F304" s="137"/>
      <c r="G304" s="137"/>
      <c r="H304" s="137"/>
      <c r="I304" s="137"/>
      <c r="J304" s="137"/>
      <c r="K304" s="137"/>
      <c r="L304" s="137"/>
      <c r="M304" s="137"/>
      <c r="N304" s="137"/>
      <c r="O304" s="137"/>
      <c r="P304" s="150"/>
      <c r="Q304" s="150"/>
      <c r="R304" s="138"/>
      <c r="S304" s="150"/>
      <c r="T304" s="149"/>
      <c r="U304" s="149"/>
      <c r="V304" s="149"/>
      <c r="W304" s="149"/>
      <c r="X304" s="149"/>
      <c r="Y304" s="255">
        <f t="shared" si="141"/>
        <v>0</v>
      </c>
      <c r="Z304" s="309">
        <f t="shared" si="139"/>
        <v>0</v>
      </c>
      <c r="AA304" s="256">
        <f t="shared" si="137"/>
        <v>0</v>
      </c>
      <c r="AB304" s="309"/>
      <c r="AC304" s="309"/>
      <c r="AD304" s="320">
        <f t="shared" si="138"/>
        <v>0</v>
      </c>
      <c r="AF304" s="11"/>
      <c r="AG304" s="579"/>
      <c r="AH304" s="64">
        <f t="shared" si="142"/>
        <v>43392</v>
      </c>
      <c r="AI304" s="698"/>
      <c r="AJ304" s="699"/>
      <c r="AK304" s="699"/>
      <c r="AL304" s="699"/>
      <c r="AM304" s="699"/>
      <c r="AN304" s="699"/>
      <c r="AO304" s="699"/>
      <c r="AP304" s="699"/>
      <c r="AQ304" s="699"/>
      <c r="AR304" s="699"/>
      <c r="AS304" s="699"/>
      <c r="AT304" s="699"/>
      <c r="AU304" s="699"/>
      <c r="AV304" s="699"/>
      <c r="AW304" s="699"/>
      <c r="AX304" s="700"/>
      <c r="AY304" s="700"/>
      <c r="AZ304" s="701"/>
    </row>
    <row r="305" spans="1:52" ht="29.25" customHeight="1" thickBot="1">
      <c r="A305" s="64">
        <f t="shared" si="140"/>
        <v>44885</v>
      </c>
      <c r="B305" s="137"/>
      <c r="C305" s="137"/>
      <c r="D305" s="137"/>
      <c r="E305" s="137"/>
      <c r="F305" s="137"/>
      <c r="G305" s="137"/>
      <c r="H305" s="137"/>
      <c r="I305" s="137"/>
      <c r="J305" s="137"/>
      <c r="K305" s="137"/>
      <c r="L305" s="137"/>
      <c r="M305" s="137"/>
      <c r="N305" s="137"/>
      <c r="O305" s="137"/>
      <c r="P305" s="150"/>
      <c r="Q305" s="150"/>
      <c r="R305" s="138"/>
      <c r="S305" s="150"/>
      <c r="T305" s="149"/>
      <c r="U305" s="149"/>
      <c r="V305" s="149"/>
      <c r="W305" s="149"/>
      <c r="X305" s="149"/>
      <c r="Y305" s="255">
        <f t="shared" si="141"/>
        <v>0</v>
      </c>
      <c r="Z305" s="309">
        <f t="shared" si="139"/>
        <v>0</v>
      </c>
      <c r="AA305" s="256">
        <f t="shared" si="137"/>
        <v>0</v>
      </c>
      <c r="AB305" s="309"/>
      <c r="AC305" s="309"/>
      <c r="AD305" s="320">
        <f t="shared" si="138"/>
        <v>0</v>
      </c>
      <c r="AF305" s="11"/>
      <c r="AG305" s="579"/>
      <c r="AH305" s="64">
        <f t="shared" si="142"/>
        <v>43393</v>
      </c>
      <c r="AI305" s="698"/>
      <c r="AJ305" s="699"/>
      <c r="AK305" s="699"/>
      <c r="AL305" s="699"/>
      <c r="AM305" s="699"/>
      <c r="AN305" s="699"/>
      <c r="AO305" s="699"/>
      <c r="AP305" s="699"/>
      <c r="AQ305" s="699"/>
      <c r="AR305" s="699"/>
      <c r="AS305" s="699"/>
      <c r="AT305" s="699"/>
      <c r="AU305" s="699"/>
      <c r="AV305" s="699"/>
      <c r="AW305" s="699"/>
      <c r="AX305" s="700"/>
      <c r="AY305" s="700"/>
      <c r="AZ305" s="701"/>
    </row>
    <row r="306" spans="1:52" ht="29.25" customHeight="1" thickBot="1">
      <c r="A306" s="64">
        <f t="shared" si="140"/>
        <v>44886</v>
      </c>
      <c r="B306" s="137"/>
      <c r="C306" s="137"/>
      <c r="D306" s="137"/>
      <c r="E306" s="137"/>
      <c r="F306" s="137"/>
      <c r="G306" s="137"/>
      <c r="H306" s="137"/>
      <c r="I306" s="137"/>
      <c r="J306" s="137"/>
      <c r="K306" s="137"/>
      <c r="L306" s="137"/>
      <c r="M306" s="137"/>
      <c r="N306" s="137"/>
      <c r="O306" s="137"/>
      <c r="P306" s="150"/>
      <c r="Q306" s="150"/>
      <c r="R306" s="138"/>
      <c r="S306" s="150"/>
      <c r="T306" s="149"/>
      <c r="U306" s="149"/>
      <c r="V306" s="149"/>
      <c r="W306" s="149"/>
      <c r="X306" s="149"/>
      <c r="Y306" s="255">
        <f t="shared" si="141"/>
        <v>0</v>
      </c>
      <c r="Z306" s="309">
        <f t="shared" si="139"/>
        <v>0</v>
      </c>
      <c r="AA306" s="256">
        <f t="shared" si="137"/>
        <v>0</v>
      </c>
      <c r="AB306" s="309"/>
      <c r="AC306" s="309"/>
      <c r="AD306" s="320">
        <f t="shared" si="138"/>
        <v>0</v>
      </c>
      <c r="AF306" s="11"/>
      <c r="AG306" s="579"/>
      <c r="AH306" s="64">
        <f t="shared" si="142"/>
        <v>43394</v>
      </c>
      <c r="AI306" s="698"/>
      <c r="AJ306" s="699"/>
      <c r="AK306" s="699"/>
      <c r="AL306" s="699"/>
      <c r="AM306" s="699"/>
      <c r="AN306" s="699"/>
      <c r="AO306" s="699"/>
      <c r="AP306" s="699"/>
      <c r="AQ306" s="699"/>
      <c r="AR306" s="699"/>
      <c r="AS306" s="699"/>
      <c r="AT306" s="699"/>
      <c r="AU306" s="699"/>
      <c r="AV306" s="699"/>
      <c r="AW306" s="699"/>
      <c r="AX306" s="700"/>
      <c r="AY306" s="700"/>
      <c r="AZ306" s="701"/>
    </row>
    <row r="307" spans="1:52" ht="29.25" customHeight="1" thickBot="1">
      <c r="A307" s="64">
        <f t="shared" si="140"/>
        <v>44887</v>
      </c>
      <c r="B307" s="137"/>
      <c r="C307" s="137"/>
      <c r="D307" s="137"/>
      <c r="E307" s="137"/>
      <c r="F307" s="137"/>
      <c r="G307" s="137"/>
      <c r="H307" s="137"/>
      <c r="I307" s="137"/>
      <c r="J307" s="137"/>
      <c r="K307" s="137"/>
      <c r="L307" s="137"/>
      <c r="M307" s="137"/>
      <c r="N307" s="137"/>
      <c r="O307" s="137"/>
      <c r="P307" s="150"/>
      <c r="Q307" s="150"/>
      <c r="R307" s="138"/>
      <c r="S307" s="150"/>
      <c r="T307" s="149"/>
      <c r="U307" s="149"/>
      <c r="V307" s="149"/>
      <c r="W307" s="149"/>
      <c r="X307" s="149"/>
      <c r="Y307" s="255">
        <f t="shared" si="141"/>
        <v>0</v>
      </c>
      <c r="Z307" s="309">
        <f t="shared" si="139"/>
        <v>0</v>
      </c>
      <c r="AA307" s="256">
        <f t="shared" si="137"/>
        <v>0</v>
      </c>
      <c r="AB307" s="309"/>
      <c r="AC307" s="309"/>
      <c r="AD307" s="320">
        <f t="shared" si="138"/>
        <v>0</v>
      </c>
      <c r="AF307" s="11"/>
      <c r="AG307" s="579"/>
      <c r="AH307" s="64">
        <f t="shared" si="142"/>
        <v>43395</v>
      </c>
      <c r="AI307" s="698"/>
      <c r="AJ307" s="699"/>
      <c r="AK307" s="699"/>
      <c r="AL307" s="699"/>
      <c r="AM307" s="699"/>
      <c r="AN307" s="699"/>
      <c r="AO307" s="699"/>
      <c r="AP307" s="699"/>
      <c r="AQ307" s="699"/>
      <c r="AR307" s="699"/>
      <c r="AS307" s="699"/>
      <c r="AT307" s="699"/>
      <c r="AU307" s="699"/>
      <c r="AV307" s="699"/>
      <c r="AW307" s="699"/>
      <c r="AX307" s="700"/>
      <c r="AY307" s="700"/>
      <c r="AZ307" s="701"/>
    </row>
    <row r="308" spans="1:52" ht="29.25" customHeight="1" thickBot="1">
      <c r="A308" s="64">
        <f t="shared" si="140"/>
        <v>44888</v>
      </c>
      <c r="B308" s="137"/>
      <c r="C308" s="137"/>
      <c r="D308" s="137"/>
      <c r="E308" s="137"/>
      <c r="F308" s="137"/>
      <c r="G308" s="137"/>
      <c r="H308" s="137"/>
      <c r="I308" s="137"/>
      <c r="J308" s="137"/>
      <c r="K308" s="137"/>
      <c r="L308" s="137"/>
      <c r="M308" s="137"/>
      <c r="N308" s="137"/>
      <c r="O308" s="137"/>
      <c r="P308" s="150"/>
      <c r="Q308" s="150"/>
      <c r="R308" s="138"/>
      <c r="S308" s="150"/>
      <c r="T308" s="149"/>
      <c r="U308" s="149"/>
      <c r="V308" s="149"/>
      <c r="W308" s="149"/>
      <c r="X308" s="149"/>
      <c r="Y308" s="255">
        <f t="shared" si="141"/>
        <v>0</v>
      </c>
      <c r="Z308" s="309">
        <f t="shared" si="139"/>
        <v>0</v>
      </c>
      <c r="AA308" s="256">
        <f t="shared" si="137"/>
        <v>0</v>
      </c>
      <c r="AB308" s="309"/>
      <c r="AC308" s="309"/>
      <c r="AD308" s="320">
        <f t="shared" si="138"/>
        <v>0</v>
      </c>
      <c r="AF308" s="11"/>
      <c r="AG308" s="579"/>
      <c r="AH308" s="64">
        <f t="shared" si="142"/>
        <v>43396</v>
      </c>
      <c r="AI308" s="698"/>
      <c r="AJ308" s="699"/>
      <c r="AK308" s="699"/>
      <c r="AL308" s="699"/>
      <c r="AM308" s="699"/>
      <c r="AN308" s="699"/>
      <c r="AO308" s="699"/>
      <c r="AP308" s="699"/>
      <c r="AQ308" s="699"/>
      <c r="AR308" s="699"/>
      <c r="AS308" s="699"/>
      <c r="AT308" s="699"/>
      <c r="AU308" s="699"/>
      <c r="AV308" s="699"/>
      <c r="AW308" s="699"/>
      <c r="AX308" s="700"/>
      <c r="AY308" s="700"/>
      <c r="AZ308" s="701"/>
    </row>
    <row r="309" spans="1:52" ht="29.25" customHeight="1" thickBot="1">
      <c r="A309" s="64">
        <f t="shared" si="140"/>
        <v>44889</v>
      </c>
      <c r="B309" s="137"/>
      <c r="C309" s="137"/>
      <c r="D309" s="137"/>
      <c r="E309" s="137"/>
      <c r="F309" s="137"/>
      <c r="G309" s="137"/>
      <c r="H309" s="137"/>
      <c r="I309" s="137"/>
      <c r="J309" s="137"/>
      <c r="K309" s="137"/>
      <c r="L309" s="137"/>
      <c r="M309" s="137"/>
      <c r="N309" s="137"/>
      <c r="O309" s="137"/>
      <c r="P309" s="150"/>
      <c r="Q309" s="150"/>
      <c r="R309" s="138"/>
      <c r="S309" s="150"/>
      <c r="T309" s="149"/>
      <c r="U309" s="149"/>
      <c r="V309" s="149"/>
      <c r="W309" s="149"/>
      <c r="X309" s="149"/>
      <c r="Y309" s="255">
        <f t="shared" si="141"/>
        <v>0</v>
      </c>
      <c r="Z309" s="309">
        <f t="shared" si="139"/>
        <v>0</v>
      </c>
      <c r="AA309" s="256">
        <f t="shared" si="137"/>
        <v>0</v>
      </c>
      <c r="AB309" s="309"/>
      <c r="AC309" s="309"/>
      <c r="AD309" s="320">
        <f t="shared" si="138"/>
        <v>0</v>
      </c>
      <c r="AF309" s="11"/>
      <c r="AG309" s="579"/>
      <c r="AH309" s="64">
        <f t="shared" si="142"/>
        <v>43397</v>
      </c>
      <c r="AI309" s="698"/>
      <c r="AJ309" s="699"/>
      <c r="AK309" s="699"/>
      <c r="AL309" s="699"/>
      <c r="AM309" s="699"/>
      <c r="AN309" s="699"/>
      <c r="AO309" s="699"/>
      <c r="AP309" s="699"/>
      <c r="AQ309" s="699"/>
      <c r="AR309" s="699"/>
      <c r="AS309" s="699"/>
      <c r="AT309" s="699"/>
      <c r="AU309" s="699"/>
      <c r="AV309" s="699"/>
      <c r="AW309" s="699"/>
      <c r="AX309" s="700"/>
      <c r="AY309" s="700"/>
      <c r="AZ309" s="701"/>
    </row>
    <row r="310" spans="1:52" ht="29.25" customHeight="1" thickBot="1">
      <c r="A310" s="64">
        <f t="shared" si="140"/>
        <v>44890</v>
      </c>
      <c r="B310" s="137"/>
      <c r="C310" s="137"/>
      <c r="D310" s="137"/>
      <c r="E310" s="137"/>
      <c r="F310" s="137"/>
      <c r="G310" s="137"/>
      <c r="H310" s="137"/>
      <c r="I310" s="137"/>
      <c r="J310" s="137"/>
      <c r="K310" s="137"/>
      <c r="L310" s="137"/>
      <c r="M310" s="137"/>
      <c r="N310" s="137"/>
      <c r="O310" s="137"/>
      <c r="P310" s="150"/>
      <c r="Q310" s="150"/>
      <c r="R310" s="138"/>
      <c r="S310" s="150"/>
      <c r="T310" s="149"/>
      <c r="U310" s="149"/>
      <c r="V310" s="149"/>
      <c r="W310" s="149"/>
      <c r="X310" s="149"/>
      <c r="Y310" s="255">
        <f t="shared" si="141"/>
        <v>0</v>
      </c>
      <c r="Z310" s="309">
        <f t="shared" si="139"/>
        <v>0</v>
      </c>
      <c r="AA310" s="256">
        <f t="shared" si="137"/>
        <v>0</v>
      </c>
      <c r="AB310" s="309"/>
      <c r="AC310" s="309"/>
      <c r="AD310" s="320">
        <f t="shared" si="138"/>
        <v>0</v>
      </c>
      <c r="AE310" t="s">
        <v>1</v>
      </c>
      <c r="AF310" s="11"/>
      <c r="AG310" s="579"/>
      <c r="AH310" s="64">
        <f t="shared" si="142"/>
        <v>43398</v>
      </c>
      <c r="AI310" s="698"/>
      <c r="AJ310" s="699"/>
      <c r="AK310" s="699"/>
      <c r="AL310" s="699"/>
      <c r="AM310" s="699"/>
      <c r="AN310" s="699"/>
      <c r="AO310" s="699"/>
      <c r="AP310" s="699"/>
      <c r="AQ310" s="699"/>
      <c r="AR310" s="699"/>
      <c r="AS310" s="699"/>
      <c r="AT310" s="699"/>
      <c r="AU310" s="699"/>
      <c r="AV310" s="699"/>
      <c r="AW310" s="699"/>
      <c r="AX310" s="700"/>
      <c r="AY310" s="700"/>
      <c r="AZ310" s="701"/>
    </row>
    <row r="311" spans="1:52" ht="29.25" customHeight="1" thickBot="1">
      <c r="A311" s="64">
        <f t="shared" si="140"/>
        <v>44891</v>
      </c>
      <c r="B311" s="137"/>
      <c r="C311" s="137"/>
      <c r="D311" s="137"/>
      <c r="E311" s="137"/>
      <c r="F311" s="137"/>
      <c r="G311" s="137"/>
      <c r="H311" s="137"/>
      <c r="I311" s="137"/>
      <c r="J311" s="137"/>
      <c r="K311" s="137"/>
      <c r="L311" s="137"/>
      <c r="M311" s="137"/>
      <c r="N311" s="137"/>
      <c r="O311" s="137"/>
      <c r="P311" s="150"/>
      <c r="Q311" s="150"/>
      <c r="R311" s="138"/>
      <c r="S311" s="150"/>
      <c r="T311" s="149"/>
      <c r="U311" s="149"/>
      <c r="V311" s="149"/>
      <c r="W311" s="149"/>
      <c r="X311" s="149"/>
      <c r="Y311" s="255">
        <f t="shared" si="141"/>
        <v>0</v>
      </c>
      <c r="Z311" s="309">
        <f t="shared" si="139"/>
        <v>0</v>
      </c>
      <c r="AA311" s="256">
        <f t="shared" si="137"/>
        <v>0</v>
      </c>
      <c r="AB311" s="309"/>
      <c r="AC311" s="309"/>
      <c r="AD311" s="320">
        <f t="shared" si="138"/>
        <v>0</v>
      </c>
      <c r="AF311" s="11"/>
      <c r="AG311" s="579"/>
      <c r="AH311" s="64">
        <f t="shared" si="142"/>
        <v>43399</v>
      </c>
      <c r="AI311" s="698"/>
      <c r="AJ311" s="699"/>
      <c r="AK311" s="699"/>
      <c r="AL311" s="699"/>
      <c r="AM311" s="699"/>
      <c r="AN311" s="699"/>
      <c r="AO311" s="699"/>
      <c r="AP311" s="699"/>
      <c r="AQ311" s="699"/>
      <c r="AR311" s="699"/>
      <c r="AS311" s="699"/>
      <c r="AT311" s="699"/>
      <c r="AU311" s="699"/>
      <c r="AV311" s="699"/>
      <c r="AW311" s="699"/>
      <c r="AX311" s="700"/>
      <c r="AY311" s="700"/>
      <c r="AZ311" s="701"/>
    </row>
    <row r="312" spans="1:52" ht="29.25" customHeight="1" thickBot="1">
      <c r="A312" s="64">
        <f t="shared" si="140"/>
        <v>44892</v>
      </c>
      <c r="B312" s="137"/>
      <c r="C312" s="137"/>
      <c r="D312" s="137"/>
      <c r="E312" s="137"/>
      <c r="F312" s="137"/>
      <c r="G312" s="137"/>
      <c r="H312" s="137"/>
      <c r="I312" s="137"/>
      <c r="J312" s="137"/>
      <c r="K312" s="137"/>
      <c r="L312" s="137"/>
      <c r="M312" s="137"/>
      <c r="N312" s="137"/>
      <c r="O312" s="137"/>
      <c r="P312" s="150"/>
      <c r="Q312" s="150"/>
      <c r="R312" s="138"/>
      <c r="S312" s="150"/>
      <c r="T312" s="149"/>
      <c r="U312" s="149"/>
      <c r="V312" s="149"/>
      <c r="W312" s="149"/>
      <c r="X312" s="149"/>
      <c r="Y312" s="255">
        <f t="shared" si="141"/>
        <v>0</v>
      </c>
      <c r="Z312" s="309">
        <f t="shared" si="139"/>
        <v>0</v>
      </c>
      <c r="AA312" s="256">
        <f t="shared" si="137"/>
        <v>0</v>
      </c>
      <c r="AB312" s="309"/>
      <c r="AC312" s="309"/>
      <c r="AD312" s="320">
        <f t="shared" si="138"/>
        <v>0</v>
      </c>
      <c r="AF312" s="11"/>
      <c r="AG312" s="579"/>
      <c r="AH312" s="64">
        <f t="shared" si="142"/>
        <v>43400</v>
      </c>
      <c r="AI312" s="698"/>
      <c r="AJ312" s="699"/>
      <c r="AK312" s="699"/>
      <c r="AL312" s="699"/>
      <c r="AM312" s="699"/>
      <c r="AN312" s="699"/>
      <c r="AO312" s="699"/>
      <c r="AP312" s="699"/>
      <c r="AQ312" s="699"/>
      <c r="AR312" s="699"/>
      <c r="AS312" s="699"/>
      <c r="AT312" s="699"/>
      <c r="AU312" s="699"/>
      <c r="AV312" s="699"/>
      <c r="AW312" s="699"/>
      <c r="AX312" s="700"/>
      <c r="AY312" s="700"/>
      <c r="AZ312" s="701"/>
    </row>
    <row r="313" spans="1:52" ht="29.25" customHeight="1" thickBot="1">
      <c r="A313" s="64">
        <f t="shared" si="140"/>
        <v>44893</v>
      </c>
      <c r="B313" s="137"/>
      <c r="C313" s="137"/>
      <c r="D313" s="137"/>
      <c r="E313" s="137"/>
      <c r="F313" s="137"/>
      <c r="G313" s="137"/>
      <c r="H313" s="137"/>
      <c r="I313" s="137"/>
      <c r="J313" s="137"/>
      <c r="K313" s="137"/>
      <c r="L313" s="137"/>
      <c r="M313" s="137"/>
      <c r="N313" s="137"/>
      <c r="O313" s="137"/>
      <c r="P313" s="150"/>
      <c r="Q313" s="150"/>
      <c r="R313" s="138"/>
      <c r="S313" s="150"/>
      <c r="T313" s="149"/>
      <c r="U313" s="149"/>
      <c r="V313" s="149"/>
      <c r="W313" s="149"/>
      <c r="X313" s="149"/>
      <c r="Y313" s="255">
        <f t="shared" si="141"/>
        <v>0</v>
      </c>
      <c r="Z313" s="309">
        <f t="shared" si="139"/>
        <v>0</v>
      </c>
      <c r="AA313" s="256">
        <f t="shared" si="137"/>
        <v>0</v>
      </c>
      <c r="AB313" s="309"/>
      <c r="AC313" s="309"/>
      <c r="AD313" s="320">
        <f t="shared" si="138"/>
        <v>0</v>
      </c>
      <c r="AF313" s="11"/>
      <c r="AG313" s="579"/>
      <c r="AH313" s="64">
        <f t="shared" si="142"/>
        <v>43401</v>
      </c>
      <c r="AI313" s="698"/>
      <c r="AJ313" s="699"/>
      <c r="AK313" s="699"/>
      <c r="AL313" s="699"/>
      <c r="AM313" s="699"/>
      <c r="AN313" s="699"/>
      <c r="AO313" s="699"/>
      <c r="AP313" s="699"/>
      <c r="AQ313" s="699"/>
      <c r="AR313" s="699"/>
      <c r="AS313" s="699"/>
      <c r="AT313" s="699"/>
      <c r="AU313" s="699"/>
      <c r="AV313" s="699"/>
      <c r="AW313" s="699"/>
      <c r="AX313" s="700"/>
      <c r="AY313" s="700"/>
      <c r="AZ313" s="701"/>
    </row>
    <row r="314" spans="1:52" ht="29.25" customHeight="1" thickBot="1">
      <c r="A314" s="64">
        <f t="shared" si="140"/>
        <v>44894</v>
      </c>
      <c r="B314" s="137"/>
      <c r="C314" s="137"/>
      <c r="D314" s="137"/>
      <c r="E314" s="137"/>
      <c r="F314" s="137"/>
      <c r="G314" s="137"/>
      <c r="H314" s="137"/>
      <c r="I314" s="137"/>
      <c r="J314" s="137"/>
      <c r="K314" s="137"/>
      <c r="L314" s="137"/>
      <c r="M314" s="137"/>
      <c r="N314" s="137"/>
      <c r="O314" s="137"/>
      <c r="P314" s="150"/>
      <c r="Q314" s="150"/>
      <c r="R314" s="138"/>
      <c r="S314" s="150"/>
      <c r="T314" s="149"/>
      <c r="U314" s="149"/>
      <c r="V314" s="149"/>
      <c r="W314" s="149"/>
      <c r="X314" s="149"/>
      <c r="Y314" s="255">
        <f t="shared" si="141"/>
        <v>0</v>
      </c>
      <c r="Z314" s="309">
        <f t="shared" si="139"/>
        <v>0</v>
      </c>
      <c r="AA314" s="256">
        <f t="shared" si="137"/>
        <v>0</v>
      </c>
      <c r="AB314" s="309"/>
      <c r="AC314" s="309"/>
      <c r="AD314" s="320">
        <f t="shared" si="138"/>
        <v>0</v>
      </c>
      <c r="AF314" s="11"/>
      <c r="AG314" s="579"/>
      <c r="AH314" s="64">
        <f>AH313+1</f>
        <v>43402</v>
      </c>
      <c r="AI314" s="698"/>
      <c r="AJ314" s="699"/>
      <c r="AK314" s="699"/>
      <c r="AL314" s="699"/>
      <c r="AM314" s="699"/>
      <c r="AN314" s="699"/>
      <c r="AO314" s="699"/>
      <c r="AP314" s="699"/>
      <c r="AQ314" s="699"/>
      <c r="AR314" s="699"/>
      <c r="AS314" s="699"/>
      <c r="AT314" s="699"/>
      <c r="AU314" s="699"/>
      <c r="AV314" s="699"/>
      <c r="AW314" s="699"/>
      <c r="AX314" s="700"/>
      <c r="AY314" s="700"/>
      <c r="AZ314" s="701"/>
    </row>
    <row r="315" spans="1:52" ht="29.25" customHeight="1" thickBot="1">
      <c r="A315" s="64">
        <f t="shared" si="140"/>
        <v>44895</v>
      </c>
      <c r="B315" s="137"/>
      <c r="C315" s="137"/>
      <c r="D315" s="137"/>
      <c r="E315" s="137"/>
      <c r="F315" s="137"/>
      <c r="G315" s="137"/>
      <c r="H315" s="137"/>
      <c r="I315" s="137"/>
      <c r="J315" s="137"/>
      <c r="K315" s="137"/>
      <c r="L315" s="137"/>
      <c r="M315" s="137"/>
      <c r="N315" s="137"/>
      <c r="O315" s="137"/>
      <c r="P315" s="150"/>
      <c r="Q315" s="150"/>
      <c r="R315" s="138"/>
      <c r="S315" s="150"/>
      <c r="T315" s="149"/>
      <c r="U315" s="149"/>
      <c r="V315" s="149"/>
      <c r="W315" s="149"/>
      <c r="X315" s="149"/>
      <c r="Y315" s="255">
        <f t="shared" si="141"/>
        <v>0</v>
      </c>
      <c r="Z315" s="309">
        <f t="shared" si="139"/>
        <v>0</v>
      </c>
      <c r="AA315" s="256">
        <f t="shared" si="137"/>
        <v>0</v>
      </c>
      <c r="AB315" s="309"/>
      <c r="AC315" s="309"/>
      <c r="AD315" s="320">
        <f t="shared" si="138"/>
        <v>0</v>
      </c>
      <c r="AF315" s="11"/>
      <c r="AG315" s="579"/>
      <c r="AH315" s="64">
        <f t="shared" si="142"/>
        <v>43403</v>
      </c>
      <c r="AI315" s="698"/>
      <c r="AJ315" s="699"/>
      <c r="AK315" s="699"/>
      <c r="AL315" s="699"/>
      <c r="AM315" s="699"/>
      <c r="AN315" s="699"/>
      <c r="AO315" s="699"/>
      <c r="AP315" s="699"/>
      <c r="AQ315" s="699"/>
      <c r="AR315" s="699"/>
      <c r="AS315" s="699"/>
      <c r="AT315" s="699"/>
      <c r="AU315" s="699"/>
      <c r="AV315" s="699"/>
      <c r="AW315" s="699"/>
      <c r="AX315" s="700"/>
      <c r="AY315" s="700"/>
      <c r="AZ315" s="701"/>
    </row>
    <row r="316" spans="1:52" ht="29.25" customHeight="1" thickBot="1">
      <c r="A316" s="65">
        <f t="shared" si="140"/>
        <v>44896</v>
      </c>
      <c r="B316" s="151"/>
      <c r="C316" s="151"/>
      <c r="D316" s="151"/>
      <c r="E316" s="151"/>
      <c r="F316" s="151"/>
      <c r="G316" s="151"/>
      <c r="H316" s="151"/>
      <c r="I316" s="151"/>
      <c r="J316" s="151"/>
      <c r="K316" s="151"/>
      <c r="L316" s="151"/>
      <c r="M316" s="151"/>
      <c r="N316" s="151"/>
      <c r="O316" s="151"/>
      <c r="P316" s="152"/>
      <c r="Q316" s="152"/>
      <c r="R316" s="141"/>
      <c r="S316" s="152"/>
      <c r="T316" s="152"/>
      <c r="U316" s="152"/>
      <c r="V316" s="152"/>
      <c r="W316" s="152"/>
      <c r="X316" s="152"/>
      <c r="Y316" s="255">
        <f t="shared" si="141"/>
        <v>0</v>
      </c>
      <c r="Z316" s="309">
        <f t="shared" si="139"/>
        <v>0</v>
      </c>
      <c r="AA316" s="257">
        <f t="shared" si="137"/>
        <v>0</v>
      </c>
      <c r="AB316" s="309"/>
      <c r="AC316" s="309"/>
      <c r="AD316" s="320">
        <f t="shared" si="138"/>
        <v>0</v>
      </c>
      <c r="AF316" s="11"/>
      <c r="AG316" s="579"/>
      <c r="AH316" s="65">
        <f t="shared" si="142"/>
        <v>43404</v>
      </c>
      <c r="AI316" s="702"/>
      <c r="AJ316" s="703"/>
      <c r="AK316" s="703"/>
      <c r="AL316" s="703"/>
      <c r="AM316" s="703"/>
      <c r="AN316" s="703"/>
      <c r="AO316" s="703"/>
      <c r="AP316" s="703"/>
      <c r="AQ316" s="703"/>
      <c r="AR316" s="703"/>
      <c r="AS316" s="703"/>
      <c r="AT316" s="703"/>
      <c r="AU316" s="703"/>
      <c r="AV316" s="703"/>
      <c r="AW316" s="703"/>
      <c r="AX316" s="704"/>
      <c r="AY316" s="704"/>
      <c r="AZ316" s="705"/>
    </row>
    <row r="317" spans="1:52" ht="50.1" customHeight="1" thickTop="1" thickBot="1">
      <c r="A317" s="96" t="s">
        <v>74</v>
      </c>
      <c r="B317" s="90">
        <f>SUM(B286:B316)</f>
        <v>0</v>
      </c>
      <c r="C317" s="90">
        <f t="shared" ref="C317:Y317" si="143">SUM(C286:C316)</f>
        <v>0</v>
      </c>
      <c r="D317" s="90">
        <f t="shared" si="143"/>
        <v>0</v>
      </c>
      <c r="E317" s="90"/>
      <c r="F317" s="90">
        <f t="shared" si="143"/>
        <v>0</v>
      </c>
      <c r="G317" s="90">
        <f t="shared" si="143"/>
        <v>0</v>
      </c>
      <c r="H317" s="90">
        <f t="shared" si="143"/>
        <v>0</v>
      </c>
      <c r="I317" s="90">
        <f t="shared" si="143"/>
        <v>0</v>
      </c>
      <c r="J317" s="90">
        <f t="shared" si="143"/>
        <v>0</v>
      </c>
      <c r="K317" s="90">
        <f t="shared" si="143"/>
        <v>0</v>
      </c>
      <c r="L317" s="90">
        <f t="shared" si="143"/>
        <v>0</v>
      </c>
      <c r="M317" s="90">
        <f t="shared" si="143"/>
        <v>0</v>
      </c>
      <c r="N317" s="90">
        <f t="shared" si="143"/>
        <v>0</v>
      </c>
      <c r="O317" s="90">
        <f t="shared" si="143"/>
        <v>0</v>
      </c>
      <c r="P317" s="90"/>
      <c r="Q317" s="90">
        <f t="shared" si="143"/>
        <v>0</v>
      </c>
      <c r="R317" s="90">
        <f t="shared" si="143"/>
        <v>0</v>
      </c>
      <c r="S317" s="90">
        <f t="shared" si="143"/>
        <v>0</v>
      </c>
      <c r="T317" s="90"/>
      <c r="U317" s="90"/>
      <c r="V317" s="90"/>
      <c r="W317" s="90"/>
      <c r="X317" s="90"/>
      <c r="Y317" s="282">
        <f t="shared" si="143"/>
        <v>0</v>
      </c>
      <c r="Z317" s="258"/>
      <c r="AA317" s="283"/>
      <c r="AB317" s="316">
        <f>SUM(AB286:AB316)</f>
        <v>0</v>
      </c>
      <c r="AC317" s="316"/>
      <c r="AD317" s="260"/>
      <c r="AF317" s="9"/>
      <c r="AG317" s="10"/>
      <c r="AH317" s="706" t="s">
        <v>101</v>
      </c>
      <c r="AI317" s="707">
        <f>SUM(AI286:AI316)</f>
        <v>0</v>
      </c>
      <c r="AJ317" s="707">
        <f>SUM(AJ286:AJ316)</f>
        <v>0</v>
      </c>
      <c r="AK317" s="707">
        <f t="shared" ref="AK317:AZ317" si="144">SUM(AK286:AK316)</f>
        <v>0</v>
      </c>
      <c r="AL317" s="707">
        <f t="shared" si="144"/>
        <v>0</v>
      </c>
      <c r="AM317" s="707">
        <f t="shared" si="144"/>
        <v>0</v>
      </c>
      <c r="AN317" s="707">
        <f t="shared" si="144"/>
        <v>0</v>
      </c>
      <c r="AO317" s="707">
        <f t="shared" si="144"/>
        <v>0</v>
      </c>
      <c r="AP317" s="707">
        <f t="shared" si="144"/>
        <v>0</v>
      </c>
      <c r="AQ317" s="707">
        <f t="shared" si="144"/>
        <v>0</v>
      </c>
      <c r="AR317" s="707">
        <f t="shared" si="144"/>
        <v>0</v>
      </c>
      <c r="AS317" s="707">
        <f t="shared" si="144"/>
        <v>0</v>
      </c>
      <c r="AT317" s="707">
        <f t="shared" si="144"/>
        <v>0</v>
      </c>
      <c r="AU317" s="707">
        <f t="shared" si="144"/>
        <v>0</v>
      </c>
      <c r="AV317" s="707">
        <f t="shared" si="144"/>
        <v>0</v>
      </c>
      <c r="AW317" s="707">
        <f t="shared" si="144"/>
        <v>0</v>
      </c>
      <c r="AX317" s="707">
        <f t="shared" si="144"/>
        <v>0</v>
      </c>
      <c r="AY317" s="707">
        <f t="shared" si="144"/>
        <v>0</v>
      </c>
      <c r="AZ317" s="707">
        <f t="shared" si="144"/>
        <v>0</v>
      </c>
    </row>
    <row r="318" spans="1:52" ht="50.1" customHeight="1" thickTop="1" thickBot="1">
      <c r="A318" s="148" t="s">
        <v>102</v>
      </c>
      <c r="B318" s="473"/>
      <c r="C318" s="473"/>
      <c r="D318" s="473"/>
      <c r="E318" s="473"/>
      <c r="F318" s="473"/>
      <c r="G318" s="473"/>
      <c r="H318" s="473"/>
      <c r="I318" s="473"/>
      <c r="J318" s="473"/>
      <c r="K318" s="473"/>
      <c r="L318" s="473"/>
      <c r="M318" s="473"/>
      <c r="N318" s="473"/>
      <c r="O318" s="473"/>
      <c r="P318" s="473"/>
      <c r="Q318" s="473"/>
      <c r="R318" s="473"/>
      <c r="S318" s="473"/>
      <c r="T318" s="473"/>
      <c r="U318" s="473"/>
      <c r="V318" s="473"/>
      <c r="W318" s="473"/>
      <c r="X318" s="473"/>
      <c r="Y318" s="284"/>
      <c r="Z318" s="272"/>
      <c r="AA318" s="272"/>
      <c r="AB318" s="272"/>
      <c r="AC318" s="269"/>
      <c r="AD318" s="270"/>
      <c r="AF318" s="9"/>
      <c r="AG318" s="10"/>
      <c r="AH318" s="706" t="s">
        <v>45</v>
      </c>
      <c r="AI318" s="707">
        <v>220</v>
      </c>
      <c r="AJ318" s="707">
        <v>220</v>
      </c>
      <c r="AK318" s="707">
        <v>220</v>
      </c>
      <c r="AL318" s="707">
        <v>100</v>
      </c>
      <c r="AM318" s="707">
        <v>100</v>
      </c>
      <c r="AN318" s="707">
        <v>80</v>
      </c>
      <c r="AO318" s="707">
        <v>25</v>
      </c>
      <c r="AP318" s="707">
        <v>25</v>
      </c>
      <c r="AQ318" s="707">
        <v>25</v>
      </c>
      <c r="AR318" s="707">
        <v>400</v>
      </c>
      <c r="AS318" s="707">
        <v>400</v>
      </c>
      <c r="AT318" s="707">
        <v>400</v>
      </c>
      <c r="AU318" s="707">
        <v>0</v>
      </c>
      <c r="AV318" s="707">
        <v>0</v>
      </c>
      <c r="AW318" s="707">
        <v>200</v>
      </c>
      <c r="AX318" s="707">
        <v>200</v>
      </c>
      <c r="AY318" s="707">
        <v>0</v>
      </c>
      <c r="AZ318" s="707">
        <v>0</v>
      </c>
    </row>
    <row r="319" spans="1:52" ht="50.1" customHeight="1" thickTop="1" thickBot="1">
      <c r="A319" s="99"/>
      <c r="B319" s="143">
        <f>B317*B318</f>
        <v>0</v>
      </c>
      <c r="C319" s="143">
        <f t="shared" ref="C319:S319" si="145">C317*C318</f>
        <v>0</v>
      </c>
      <c r="D319" s="143">
        <f t="shared" si="145"/>
        <v>0</v>
      </c>
      <c r="E319" s="143"/>
      <c r="F319" s="143">
        <f t="shared" si="145"/>
        <v>0</v>
      </c>
      <c r="G319" s="143">
        <f t="shared" si="145"/>
        <v>0</v>
      </c>
      <c r="H319" s="143">
        <f t="shared" si="145"/>
        <v>0</v>
      </c>
      <c r="I319" s="143">
        <f t="shared" si="145"/>
        <v>0</v>
      </c>
      <c r="J319" s="143">
        <f t="shared" si="145"/>
        <v>0</v>
      </c>
      <c r="K319" s="143">
        <f t="shared" si="145"/>
        <v>0</v>
      </c>
      <c r="L319" s="143">
        <f t="shared" si="145"/>
        <v>0</v>
      </c>
      <c r="M319" s="143">
        <f t="shared" si="145"/>
        <v>0</v>
      </c>
      <c r="N319" s="143">
        <f t="shared" si="145"/>
        <v>0</v>
      </c>
      <c r="O319" s="143">
        <f t="shared" si="145"/>
        <v>0</v>
      </c>
      <c r="P319" s="143"/>
      <c r="Q319" s="143">
        <f t="shared" si="145"/>
        <v>0</v>
      </c>
      <c r="R319" s="143">
        <f t="shared" si="145"/>
        <v>0</v>
      </c>
      <c r="S319" s="143">
        <f t="shared" si="145"/>
        <v>0</v>
      </c>
      <c r="T319" s="143"/>
      <c r="U319" s="143"/>
      <c r="V319" s="143"/>
      <c r="W319" s="143"/>
      <c r="X319" s="143"/>
      <c r="Y319" s="285">
        <f>SUM(C319:S319)</f>
        <v>0</v>
      </c>
      <c r="Z319" s="268"/>
      <c r="AA319" s="268"/>
      <c r="AB319" s="268"/>
      <c r="AC319" s="269"/>
      <c r="AD319" s="270"/>
      <c r="AF319" s="8"/>
      <c r="AG319" s="579"/>
      <c r="AH319" s="706" t="s">
        <v>46</v>
      </c>
      <c r="AI319" s="707">
        <f>AI317*AI318</f>
        <v>0</v>
      </c>
      <c r="AJ319" s="707">
        <f t="shared" ref="AJ319" si="146">AJ317*AJ318</f>
        <v>0</v>
      </c>
      <c r="AK319" s="707">
        <f t="shared" ref="AK319" si="147">AK317*AK318</f>
        <v>0</v>
      </c>
      <c r="AL319" s="707">
        <f t="shared" ref="AL319" si="148">AL317*AL318</f>
        <v>0</v>
      </c>
      <c r="AM319" s="707">
        <f t="shared" ref="AM319" si="149">AM317*AM318</f>
        <v>0</v>
      </c>
      <c r="AN319" s="707">
        <f t="shared" ref="AN319" si="150">AN317*AN318</f>
        <v>0</v>
      </c>
      <c r="AO319" s="707">
        <f t="shared" ref="AO319" si="151">AO317*AO318</f>
        <v>0</v>
      </c>
      <c r="AP319" s="707">
        <f t="shared" ref="AP319" si="152">AP317*AP318</f>
        <v>0</v>
      </c>
      <c r="AQ319" s="707">
        <f t="shared" ref="AQ319" si="153">AQ317*AQ318</f>
        <v>0</v>
      </c>
      <c r="AR319" s="707">
        <f t="shared" ref="AR319" si="154">AR317*AR318</f>
        <v>0</v>
      </c>
      <c r="AS319" s="707">
        <f t="shared" ref="AS319" si="155">AS317*AS318</f>
        <v>0</v>
      </c>
      <c r="AT319" s="707">
        <f t="shared" ref="AT319" si="156">AT317*AT318</f>
        <v>0</v>
      </c>
      <c r="AU319" s="707">
        <f t="shared" ref="AU319" si="157">AU317*AU318</f>
        <v>0</v>
      </c>
      <c r="AV319" s="707">
        <f t="shared" ref="AV319" si="158">AV317*AV318</f>
        <v>0</v>
      </c>
      <c r="AW319" s="707">
        <f t="shared" ref="AW319" si="159">AW317*AW318</f>
        <v>0</v>
      </c>
      <c r="AX319" s="707">
        <f t="shared" ref="AX319" si="160">AX317*AX318</f>
        <v>0</v>
      </c>
      <c r="AY319" s="707">
        <f t="shared" ref="AY319" si="161">AY317*AY318</f>
        <v>0</v>
      </c>
      <c r="AZ319" s="707">
        <f t="shared" ref="AZ319" si="162">AZ317*AZ318</f>
        <v>0</v>
      </c>
    </row>
    <row r="320" spans="1:52" ht="24.75" thickTop="1" thickBot="1">
      <c r="A320" s="7"/>
      <c r="B320" s="7" t="s">
        <v>1</v>
      </c>
      <c r="C320" s="7"/>
      <c r="D320" s="7"/>
      <c r="E320" s="7"/>
      <c r="F320" s="7"/>
      <c r="G320" s="7"/>
      <c r="H320" s="22"/>
      <c r="I320" s="22"/>
      <c r="J320" s="22"/>
      <c r="K320" s="22"/>
      <c r="L320" s="22"/>
      <c r="M320" s="22"/>
      <c r="N320" s="22"/>
      <c r="O320" s="22"/>
      <c r="P320" s="22"/>
      <c r="Q320" s="7"/>
      <c r="R320" s="7"/>
      <c r="S320" s="7"/>
      <c r="T320" s="7"/>
      <c r="U320" s="7"/>
      <c r="V320" s="7"/>
      <c r="W320" s="7"/>
      <c r="X320" s="7"/>
      <c r="Y320" s="286">
        <f>Y317-Y319</f>
        <v>0</v>
      </c>
      <c r="Z320" s="287"/>
      <c r="AA320" s="287"/>
      <c r="AB320" s="272"/>
      <c r="AC320" s="269"/>
      <c r="AD320" s="270"/>
      <c r="AF320" s="8"/>
      <c r="AG320" s="8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714">
        <f>SUM(AI319:AZ319)</f>
        <v>0</v>
      </c>
    </row>
    <row r="321" spans="1:52" ht="15.75" thickTop="1">
      <c r="A321" s="7"/>
      <c r="B321" s="7"/>
      <c r="C321" s="7"/>
      <c r="D321" s="7"/>
      <c r="E321" s="7"/>
      <c r="F321" s="7"/>
      <c r="G321" s="7"/>
      <c r="H321" s="1443"/>
      <c r="I321" s="1443"/>
      <c r="J321" s="1443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22"/>
      <c r="Z321" s="22"/>
      <c r="AA321" s="22"/>
      <c r="AB321" s="10"/>
      <c r="AC321" s="2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22"/>
      <c r="AV321" s="22"/>
      <c r="AW321" s="10"/>
      <c r="AX321" s="2"/>
      <c r="AY321" s="2"/>
    </row>
    <row r="322" spans="1:5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580"/>
      <c r="Z322" s="580"/>
      <c r="AA322" s="580"/>
      <c r="AB322" s="10"/>
      <c r="AC322" s="2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580"/>
      <c r="AV322" s="580"/>
      <c r="AW322" s="10"/>
      <c r="AX322" s="2"/>
      <c r="AY322" s="2"/>
    </row>
    <row r="323" spans="1:52" ht="15.75" thickBo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1450"/>
      <c r="Z323" s="1450"/>
      <c r="AA323" s="1450"/>
      <c r="AB323" s="10"/>
      <c r="AC323" s="2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22"/>
      <c r="AV323" s="22"/>
      <c r="AW323" s="10"/>
      <c r="AX323" s="2"/>
      <c r="AY323" s="2"/>
    </row>
    <row r="324" spans="1:52" ht="39.950000000000003" customHeight="1" thickBot="1">
      <c r="A324" s="109">
        <f>A5</f>
        <v>2022</v>
      </c>
      <c r="B324" s="1444"/>
      <c r="C324" s="1445"/>
      <c r="D324" s="1445"/>
      <c r="E324" s="1445"/>
      <c r="F324" s="1445"/>
      <c r="G324" s="1445"/>
      <c r="H324" s="1445"/>
      <c r="I324" s="1445"/>
      <c r="J324" s="1445"/>
      <c r="K324" s="1445"/>
      <c r="L324" s="1445"/>
      <c r="M324" s="1445"/>
      <c r="N324" s="1445"/>
      <c r="O324" s="1445"/>
      <c r="P324" s="1445"/>
      <c r="Q324" s="1445"/>
      <c r="R324" s="1445"/>
      <c r="S324" s="1445"/>
      <c r="T324" s="1445"/>
      <c r="U324" s="1445"/>
      <c r="V324" s="1445"/>
      <c r="W324" s="1445"/>
      <c r="X324" s="1445"/>
      <c r="Y324" s="1446"/>
      <c r="Z324" s="21"/>
      <c r="AA324" s="21"/>
      <c r="AB324" s="21"/>
      <c r="AC324" s="2"/>
      <c r="AE324" t="s">
        <v>1</v>
      </c>
      <c r="AF324" s="10"/>
      <c r="AG324" s="34"/>
      <c r="AH324" s="109">
        <v>2018</v>
      </c>
      <c r="AI324" s="1424">
        <f>B324</f>
        <v>0</v>
      </c>
      <c r="AJ324" s="1425"/>
      <c r="AK324" s="1425"/>
      <c r="AL324" s="1425"/>
      <c r="AM324" s="1425"/>
      <c r="AN324" s="1425"/>
      <c r="AO324" s="1425"/>
      <c r="AP324" s="1425"/>
      <c r="AQ324" s="1425"/>
      <c r="AR324" s="1425"/>
      <c r="AS324" s="1425"/>
      <c r="AT324" s="1425"/>
      <c r="AU324" s="1425"/>
      <c r="AV324" s="1425"/>
      <c r="AW324" s="1425"/>
      <c r="AX324" s="1425"/>
      <c r="AY324" s="1425"/>
      <c r="AZ324" s="1425"/>
    </row>
    <row r="325" spans="1:52" ht="60" customHeight="1" thickTop="1" thickBot="1">
      <c r="A325" s="1468" t="s">
        <v>94</v>
      </c>
      <c r="B325" s="1402" t="s">
        <v>95</v>
      </c>
      <c r="C325" s="1403"/>
      <c r="D325" s="1403"/>
      <c r="E325" s="1404"/>
      <c r="F325" s="1402" t="s">
        <v>7</v>
      </c>
      <c r="G325" s="1403"/>
      <c r="H325" s="1404"/>
      <c r="I325" s="1402" t="s">
        <v>8</v>
      </c>
      <c r="J325" s="1404"/>
      <c r="K325" s="1402" t="s">
        <v>9</v>
      </c>
      <c r="L325" s="1403"/>
      <c r="M325" s="1403"/>
      <c r="N325" s="1403"/>
      <c r="O325" s="1403"/>
      <c r="P325" s="1403"/>
      <c r="Q325" s="1403"/>
      <c r="R325" s="1405" t="s">
        <v>10</v>
      </c>
      <c r="S325" s="1406"/>
      <c r="T325" s="1400" t="s">
        <v>289</v>
      </c>
      <c r="U325" s="1401"/>
      <c r="V325" s="842" t="s">
        <v>258</v>
      </c>
      <c r="W325" s="842"/>
      <c r="X325" s="842"/>
      <c r="Y325" s="211"/>
      <c r="Z325" s="21"/>
      <c r="AA325" s="21"/>
      <c r="AB325" s="21"/>
      <c r="AC325" s="21"/>
      <c r="AF325" s="10"/>
      <c r="AG325" s="34"/>
      <c r="AH325" s="1422" t="s">
        <v>94</v>
      </c>
      <c r="AI325" s="1402" t="s">
        <v>95</v>
      </c>
      <c r="AJ325" s="1403"/>
      <c r="AK325" s="1404"/>
      <c r="AL325" s="1402" t="s">
        <v>7</v>
      </c>
      <c r="AM325" s="1403"/>
      <c r="AN325" s="1404"/>
      <c r="AO325" s="1402" t="s">
        <v>8</v>
      </c>
      <c r="AP325" s="1403"/>
      <c r="AQ325" s="1404"/>
      <c r="AR325" s="1402" t="s">
        <v>9</v>
      </c>
      <c r="AS325" s="1403"/>
      <c r="AT325" s="1404"/>
      <c r="AU325" s="1403" t="s">
        <v>9</v>
      </c>
      <c r="AV325" s="1404"/>
      <c r="AW325" s="1429" t="s">
        <v>10</v>
      </c>
      <c r="AX325" s="1430"/>
      <c r="AY325" s="690"/>
      <c r="AZ325" s="404" t="s">
        <v>11</v>
      </c>
    </row>
    <row r="326" spans="1:52" ht="42" thickTop="1" thickBot="1">
      <c r="A326" s="1428"/>
      <c r="B326" s="482" t="s">
        <v>12</v>
      </c>
      <c r="C326" s="482" t="s">
        <v>13</v>
      </c>
      <c r="D326" s="482" t="s">
        <v>14</v>
      </c>
      <c r="E326" s="688" t="s">
        <v>198</v>
      </c>
      <c r="F326" s="482" t="s">
        <v>12</v>
      </c>
      <c r="G326" s="482" t="s">
        <v>13</v>
      </c>
      <c r="H326" s="482" t="s">
        <v>282</v>
      </c>
      <c r="I326" s="482" t="s">
        <v>12</v>
      </c>
      <c r="J326" s="482" t="s">
        <v>16</v>
      </c>
      <c r="K326" s="482" t="s">
        <v>17</v>
      </c>
      <c r="L326" s="482" t="s">
        <v>18</v>
      </c>
      <c r="M326" s="482" t="s">
        <v>19</v>
      </c>
      <c r="N326" s="484" t="s">
        <v>96</v>
      </c>
      <c r="O326" s="484" t="s">
        <v>257</v>
      </c>
      <c r="P326" s="484" t="s">
        <v>254</v>
      </c>
      <c r="Q326" s="484" t="s">
        <v>20</v>
      </c>
      <c r="R326" s="483" t="s">
        <v>14</v>
      </c>
      <c r="S326" s="482" t="s">
        <v>13</v>
      </c>
      <c r="T326" s="846" t="s">
        <v>284</v>
      </c>
      <c r="U326" s="846" t="s">
        <v>288</v>
      </c>
      <c r="V326" s="484" t="s">
        <v>259</v>
      </c>
      <c r="W326" s="484"/>
      <c r="X326" s="484"/>
      <c r="Y326" s="224" t="s">
        <v>90</v>
      </c>
      <c r="Z326" s="210" t="s">
        <v>97</v>
      </c>
      <c r="AA326" s="210" t="s">
        <v>74</v>
      </c>
      <c r="AB326" s="210" t="s">
        <v>98</v>
      </c>
      <c r="AC326" s="210" t="s">
        <v>99</v>
      </c>
      <c r="AD326" s="210" t="s">
        <v>100</v>
      </c>
      <c r="AF326" s="578" t="s">
        <v>1</v>
      </c>
      <c r="AG326" s="4"/>
      <c r="AH326" s="1428"/>
      <c r="AI326" s="482" t="s">
        <v>12</v>
      </c>
      <c r="AJ326" s="482" t="s">
        <v>13</v>
      </c>
      <c r="AK326" s="482" t="s">
        <v>14</v>
      </c>
      <c r="AL326" s="482" t="s">
        <v>12</v>
      </c>
      <c r="AM326" s="482" t="s">
        <v>13</v>
      </c>
      <c r="AN326" s="482" t="s">
        <v>15</v>
      </c>
      <c r="AO326" s="482" t="s">
        <v>12</v>
      </c>
      <c r="AP326" s="482" t="s">
        <v>205</v>
      </c>
      <c r="AQ326" s="482" t="s">
        <v>16</v>
      </c>
      <c r="AR326" s="482" t="s">
        <v>17</v>
      </c>
      <c r="AS326" s="482" t="s">
        <v>18</v>
      </c>
      <c r="AT326" s="482" t="s">
        <v>19</v>
      </c>
      <c r="AU326" s="482" t="s">
        <v>201</v>
      </c>
      <c r="AV326" s="482" t="s">
        <v>20</v>
      </c>
      <c r="AW326" s="482" t="s">
        <v>12</v>
      </c>
      <c r="AX326" s="483" t="s">
        <v>13</v>
      </c>
      <c r="AY326" s="688" t="s">
        <v>198</v>
      </c>
      <c r="AZ326" s="484" t="s">
        <v>96</v>
      </c>
    </row>
    <row r="327" spans="1:52" ht="29.25" customHeight="1" thickBot="1">
      <c r="A327" s="66">
        <f>A286</f>
        <v>44866</v>
      </c>
      <c r="B327" s="135"/>
      <c r="C327" s="135"/>
      <c r="D327" s="135"/>
      <c r="E327" s="135"/>
      <c r="F327" s="135"/>
      <c r="G327" s="135"/>
      <c r="H327" s="135"/>
      <c r="I327" s="135"/>
      <c r="J327" s="135"/>
      <c r="K327" s="135"/>
      <c r="L327" s="135"/>
      <c r="M327" s="135"/>
      <c r="N327" s="135"/>
      <c r="O327" s="135"/>
      <c r="P327" s="135"/>
      <c r="Q327" s="135"/>
      <c r="R327" s="135"/>
      <c r="S327" s="149"/>
      <c r="T327" s="149"/>
      <c r="U327" s="149"/>
      <c r="V327" s="149"/>
      <c r="W327" s="149"/>
      <c r="X327" s="149"/>
      <c r="Y327" s="255">
        <f>B327*280+C327*280+D327*280+E327*280+F327*130+G327*130+H327*90+I327*43+J327*45+K327*385+L327*385+M327*400+N327*22+O327*42+P327*80+Q327*200+R327*260+S327*41+T327*30+U327*60</f>
        <v>0</v>
      </c>
      <c r="Z327" s="308"/>
      <c r="AA327" s="263">
        <f t="shared" ref="AA327:AA357" si="163">Y327+Z327</f>
        <v>0</v>
      </c>
      <c r="AB327" s="308"/>
      <c r="AC327" s="308"/>
      <c r="AD327" s="319">
        <f t="shared" ref="AD327:AD357" si="164">AA327-AB327-AC327</f>
        <v>0</v>
      </c>
      <c r="AF327" s="11"/>
      <c r="AG327" s="24"/>
      <c r="AH327" s="63">
        <f>AH286</f>
        <v>43374</v>
      </c>
      <c r="AI327" s="694"/>
      <c r="AJ327" s="695"/>
      <c r="AK327" s="695"/>
      <c r="AL327" s="695"/>
      <c r="AM327" s="695"/>
      <c r="AN327" s="695"/>
      <c r="AO327" s="695"/>
      <c r="AP327" s="695"/>
      <c r="AQ327" s="695"/>
      <c r="AR327" s="695"/>
      <c r="AS327" s="695"/>
      <c r="AT327" s="695"/>
      <c r="AU327" s="695"/>
      <c r="AV327" s="695"/>
      <c r="AW327" s="695"/>
      <c r="AX327" s="696"/>
      <c r="AY327" s="696"/>
      <c r="AZ327" s="697"/>
    </row>
    <row r="328" spans="1:52" ht="29.25" customHeight="1" thickBot="1">
      <c r="A328" s="66">
        <f>A327+1</f>
        <v>44867</v>
      </c>
      <c r="B328" s="138"/>
      <c r="C328" s="138"/>
      <c r="D328" s="138"/>
      <c r="E328" s="138"/>
      <c r="F328" s="138"/>
      <c r="G328" s="138"/>
      <c r="H328" s="138"/>
      <c r="I328" s="138"/>
      <c r="J328" s="138"/>
      <c r="K328" s="138"/>
      <c r="L328" s="138"/>
      <c r="M328" s="138"/>
      <c r="N328" s="138"/>
      <c r="O328" s="138"/>
      <c r="P328" s="138"/>
      <c r="Q328" s="138"/>
      <c r="R328" s="138"/>
      <c r="S328" s="150"/>
      <c r="T328" s="149"/>
      <c r="U328" s="149"/>
      <c r="V328" s="149"/>
      <c r="W328" s="149"/>
      <c r="X328" s="149"/>
      <c r="Y328" s="255">
        <f t="shared" ref="Y328:Y357" si="165">B328*280+C328*280+D328*280+E328*280+F328*130+G328*130+H328*90+I328*43+J328*45+K328*385+L328*385+M328*400+N328*22+O328*42+P328*80+Q328*200+R328*260+S328*41+T328*30+U328*60</f>
        <v>0</v>
      </c>
      <c r="Z328" s="309">
        <f t="shared" ref="Z328:Z357" si="166">AD327</f>
        <v>0</v>
      </c>
      <c r="AA328" s="256">
        <f t="shared" si="163"/>
        <v>0</v>
      </c>
      <c r="AB328" s="309"/>
      <c r="AC328" s="309"/>
      <c r="AD328" s="320">
        <f t="shared" si="164"/>
        <v>0</v>
      </c>
      <c r="AF328" s="11" t="s">
        <v>1</v>
      </c>
      <c r="AG328" s="24"/>
      <c r="AH328" s="64">
        <f>AH327+1</f>
        <v>43375</v>
      </c>
      <c r="AI328" s="698"/>
      <c r="AJ328" s="699"/>
      <c r="AK328" s="699"/>
      <c r="AL328" s="699"/>
      <c r="AM328" s="699"/>
      <c r="AN328" s="699"/>
      <c r="AO328" s="699"/>
      <c r="AP328" s="699"/>
      <c r="AQ328" s="699"/>
      <c r="AR328" s="699"/>
      <c r="AS328" s="699"/>
      <c r="AT328" s="699"/>
      <c r="AU328" s="699"/>
      <c r="AV328" s="699"/>
      <c r="AW328" s="699"/>
      <c r="AX328" s="700"/>
      <c r="AY328" s="700"/>
      <c r="AZ328" s="701"/>
    </row>
    <row r="329" spans="1:52" ht="29.25" customHeight="1" thickBot="1">
      <c r="A329" s="66">
        <f t="shared" ref="A329:A357" si="167">A328+1</f>
        <v>44868</v>
      </c>
      <c r="B329" s="138"/>
      <c r="C329" s="138"/>
      <c r="D329" s="138"/>
      <c r="E329" s="138"/>
      <c r="F329" s="138"/>
      <c r="G329" s="138"/>
      <c r="H329" s="138"/>
      <c r="I329" s="138"/>
      <c r="J329" s="138"/>
      <c r="K329" s="138"/>
      <c r="L329" s="138"/>
      <c r="M329" s="138"/>
      <c r="N329" s="138"/>
      <c r="O329" s="138"/>
      <c r="P329" s="138"/>
      <c r="Q329" s="138"/>
      <c r="R329" s="138"/>
      <c r="S329" s="150"/>
      <c r="T329" s="149"/>
      <c r="U329" s="149"/>
      <c r="V329" s="149"/>
      <c r="W329" s="149"/>
      <c r="X329" s="149"/>
      <c r="Y329" s="255">
        <f t="shared" si="165"/>
        <v>0</v>
      </c>
      <c r="Z329" s="309">
        <f t="shared" si="166"/>
        <v>0</v>
      </c>
      <c r="AA329" s="256">
        <f t="shared" si="163"/>
        <v>0</v>
      </c>
      <c r="AB329" s="309"/>
      <c r="AC329" s="309"/>
      <c r="AD329" s="320">
        <f t="shared" si="164"/>
        <v>0</v>
      </c>
      <c r="AF329" s="11"/>
      <c r="AG329" s="24"/>
      <c r="AH329" s="64">
        <f t="shared" ref="AH329:AH357" si="168">AH328+1</f>
        <v>43376</v>
      </c>
      <c r="AI329" s="698"/>
      <c r="AJ329" s="699"/>
      <c r="AK329" s="699"/>
      <c r="AL329" s="699"/>
      <c r="AM329" s="699"/>
      <c r="AN329" s="699"/>
      <c r="AO329" s="699"/>
      <c r="AP329" s="699"/>
      <c r="AQ329" s="699"/>
      <c r="AR329" s="699"/>
      <c r="AS329" s="699"/>
      <c r="AT329" s="699"/>
      <c r="AU329" s="699"/>
      <c r="AV329" s="699"/>
      <c r="AW329" s="699"/>
      <c r="AX329" s="700"/>
      <c r="AY329" s="700"/>
      <c r="AZ329" s="701"/>
    </row>
    <row r="330" spans="1:52" ht="29.25" customHeight="1" thickBot="1">
      <c r="A330" s="66">
        <f t="shared" si="167"/>
        <v>44869</v>
      </c>
      <c r="B330" s="138"/>
      <c r="C330" s="138"/>
      <c r="D330" s="138"/>
      <c r="E330" s="138"/>
      <c r="F330" s="138"/>
      <c r="G330" s="138"/>
      <c r="H330" s="138"/>
      <c r="I330" s="138"/>
      <c r="J330" s="138"/>
      <c r="K330" s="138"/>
      <c r="L330" s="138"/>
      <c r="M330" s="138"/>
      <c r="N330" s="138"/>
      <c r="O330" s="138"/>
      <c r="P330" s="138"/>
      <c r="Q330" s="138"/>
      <c r="R330" s="138"/>
      <c r="S330" s="150"/>
      <c r="T330" s="149"/>
      <c r="U330" s="149"/>
      <c r="V330" s="149"/>
      <c r="W330" s="149"/>
      <c r="X330" s="149"/>
      <c r="Y330" s="255">
        <f t="shared" si="165"/>
        <v>0</v>
      </c>
      <c r="Z330" s="309">
        <f t="shared" si="166"/>
        <v>0</v>
      </c>
      <c r="AA330" s="256">
        <f t="shared" si="163"/>
        <v>0</v>
      </c>
      <c r="AB330" s="309"/>
      <c r="AC330" s="309"/>
      <c r="AD330" s="320">
        <f t="shared" si="164"/>
        <v>0</v>
      </c>
      <c r="AF330" s="11"/>
      <c r="AG330" s="24"/>
      <c r="AH330" s="64">
        <f t="shared" si="168"/>
        <v>43377</v>
      </c>
      <c r="AI330" s="698"/>
      <c r="AJ330" s="699"/>
      <c r="AK330" s="699"/>
      <c r="AL330" s="699"/>
      <c r="AM330" s="699"/>
      <c r="AN330" s="699"/>
      <c r="AO330" s="699"/>
      <c r="AP330" s="699"/>
      <c r="AQ330" s="699"/>
      <c r="AR330" s="699"/>
      <c r="AS330" s="699"/>
      <c r="AT330" s="699"/>
      <c r="AU330" s="699"/>
      <c r="AV330" s="699"/>
      <c r="AW330" s="699"/>
      <c r="AX330" s="700"/>
      <c r="AY330" s="700"/>
      <c r="AZ330" s="701"/>
    </row>
    <row r="331" spans="1:52" ht="29.25" customHeight="1" thickBot="1">
      <c r="A331" s="66">
        <f t="shared" si="167"/>
        <v>44870</v>
      </c>
      <c r="B331" s="138"/>
      <c r="C331" s="138"/>
      <c r="D331" s="138"/>
      <c r="E331" s="138"/>
      <c r="F331" s="138"/>
      <c r="G331" s="138"/>
      <c r="H331" s="138"/>
      <c r="I331" s="138"/>
      <c r="J331" s="138"/>
      <c r="K331" s="138"/>
      <c r="L331" s="138"/>
      <c r="M331" s="138"/>
      <c r="N331" s="138"/>
      <c r="O331" s="138"/>
      <c r="P331" s="138"/>
      <c r="Q331" s="138"/>
      <c r="R331" s="138"/>
      <c r="S331" s="150"/>
      <c r="T331" s="149"/>
      <c r="U331" s="149"/>
      <c r="V331" s="149"/>
      <c r="W331" s="149"/>
      <c r="X331" s="149"/>
      <c r="Y331" s="255">
        <f t="shared" si="165"/>
        <v>0</v>
      </c>
      <c r="Z331" s="309">
        <f t="shared" si="166"/>
        <v>0</v>
      </c>
      <c r="AA331" s="256">
        <f t="shared" si="163"/>
        <v>0</v>
      </c>
      <c r="AB331" s="309"/>
      <c r="AC331" s="309"/>
      <c r="AD331" s="320">
        <f t="shared" si="164"/>
        <v>0</v>
      </c>
      <c r="AF331" s="11"/>
      <c r="AG331" s="24"/>
      <c r="AH331" s="64">
        <f t="shared" si="168"/>
        <v>43378</v>
      </c>
      <c r="AI331" s="698"/>
      <c r="AJ331" s="699"/>
      <c r="AK331" s="699"/>
      <c r="AL331" s="699"/>
      <c r="AM331" s="699"/>
      <c r="AN331" s="699"/>
      <c r="AO331" s="699"/>
      <c r="AP331" s="699"/>
      <c r="AQ331" s="699"/>
      <c r="AR331" s="699"/>
      <c r="AS331" s="699"/>
      <c r="AT331" s="699"/>
      <c r="AU331" s="699"/>
      <c r="AV331" s="699"/>
      <c r="AW331" s="699"/>
      <c r="AX331" s="700"/>
      <c r="AY331" s="700"/>
      <c r="AZ331" s="701"/>
    </row>
    <row r="332" spans="1:52" ht="29.25" customHeight="1" thickBot="1">
      <c r="A332" s="66">
        <f t="shared" si="167"/>
        <v>44871</v>
      </c>
      <c r="B332" s="138"/>
      <c r="C332" s="138"/>
      <c r="D332" s="138"/>
      <c r="E332" s="138"/>
      <c r="F332" s="138"/>
      <c r="G332" s="138"/>
      <c r="H332" s="138"/>
      <c r="I332" s="138"/>
      <c r="J332" s="138"/>
      <c r="K332" s="138"/>
      <c r="L332" s="138"/>
      <c r="M332" s="138"/>
      <c r="N332" s="138"/>
      <c r="O332" s="138"/>
      <c r="P332" s="138"/>
      <c r="Q332" s="138"/>
      <c r="R332" s="138"/>
      <c r="S332" s="150"/>
      <c r="T332" s="149"/>
      <c r="U332" s="149"/>
      <c r="V332" s="149"/>
      <c r="W332" s="149"/>
      <c r="X332" s="149"/>
      <c r="Y332" s="255">
        <f t="shared" si="165"/>
        <v>0</v>
      </c>
      <c r="Z332" s="309">
        <f t="shared" si="166"/>
        <v>0</v>
      </c>
      <c r="AA332" s="256">
        <f t="shared" si="163"/>
        <v>0</v>
      </c>
      <c r="AB332" s="309"/>
      <c r="AC332" s="309"/>
      <c r="AD332" s="320">
        <f t="shared" si="164"/>
        <v>0</v>
      </c>
      <c r="AF332" s="11"/>
      <c r="AG332" s="24"/>
      <c r="AH332" s="64">
        <f t="shared" si="168"/>
        <v>43379</v>
      </c>
      <c r="AI332" s="698"/>
      <c r="AJ332" s="699"/>
      <c r="AK332" s="699"/>
      <c r="AL332" s="699"/>
      <c r="AM332" s="699"/>
      <c r="AN332" s="699"/>
      <c r="AO332" s="699"/>
      <c r="AP332" s="699"/>
      <c r="AQ332" s="699"/>
      <c r="AR332" s="699"/>
      <c r="AS332" s="699"/>
      <c r="AT332" s="699"/>
      <c r="AU332" s="699"/>
      <c r="AV332" s="699"/>
      <c r="AW332" s="699"/>
      <c r="AX332" s="700"/>
      <c r="AY332" s="700"/>
      <c r="AZ332" s="701"/>
    </row>
    <row r="333" spans="1:52" ht="29.25" customHeight="1" thickBot="1">
      <c r="A333" s="66">
        <f t="shared" si="167"/>
        <v>44872</v>
      </c>
      <c r="B333" s="138"/>
      <c r="C333" s="138"/>
      <c r="D333" s="138"/>
      <c r="E333" s="138"/>
      <c r="F333" s="138"/>
      <c r="G333" s="138"/>
      <c r="H333" s="138"/>
      <c r="I333" s="138"/>
      <c r="J333" s="138"/>
      <c r="K333" s="138"/>
      <c r="L333" s="138"/>
      <c r="M333" s="138"/>
      <c r="N333" s="138"/>
      <c r="O333" s="138"/>
      <c r="P333" s="138"/>
      <c r="Q333" s="138"/>
      <c r="R333" s="138"/>
      <c r="S333" s="150"/>
      <c r="T333" s="149"/>
      <c r="U333" s="149"/>
      <c r="V333" s="149"/>
      <c r="W333" s="149"/>
      <c r="X333" s="149"/>
      <c r="Y333" s="255">
        <f>B333*280+C333*280+D333*280+E333*280+F333*130+G333*130+H333*90+I333*43+J333*45+K333*385+L333*380+M333*400+N333*22+O333*42+P333*80+Q333*200+R333*260+S333*41+T333*30+U333*60</f>
        <v>0</v>
      </c>
      <c r="Z333" s="309">
        <f t="shared" si="166"/>
        <v>0</v>
      </c>
      <c r="AA333" s="256">
        <f t="shared" si="163"/>
        <v>0</v>
      </c>
      <c r="AB333" s="309"/>
      <c r="AC333" s="309"/>
      <c r="AD333" s="320">
        <f t="shared" si="164"/>
        <v>0</v>
      </c>
      <c r="AF333" s="11"/>
      <c r="AG333" s="24"/>
      <c r="AH333" s="64">
        <f t="shared" si="168"/>
        <v>43380</v>
      </c>
      <c r="AI333" s="698"/>
      <c r="AJ333" s="699"/>
      <c r="AK333" s="699"/>
      <c r="AL333" s="699"/>
      <c r="AM333" s="699"/>
      <c r="AN333" s="699"/>
      <c r="AO333" s="699"/>
      <c r="AP333" s="699"/>
      <c r="AQ333" s="699"/>
      <c r="AR333" s="699"/>
      <c r="AS333" s="699"/>
      <c r="AT333" s="699"/>
      <c r="AU333" s="699"/>
      <c r="AV333" s="699"/>
      <c r="AW333" s="699"/>
      <c r="AX333" s="700"/>
      <c r="AY333" s="700"/>
      <c r="AZ333" s="701"/>
    </row>
    <row r="334" spans="1:52" ht="29.25" customHeight="1" thickBot="1">
      <c r="A334" s="66">
        <f t="shared" si="167"/>
        <v>44873</v>
      </c>
      <c r="B334" s="138"/>
      <c r="C334" s="138"/>
      <c r="D334" s="138"/>
      <c r="E334" s="138"/>
      <c r="F334" s="138"/>
      <c r="G334" s="138"/>
      <c r="H334" s="138"/>
      <c r="I334" s="138"/>
      <c r="J334" s="138"/>
      <c r="K334" s="138"/>
      <c r="L334" s="138"/>
      <c r="M334" s="138"/>
      <c r="N334" s="138"/>
      <c r="O334" s="138"/>
      <c r="P334" s="138"/>
      <c r="Q334" s="138"/>
      <c r="R334" s="138"/>
      <c r="S334" s="150"/>
      <c r="T334" s="149"/>
      <c r="U334" s="149"/>
      <c r="V334" s="149"/>
      <c r="W334" s="149"/>
      <c r="X334" s="149"/>
      <c r="Y334" s="255">
        <f t="shared" si="165"/>
        <v>0</v>
      </c>
      <c r="Z334" s="309">
        <f t="shared" si="166"/>
        <v>0</v>
      </c>
      <c r="AA334" s="256">
        <f t="shared" si="163"/>
        <v>0</v>
      </c>
      <c r="AB334" s="309"/>
      <c r="AC334" s="309"/>
      <c r="AD334" s="320">
        <f t="shared" si="164"/>
        <v>0</v>
      </c>
      <c r="AF334" s="11"/>
      <c r="AG334" s="24"/>
      <c r="AH334" s="64">
        <f t="shared" si="168"/>
        <v>43381</v>
      </c>
      <c r="AI334" s="698"/>
      <c r="AJ334" s="699"/>
      <c r="AK334" s="699"/>
      <c r="AL334" s="699"/>
      <c r="AM334" s="699"/>
      <c r="AN334" s="699"/>
      <c r="AO334" s="699"/>
      <c r="AP334" s="699"/>
      <c r="AQ334" s="699"/>
      <c r="AR334" s="699"/>
      <c r="AS334" s="699"/>
      <c r="AT334" s="699"/>
      <c r="AU334" s="699"/>
      <c r="AV334" s="699"/>
      <c r="AW334" s="699"/>
      <c r="AX334" s="700"/>
      <c r="AY334" s="700"/>
      <c r="AZ334" s="701"/>
    </row>
    <row r="335" spans="1:52" ht="29.25" customHeight="1" thickBot="1">
      <c r="A335" s="66">
        <f t="shared" si="167"/>
        <v>44874</v>
      </c>
      <c r="B335" s="138"/>
      <c r="C335" s="138"/>
      <c r="D335" s="138"/>
      <c r="E335" s="138"/>
      <c r="F335" s="138"/>
      <c r="G335" s="138"/>
      <c r="H335" s="138"/>
      <c r="I335" s="138"/>
      <c r="J335" s="138"/>
      <c r="K335" s="138"/>
      <c r="L335" s="138"/>
      <c r="M335" s="138"/>
      <c r="N335" s="138"/>
      <c r="O335" s="138"/>
      <c r="P335" s="138"/>
      <c r="Q335" s="138"/>
      <c r="R335" s="138"/>
      <c r="S335" s="150"/>
      <c r="T335" s="149"/>
      <c r="U335" s="149"/>
      <c r="V335" s="149"/>
      <c r="W335" s="149"/>
      <c r="X335" s="149"/>
      <c r="Y335" s="255">
        <f t="shared" si="165"/>
        <v>0</v>
      </c>
      <c r="Z335" s="309">
        <f t="shared" si="166"/>
        <v>0</v>
      </c>
      <c r="AA335" s="256">
        <f t="shared" si="163"/>
        <v>0</v>
      </c>
      <c r="AB335" s="309"/>
      <c r="AC335" s="309"/>
      <c r="AD335" s="320">
        <f t="shared" si="164"/>
        <v>0</v>
      </c>
      <c r="AF335" s="11"/>
      <c r="AG335" s="24"/>
      <c r="AH335" s="64">
        <f t="shared" si="168"/>
        <v>43382</v>
      </c>
      <c r="AI335" s="698"/>
      <c r="AJ335" s="699"/>
      <c r="AK335" s="699"/>
      <c r="AL335" s="699"/>
      <c r="AM335" s="699"/>
      <c r="AN335" s="699"/>
      <c r="AO335" s="699"/>
      <c r="AP335" s="699"/>
      <c r="AQ335" s="699"/>
      <c r="AR335" s="699"/>
      <c r="AS335" s="699"/>
      <c r="AT335" s="699"/>
      <c r="AU335" s="699"/>
      <c r="AV335" s="699"/>
      <c r="AW335" s="699"/>
      <c r="AX335" s="700"/>
      <c r="AY335" s="700"/>
      <c r="AZ335" s="701"/>
    </row>
    <row r="336" spans="1:52" ht="29.25" customHeight="1" thickBot="1">
      <c r="A336" s="66">
        <f t="shared" si="167"/>
        <v>44875</v>
      </c>
      <c r="B336" s="138"/>
      <c r="C336" s="138"/>
      <c r="D336" s="138"/>
      <c r="E336" s="138"/>
      <c r="F336" s="138"/>
      <c r="G336" s="138"/>
      <c r="H336" s="138"/>
      <c r="I336" s="138"/>
      <c r="J336" s="138"/>
      <c r="K336" s="138"/>
      <c r="L336" s="138"/>
      <c r="M336" s="138"/>
      <c r="N336" s="138"/>
      <c r="O336" s="138"/>
      <c r="P336" s="138"/>
      <c r="Q336" s="138"/>
      <c r="R336" s="138"/>
      <c r="S336" s="150"/>
      <c r="T336" s="149"/>
      <c r="U336" s="149"/>
      <c r="V336" s="149"/>
      <c r="W336" s="149"/>
      <c r="X336" s="149"/>
      <c r="Y336" s="255">
        <f t="shared" si="165"/>
        <v>0</v>
      </c>
      <c r="Z336" s="309">
        <f t="shared" si="166"/>
        <v>0</v>
      </c>
      <c r="AA336" s="256">
        <f t="shared" si="163"/>
        <v>0</v>
      </c>
      <c r="AB336" s="309"/>
      <c r="AC336" s="309"/>
      <c r="AD336" s="320">
        <f t="shared" si="164"/>
        <v>0</v>
      </c>
      <c r="AF336" s="11"/>
      <c r="AG336" s="24"/>
      <c r="AH336" s="64">
        <f t="shared" si="168"/>
        <v>43383</v>
      </c>
      <c r="AI336" s="698"/>
      <c r="AJ336" s="699"/>
      <c r="AK336" s="699"/>
      <c r="AL336" s="699"/>
      <c r="AM336" s="699"/>
      <c r="AN336" s="699"/>
      <c r="AO336" s="699"/>
      <c r="AP336" s="699"/>
      <c r="AQ336" s="699"/>
      <c r="AR336" s="699"/>
      <c r="AS336" s="699"/>
      <c r="AT336" s="699"/>
      <c r="AU336" s="699"/>
      <c r="AV336" s="699"/>
      <c r="AW336" s="699"/>
      <c r="AX336" s="700"/>
      <c r="AY336" s="700"/>
      <c r="AZ336" s="701"/>
    </row>
    <row r="337" spans="1:52" ht="29.25" customHeight="1" thickBot="1">
      <c r="A337" s="66">
        <f t="shared" si="167"/>
        <v>44876</v>
      </c>
      <c r="B337" s="138"/>
      <c r="C337" s="138"/>
      <c r="D337" s="138"/>
      <c r="E337" s="138"/>
      <c r="F337" s="138"/>
      <c r="G337" s="138"/>
      <c r="H337" s="138"/>
      <c r="I337" s="138"/>
      <c r="J337" s="138"/>
      <c r="K337" s="138"/>
      <c r="L337" s="138"/>
      <c r="M337" s="138"/>
      <c r="N337" s="138"/>
      <c r="O337" s="138"/>
      <c r="P337" s="138"/>
      <c r="Q337" s="138"/>
      <c r="R337" s="138"/>
      <c r="S337" s="150"/>
      <c r="T337" s="149"/>
      <c r="U337" s="149"/>
      <c r="V337" s="149"/>
      <c r="W337" s="149"/>
      <c r="X337" s="149"/>
      <c r="Y337" s="255">
        <f t="shared" si="165"/>
        <v>0</v>
      </c>
      <c r="Z337" s="309">
        <f t="shared" si="166"/>
        <v>0</v>
      </c>
      <c r="AA337" s="256">
        <f t="shared" si="163"/>
        <v>0</v>
      </c>
      <c r="AB337" s="309"/>
      <c r="AC337" s="309"/>
      <c r="AD337" s="320">
        <f t="shared" si="164"/>
        <v>0</v>
      </c>
      <c r="AF337" s="11"/>
      <c r="AG337" s="24"/>
      <c r="AH337" s="64">
        <f t="shared" si="168"/>
        <v>43384</v>
      </c>
      <c r="AI337" s="698"/>
      <c r="AJ337" s="699"/>
      <c r="AK337" s="699"/>
      <c r="AL337" s="699"/>
      <c r="AM337" s="699"/>
      <c r="AN337" s="699"/>
      <c r="AO337" s="699"/>
      <c r="AP337" s="699"/>
      <c r="AQ337" s="699"/>
      <c r="AR337" s="699"/>
      <c r="AS337" s="699"/>
      <c r="AT337" s="699"/>
      <c r="AU337" s="699"/>
      <c r="AV337" s="699"/>
      <c r="AW337" s="699"/>
      <c r="AX337" s="700"/>
      <c r="AY337" s="700"/>
      <c r="AZ337" s="701"/>
    </row>
    <row r="338" spans="1:52" ht="29.25" customHeight="1" thickBot="1">
      <c r="A338" s="66">
        <f t="shared" si="167"/>
        <v>44877</v>
      </c>
      <c r="B338" s="138"/>
      <c r="C338" s="138"/>
      <c r="D338" s="138"/>
      <c r="E338" s="138"/>
      <c r="F338" s="138"/>
      <c r="G338" s="138"/>
      <c r="H338" s="138"/>
      <c r="I338" s="138"/>
      <c r="J338" s="138"/>
      <c r="K338" s="138"/>
      <c r="L338" s="138"/>
      <c r="M338" s="138"/>
      <c r="N338" s="138"/>
      <c r="O338" s="138"/>
      <c r="P338" s="138"/>
      <c r="Q338" s="138"/>
      <c r="R338" s="138"/>
      <c r="S338" s="150"/>
      <c r="T338" s="149"/>
      <c r="U338" s="149"/>
      <c r="V338" s="149"/>
      <c r="W338" s="149"/>
      <c r="X338" s="149"/>
      <c r="Y338" s="255">
        <f t="shared" si="165"/>
        <v>0</v>
      </c>
      <c r="Z338" s="309">
        <f t="shared" si="166"/>
        <v>0</v>
      </c>
      <c r="AA338" s="256">
        <f t="shared" si="163"/>
        <v>0</v>
      </c>
      <c r="AB338" s="309"/>
      <c r="AC338" s="309"/>
      <c r="AD338" s="320">
        <f t="shared" si="164"/>
        <v>0</v>
      </c>
      <c r="AF338" s="11"/>
      <c r="AG338" s="24"/>
      <c r="AH338" s="64">
        <f t="shared" si="168"/>
        <v>43385</v>
      </c>
      <c r="AI338" s="698"/>
      <c r="AJ338" s="699"/>
      <c r="AK338" s="699"/>
      <c r="AL338" s="699"/>
      <c r="AM338" s="699"/>
      <c r="AN338" s="699"/>
      <c r="AO338" s="699"/>
      <c r="AP338" s="699"/>
      <c r="AQ338" s="699"/>
      <c r="AR338" s="699"/>
      <c r="AS338" s="699"/>
      <c r="AT338" s="699"/>
      <c r="AU338" s="699"/>
      <c r="AV338" s="699"/>
      <c r="AW338" s="699"/>
      <c r="AX338" s="700"/>
      <c r="AY338" s="700"/>
      <c r="AZ338" s="701"/>
    </row>
    <row r="339" spans="1:52" ht="29.25" customHeight="1" thickBot="1">
      <c r="A339" s="66">
        <f t="shared" si="167"/>
        <v>44878</v>
      </c>
      <c r="B339" s="138"/>
      <c r="C339" s="138"/>
      <c r="D339" s="138"/>
      <c r="E339" s="138"/>
      <c r="F339" s="138"/>
      <c r="G339" s="138"/>
      <c r="H339" s="138"/>
      <c r="I339" s="138"/>
      <c r="J339" s="138"/>
      <c r="K339" s="138"/>
      <c r="L339" s="138"/>
      <c r="M339" s="138"/>
      <c r="N339" s="138"/>
      <c r="O339" s="138"/>
      <c r="P339" s="138"/>
      <c r="Q339" s="138"/>
      <c r="R339" s="138"/>
      <c r="S339" s="150"/>
      <c r="T339" s="149"/>
      <c r="U339" s="149"/>
      <c r="V339" s="149"/>
      <c r="W339" s="149"/>
      <c r="X339" s="149"/>
      <c r="Y339" s="255">
        <f t="shared" si="165"/>
        <v>0</v>
      </c>
      <c r="Z339" s="309">
        <f t="shared" si="166"/>
        <v>0</v>
      </c>
      <c r="AA339" s="256">
        <f t="shared" si="163"/>
        <v>0</v>
      </c>
      <c r="AB339" s="309"/>
      <c r="AC339" s="309"/>
      <c r="AD339" s="320">
        <f t="shared" si="164"/>
        <v>0</v>
      </c>
      <c r="AF339" s="11"/>
      <c r="AG339" s="24"/>
      <c r="AH339" s="64">
        <f t="shared" si="168"/>
        <v>43386</v>
      </c>
      <c r="AI339" s="698"/>
      <c r="AJ339" s="699"/>
      <c r="AK339" s="699"/>
      <c r="AL339" s="699"/>
      <c r="AM339" s="699"/>
      <c r="AN339" s="699"/>
      <c r="AO339" s="699"/>
      <c r="AP339" s="699"/>
      <c r="AQ339" s="699"/>
      <c r="AR339" s="699"/>
      <c r="AS339" s="699"/>
      <c r="AT339" s="699"/>
      <c r="AU339" s="699"/>
      <c r="AV339" s="699"/>
      <c r="AW339" s="699"/>
      <c r="AX339" s="700"/>
      <c r="AY339" s="700"/>
      <c r="AZ339" s="701"/>
    </row>
    <row r="340" spans="1:52" ht="29.25" customHeight="1" thickBot="1">
      <c r="A340" s="66">
        <f t="shared" si="167"/>
        <v>44879</v>
      </c>
      <c r="B340" s="138"/>
      <c r="C340" s="138"/>
      <c r="D340" s="138"/>
      <c r="E340" s="138"/>
      <c r="F340" s="138"/>
      <c r="G340" s="138"/>
      <c r="H340" s="138"/>
      <c r="I340" s="138"/>
      <c r="J340" s="138"/>
      <c r="K340" s="138"/>
      <c r="L340" s="138"/>
      <c r="M340" s="138"/>
      <c r="N340" s="138"/>
      <c r="O340" s="138"/>
      <c r="P340" s="138"/>
      <c r="Q340" s="138"/>
      <c r="R340" s="138"/>
      <c r="S340" s="150"/>
      <c r="T340" s="149"/>
      <c r="U340" s="149"/>
      <c r="V340" s="149"/>
      <c r="W340" s="149"/>
      <c r="X340" s="149"/>
      <c r="Y340" s="255">
        <f t="shared" si="165"/>
        <v>0</v>
      </c>
      <c r="Z340" s="309">
        <f t="shared" si="166"/>
        <v>0</v>
      </c>
      <c r="AA340" s="256">
        <f t="shared" si="163"/>
        <v>0</v>
      </c>
      <c r="AB340" s="309"/>
      <c r="AC340" s="309"/>
      <c r="AD340" s="320">
        <f t="shared" si="164"/>
        <v>0</v>
      </c>
      <c r="AF340" s="11"/>
      <c r="AG340" s="24"/>
      <c r="AH340" s="64">
        <f t="shared" si="168"/>
        <v>43387</v>
      </c>
      <c r="AI340" s="698"/>
      <c r="AJ340" s="699"/>
      <c r="AK340" s="699"/>
      <c r="AL340" s="699"/>
      <c r="AM340" s="699"/>
      <c r="AN340" s="699"/>
      <c r="AO340" s="699"/>
      <c r="AP340" s="699"/>
      <c r="AQ340" s="699"/>
      <c r="AR340" s="699"/>
      <c r="AS340" s="699"/>
      <c r="AT340" s="699"/>
      <c r="AU340" s="699"/>
      <c r="AV340" s="699"/>
      <c r="AW340" s="699"/>
      <c r="AX340" s="700"/>
      <c r="AY340" s="700"/>
      <c r="AZ340" s="701"/>
    </row>
    <row r="341" spans="1:52" ht="29.25" customHeight="1" thickBot="1">
      <c r="A341" s="66">
        <f t="shared" si="167"/>
        <v>44880</v>
      </c>
      <c r="B341" s="138"/>
      <c r="C341" s="138"/>
      <c r="D341" s="138"/>
      <c r="E341" s="138"/>
      <c r="F341" s="138"/>
      <c r="G341" s="138"/>
      <c r="H341" s="138"/>
      <c r="I341" s="138"/>
      <c r="J341" s="138"/>
      <c r="K341" s="138"/>
      <c r="L341" s="138"/>
      <c r="M341" s="138"/>
      <c r="N341" s="138"/>
      <c r="O341" s="138"/>
      <c r="P341" s="138"/>
      <c r="Q341" s="138"/>
      <c r="R341" s="138"/>
      <c r="S341" s="150"/>
      <c r="T341" s="149"/>
      <c r="U341" s="149"/>
      <c r="V341" s="149"/>
      <c r="W341" s="149"/>
      <c r="X341" s="149"/>
      <c r="Y341" s="255">
        <f t="shared" si="165"/>
        <v>0</v>
      </c>
      <c r="Z341" s="309">
        <f t="shared" si="166"/>
        <v>0</v>
      </c>
      <c r="AA341" s="256">
        <f t="shared" si="163"/>
        <v>0</v>
      </c>
      <c r="AB341" s="309"/>
      <c r="AC341" s="309"/>
      <c r="AD341" s="320">
        <f t="shared" si="164"/>
        <v>0</v>
      </c>
      <c r="AF341" s="11"/>
      <c r="AG341" s="24"/>
      <c r="AH341" s="64">
        <f t="shared" si="168"/>
        <v>43388</v>
      </c>
      <c r="AI341" s="698"/>
      <c r="AJ341" s="699"/>
      <c r="AK341" s="699"/>
      <c r="AL341" s="699"/>
      <c r="AM341" s="699"/>
      <c r="AN341" s="699"/>
      <c r="AO341" s="699"/>
      <c r="AP341" s="699"/>
      <c r="AQ341" s="699"/>
      <c r="AR341" s="699"/>
      <c r="AS341" s="699"/>
      <c r="AT341" s="699"/>
      <c r="AU341" s="699"/>
      <c r="AV341" s="699"/>
      <c r="AW341" s="699"/>
      <c r="AX341" s="700"/>
      <c r="AY341" s="700"/>
      <c r="AZ341" s="701"/>
    </row>
    <row r="342" spans="1:52" ht="29.25" customHeight="1" thickBot="1">
      <c r="A342" s="66">
        <f t="shared" si="167"/>
        <v>44881</v>
      </c>
      <c r="B342" s="138"/>
      <c r="C342" s="138"/>
      <c r="D342" s="138"/>
      <c r="E342" s="138"/>
      <c r="F342" s="138"/>
      <c r="G342" s="138"/>
      <c r="H342" s="138"/>
      <c r="I342" s="138"/>
      <c r="J342" s="138"/>
      <c r="K342" s="138"/>
      <c r="L342" s="138"/>
      <c r="M342" s="138"/>
      <c r="N342" s="138"/>
      <c r="O342" s="138"/>
      <c r="P342" s="138"/>
      <c r="Q342" s="138"/>
      <c r="R342" s="138"/>
      <c r="S342" s="150"/>
      <c r="T342" s="149"/>
      <c r="U342" s="149"/>
      <c r="V342" s="149"/>
      <c r="W342" s="149"/>
      <c r="X342" s="149"/>
      <c r="Y342" s="255">
        <f t="shared" si="165"/>
        <v>0</v>
      </c>
      <c r="Z342" s="309">
        <f t="shared" si="166"/>
        <v>0</v>
      </c>
      <c r="AA342" s="256">
        <f t="shared" si="163"/>
        <v>0</v>
      </c>
      <c r="AB342" s="309"/>
      <c r="AC342" s="309"/>
      <c r="AD342" s="320">
        <f t="shared" si="164"/>
        <v>0</v>
      </c>
      <c r="AF342" s="11"/>
      <c r="AG342" s="24"/>
      <c r="AH342" s="64">
        <f t="shared" si="168"/>
        <v>43389</v>
      </c>
      <c r="AI342" s="698"/>
      <c r="AJ342" s="699"/>
      <c r="AK342" s="699"/>
      <c r="AL342" s="699"/>
      <c r="AM342" s="699"/>
      <c r="AN342" s="699"/>
      <c r="AO342" s="699"/>
      <c r="AP342" s="699"/>
      <c r="AQ342" s="699"/>
      <c r="AR342" s="699"/>
      <c r="AS342" s="699"/>
      <c r="AT342" s="699"/>
      <c r="AU342" s="699"/>
      <c r="AV342" s="699"/>
      <c r="AW342" s="699"/>
      <c r="AX342" s="700"/>
      <c r="AY342" s="700"/>
      <c r="AZ342" s="701"/>
    </row>
    <row r="343" spans="1:52" ht="29.25" customHeight="1" thickBot="1">
      <c r="A343" s="66">
        <f t="shared" si="167"/>
        <v>44882</v>
      </c>
      <c r="B343" s="138"/>
      <c r="C343" s="138"/>
      <c r="D343" s="138"/>
      <c r="E343" s="138"/>
      <c r="F343" s="138"/>
      <c r="G343" s="138"/>
      <c r="H343" s="138"/>
      <c r="I343" s="138"/>
      <c r="J343" s="138"/>
      <c r="K343" s="138"/>
      <c r="L343" s="138"/>
      <c r="M343" s="138"/>
      <c r="N343" s="138"/>
      <c r="O343" s="138"/>
      <c r="P343" s="138"/>
      <c r="Q343" s="138"/>
      <c r="R343" s="138"/>
      <c r="S343" s="150"/>
      <c r="T343" s="149"/>
      <c r="U343" s="149"/>
      <c r="V343" s="149"/>
      <c r="W343" s="149"/>
      <c r="X343" s="149"/>
      <c r="Y343" s="255">
        <f t="shared" si="165"/>
        <v>0</v>
      </c>
      <c r="Z343" s="309">
        <f t="shared" si="166"/>
        <v>0</v>
      </c>
      <c r="AA343" s="256">
        <f t="shared" si="163"/>
        <v>0</v>
      </c>
      <c r="AB343" s="309"/>
      <c r="AC343" s="309"/>
      <c r="AD343" s="320">
        <f t="shared" si="164"/>
        <v>0</v>
      </c>
      <c r="AF343" s="11"/>
      <c r="AG343" s="24"/>
      <c r="AH343" s="64">
        <f t="shared" si="168"/>
        <v>43390</v>
      </c>
      <c r="AI343" s="698"/>
      <c r="AJ343" s="699"/>
      <c r="AK343" s="699"/>
      <c r="AL343" s="699"/>
      <c r="AM343" s="699"/>
      <c r="AN343" s="699"/>
      <c r="AO343" s="699"/>
      <c r="AP343" s="699"/>
      <c r="AQ343" s="699"/>
      <c r="AR343" s="699"/>
      <c r="AS343" s="699"/>
      <c r="AT343" s="699"/>
      <c r="AU343" s="699"/>
      <c r="AV343" s="699"/>
      <c r="AW343" s="699"/>
      <c r="AX343" s="700"/>
      <c r="AY343" s="700"/>
      <c r="AZ343" s="701"/>
    </row>
    <row r="344" spans="1:52" ht="29.25" customHeight="1" thickBot="1">
      <c r="A344" s="66">
        <f t="shared" si="167"/>
        <v>44883</v>
      </c>
      <c r="B344" s="138"/>
      <c r="C344" s="138"/>
      <c r="D344" s="138"/>
      <c r="E344" s="138"/>
      <c r="F344" s="138"/>
      <c r="G344" s="138"/>
      <c r="H344" s="138"/>
      <c r="I344" s="138"/>
      <c r="J344" s="138"/>
      <c r="K344" s="138"/>
      <c r="L344" s="138"/>
      <c r="M344" s="138"/>
      <c r="N344" s="138"/>
      <c r="O344" s="138"/>
      <c r="P344" s="138"/>
      <c r="Q344" s="138"/>
      <c r="R344" s="138"/>
      <c r="S344" s="150"/>
      <c r="T344" s="149"/>
      <c r="U344" s="149"/>
      <c r="V344" s="149"/>
      <c r="W344" s="149"/>
      <c r="X344" s="149"/>
      <c r="Y344" s="255">
        <f t="shared" si="165"/>
        <v>0</v>
      </c>
      <c r="Z344" s="309">
        <f t="shared" si="166"/>
        <v>0</v>
      </c>
      <c r="AA344" s="256">
        <f t="shared" si="163"/>
        <v>0</v>
      </c>
      <c r="AB344" s="309"/>
      <c r="AC344" s="309"/>
      <c r="AD344" s="320">
        <f t="shared" si="164"/>
        <v>0</v>
      </c>
      <c r="AF344" s="11"/>
      <c r="AG344" s="24"/>
      <c r="AH344" s="64">
        <f t="shared" si="168"/>
        <v>43391</v>
      </c>
      <c r="AI344" s="698"/>
      <c r="AJ344" s="699"/>
      <c r="AK344" s="699"/>
      <c r="AL344" s="699"/>
      <c r="AM344" s="699"/>
      <c r="AN344" s="699"/>
      <c r="AO344" s="699"/>
      <c r="AP344" s="699"/>
      <c r="AQ344" s="699"/>
      <c r="AR344" s="699"/>
      <c r="AS344" s="699"/>
      <c r="AT344" s="699"/>
      <c r="AU344" s="699"/>
      <c r="AV344" s="699"/>
      <c r="AW344" s="699"/>
      <c r="AX344" s="700"/>
      <c r="AY344" s="700"/>
      <c r="AZ344" s="701"/>
    </row>
    <row r="345" spans="1:52" ht="29.25" customHeight="1" thickBot="1">
      <c r="A345" s="66">
        <f t="shared" si="167"/>
        <v>44884</v>
      </c>
      <c r="B345" s="138"/>
      <c r="C345" s="138"/>
      <c r="D345" s="138"/>
      <c r="E345" s="138"/>
      <c r="F345" s="138"/>
      <c r="G345" s="138"/>
      <c r="H345" s="138"/>
      <c r="I345" s="138"/>
      <c r="J345" s="138"/>
      <c r="K345" s="138"/>
      <c r="L345" s="138"/>
      <c r="M345" s="138"/>
      <c r="N345" s="138"/>
      <c r="O345" s="138"/>
      <c r="P345" s="138"/>
      <c r="Q345" s="138"/>
      <c r="R345" s="138"/>
      <c r="S345" s="150"/>
      <c r="T345" s="149"/>
      <c r="U345" s="149"/>
      <c r="V345" s="149"/>
      <c r="W345" s="149"/>
      <c r="X345" s="149"/>
      <c r="Y345" s="255">
        <f t="shared" si="165"/>
        <v>0</v>
      </c>
      <c r="Z345" s="309">
        <f t="shared" si="166"/>
        <v>0</v>
      </c>
      <c r="AA345" s="256">
        <f t="shared" si="163"/>
        <v>0</v>
      </c>
      <c r="AB345" s="309"/>
      <c r="AC345" s="309"/>
      <c r="AD345" s="320">
        <f t="shared" si="164"/>
        <v>0</v>
      </c>
      <c r="AF345" s="11"/>
      <c r="AG345" s="24"/>
      <c r="AH345" s="64">
        <f t="shared" si="168"/>
        <v>43392</v>
      </c>
      <c r="AI345" s="698"/>
      <c r="AJ345" s="699"/>
      <c r="AK345" s="699"/>
      <c r="AL345" s="699"/>
      <c r="AM345" s="699"/>
      <c r="AN345" s="699"/>
      <c r="AO345" s="699"/>
      <c r="AP345" s="699"/>
      <c r="AQ345" s="699"/>
      <c r="AR345" s="699"/>
      <c r="AS345" s="699"/>
      <c r="AT345" s="699"/>
      <c r="AU345" s="699"/>
      <c r="AV345" s="699"/>
      <c r="AW345" s="699"/>
      <c r="AX345" s="700"/>
      <c r="AY345" s="700"/>
      <c r="AZ345" s="701"/>
    </row>
    <row r="346" spans="1:52" ht="29.25" customHeight="1" thickBot="1">
      <c r="A346" s="66">
        <f t="shared" si="167"/>
        <v>44885</v>
      </c>
      <c r="B346" s="138"/>
      <c r="C346" s="138"/>
      <c r="D346" s="138"/>
      <c r="E346" s="138"/>
      <c r="F346" s="138"/>
      <c r="G346" s="138"/>
      <c r="H346" s="138"/>
      <c r="I346" s="138"/>
      <c r="J346" s="138"/>
      <c r="K346" s="138"/>
      <c r="L346" s="138"/>
      <c r="M346" s="138"/>
      <c r="N346" s="138"/>
      <c r="O346" s="138"/>
      <c r="P346" s="138"/>
      <c r="Q346" s="138"/>
      <c r="R346" s="138"/>
      <c r="S346" s="150"/>
      <c r="T346" s="149"/>
      <c r="U346" s="149"/>
      <c r="V346" s="149"/>
      <c r="W346" s="149"/>
      <c r="X346" s="149"/>
      <c r="Y346" s="255">
        <f t="shared" si="165"/>
        <v>0</v>
      </c>
      <c r="Z346" s="309">
        <f t="shared" si="166"/>
        <v>0</v>
      </c>
      <c r="AA346" s="256">
        <f t="shared" si="163"/>
        <v>0</v>
      </c>
      <c r="AB346" s="309"/>
      <c r="AC346" s="309"/>
      <c r="AD346" s="320">
        <f t="shared" si="164"/>
        <v>0</v>
      </c>
      <c r="AF346" s="11"/>
      <c r="AG346" s="24"/>
      <c r="AH346" s="64">
        <f t="shared" si="168"/>
        <v>43393</v>
      </c>
      <c r="AI346" s="698"/>
      <c r="AJ346" s="699"/>
      <c r="AK346" s="699"/>
      <c r="AL346" s="699"/>
      <c r="AM346" s="699"/>
      <c r="AN346" s="699"/>
      <c r="AO346" s="699"/>
      <c r="AP346" s="699"/>
      <c r="AQ346" s="699"/>
      <c r="AR346" s="699"/>
      <c r="AS346" s="699"/>
      <c r="AT346" s="699"/>
      <c r="AU346" s="699"/>
      <c r="AV346" s="699"/>
      <c r="AW346" s="699"/>
      <c r="AX346" s="700"/>
      <c r="AY346" s="700"/>
      <c r="AZ346" s="701"/>
    </row>
    <row r="347" spans="1:52" ht="29.25" customHeight="1" thickBot="1">
      <c r="A347" s="66">
        <f t="shared" si="167"/>
        <v>44886</v>
      </c>
      <c r="B347" s="138"/>
      <c r="C347" s="138"/>
      <c r="D347" s="138"/>
      <c r="E347" s="138"/>
      <c r="F347" s="138"/>
      <c r="G347" s="138"/>
      <c r="H347" s="138"/>
      <c r="I347" s="138"/>
      <c r="J347" s="138"/>
      <c r="K347" s="138"/>
      <c r="L347" s="138"/>
      <c r="M347" s="138"/>
      <c r="N347" s="138"/>
      <c r="O347" s="138"/>
      <c r="P347" s="138"/>
      <c r="Q347" s="138"/>
      <c r="R347" s="138"/>
      <c r="S347" s="150"/>
      <c r="T347" s="149"/>
      <c r="U347" s="149"/>
      <c r="V347" s="149"/>
      <c r="W347" s="149"/>
      <c r="X347" s="149"/>
      <c r="Y347" s="255">
        <f t="shared" si="165"/>
        <v>0</v>
      </c>
      <c r="Z347" s="309">
        <f t="shared" si="166"/>
        <v>0</v>
      </c>
      <c r="AA347" s="256">
        <f t="shared" si="163"/>
        <v>0</v>
      </c>
      <c r="AB347" s="309"/>
      <c r="AC347" s="309"/>
      <c r="AD347" s="320">
        <f t="shared" si="164"/>
        <v>0</v>
      </c>
      <c r="AF347" s="11"/>
      <c r="AG347" s="24"/>
      <c r="AH347" s="64">
        <f t="shared" si="168"/>
        <v>43394</v>
      </c>
      <c r="AI347" s="698"/>
      <c r="AJ347" s="699"/>
      <c r="AK347" s="699"/>
      <c r="AL347" s="699"/>
      <c r="AM347" s="699"/>
      <c r="AN347" s="699"/>
      <c r="AO347" s="699"/>
      <c r="AP347" s="699"/>
      <c r="AQ347" s="699"/>
      <c r="AR347" s="699"/>
      <c r="AS347" s="699"/>
      <c r="AT347" s="699"/>
      <c r="AU347" s="699"/>
      <c r="AV347" s="699"/>
      <c r="AW347" s="699"/>
      <c r="AX347" s="700"/>
      <c r="AY347" s="700"/>
      <c r="AZ347" s="701"/>
    </row>
    <row r="348" spans="1:52" ht="29.25" customHeight="1" thickBot="1">
      <c r="A348" s="66">
        <f t="shared" si="167"/>
        <v>44887</v>
      </c>
      <c r="B348" s="138"/>
      <c r="C348" s="138"/>
      <c r="D348" s="138"/>
      <c r="E348" s="138"/>
      <c r="F348" s="138"/>
      <c r="G348" s="138"/>
      <c r="H348" s="138"/>
      <c r="I348" s="138"/>
      <c r="J348" s="138"/>
      <c r="K348" s="138"/>
      <c r="L348" s="138"/>
      <c r="M348" s="138"/>
      <c r="N348" s="138"/>
      <c r="O348" s="138"/>
      <c r="P348" s="138"/>
      <c r="Q348" s="138"/>
      <c r="R348" s="138"/>
      <c r="S348" s="150"/>
      <c r="T348" s="149"/>
      <c r="U348" s="149"/>
      <c r="V348" s="149"/>
      <c r="W348" s="149"/>
      <c r="X348" s="149"/>
      <c r="Y348" s="255">
        <f t="shared" si="165"/>
        <v>0</v>
      </c>
      <c r="Z348" s="309">
        <f t="shared" si="166"/>
        <v>0</v>
      </c>
      <c r="AA348" s="256">
        <f t="shared" si="163"/>
        <v>0</v>
      </c>
      <c r="AB348" s="309"/>
      <c r="AC348" s="309"/>
      <c r="AD348" s="320">
        <f t="shared" si="164"/>
        <v>0</v>
      </c>
      <c r="AF348" s="11"/>
      <c r="AG348" s="24"/>
      <c r="AH348" s="64">
        <f t="shared" si="168"/>
        <v>43395</v>
      </c>
      <c r="AI348" s="698"/>
      <c r="AJ348" s="699"/>
      <c r="AK348" s="699"/>
      <c r="AL348" s="699"/>
      <c r="AM348" s="699"/>
      <c r="AN348" s="699"/>
      <c r="AO348" s="699"/>
      <c r="AP348" s="699"/>
      <c r="AQ348" s="699"/>
      <c r="AR348" s="699"/>
      <c r="AS348" s="699"/>
      <c r="AT348" s="699"/>
      <c r="AU348" s="699"/>
      <c r="AV348" s="699"/>
      <c r="AW348" s="699"/>
      <c r="AX348" s="700"/>
      <c r="AY348" s="700"/>
      <c r="AZ348" s="701"/>
    </row>
    <row r="349" spans="1:52" ht="29.25" customHeight="1" thickBot="1">
      <c r="A349" s="66">
        <f t="shared" si="167"/>
        <v>44888</v>
      </c>
      <c r="B349" s="138"/>
      <c r="C349" s="138"/>
      <c r="D349" s="138"/>
      <c r="E349" s="138"/>
      <c r="F349" s="138"/>
      <c r="G349" s="138"/>
      <c r="H349" s="138"/>
      <c r="I349" s="138"/>
      <c r="J349" s="138"/>
      <c r="K349" s="138"/>
      <c r="L349" s="138"/>
      <c r="M349" s="138"/>
      <c r="N349" s="138"/>
      <c r="O349" s="138"/>
      <c r="P349" s="138"/>
      <c r="Q349" s="138"/>
      <c r="R349" s="138"/>
      <c r="S349" s="150"/>
      <c r="T349" s="149"/>
      <c r="U349" s="149"/>
      <c r="V349" s="149"/>
      <c r="W349" s="149"/>
      <c r="X349" s="149"/>
      <c r="Y349" s="255">
        <f t="shared" si="165"/>
        <v>0</v>
      </c>
      <c r="Z349" s="309">
        <f t="shared" si="166"/>
        <v>0</v>
      </c>
      <c r="AA349" s="256">
        <f t="shared" si="163"/>
        <v>0</v>
      </c>
      <c r="AB349" s="309"/>
      <c r="AC349" s="309"/>
      <c r="AD349" s="320">
        <f t="shared" si="164"/>
        <v>0</v>
      </c>
      <c r="AF349" s="11"/>
      <c r="AG349" s="24"/>
      <c r="AH349" s="64">
        <f t="shared" si="168"/>
        <v>43396</v>
      </c>
      <c r="AI349" s="698"/>
      <c r="AJ349" s="699"/>
      <c r="AK349" s="699"/>
      <c r="AL349" s="699"/>
      <c r="AM349" s="699"/>
      <c r="AN349" s="699"/>
      <c r="AO349" s="699"/>
      <c r="AP349" s="699"/>
      <c r="AQ349" s="699"/>
      <c r="AR349" s="699"/>
      <c r="AS349" s="699"/>
      <c r="AT349" s="699"/>
      <c r="AU349" s="699"/>
      <c r="AV349" s="699"/>
      <c r="AW349" s="699"/>
      <c r="AX349" s="700"/>
      <c r="AY349" s="700"/>
      <c r="AZ349" s="701"/>
    </row>
    <row r="350" spans="1:52" ht="29.25" customHeight="1" thickBot="1">
      <c r="A350" s="66">
        <f t="shared" si="167"/>
        <v>44889</v>
      </c>
      <c r="B350" s="138"/>
      <c r="C350" s="138"/>
      <c r="D350" s="138"/>
      <c r="E350" s="138"/>
      <c r="F350" s="138"/>
      <c r="G350" s="138"/>
      <c r="H350" s="138"/>
      <c r="I350" s="138"/>
      <c r="J350" s="138"/>
      <c r="K350" s="138"/>
      <c r="L350" s="138"/>
      <c r="M350" s="138"/>
      <c r="N350" s="138"/>
      <c r="O350" s="138"/>
      <c r="P350" s="138"/>
      <c r="Q350" s="138"/>
      <c r="R350" s="138"/>
      <c r="S350" s="150"/>
      <c r="T350" s="149"/>
      <c r="U350" s="149"/>
      <c r="V350" s="149"/>
      <c r="W350" s="149"/>
      <c r="X350" s="149"/>
      <c r="Y350" s="255">
        <f t="shared" si="165"/>
        <v>0</v>
      </c>
      <c r="Z350" s="309">
        <f t="shared" si="166"/>
        <v>0</v>
      </c>
      <c r="AA350" s="256">
        <f t="shared" si="163"/>
        <v>0</v>
      </c>
      <c r="AB350" s="309"/>
      <c r="AC350" s="309"/>
      <c r="AD350" s="320">
        <f t="shared" si="164"/>
        <v>0</v>
      </c>
      <c r="AF350" s="11"/>
      <c r="AG350" s="24"/>
      <c r="AH350" s="64">
        <f t="shared" si="168"/>
        <v>43397</v>
      </c>
      <c r="AI350" s="698"/>
      <c r="AJ350" s="699"/>
      <c r="AK350" s="699"/>
      <c r="AL350" s="699"/>
      <c r="AM350" s="699"/>
      <c r="AN350" s="699"/>
      <c r="AO350" s="699"/>
      <c r="AP350" s="699"/>
      <c r="AQ350" s="699"/>
      <c r="AR350" s="699"/>
      <c r="AS350" s="699"/>
      <c r="AT350" s="699"/>
      <c r="AU350" s="699"/>
      <c r="AV350" s="699"/>
      <c r="AW350" s="699"/>
      <c r="AX350" s="700"/>
      <c r="AY350" s="700"/>
      <c r="AZ350" s="701"/>
    </row>
    <row r="351" spans="1:52" ht="29.25" customHeight="1" thickBot="1">
      <c r="A351" s="66">
        <f t="shared" si="167"/>
        <v>44890</v>
      </c>
      <c r="B351" s="138"/>
      <c r="C351" s="138"/>
      <c r="D351" s="138"/>
      <c r="E351" s="138"/>
      <c r="F351" s="138"/>
      <c r="G351" s="138"/>
      <c r="H351" s="138"/>
      <c r="I351" s="138"/>
      <c r="J351" s="138"/>
      <c r="K351" s="138"/>
      <c r="L351" s="138"/>
      <c r="M351" s="138"/>
      <c r="N351" s="138"/>
      <c r="O351" s="138"/>
      <c r="P351" s="138"/>
      <c r="Q351" s="138"/>
      <c r="R351" s="138"/>
      <c r="S351" s="150"/>
      <c r="T351" s="149"/>
      <c r="U351" s="149"/>
      <c r="V351" s="149"/>
      <c r="W351" s="149"/>
      <c r="X351" s="149"/>
      <c r="Y351" s="255">
        <f t="shared" si="165"/>
        <v>0</v>
      </c>
      <c r="Z351" s="309">
        <f t="shared" si="166"/>
        <v>0</v>
      </c>
      <c r="AA351" s="256">
        <f t="shared" si="163"/>
        <v>0</v>
      </c>
      <c r="AB351" s="309"/>
      <c r="AC351" s="309"/>
      <c r="AD351" s="320">
        <f t="shared" si="164"/>
        <v>0</v>
      </c>
      <c r="AF351" s="11"/>
      <c r="AG351" s="24"/>
      <c r="AH351" s="64">
        <f t="shared" si="168"/>
        <v>43398</v>
      </c>
      <c r="AI351" s="698"/>
      <c r="AJ351" s="699"/>
      <c r="AK351" s="699"/>
      <c r="AL351" s="699"/>
      <c r="AM351" s="699"/>
      <c r="AN351" s="699"/>
      <c r="AO351" s="699"/>
      <c r="AP351" s="699"/>
      <c r="AQ351" s="699"/>
      <c r="AR351" s="699"/>
      <c r="AS351" s="699"/>
      <c r="AT351" s="699"/>
      <c r="AU351" s="699"/>
      <c r="AV351" s="699"/>
      <c r="AW351" s="699"/>
      <c r="AX351" s="700"/>
      <c r="AY351" s="700"/>
      <c r="AZ351" s="701"/>
    </row>
    <row r="352" spans="1:52" ht="29.25" customHeight="1" thickBot="1">
      <c r="A352" s="66">
        <f t="shared" si="167"/>
        <v>44891</v>
      </c>
      <c r="B352" s="138"/>
      <c r="C352" s="138"/>
      <c r="D352" s="138"/>
      <c r="E352" s="138"/>
      <c r="F352" s="138"/>
      <c r="G352" s="138"/>
      <c r="H352" s="138"/>
      <c r="I352" s="138"/>
      <c r="J352" s="138"/>
      <c r="K352" s="138"/>
      <c r="L352" s="138"/>
      <c r="M352" s="138"/>
      <c r="N352" s="138"/>
      <c r="O352" s="138"/>
      <c r="P352" s="138"/>
      <c r="Q352" s="138"/>
      <c r="R352" s="138"/>
      <c r="S352" s="150"/>
      <c r="T352" s="149"/>
      <c r="U352" s="149"/>
      <c r="V352" s="149"/>
      <c r="W352" s="149"/>
      <c r="X352" s="149"/>
      <c r="Y352" s="255">
        <f t="shared" si="165"/>
        <v>0</v>
      </c>
      <c r="Z352" s="309">
        <f t="shared" si="166"/>
        <v>0</v>
      </c>
      <c r="AA352" s="256">
        <f t="shared" si="163"/>
        <v>0</v>
      </c>
      <c r="AB352" s="309"/>
      <c r="AC352" s="309"/>
      <c r="AD352" s="320">
        <f t="shared" si="164"/>
        <v>0</v>
      </c>
      <c r="AF352" s="11"/>
      <c r="AG352" s="24"/>
      <c r="AH352" s="64">
        <f t="shared" si="168"/>
        <v>43399</v>
      </c>
      <c r="AI352" s="698"/>
      <c r="AJ352" s="699"/>
      <c r="AK352" s="699"/>
      <c r="AL352" s="699"/>
      <c r="AM352" s="699"/>
      <c r="AN352" s="699"/>
      <c r="AO352" s="699"/>
      <c r="AP352" s="699"/>
      <c r="AQ352" s="699"/>
      <c r="AR352" s="699"/>
      <c r="AS352" s="699"/>
      <c r="AT352" s="699"/>
      <c r="AU352" s="699"/>
      <c r="AV352" s="699"/>
      <c r="AW352" s="699"/>
      <c r="AX352" s="700"/>
      <c r="AY352" s="700"/>
      <c r="AZ352" s="701"/>
    </row>
    <row r="353" spans="1:52" ht="29.25" customHeight="1" thickBot="1">
      <c r="A353" s="66">
        <f t="shared" si="167"/>
        <v>44892</v>
      </c>
      <c r="B353" s="138"/>
      <c r="C353" s="138"/>
      <c r="D353" s="138"/>
      <c r="E353" s="138"/>
      <c r="F353" s="138"/>
      <c r="G353" s="138"/>
      <c r="H353" s="138"/>
      <c r="I353" s="138"/>
      <c r="J353" s="138"/>
      <c r="K353" s="138"/>
      <c r="L353" s="138"/>
      <c r="M353" s="138"/>
      <c r="N353" s="138"/>
      <c r="O353" s="138"/>
      <c r="P353" s="138"/>
      <c r="Q353" s="138"/>
      <c r="R353" s="138"/>
      <c r="S353" s="150"/>
      <c r="T353" s="149"/>
      <c r="U353" s="149"/>
      <c r="V353" s="149"/>
      <c r="W353" s="149"/>
      <c r="X353" s="149"/>
      <c r="Y353" s="255">
        <f t="shared" si="165"/>
        <v>0</v>
      </c>
      <c r="Z353" s="309">
        <f t="shared" si="166"/>
        <v>0</v>
      </c>
      <c r="AA353" s="256">
        <f t="shared" si="163"/>
        <v>0</v>
      </c>
      <c r="AB353" s="309"/>
      <c r="AC353" s="309"/>
      <c r="AD353" s="320">
        <f t="shared" si="164"/>
        <v>0</v>
      </c>
      <c r="AF353" s="11"/>
      <c r="AG353" s="24"/>
      <c r="AH353" s="64">
        <f t="shared" si="168"/>
        <v>43400</v>
      </c>
      <c r="AI353" s="698"/>
      <c r="AJ353" s="699"/>
      <c r="AK353" s="699"/>
      <c r="AL353" s="699"/>
      <c r="AM353" s="699"/>
      <c r="AN353" s="699"/>
      <c r="AO353" s="699"/>
      <c r="AP353" s="699"/>
      <c r="AQ353" s="699"/>
      <c r="AR353" s="699"/>
      <c r="AS353" s="699"/>
      <c r="AT353" s="699"/>
      <c r="AU353" s="699"/>
      <c r="AV353" s="699"/>
      <c r="AW353" s="699"/>
      <c r="AX353" s="700"/>
      <c r="AY353" s="700"/>
      <c r="AZ353" s="701"/>
    </row>
    <row r="354" spans="1:52" ht="29.25" customHeight="1" thickBot="1">
      <c r="A354" s="66">
        <f t="shared" si="167"/>
        <v>44893</v>
      </c>
      <c r="B354" s="138"/>
      <c r="C354" s="138"/>
      <c r="D354" s="138"/>
      <c r="E354" s="138"/>
      <c r="F354" s="138"/>
      <c r="G354" s="138"/>
      <c r="H354" s="138"/>
      <c r="I354" s="138"/>
      <c r="J354" s="138"/>
      <c r="K354" s="138"/>
      <c r="L354" s="138"/>
      <c r="M354" s="138"/>
      <c r="N354" s="138"/>
      <c r="O354" s="138"/>
      <c r="P354" s="138"/>
      <c r="Q354" s="138"/>
      <c r="R354" s="138"/>
      <c r="S354" s="150"/>
      <c r="T354" s="149"/>
      <c r="U354" s="149"/>
      <c r="V354" s="149"/>
      <c r="W354" s="149"/>
      <c r="X354" s="149"/>
      <c r="Y354" s="255">
        <f t="shared" si="165"/>
        <v>0</v>
      </c>
      <c r="Z354" s="309">
        <f t="shared" si="166"/>
        <v>0</v>
      </c>
      <c r="AA354" s="256">
        <f t="shared" si="163"/>
        <v>0</v>
      </c>
      <c r="AB354" s="309"/>
      <c r="AC354" s="309"/>
      <c r="AD354" s="320">
        <f t="shared" si="164"/>
        <v>0</v>
      </c>
      <c r="AF354" s="11"/>
      <c r="AG354" s="24"/>
      <c r="AH354" s="64">
        <f t="shared" si="168"/>
        <v>43401</v>
      </c>
      <c r="AI354" s="698"/>
      <c r="AJ354" s="699"/>
      <c r="AK354" s="699"/>
      <c r="AL354" s="699"/>
      <c r="AM354" s="699"/>
      <c r="AN354" s="699"/>
      <c r="AO354" s="699"/>
      <c r="AP354" s="699"/>
      <c r="AQ354" s="699"/>
      <c r="AR354" s="699"/>
      <c r="AS354" s="699"/>
      <c r="AT354" s="699"/>
      <c r="AU354" s="699"/>
      <c r="AV354" s="699"/>
      <c r="AW354" s="699"/>
      <c r="AX354" s="700"/>
      <c r="AY354" s="700"/>
      <c r="AZ354" s="701"/>
    </row>
    <row r="355" spans="1:52" ht="29.25" customHeight="1" thickBot="1">
      <c r="A355" s="66">
        <f t="shared" si="167"/>
        <v>44894</v>
      </c>
      <c r="B355" s="138"/>
      <c r="C355" s="138"/>
      <c r="D355" s="138"/>
      <c r="E355" s="138"/>
      <c r="F355" s="138"/>
      <c r="G355" s="138"/>
      <c r="H355" s="138"/>
      <c r="I355" s="138"/>
      <c r="J355" s="138"/>
      <c r="K355" s="138"/>
      <c r="L355" s="138"/>
      <c r="M355" s="138"/>
      <c r="N355" s="138"/>
      <c r="O355" s="138"/>
      <c r="P355" s="138"/>
      <c r="Q355" s="138"/>
      <c r="R355" s="138"/>
      <c r="S355" s="150"/>
      <c r="T355" s="149"/>
      <c r="U355" s="149"/>
      <c r="V355" s="149"/>
      <c r="W355" s="149"/>
      <c r="X355" s="149"/>
      <c r="Y355" s="255">
        <f t="shared" si="165"/>
        <v>0</v>
      </c>
      <c r="Z355" s="309">
        <f t="shared" si="166"/>
        <v>0</v>
      </c>
      <c r="AA355" s="256">
        <f t="shared" si="163"/>
        <v>0</v>
      </c>
      <c r="AB355" s="309"/>
      <c r="AC355" s="309"/>
      <c r="AD355" s="320">
        <f t="shared" si="164"/>
        <v>0</v>
      </c>
      <c r="AF355" s="11"/>
      <c r="AG355" s="24"/>
      <c r="AH355" s="64">
        <f>AH354+1</f>
        <v>43402</v>
      </c>
      <c r="AI355" s="698"/>
      <c r="AJ355" s="699"/>
      <c r="AK355" s="699"/>
      <c r="AL355" s="699"/>
      <c r="AM355" s="699"/>
      <c r="AN355" s="699"/>
      <c r="AO355" s="699"/>
      <c r="AP355" s="699"/>
      <c r="AQ355" s="699"/>
      <c r="AR355" s="699"/>
      <c r="AS355" s="699"/>
      <c r="AT355" s="699"/>
      <c r="AU355" s="699"/>
      <c r="AV355" s="699"/>
      <c r="AW355" s="699"/>
      <c r="AX355" s="700"/>
      <c r="AY355" s="700"/>
      <c r="AZ355" s="701"/>
    </row>
    <row r="356" spans="1:52" ht="29.25" customHeight="1" thickBot="1">
      <c r="A356" s="66">
        <f t="shared" si="167"/>
        <v>44895</v>
      </c>
      <c r="B356" s="138"/>
      <c r="C356" s="138"/>
      <c r="D356" s="138"/>
      <c r="E356" s="138"/>
      <c r="F356" s="138"/>
      <c r="G356" s="138"/>
      <c r="H356" s="138"/>
      <c r="I356" s="138"/>
      <c r="J356" s="138"/>
      <c r="K356" s="138"/>
      <c r="L356" s="138"/>
      <c r="M356" s="138"/>
      <c r="N356" s="138"/>
      <c r="O356" s="138"/>
      <c r="P356" s="138"/>
      <c r="Q356" s="138"/>
      <c r="R356" s="138"/>
      <c r="S356" s="150"/>
      <c r="T356" s="149"/>
      <c r="U356" s="149"/>
      <c r="V356" s="149"/>
      <c r="W356" s="149"/>
      <c r="X356" s="149"/>
      <c r="Y356" s="255">
        <f t="shared" si="165"/>
        <v>0</v>
      </c>
      <c r="Z356" s="309">
        <f t="shared" si="166"/>
        <v>0</v>
      </c>
      <c r="AA356" s="256">
        <f t="shared" si="163"/>
        <v>0</v>
      </c>
      <c r="AB356" s="309"/>
      <c r="AC356" s="309"/>
      <c r="AD356" s="320">
        <f t="shared" si="164"/>
        <v>0</v>
      </c>
      <c r="AF356" s="11"/>
      <c r="AG356" s="24"/>
      <c r="AH356" s="64">
        <f t="shared" si="168"/>
        <v>43403</v>
      </c>
      <c r="AI356" s="698"/>
      <c r="AJ356" s="699"/>
      <c r="AK356" s="699"/>
      <c r="AL356" s="699"/>
      <c r="AM356" s="699"/>
      <c r="AN356" s="699"/>
      <c r="AO356" s="699"/>
      <c r="AP356" s="699"/>
      <c r="AQ356" s="699"/>
      <c r="AR356" s="699"/>
      <c r="AS356" s="699"/>
      <c r="AT356" s="699"/>
      <c r="AU356" s="699"/>
      <c r="AV356" s="699"/>
      <c r="AW356" s="699"/>
      <c r="AX356" s="700"/>
      <c r="AY356" s="700"/>
      <c r="AZ356" s="701"/>
    </row>
    <row r="357" spans="1:52" ht="29.25" customHeight="1" thickBot="1">
      <c r="A357" s="95">
        <f t="shared" si="167"/>
        <v>44896</v>
      </c>
      <c r="B357" s="141"/>
      <c r="C357" s="141"/>
      <c r="D357" s="141"/>
      <c r="E357" s="141"/>
      <c r="F357" s="141"/>
      <c r="G357" s="141"/>
      <c r="H357" s="141"/>
      <c r="I357" s="141"/>
      <c r="J357" s="141"/>
      <c r="K357" s="141"/>
      <c r="L357" s="141"/>
      <c r="M357" s="141"/>
      <c r="N357" s="141"/>
      <c r="O357" s="141"/>
      <c r="P357" s="141"/>
      <c r="Q357" s="141"/>
      <c r="R357" s="141"/>
      <c r="S357" s="152"/>
      <c r="T357" s="152"/>
      <c r="U357" s="152"/>
      <c r="V357" s="152"/>
      <c r="W357" s="152"/>
      <c r="X357" s="152"/>
      <c r="Y357" s="255">
        <f t="shared" si="165"/>
        <v>0</v>
      </c>
      <c r="Z357" s="309">
        <f t="shared" si="166"/>
        <v>0</v>
      </c>
      <c r="AA357" s="256">
        <f t="shared" si="163"/>
        <v>0</v>
      </c>
      <c r="AB357" s="309"/>
      <c r="AC357" s="309"/>
      <c r="AD357" s="320">
        <f t="shared" si="164"/>
        <v>0</v>
      </c>
      <c r="AE357">
        <v>0</v>
      </c>
      <c r="AF357" s="11"/>
      <c r="AG357" s="24"/>
      <c r="AH357" s="65">
        <f t="shared" si="168"/>
        <v>43404</v>
      </c>
      <c r="AI357" s="702"/>
      <c r="AJ357" s="703"/>
      <c r="AK357" s="703"/>
      <c r="AL357" s="703"/>
      <c r="AM357" s="703"/>
      <c r="AN357" s="703"/>
      <c r="AO357" s="703"/>
      <c r="AP357" s="703"/>
      <c r="AQ357" s="703"/>
      <c r="AR357" s="703"/>
      <c r="AS357" s="703"/>
      <c r="AT357" s="703"/>
      <c r="AU357" s="703"/>
      <c r="AV357" s="703"/>
      <c r="AW357" s="703"/>
      <c r="AX357" s="704"/>
      <c r="AY357" s="704"/>
      <c r="AZ357" s="705"/>
    </row>
    <row r="358" spans="1:52" ht="50.1" customHeight="1" thickTop="1" thickBot="1">
      <c r="A358" s="96" t="s">
        <v>74</v>
      </c>
      <c r="B358" s="90">
        <f>SUM(B327:B357)</f>
        <v>0</v>
      </c>
      <c r="C358" s="90">
        <f t="shared" ref="C358:Y358" si="169">SUM(C327:C357)</f>
        <v>0</v>
      </c>
      <c r="D358" s="90">
        <f t="shared" si="169"/>
        <v>0</v>
      </c>
      <c r="E358" s="90"/>
      <c r="F358" s="90">
        <f t="shared" si="169"/>
        <v>0</v>
      </c>
      <c r="G358" s="90">
        <f t="shared" si="169"/>
        <v>0</v>
      </c>
      <c r="H358" s="90">
        <f t="shared" si="169"/>
        <v>0</v>
      </c>
      <c r="I358" s="90">
        <f t="shared" si="169"/>
        <v>0</v>
      </c>
      <c r="J358" s="90">
        <f t="shared" si="169"/>
        <v>0</v>
      </c>
      <c r="K358" s="90">
        <f t="shared" si="169"/>
        <v>0</v>
      </c>
      <c r="L358" s="90">
        <f t="shared" si="169"/>
        <v>0</v>
      </c>
      <c r="M358" s="90">
        <f t="shared" si="169"/>
        <v>0</v>
      </c>
      <c r="N358" s="90">
        <f t="shared" si="169"/>
        <v>0</v>
      </c>
      <c r="O358" s="90">
        <f t="shared" si="169"/>
        <v>0</v>
      </c>
      <c r="P358" s="90"/>
      <c r="Q358" s="90">
        <f t="shared" si="169"/>
        <v>0</v>
      </c>
      <c r="R358" s="90">
        <f t="shared" si="169"/>
        <v>0</v>
      </c>
      <c r="S358" s="90">
        <f t="shared" si="169"/>
        <v>0</v>
      </c>
      <c r="T358" s="90"/>
      <c r="U358" s="90"/>
      <c r="V358" s="90"/>
      <c r="W358" s="90"/>
      <c r="X358" s="90"/>
      <c r="Y358" s="574">
        <f t="shared" si="169"/>
        <v>0</v>
      </c>
      <c r="Z358" s="258"/>
      <c r="AA358" s="259"/>
      <c r="AB358" s="316">
        <f>SUM(AB327:AB357)</f>
        <v>0</v>
      </c>
      <c r="AC358" s="316"/>
      <c r="AD358" s="260"/>
      <c r="AF358" s="9"/>
      <c r="AG358" s="16"/>
      <c r="AH358" s="706" t="s">
        <v>101</v>
      </c>
      <c r="AI358" s="707">
        <f>SUM(AI327:AI357)</f>
        <v>0</v>
      </c>
      <c r="AJ358" s="707">
        <f>SUM(AJ327:AJ357)</f>
        <v>0</v>
      </c>
      <c r="AK358" s="707">
        <f t="shared" ref="AK358:AZ358" si="170">SUM(AK327:AK357)</f>
        <v>0</v>
      </c>
      <c r="AL358" s="707">
        <f t="shared" si="170"/>
        <v>0</v>
      </c>
      <c r="AM358" s="707">
        <f t="shared" si="170"/>
        <v>0</v>
      </c>
      <c r="AN358" s="707">
        <f t="shared" si="170"/>
        <v>0</v>
      </c>
      <c r="AO358" s="707">
        <f t="shared" si="170"/>
        <v>0</v>
      </c>
      <c r="AP358" s="707">
        <f t="shared" si="170"/>
        <v>0</v>
      </c>
      <c r="AQ358" s="707">
        <f t="shared" si="170"/>
        <v>0</v>
      </c>
      <c r="AR358" s="707">
        <f t="shared" si="170"/>
        <v>0</v>
      </c>
      <c r="AS358" s="707">
        <f t="shared" si="170"/>
        <v>0</v>
      </c>
      <c r="AT358" s="707">
        <f t="shared" si="170"/>
        <v>0</v>
      </c>
      <c r="AU358" s="707">
        <f t="shared" si="170"/>
        <v>0</v>
      </c>
      <c r="AV358" s="707">
        <f t="shared" si="170"/>
        <v>0</v>
      </c>
      <c r="AW358" s="707">
        <f t="shared" si="170"/>
        <v>0</v>
      </c>
      <c r="AX358" s="707">
        <f t="shared" si="170"/>
        <v>0</v>
      </c>
      <c r="AY358" s="707">
        <f t="shared" si="170"/>
        <v>0</v>
      </c>
      <c r="AZ358" s="707">
        <f t="shared" si="170"/>
        <v>0</v>
      </c>
    </row>
    <row r="359" spans="1:52" ht="50.1" customHeight="1" thickTop="1" thickBot="1">
      <c r="A359" s="148" t="s">
        <v>102</v>
      </c>
      <c r="B359" s="473"/>
      <c r="C359" s="473"/>
      <c r="D359" s="473"/>
      <c r="E359" s="473"/>
      <c r="F359" s="473"/>
      <c r="G359" s="473"/>
      <c r="H359" s="473"/>
      <c r="I359" s="473"/>
      <c r="J359" s="473"/>
      <c r="K359" s="473"/>
      <c r="L359" s="473"/>
      <c r="M359" s="473"/>
      <c r="N359" s="473"/>
      <c r="O359" s="473"/>
      <c r="P359" s="473"/>
      <c r="Q359" s="473"/>
      <c r="R359" s="473"/>
      <c r="S359" s="473"/>
      <c r="T359" s="473"/>
      <c r="U359" s="473"/>
      <c r="V359" s="473"/>
      <c r="W359" s="473"/>
      <c r="X359" s="473"/>
      <c r="Y359" s="286"/>
      <c r="Z359" s="288"/>
      <c r="AA359" s="288"/>
      <c r="AB359" s="268"/>
      <c r="AC359" s="269"/>
      <c r="AD359" s="270"/>
      <c r="AF359" s="9"/>
      <c r="AG359" s="16"/>
      <c r="AH359" s="706" t="s">
        <v>45</v>
      </c>
      <c r="AI359" s="707">
        <v>220</v>
      </c>
      <c r="AJ359" s="707">
        <v>220</v>
      </c>
      <c r="AK359" s="707">
        <v>220</v>
      </c>
      <c r="AL359" s="707">
        <v>100</v>
      </c>
      <c r="AM359" s="707">
        <v>100</v>
      </c>
      <c r="AN359" s="707">
        <v>80</v>
      </c>
      <c r="AO359" s="707">
        <v>25</v>
      </c>
      <c r="AP359" s="707">
        <v>25</v>
      </c>
      <c r="AQ359" s="707">
        <v>25</v>
      </c>
      <c r="AR359" s="707">
        <v>400</v>
      </c>
      <c r="AS359" s="707">
        <v>400</v>
      </c>
      <c r="AT359" s="707">
        <v>400</v>
      </c>
      <c r="AU359" s="707">
        <v>0</v>
      </c>
      <c r="AV359" s="707">
        <v>0</v>
      </c>
      <c r="AW359" s="707">
        <v>200</v>
      </c>
      <c r="AX359" s="707">
        <v>200</v>
      </c>
      <c r="AY359" s="707">
        <v>0</v>
      </c>
      <c r="AZ359" s="707">
        <v>0</v>
      </c>
    </row>
    <row r="360" spans="1:52" ht="50.1" customHeight="1" thickTop="1" thickBot="1">
      <c r="A360" s="101" t="s">
        <v>1</v>
      </c>
      <c r="B360" s="90">
        <f>B358*B359</f>
        <v>0</v>
      </c>
      <c r="C360" s="90">
        <f t="shared" ref="C360:S360" si="171">C358*C359</f>
        <v>0</v>
      </c>
      <c r="D360" s="90">
        <f t="shared" si="171"/>
        <v>0</v>
      </c>
      <c r="E360" s="90"/>
      <c r="F360" s="90">
        <f t="shared" si="171"/>
        <v>0</v>
      </c>
      <c r="G360" s="90">
        <f t="shared" si="171"/>
        <v>0</v>
      </c>
      <c r="H360" s="90">
        <f t="shared" si="171"/>
        <v>0</v>
      </c>
      <c r="I360" s="90">
        <f t="shared" si="171"/>
        <v>0</v>
      </c>
      <c r="J360" s="90">
        <f t="shared" si="171"/>
        <v>0</v>
      </c>
      <c r="K360" s="90">
        <f t="shared" si="171"/>
        <v>0</v>
      </c>
      <c r="L360" s="90">
        <f t="shared" si="171"/>
        <v>0</v>
      </c>
      <c r="M360" s="90">
        <f t="shared" si="171"/>
        <v>0</v>
      </c>
      <c r="N360" s="90">
        <f t="shared" si="171"/>
        <v>0</v>
      </c>
      <c r="O360" s="90">
        <f t="shared" si="171"/>
        <v>0</v>
      </c>
      <c r="P360" s="90"/>
      <c r="Q360" s="90">
        <f t="shared" si="171"/>
        <v>0</v>
      </c>
      <c r="R360" s="90">
        <f t="shared" si="171"/>
        <v>0</v>
      </c>
      <c r="S360" s="90">
        <f t="shared" si="171"/>
        <v>0</v>
      </c>
      <c r="T360" s="90"/>
      <c r="U360" s="90"/>
      <c r="V360" s="90"/>
      <c r="W360" s="90"/>
      <c r="X360" s="90"/>
      <c r="Y360" s="289">
        <f>SUM(B360:S360)</f>
        <v>0</v>
      </c>
      <c r="Z360" s="287"/>
      <c r="AA360" s="1439"/>
      <c r="AB360" s="1439"/>
      <c r="AC360" s="269"/>
      <c r="AD360" s="270"/>
      <c r="AF360" s="8"/>
      <c r="AG360" s="8"/>
      <c r="AH360" s="706" t="s">
        <v>46</v>
      </c>
      <c r="AI360" s="707">
        <f>AI358*AI359</f>
        <v>0</v>
      </c>
      <c r="AJ360" s="707">
        <f t="shared" ref="AJ360" si="172">AJ358*AJ359</f>
        <v>0</v>
      </c>
      <c r="AK360" s="707">
        <f t="shared" ref="AK360" si="173">AK358*AK359</f>
        <v>0</v>
      </c>
      <c r="AL360" s="707">
        <f t="shared" ref="AL360" si="174">AL358*AL359</f>
        <v>0</v>
      </c>
      <c r="AM360" s="707">
        <f t="shared" ref="AM360" si="175">AM358*AM359</f>
        <v>0</v>
      </c>
      <c r="AN360" s="707">
        <f t="shared" ref="AN360" si="176">AN358*AN359</f>
        <v>0</v>
      </c>
      <c r="AO360" s="707">
        <f t="shared" ref="AO360" si="177">AO358*AO359</f>
        <v>0</v>
      </c>
      <c r="AP360" s="707">
        <f t="shared" ref="AP360" si="178">AP358*AP359</f>
        <v>0</v>
      </c>
      <c r="AQ360" s="707">
        <f t="shared" ref="AQ360" si="179">AQ358*AQ359</f>
        <v>0</v>
      </c>
      <c r="AR360" s="707">
        <f t="shared" ref="AR360" si="180">AR358*AR359</f>
        <v>0</v>
      </c>
      <c r="AS360" s="707">
        <f t="shared" ref="AS360" si="181">AS358*AS359</f>
        <v>0</v>
      </c>
      <c r="AT360" s="707">
        <f t="shared" ref="AT360" si="182">AT358*AT359</f>
        <v>0</v>
      </c>
      <c r="AU360" s="707">
        <f t="shared" ref="AU360" si="183">AU358*AU359</f>
        <v>0</v>
      </c>
      <c r="AV360" s="707">
        <f t="shared" ref="AV360" si="184">AV358*AV359</f>
        <v>0</v>
      </c>
      <c r="AW360" s="707">
        <f t="shared" ref="AW360" si="185">AW358*AW359</f>
        <v>0</v>
      </c>
      <c r="AX360" s="707">
        <f t="shared" ref="AX360" si="186">AX358*AX359</f>
        <v>0</v>
      </c>
      <c r="AY360" s="707">
        <f t="shared" ref="AY360" si="187">AY358*AY359</f>
        <v>0</v>
      </c>
      <c r="AZ360" s="707">
        <f t="shared" ref="AZ360" si="188">AZ358*AZ359</f>
        <v>0</v>
      </c>
    </row>
    <row r="361" spans="1:52" ht="27.75" thickTop="1" thickBo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 t="s">
        <v>1</v>
      </c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274">
        <f>Y358-Y360</f>
        <v>0</v>
      </c>
      <c r="Z361" s="290"/>
      <c r="AA361" s="290"/>
      <c r="AB361" s="290"/>
      <c r="AC361" s="270"/>
      <c r="AD361" s="270"/>
      <c r="AF361" s="2"/>
      <c r="AG361" s="30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714">
        <f>SUM(AI360:AZ360)</f>
        <v>0</v>
      </c>
    </row>
    <row r="362" spans="1:52" ht="15.75" thickTop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 t="s">
        <v>1</v>
      </c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</row>
    <row r="363" spans="1:52">
      <c r="A363" s="7"/>
      <c r="B363" s="7"/>
      <c r="C363" s="7" t="s">
        <v>1</v>
      </c>
      <c r="D363" s="7"/>
      <c r="E363" s="7"/>
      <c r="F363" s="7"/>
      <c r="G363" s="7" t="s">
        <v>1</v>
      </c>
      <c r="H363" s="7"/>
      <c r="I363" s="7"/>
      <c r="J363" s="7" t="s">
        <v>1</v>
      </c>
      <c r="K363" s="7"/>
      <c r="L363" s="7"/>
      <c r="M363" s="7"/>
      <c r="N363" s="7"/>
      <c r="O363" s="7"/>
      <c r="P363" s="7"/>
      <c r="Q363" s="7" t="s">
        <v>1</v>
      </c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D363" t="s">
        <v>1</v>
      </c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</row>
    <row r="364" spans="1:5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8"/>
      <c r="AA364" s="8"/>
      <c r="AB364" s="8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</row>
    <row r="365" spans="1:52" ht="15.75" thickBo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8"/>
      <c r="AA365" s="8"/>
      <c r="AB365" s="8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</row>
    <row r="366" spans="1:52" ht="39.950000000000003" customHeight="1" thickBot="1">
      <c r="A366" s="109">
        <f>A5</f>
        <v>2022</v>
      </c>
      <c r="B366" s="1447"/>
      <c r="C366" s="1448"/>
      <c r="D366" s="1448"/>
      <c r="E366" s="1448"/>
      <c r="F366" s="1448"/>
      <c r="G366" s="1448"/>
      <c r="H366" s="1448"/>
      <c r="I366" s="1448"/>
      <c r="J366" s="1448"/>
      <c r="K366" s="1448"/>
      <c r="L366" s="1448"/>
      <c r="M366" s="1448"/>
      <c r="N366" s="1448"/>
      <c r="O366" s="1448"/>
      <c r="P366" s="1448"/>
      <c r="Q366" s="1448"/>
      <c r="R366" s="1448"/>
      <c r="S366" s="1448"/>
      <c r="T366" s="1448"/>
      <c r="U366" s="1448"/>
      <c r="V366" s="1448"/>
      <c r="W366" s="1448"/>
      <c r="X366" s="1448"/>
      <c r="Y366" s="1449"/>
      <c r="Z366" s="21" t="s">
        <v>1</v>
      </c>
      <c r="AA366" s="21"/>
      <c r="AB366" s="21"/>
      <c r="AF366" s="10"/>
      <c r="AG366" s="21"/>
      <c r="AH366" s="109">
        <v>2018</v>
      </c>
      <c r="AI366" s="1424">
        <f>B366</f>
        <v>0</v>
      </c>
      <c r="AJ366" s="1425"/>
      <c r="AK366" s="1425"/>
      <c r="AL366" s="1425"/>
      <c r="AM366" s="1425"/>
      <c r="AN366" s="1425"/>
      <c r="AO366" s="1425"/>
      <c r="AP366" s="1425"/>
      <c r="AQ366" s="1425"/>
      <c r="AR366" s="1425"/>
      <c r="AS366" s="1425"/>
      <c r="AT366" s="1425"/>
      <c r="AU366" s="1425"/>
      <c r="AV366" s="1425"/>
      <c r="AW366" s="1425"/>
      <c r="AX366" s="1425"/>
      <c r="AY366" s="1425"/>
      <c r="AZ366" s="1425"/>
    </row>
    <row r="367" spans="1:52" ht="60" customHeight="1" thickTop="1" thickBot="1">
      <c r="A367" s="1468" t="s">
        <v>94</v>
      </c>
      <c r="B367" s="1402" t="s">
        <v>95</v>
      </c>
      <c r="C367" s="1403"/>
      <c r="D367" s="1403"/>
      <c r="E367" s="1404"/>
      <c r="F367" s="1402" t="s">
        <v>7</v>
      </c>
      <c r="G367" s="1403"/>
      <c r="H367" s="1404"/>
      <c r="I367" s="1402" t="s">
        <v>8</v>
      </c>
      <c r="J367" s="1404"/>
      <c r="K367" s="1402" t="s">
        <v>9</v>
      </c>
      <c r="L367" s="1403"/>
      <c r="M367" s="1403"/>
      <c r="N367" s="1403"/>
      <c r="O367" s="1403"/>
      <c r="P367" s="1403"/>
      <c r="Q367" s="1403"/>
      <c r="R367" s="1405" t="s">
        <v>10</v>
      </c>
      <c r="S367" s="1406"/>
      <c r="T367" s="1400" t="s">
        <v>289</v>
      </c>
      <c r="U367" s="1401"/>
      <c r="V367" s="842" t="s">
        <v>258</v>
      </c>
      <c r="W367" s="842"/>
      <c r="X367" s="842"/>
      <c r="Y367" s="211"/>
      <c r="Z367" s="21"/>
      <c r="AA367" s="21"/>
      <c r="AB367" s="21"/>
      <c r="AC367" s="21"/>
      <c r="AF367" s="10"/>
      <c r="AG367" s="34"/>
      <c r="AH367" s="1422" t="s">
        <v>94</v>
      </c>
      <c r="AI367" s="1402" t="s">
        <v>95</v>
      </c>
      <c r="AJ367" s="1403"/>
      <c r="AK367" s="1404"/>
      <c r="AL367" s="1402" t="s">
        <v>7</v>
      </c>
      <c r="AM367" s="1403"/>
      <c r="AN367" s="1404"/>
      <c r="AO367" s="1402" t="s">
        <v>8</v>
      </c>
      <c r="AP367" s="1403"/>
      <c r="AQ367" s="1404"/>
      <c r="AR367" s="1402" t="s">
        <v>9</v>
      </c>
      <c r="AS367" s="1403"/>
      <c r="AT367" s="1404"/>
      <c r="AU367" s="1403" t="s">
        <v>9</v>
      </c>
      <c r="AV367" s="1404"/>
      <c r="AW367" s="1429" t="s">
        <v>10</v>
      </c>
      <c r="AX367" s="1430"/>
      <c r="AY367" s="690"/>
      <c r="AZ367" s="404" t="s">
        <v>11</v>
      </c>
    </row>
    <row r="368" spans="1:52" ht="42" thickTop="1" thickBot="1">
      <c r="A368" s="1428"/>
      <c r="B368" s="482" t="s">
        <v>12</v>
      </c>
      <c r="C368" s="482" t="s">
        <v>13</v>
      </c>
      <c r="D368" s="482" t="s">
        <v>14</v>
      </c>
      <c r="E368" s="688" t="s">
        <v>198</v>
      </c>
      <c r="F368" s="482" t="s">
        <v>12</v>
      </c>
      <c r="G368" s="482" t="s">
        <v>13</v>
      </c>
      <c r="H368" s="482" t="s">
        <v>282</v>
      </c>
      <c r="I368" s="482" t="s">
        <v>12</v>
      </c>
      <c r="J368" s="482" t="s">
        <v>16</v>
      </c>
      <c r="K368" s="482" t="s">
        <v>17</v>
      </c>
      <c r="L368" s="482" t="s">
        <v>18</v>
      </c>
      <c r="M368" s="482" t="s">
        <v>19</v>
      </c>
      <c r="N368" s="484" t="s">
        <v>96</v>
      </c>
      <c r="O368" s="484" t="s">
        <v>257</v>
      </c>
      <c r="P368" s="484" t="s">
        <v>254</v>
      </c>
      <c r="Q368" s="484" t="s">
        <v>20</v>
      </c>
      <c r="R368" s="483" t="s">
        <v>14</v>
      </c>
      <c r="S368" s="482" t="s">
        <v>13</v>
      </c>
      <c r="T368" s="846" t="s">
        <v>284</v>
      </c>
      <c r="U368" s="846" t="s">
        <v>288</v>
      </c>
      <c r="V368" s="484" t="s">
        <v>259</v>
      </c>
      <c r="W368" s="484"/>
      <c r="X368" s="484"/>
      <c r="Y368" s="209" t="s">
        <v>90</v>
      </c>
      <c r="Z368" s="210" t="s">
        <v>97</v>
      </c>
      <c r="AA368" s="210" t="s">
        <v>74</v>
      </c>
      <c r="AB368" s="210" t="s">
        <v>98</v>
      </c>
      <c r="AC368" s="210" t="s">
        <v>99</v>
      </c>
      <c r="AD368" s="210" t="s">
        <v>100</v>
      </c>
      <c r="AF368" s="578" t="s">
        <v>1</v>
      </c>
      <c r="AG368" s="4"/>
      <c r="AH368" s="1428"/>
      <c r="AI368" s="482" t="s">
        <v>12</v>
      </c>
      <c r="AJ368" s="482" t="s">
        <v>13</v>
      </c>
      <c r="AK368" s="482" t="s">
        <v>14</v>
      </c>
      <c r="AL368" s="482" t="s">
        <v>12</v>
      </c>
      <c r="AM368" s="482" t="s">
        <v>13</v>
      </c>
      <c r="AN368" s="482" t="s">
        <v>15</v>
      </c>
      <c r="AO368" s="482" t="s">
        <v>12</v>
      </c>
      <c r="AP368" s="482" t="s">
        <v>205</v>
      </c>
      <c r="AQ368" s="482" t="s">
        <v>16</v>
      </c>
      <c r="AR368" s="482" t="s">
        <v>17</v>
      </c>
      <c r="AS368" s="482" t="s">
        <v>18</v>
      </c>
      <c r="AT368" s="482" t="s">
        <v>19</v>
      </c>
      <c r="AU368" s="482" t="s">
        <v>201</v>
      </c>
      <c r="AV368" s="482" t="s">
        <v>20</v>
      </c>
      <c r="AW368" s="482" t="s">
        <v>12</v>
      </c>
      <c r="AX368" s="483" t="s">
        <v>13</v>
      </c>
      <c r="AY368" s="688" t="s">
        <v>198</v>
      </c>
      <c r="AZ368" s="484" t="s">
        <v>96</v>
      </c>
    </row>
    <row r="369" spans="1:52" ht="29.25" customHeight="1" thickBot="1">
      <c r="A369" s="67">
        <f>A327</f>
        <v>44866</v>
      </c>
      <c r="B369" s="153"/>
      <c r="C369" s="153"/>
      <c r="D369" s="153"/>
      <c r="E369" s="153"/>
      <c r="F369" s="153"/>
      <c r="G369" s="153"/>
      <c r="H369" s="153"/>
      <c r="I369" s="153"/>
      <c r="J369" s="153"/>
      <c r="K369" s="153"/>
      <c r="L369" s="153"/>
      <c r="M369" s="153"/>
      <c r="N369" s="153"/>
      <c r="O369" s="153"/>
      <c r="P369" s="153"/>
      <c r="Q369" s="153"/>
      <c r="R369" s="154"/>
      <c r="S369" s="154"/>
      <c r="T369" s="833"/>
      <c r="U369" s="833"/>
      <c r="V369" s="833"/>
      <c r="W369" s="833"/>
      <c r="X369" s="833"/>
      <c r="Y369" s="255">
        <f>B369*280+C369*280+D369*280+E369*280+F369*130+G369*130+H369*90+I369*43+J369*35+K369*400+L369*380+M369*400+N369*22+O369*42+P369*80+Q369*200+R369*260+S369*41+T369*30+U369*60</f>
        <v>0</v>
      </c>
      <c r="Z369" s="308"/>
      <c r="AA369" s="263">
        <f t="shared" ref="AA369:AA399" si="189">Y369+Z369</f>
        <v>0</v>
      </c>
      <c r="AB369" s="308"/>
      <c r="AC369" s="308"/>
      <c r="AD369" s="328">
        <f t="shared" ref="AD369:AD399" si="190">AA369-AB369-AC369</f>
        <v>0</v>
      </c>
      <c r="AF369" s="11"/>
      <c r="AG369" s="579"/>
      <c r="AH369" s="63">
        <f>AH327</f>
        <v>43374</v>
      </c>
      <c r="AI369" s="694"/>
      <c r="AJ369" s="695"/>
      <c r="AK369" s="695"/>
      <c r="AL369" s="695"/>
      <c r="AM369" s="695"/>
      <c r="AN369" s="695"/>
      <c r="AO369" s="695"/>
      <c r="AP369" s="695"/>
      <c r="AQ369" s="695"/>
      <c r="AR369" s="695"/>
      <c r="AS369" s="695"/>
      <c r="AT369" s="695"/>
      <c r="AU369" s="695"/>
      <c r="AV369" s="695"/>
      <c r="AW369" s="695"/>
      <c r="AX369" s="696"/>
      <c r="AY369" s="696"/>
      <c r="AZ369" s="697"/>
    </row>
    <row r="370" spans="1:52" ht="29.25" customHeight="1" thickBot="1">
      <c r="A370" s="67">
        <f>A369+1</f>
        <v>44867</v>
      </c>
      <c r="B370" s="155"/>
      <c r="C370" s="155"/>
      <c r="D370" s="155"/>
      <c r="E370" s="155"/>
      <c r="F370" s="155"/>
      <c r="G370" s="155"/>
      <c r="H370" s="155"/>
      <c r="I370" s="155"/>
      <c r="J370" s="155"/>
      <c r="K370" s="155"/>
      <c r="L370" s="155"/>
      <c r="M370" s="155"/>
      <c r="N370" s="155"/>
      <c r="O370" s="155"/>
      <c r="P370" s="155"/>
      <c r="Q370" s="155"/>
      <c r="R370" s="156"/>
      <c r="S370" s="156"/>
      <c r="T370" s="833"/>
      <c r="U370" s="833"/>
      <c r="V370" s="833"/>
      <c r="W370" s="833"/>
      <c r="X370" s="833"/>
      <c r="Y370" s="255">
        <f t="shared" ref="Y370:Y399" si="191">B370*280+C370*280+D370*280+E370*280+F370*130+G370*130+H370*90+I370*43+J370*35+K370*400+L370*380+M370*400+N370*22+O370*42+P370*80+Q370*200+R370*260+S370*41+T370*30+U370*60</f>
        <v>0</v>
      </c>
      <c r="Z370" s="309">
        <f t="shared" ref="Z370:Z399" si="192">AD369</f>
        <v>0</v>
      </c>
      <c r="AA370" s="256">
        <f t="shared" si="189"/>
        <v>0</v>
      </c>
      <c r="AB370" s="309"/>
      <c r="AC370" s="309"/>
      <c r="AD370" s="329">
        <f t="shared" si="190"/>
        <v>0</v>
      </c>
      <c r="AF370" s="11"/>
      <c r="AG370" s="579"/>
      <c r="AH370" s="64">
        <f>AH369+1</f>
        <v>43375</v>
      </c>
      <c r="AI370" s="698"/>
      <c r="AJ370" s="699"/>
      <c r="AK370" s="699"/>
      <c r="AL370" s="699"/>
      <c r="AM370" s="699"/>
      <c r="AN370" s="699"/>
      <c r="AO370" s="699"/>
      <c r="AP370" s="699"/>
      <c r="AQ370" s="699"/>
      <c r="AR370" s="699"/>
      <c r="AS370" s="699"/>
      <c r="AT370" s="699"/>
      <c r="AU370" s="699"/>
      <c r="AV370" s="699"/>
      <c r="AW370" s="699"/>
      <c r="AX370" s="700"/>
      <c r="AY370" s="700"/>
      <c r="AZ370" s="701"/>
    </row>
    <row r="371" spans="1:52" ht="29.25" customHeight="1" thickBot="1">
      <c r="A371" s="67">
        <f t="shared" ref="A371:A399" si="193">A370+1</f>
        <v>44868</v>
      </c>
      <c r="B371" s="155"/>
      <c r="C371" s="155"/>
      <c r="D371" s="155"/>
      <c r="E371" s="155"/>
      <c r="F371" s="155"/>
      <c r="G371" s="155"/>
      <c r="H371" s="155"/>
      <c r="I371" s="155"/>
      <c r="J371" s="155"/>
      <c r="K371" s="155"/>
      <c r="L371" s="155"/>
      <c r="M371" s="155"/>
      <c r="N371" s="155"/>
      <c r="O371" s="155"/>
      <c r="P371" s="155"/>
      <c r="Q371" s="155"/>
      <c r="R371" s="156"/>
      <c r="S371" s="156"/>
      <c r="T371" s="833"/>
      <c r="U371" s="833"/>
      <c r="V371" s="833"/>
      <c r="W371" s="833"/>
      <c r="X371" s="833"/>
      <c r="Y371" s="255">
        <f t="shared" si="191"/>
        <v>0</v>
      </c>
      <c r="Z371" s="309">
        <f t="shared" si="192"/>
        <v>0</v>
      </c>
      <c r="AA371" s="256">
        <f t="shared" si="189"/>
        <v>0</v>
      </c>
      <c r="AB371" s="309"/>
      <c r="AC371" s="309"/>
      <c r="AD371" s="329">
        <f t="shared" si="190"/>
        <v>0</v>
      </c>
      <c r="AF371" s="11"/>
      <c r="AG371" s="579"/>
      <c r="AH371" s="64">
        <f t="shared" ref="AH371:AH399" si="194">AH370+1</f>
        <v>43376</v>
      </c>
      <c r="AI371" s="698"/>
      <c r="AJ371" s="699"/>
      <c r="AK371" s="699"/>
      <c r="AL371" s="699"/>
      <c r="AM371" s="699"/>
      <c r="AN371" s="699"/>
      <c r="AO371" s="699"/>
      <c r="AP371" s="699"/>
      <c r="AQ371" s="699"/>
      <c r="AR371" s="699"/>
      <c r="AS371" s="699"/>
      <c r="AT371" s="699"/>
      <c r="AU371" s="699"/>
      <c r="AV371" s="699"/>
      <c r="AW371" s="699"/>
      <c r="AX371" s="700"/>
      <c r="AY371" s="700"/>
      <c r="AZ371" s="701"/>
    </row>
    <row r="372" spans="1:52" ht="29.25" customHeight="1" thickBot="1">
      <c r="A372" s="67">
        <f t="shared" si="193"/>
        <v>44869</v>
      </c>
      <c r="B372" s="155"/>
      <c r="C372" s="155"/>
      <c r="D372" s="155"/>
      <c r="E372" s="155"/>
      <c r="F372" s="155"/>
      <c r="G372" s="155"/>
      <c r="H372" s="155"/>
      <c r="I372" s="155"/>
      <c r="J372" s="155"/>
      <c r="K372" s="155"/>
      <c r="L372" s="155"/>
      <c r="M372" s="155"/>
      <c r="N372" s="155"/>
      <c r="O372" s="155"/>
      <c r="P372" s="155"/>
      <c r="Q372" s="155"/>
      <c r="R372" s="156"/>
      <c r="S372" s="156"/>
      <c r="T372" s="833"/>
      <c r="U372" s="833"/>
      <c r="V372" s="833"/>
      <c r="W372" s="833"/>
      <c r="X372" s="833"/>
      <c r="Y372" s="255">
        <f t="shared" si="191"/>
        <v>0</v>
      </c>
      <c r="Z372" s="309">
        <f t="shared" si="192"/>
        <v>0</v>
      </c>
      <c r="AA372" s="256">
        <f t="shared" si="189"/>
        <v>0</v>
      </c>
      <c r="AB372" s="309"/>
      <c r="AC372" s="309"/>
      <c r="AD372" s="329">
        <f t="shared" si="190"/>
        <v>0</v>
      </c>
      <c r="AF372" s="11"/>
      <c r="AG372" s="579"/>
      <c r="AH372" s="64">
        <f t="shared" si="194"/>
        <v>43377</v>
      </c>
      <c r="AI372" s="698"/>
      <c r="AJ372" s="699"/>
      <c r="AK372" s="699"/>
      <c r="AL372" s="699"/>
      <c r="AM372" s="699"/>
      <c r="AN372" s="699"/>
      <c r="AO372" s="699"/>
      <c r="AP372" s="699"/>
      <c r="AQ372" s="699"/>
      <c r="AR372" s="699"/>
      <c r="AS372" s="699"/>
      <c r="AT372" s="699"/>
      <c r="AU372" s="699"/>
      <c r="AV372" s="699"/>
      <c r="AW372" s="699"/>
      <c r="AX372" s="700"/>
      <c r="AY372" s="700"/>
      <c r="AZ372" s="701"/>
    </row>
    <row r="373" spans="1:52" ht="29.25" customHeight="1" thickBot="1">
      <c r="A373" s="67">
        <f t="shared" si="193"/>
        <v>44870</v>
      </c>
      <c r="B373" s="155"/>
      <c r="C373" s="155"/>
      <c r="D373" s="155"/>
      <c r="E373" s="155"/>
      <c r="F373" s="155"/>
      <c r="G373" s="155"/>
      <c r="H373" s="155"/>
      <c r="I373" s="155"/>
      <c r="J373" s="155"/>
      <c r="K373" s="155"/>
      <c r="L373" s="155"/>
      <c r="M373" s="155"/>
      <c r="N373" s="155"/>
      <c r="O373" s="155"/>
      <c r="P373" s="155"/>
      <c r="Q373" s="155"/>
      <c r="R373" s="156"/>
      <c r="S373" s="156"/>
      <c r="T373" s="833"/>
      <c r="U373" s="833"/>
      <c r="V373" s="833"/>
      <c r="W373" s="833"/>
      <c r="X373" s="833"/>
      <c r="Y373" s="255">
        <f t="shared" si="191"/>
        <v>0</v>
      </c>
      <c r="Z373" s="309">
        <f t="shared" si="192"/>
        <v>0</v>
      </c>
      <c r="AA373" s="256">
        <f t="shared" si="189"/>
        <v>0</v>
      </c>
      <c r="AB373" s="309"/>
      <c r="AC373" s="309"/>
      <c r="AD373" s="329">
        <f t="shared" si="190"/>
        <v>0</v>
      </c>
      <c r="AF373" s="11"/>
      <c r="AG373" s="579"/>
      <c r="AH373" s="64">
        <f t="shared" si="194"/>
        <v>43378</v>
      </c>
      <c r="AI373" s="698"/>
      <c r="AJ373" s="699"/>
      <c r="AK373" s="699"/>
      <c r="AL373" s="699"/>
      <c r="AM373" s="699"/>
      <c r="AN373" s="699"/>
      <c r="AO373" s="699"/>
      <c r="AP373" s="699"/>
      <c r="AQ373" s="699"/>
      <c r="AR373" s="699"/>
      <c r="AS373" s="699"/>
      <c r="AT373" s="699"/>
      <c r="AU373" s="699"/>
      <c r="AV373" s="699"/>
      <c r="AW373" s="699"/>
      <c r="AX373" s="700"/>
      <c r="AY373" s="700"/>
      <c r="AZ373" s="701"/>
    </row>
    <row r="374" spans="1:52" ht="29.25" customHeight="1" thickBot="1">
      <c r="A374" s="67">
        <f t="shared" si="193"/>
        <v>44871</v>
      </c>
      <c r="B374" s="155"/>
      <c r="C374" s="155"/>
      <c r="D374" s="155"/>
      <c r="E374" s="155"/>
      <c r="F374" s="155"/>
      <c r="G374" s="155"/>
      <c r="H374" s="155"/>
      <c r="I374" s="155"/>
      <c r="J374" s="155"/>
      <c r="K374" s="155"/>
      <c r="L374" s="155"/>
      <c r="M374" s="155"/>
      <c r="N374" s="155"/>
      <c r="O374" s="155"/>
      <c r="P374" s="155"/>
      <c r="Q374" s="155"/>
      <c r="R374" s="156"/>
      <c r="S374" s="156"/>
      <c r="T374" s="833"/>
      <c r="U374" s="833"/>
      <c r="V374" s="833"/>
      <c r="W374" s="833"/>
      <c r="X374" s="833"/>
      <c r="Y374" s="255">
        <f t="shared" si="191"/>
        <v>0</v>
      </c>
      <c r="Z374" s="309">
        <f t="shared" si="192"/>
        <v>0</v>
      </c>
      <c r="AA374" s="256">
        <f t="shared" si="189"/>
        <v>0</v>
      </c>
      <c r="AB374" s="309"/>
      <c r="AC374" s="309"/>
      <c r="AD374" s="329">
        <f t="shared" si="190"/>
        <v>0</v>
      </c>
      <c r="AF374" s="11"/>
      <c r="AG374" s="579"/>
      <c r="AH374" s="64">
        <f t="shared" si="194"/>
        <v>43379</v>
      </c>
      <c r="AI374" s="698"/>
      <c r="AJ374" s="699"/>
      <c r="AK374" s="699"/>
      <c r="AL374" s="699"/>
      <c r="AM374" s="699"/>
      <c r="AN374" s="699"/>
      <c r="AO374" s="699"/>
      <c r="AP374" s="699"/>
      <c r="AQ374" s="699"/>
      <c r="AR374" s="699"/>
      <c r="AS374" s="699"/>
      <c r="AT374" s="699"/>
      <c r="AU374" s="699"/>
      <c r="AV374" s="699"/>
      <c r="AW374" s="699"/>
      <c r="AX374" s="700"/>
      <c r="AY374" s="700"/>
      <c r="AZ374" s="701"/>
    </row>
    <row r="375" spans="1:52" ht="29.25" customHeight="1" thickBot="1">
      <c r="A375" s="67">
        <f t="shared" si="193"/>
        <v>44872</v>
      </c>
      <c r="B375" s="155"/>
      <c r="C375" s="155"/>
      <c r="D375" s="155"/>
      <c r="E375" s="155"/>
      <c r="F375" s="155"/>
      <c r="G375" s="155"/>
      <c r="H375" s="155"/>
      <c r="I375" s="155"/>
      <c r="J375" s="155"/>
      <c r="K375" s="155"/>
      <c r="L375" s="155"/>
      <c r="M375" s="155"/>
      <c r="N375" s="155"/>
      <c r="O375" s="155"/>
      <c r="P375" s="155"/>
      <c r="Q375" s="155"/>
      <c r="R375" s="156"/>
      <c r="S375" s="156"/>
      <c r="T375" s="833"/>
      <c r="U375" s="833"/>
      <c r="V375" s="833"/>
      <c r="W375" s="833"/>
      <c r="X375" s="833"/>
      <c r="Y375" s="255">
        <f t="shared" si="191"/>
        <v>0</v>
      </c>
      <c r="Z375" s="309">
        <f t="shared" si="192"/>
        <v>0</v>
      </c>
      <c r="AA375" s="256">
        <f t="shared" si="189"/>
        <v>0</v>
      </c>
      <c r="AB375" s="309"/>
      <c r="AC375" s="309"/>
      <c r="AD375" s="329">
        <f t="shared" si="190"/>
        <v>0</v>
      </c>
      <c r="AF375" s="11"/>
      <c r="AG375" s="579"/>
      <c r="AH375" s="64">
        <f t="shared" si="194"/>
        <v>43380</v>
      </c>
      <c r="AI375" s="698"/>
      <c r="AJ375" s="699"/>
      <c r="AK375" s="699"/>
      <c r="AL375" s="699"/>
      <c r="AM375" s="699"/>
      <c r="AN375" s="699"/>
      <c r="AO375" s="699"/>
      <c r="AP375" s="699"/>
      <c r="AQ375" s="699"/>
      <c r="AR375" s="699"/>
      <c r="AS375" s="699"/>
      <c r="AT375" s="699"/>
      <c r="AU375" s="699"/>
      <c r="AV375" s="699"/>
      <c r="AW375" s="699"/>
      <c r="AX375" s="700"/>
      <c r="AY375" s="700"/>
      <c r="AZ375" s="701"/>
    </row>
    <row r="376" spans="1:52" ht="29.25" customHeight="1" thickBot="1">
      <c r="A376" s="67">
        <f t="shared" si="193"/>
        <v>44873</v>
      </c>
      <c r="B376" s="155"/>
      <c r="C376" s="155"/>
      <c r="D376" s="155"/>
      <c r="E376" s="155"/>
      <c r="F376" s="155"/>
      <c r="G376" s="155"/>
      <c r="H376" s="155"/>
      <c r="I376" s="155"/>
      <c r="J376" s="155"/>
      <c r="K376" s="155"/>
      <c r="L376" s="155"/>
      <c r="M376" s="155"/>
      <c r="N376" s="155"/>
      <c r="O376" s="155"/>
      <c r="P376" s="155"/>
      <c r="Q376" s="155"/>
      <c r="R376" s="156"/>
      <c r="S376" s="156"/>
      <c r="T376" s="833"/>
      <c r="U376" s="833"/>
      <c r="V376" s="833"/>
      <c r="W376" s="833"/>
      <c r="X376" s="833"/>
      <c r="Y376" s="255">
        <f t="shared" si="191"/>
        <v>0</v>
      </c>
      <c r="Z376" s="309">
        <f t="shared" si="192"/>
        <v>0</v>
      </c>
      <c r="AA376" s="256">
        <f t="shared" si="189"/>
        <v>0</v>
      </c>
      <c r="AB376" s="309"/>
      <c r="AC376" s="309"/>
      <c r="AD376" s="329">
        <f t="shared" si="190"/>
        <v>0</v>
      </c>
      <c r="AF376" s="11"/>
      <c r="AG376" s="579"/>
      <c r="AH376" s="64">
        <f t="shared" si="194"/>
        <v>43381</v>
      </c>
      <c r="AI376" s="698"/>
      <c r="AJ376" s="699"/>
      <c r="AK376" s="699"/>
      <c r="AL376" s="699"/>
      <c r="AM376" s="699"/>
      <c r="AN376" s="699"/>
      <c r="AO376" s="699"/>
      <c r="AP376" s="699"/>
      <c r="AQ376" s="699"/>
      <c r="AR376" s="699"/>
      <c r="AS376" s="699"/>
      <c r="AT376" s="699"/>
      <c r="AU376" s="699"/>
      <c r="AV376" s="699"/>
      <c r="AW376" s="699"/>
      <c r="AX376" s="700"/>
      <c r="AY376" s="700"/>
      <c r="AZ376" s="701"/>
    </row>
    <row r="377" spans="1:52" ht="29.25" customHeight="1" thickBot="1">
      <c r="A377" s="67">
        <f t="shared" si="193"/>
        <v>44874</v>
      </c>
      <c r="B377" s="155"/>
      <c r="C377" s="155"/>
      <c r="D377" s="155"/>
      <c r="E377" s="155"/>
      <c r="F377" s="155"/>
      <c r="G377" s="155"/>
      <c r="H377" s="155"/>
      <c r="I377" s="155"/>
      <c r="J377" s="155"/>
      <c r="K377" s="155"/>
      <c r="L377" s="155"/>
      <c r="M377" s="155"/>
      <c r="N377" s="155"/>
      <c r="O377" s="155"/>
      <c r="P377" s="155"/>
      <c r="Q377" s="155"/>
      <c r="R377" s="156"/>
      <c r="S377" s="156"/>
      <c r="T377" s="833"/>
      <c r="U377" s="833"/>
      <c r="V377" s="833"/>
      <c r="W377" s="833"/>
      <c r="X377" s="833"/>
      <c r="Y377" s="255">
        <f t="shared" si="191"/>
        <v>0</v>
      </c>
      <c r="Z377" s="309">
        <f t="shared" si="192"/>
        <v>0</v>
      </c>
      <c r="AA377" s="256">
        <f t="shared" si="189"/>
        <v>0</v>
      </c>
      <c r="AB377" s="309"/>
      <c r="AC377" s="309"/>
      <c r="AD377" s="329">
        <f t="shared" si="190"/>
        <v>0</v>
      </c>
      <c r="AF377" s="11"/>
      <c r="AG377" s="579"/>
      <c r="AH377" s="64">
        <f t="shared" si="194"/>
        <v>43382</v>
      </c>
      <c r="AI377" s="698"/>
      <c r="AJ377" s="699"/>
      <c r="AK377" s="699"/>
      <c r="AL377" s="699"/>
      <c r="AM377" s="699"/>
      <c r="AN377" s="699"/>
      <c r="AO377" s="699"/>
      <c r="AP377" s="699"/>
      <c r="AQ377" s="699"/>
      <c r="AR377" s="699"/>
      <c r="AS377" s="699"/>
      <c r="AT377" s="699"/>
      <c r="AU377" s="699"/>
      <c r="AV377" s="699"/>
      <c r="AW377" s="699"/>
      <c r="AX377" s="700"/>
      <c r="AY377" s="700"/>
      <c r="AZ377" s="701"/>
    </row>
    <row r="378" spans="1:52" ht="29.25" customHeight="1" thickBot="1">
      <c r="A378" s="67">
        <f t="shared" si="193"/>
        <v>44875</v>
      </c>
      <c r="B378" s="155"/>
      <c r="C378" s="155"/>
      <c r="D378" s="155"/>
      <c r="E378" s="155"/>
      <c r="F378" s="155"/>
      <c r="G378" s="155"/>
      <c r="H378" s="155"/>
      <c r="I378" s="155"/>
      <c r="J378" s="155"/>
      <c r="K378" s="155"/>
      <c r="L378" s="155"/>
      <c r="M378" s="155"/>
      <c r="N378" s="155"/>
      <c r="O378" s="155"/>
      <c r="P378" s="155"/>
      <c r="Q378" s="155"/>
      <c r="R378" s="156"/>
      <c r="S378" s="156"/>
      <c r="T378" s="833"/>
      <c r="U378" s="833"/>
      <c r="V378" s="833"/>
      <c r="W378" s="833"/>
      <c r="X378" s="833"/>
      <c r="Y378" s="255">
        <f t="shared" si="191"/>
        <v>0</v>
      </c>
      <c r="Z378" s="309">
        <f t="shared" si="192"/>
        <v>0</v>
      </c>
      <c r="AA378" s="256">
        <f t="shared" si="189"/>
        <v>0</v>
      </c>
      <c r="AB378" s="309"/>
      <c r="AC378" s="309"/>
      <c r="AD378" s="329">
        <f t="shared" si="190"/>
        <v>0</v>
      </c>
      <c r="AF378" s="11"/>
      <c r="AG378" s="579"/>
      <c r="AH378" s="64">
        <f t="shared" si="194"/>
        <v>43383</v>
      </c>
      <c r="AI378" s="698"/>
      <c r="AJ378" s="699"/>
      <c r="AK378" s="699"/>
      <c r="AL378" s="699"/>
      <c r="AM378" s="699"/>
      <c r="AN378" s="699"/>
      <c r="AO378" s="699"/>
      <c r="AP378" s="699"/>
      <c r="AQ378" s="699"/>
      <c r="AR378" s="699"/>
      <c r="AS378" s="699"/>
      <c r="AT378" s="699"/>
      <c r="AU378" s="699"/>
      <c r="AV378" s="699"/>
      <c r="AW378" s="699"/>
      <c r="AX378" s="700"/>
      <c r="AY378" s="700"/>
      <c r="AZ378" s="701"/>
    </row>
    <row r="379" spans="1:52" ht="29.25" customHeight="1" thickBot="1">
      <c r="A379" s="67">
        <f t="shared" si="193"/>
        <v>44876</v>
      </c>
      <c r="B379" s="155"/>
      <c r="C379" s="155"/>
      <c r="D379" s="155"/>
      <c r="E379" s="155"/>
      <c r="F379" s="155"/>
      <c r="G379" s="155"/>
      <c r="H379" s="155"/>
      <c r="I379" s="155"/>
      <c r="J379" s="155"/>
      <c r="K379" s="155"/>
      <c r="L379" s="155"/>
      <c r="M379" s="155"/>
      <c r="N379" s="155"/>
      <c r="O379" s="155"/>
      <c r="P379" s="155"/>
      <c r="Q379" s="155"/>
      <c r="R379" s="156"/>
      <c r="S379" s="156"/>
      <c r="T379" s="833"/>
      <c r="U379" s="833"/>
      <c r="V379" s="833"/>
      <c r="W379" s="833"/>
      <c r="X379" s="833"/>
      <c r="Y379" s="255">
        <f t="shared" si="191"/>
        <v>0</v>
      </c>
      <c r="Z379" s="309">
        <f t="shared" si="192"/>
        <v>0</v>
      </c>
      <c r="AA379" s="256">
        <f t="shared" si="189"/>
        <v>0</v>
      </c>
      <c r="AB379" s="309"/>
      <c r="AC379" s="309"/>
      <c r="AD379" s="329">
        <f t="shared" si="190"/>
        <v>0</v>
      </c>
      <c r="AF379" s="11"/>
      <c r="AG379" s="579"/>
      <c r="AH379" s="64">
        <f t="shared" si="194"/>
        <v>43384</v>
      </c>
      <c r="AI379" s="698"/>
      <c r="AJ379" s="699"/>
      <c r="AK379" s="699"/>
      <c r="AL379" s="699"/>
      <c r="AM379" s="699"/>
      <c r="AN379" s="699"/>
      <c r="AO379" s="699"/>
      <c r="AP379" s="699"/>
      <c r="AQ379" s="699"/>
      <c r="AR379" s="699"/>
      <c r="AS379" s="699"/>
      <c r="AT379" s="699"/>
      <c r="AU379" s="699"/>
      <c r="AV379" s="699"/>
      <c r="AW379" s="699"/>
      <c r="AX379" s="700"/>
      <c r="AY379" s="700"/>
      <c r="AZ379" s="701"/>
    </row>
    <row r="380" spans="1:52" ht="29.25" customHeight="1" thickBot="1">
      <c r="A380" s="67">
        <f t="shared" si="193"/>
        <v>44877</v>
      </c>
      <c r="B380" s="155"/>
      <c r="C380" s="155"/>
      <c r="D380" s="155"/>
      <c r="E380" s="155"/>
      <c r="F380" s="155"/>
      <c r="G380" s="155"/>
      <c r="H380" s="155"/>
      <c r="I380" s="155"/>
      <c r="J380" s="155"/>
      <c r="K380" s="155"/>
      <c r="L380" s="155"/>
      <c r="M380" s="155"/>
      <c r="N380" s="155"/>
      <c r="O380" s="155"/>
      <c r="P380" s="155"/>
      <c r="Q380" s="155"/>
      <c r="R380" s="156"/>
      <c r="S380" s="156"/>
      <c r="T380" s="833"/>
      <c r="U380" s="833"/>
      <c r="V380" s="833"/>
      <c r="W380" s="833"/>
      <c r="X380" s="833"/>
      <c r="Y380" s="255">
        <f t="shared" si="191"/>
        <v>0</v>
      </c>
      <c r="Z380" s="309">
        <f t="shared" si="192"/>
        <v>0</v>
      </c>
      <c r="AA380" s="256">
        <f t="shared" si="189"/>
        <v>0</v>
      </c>
      <c r="AB380" s="309"/>
      <c r="AC380" s="309"/>
      <c r="AD380" s="329">
        <f t="shared" si="190"/>
        <v>0</v>
      </c>
      <c r="AF380" s="11"/>
      <c r="AG380" s="579"/>
      <c r="AH380" s="64">
        <f t="shared" si="194"/>
        <v>43385</v>
      </c>
      <c r="AI380" s="698"/>
      <c r="AJ380" s="699"/>
      <c r="AK380" s="699"/>
      <c r="AL380" s="699"/>
      <c r="AM380" s="699"/>
      <c r="AN380" s="699"/>
      <c r="AO380" s="699"/>
      <c r="AP380" s="699"/>
      <c r="AQ380" s="699"/>
      <c r="AR380" s="699"/>
      <c r="AS380" s="699"/>
      <c r="AT380" s="699"/>
      <c r="AU380" s="699"/>
      <c r="AV380" s="699"/>
      <c r="AW380" s="699"/>
      <c r="AX380" s="700"/>
      <c r="AY380" s="700"/>
      <c r="AZ380" s="701"/>
    </row>
    <row r="381" spans="1:52" ht="29.25" customHeight="1" thickBot="1">
      <c r="A381" s="67">
        <f t="shared" si="193"/>
        <v>44878</v>
      </c>
      <c r="B381" s="155"/>
      <c r="C381" s="155"/>
      <c r="D381" s="155"/>
      <c r="E381" s="155"/>
      <c r="F381" s="155"/>
      <c r="G381" s="155"/>
      <c r="H381" s="155"/>
      <c r="I381" s="155"/>
      <c r="J381" s="155"/>
      <c r="K381" s="155"/>
      <c r="L381" s="155"/>
      <c r="M381" s="155"/>
      <c r="N381" s="155"/>
      <c r="O381" s="155"/>
      <c r="P381" s="155"/>
      <c r="Q381" s="155"/>
      <c r="R381" s="156"/>
      <c r="S381" s="156"/>
      <c r="T381" s="833"/>
      <c r="U381" s="833"/>
      <c r="V381" s="833"/>
      <c r="W381" s="833"/>
      <c r="X381" s="833"/>
      <c r="Y381" s="255">
        <f t="shared" si="191"/>
        <v>0</v>
      </c>
      <c r="Z381" s="309">
        <f t="shared" si="192"/>
        <v>0</v>
      </c>
      <c r="AA381" s="256">
        <f t="shared" si="189"/>
        <v>0</v>
      </c>
      <c r="AB381" s="309"/>
      <c r="AC381" s="309"/>
      <c r="AD381" s="329">
        <f t="shared" si="190"/>
        <v>0</v>
      </c>
      <c r="AF381" s="11"/>
      <c r="AG381" s="579"/>
      <c r="AH381" s="64">
        <f t="shared" si="194"/>
        <v>43386</v>
      </c>
      <c r="AI381" s="698"/>
      <c r="AJ381" s="699"/>
      <c r="AK381" s="699"/>
      <c r="AL381" s="699"/>
      <c r="AM381" s="699"/>
      <c r="AN381" s="699"/>
      <c r="AO381" s="699"/>
      <c r="AP381" s="699"/>
      <c r="AQ381" s="699"/>
      <c r="AR381" s="699"/>
      <c r="AS381" s="699"/>
      <c r="AT381" s="699"/>
      <c r="AU381" s="699"/>
      <c r="AV381" s="699"/>
      <c r="AW381" s="699"/>
      <c r="AX381" s="700"/>
      <c r="AY381" s="700"/>
      <c r="AZ381" s="701"/>
    </row>
    <row r="382" spans="1:52" ht="29.25" customHeight="1" thickBot="1">
      <c r="A382" s="67">
        <f t="shared" si="193"/>
        <v>44879</v>
      </c>
      <c r="B382" s="155"/>
      <c r="C382" s="155"/>
      <c r="D382" s="155"/>
      <c r="E382" s="155"/>
      <c r="F382" s="155"/>
      <c r="G382" s="155"/>
      <c r="H382" s="155"/>
      <c r="I382" s="155"/>
      <c r="J382" s="155"/>
      <c r="K382" s="155"/>
      <c r="L382" s="155"/>
      <c r="M382" s="155"/>
      <c r="N382" s="155"/>
      <c r="O382" s="155"/>
      <c r="P382" s="155"/>
      <c r="Q382" s="155"/>
      <c r="R382" s="156"/>
      <c r="S382" s="156"/>
      <c r="T382" s="833"/>
      <c r="U382" s="833"/>
      <c r="V382" s="833"/>
      <c r="W382" s="833"/>
      <c r="X382" s="833"/>
      <c r="Y382" s="255">
        <f t="shared" si="191"/>
        <v>0</v>
      </c>
      <c r="Z382" s="309">
        <f t="shared" si="192"/>
        <v>0</v>
      </c>
      <c r="AA382" s="256">
        <f t="shared" si="189"/>
        <v>0</v>
      </c>
      <c r="AB382" s="309"/>
      <c r="AC382" s="309"/>
      <c r="AD382" s="329">
        <f t="shared" si="190"/>
        <v>0</v>
      </c>
      <c r="AF382" s="11"/>
      <c r="AG382" s="579"/>
      <c r="AH382" s="64">
        <f t="shared" si="194"/>
        <v>43387</v>
      </c>
      <c r="AI382" s="698"/>
      <c r="AJ382" s="699"/>
      <c r="AK382" s="699"/>
      <c r="AL382" s="699"/>
      <c r="AM382" s="699"/>
      <c r="AN382" s="699"/>
      <c r="AO382" s="699"/>
      <c r="AP382" s="699"/>
      <c r="AQ382" s="699"/>
      <c r="AR382" s="699"/>
      <c r="AS382" s="699"/>
      <c r="AT382" s="699"/>
      <c r="AU382" s="699"/>
      <c r="AV382" s="699"/>
      <c r="AW382" s="699"/>
      <c r="AX382" s="700"/>
      <c r="AY382" s="700"/>
      <c r="AZ382" s="701"/>
    </row>
    <row r="383" spans="1:52" ht="29.25" customHeight="1" thickBot="1">
      <c r="A383" s="67">
        <f t="shared" si="193"/>
        <v>44880</v>
      </c>
      <c r="B383" s="155"/>
      <c r="C383" s="155"/>
      <c r="D383" s="155"/>
      <c r="E383" s="155"/>
      <c r="F383" s="155"/>
      <c r="G383" s="155"/>
      <c r="H383" s="155"/>
      <c r="I383" s="155"/>
      <c r="J383" s="155"/>
      <c r="K383" s="155"/>
      <c r="L383" s="155"/>
      <c r="M383" s="155"/>
      <c r="N383" s="155"/>
      <c r="O383" s="155"/>
      <c r="P383" s="155"/>
      <c r="Q383" s="155"/>
      <c r="R383" s="156"/>
      <c r="S383" s="156"/>
      <c r="T383" s="833"/>
      <c r="U383" s="833"/>
      <c r="V383" s="833"/>
      <c r="W383" s="833"/>
      <c r="X383" s="833"/>
      <c r="Y383" s="255">
        <f t="shared" si="191"/>
        <v>0</v>
      </c>
      <c r="Z383" s="309">
        <f t="shared" si="192"/>
        <v>0</v>
      </c>
      <c r="AA383" s="256">
        <f t="shared" si="189"/>
        <v>0</v>
      </c>
      <c r="AB383" s="309"/>
      <c r="AC383" s="309"/>
      <c r="AD383" s="329">
        <f t="shared" si="190"/>
        <v>0</v>
      </c>
      <c r="AF383" s="11"/>
      <c r="AG383" s="579"/>
      <c r="AH383" s="64">
        <f t="shared" si="194"/>
        <v>43388</v>
      </c>
      <c r="AI383" s="698"/>
      <c r="AJ383" s="699"/>
      <c r="AK383" s="699"/>
      <c r="AL383" s="699"/>
      <c r="AM383" s="699"/>
      <c r="AN383" s="699"/>
      <c r="AO383" s="699"/>
      <c r="AP383" s="699"/>
      <c r="AQ383" s="699"/>
      <c r="AR383" s="699"/>
      <c r="AS383" s="699"/>
      <c r="AT383" s="699"/>
      <c r="AU383" s="699"/>
      <c r="AV383" s="699"/>
      <c r="AW383" s="699"/>
      <c r="AX383" s="700"/>
      <c r="AY383" s="700"/>
      <c r="AZ383" s="701"/>
    </row>
    <row r="384" spans="1:52" ht="29.25" customHeight="1" thickBot="1">
      <c r="A384" s="67">
        <f t="shared" si="193"/>
        <v>44881</v>
      </c>
      <c r="B384" s="155"/>
      <c r="C384" s="155"/>
      <c r="D384" s="155"/>
      <c r="E384" s="155"/>
      <c r="F384" s="155"/>
      <c r="G384" s="155"/>
      <c r="H384" s="155"/>
      <c r="I384" s="155"/>
      <c r="J384" s="155"/>
      <c r="K384" s="155"/>
      <c r="L384" s="155"/>
      <c r="M384" s="155"/>
      <c r="N384" s="155"/>
      <c r="O384" s="155"/>
      <c r="P384" s="155"/>
      <c r="Q384" s="155"/>
      <c r="R384" s="156"/>
      <c r="S384" s="156"/>
      <c r="T384" s="833"/>
      <c r="U384" s="833"/>
      <c r="V384" s="833"/>
      <c r="W384" s="833"/>
      <c r="X384" s="833"/>
      <c r="Y384" s="255">
        <f t="shared" si="191"/>
        <v>0</v>
      </c>
      <c r="Z384" s="309">
        <f t="shared" si="192"/>
        <v>0</v>
      </c>
      <c r="AA384" s="256">
        <f t="shared" si="189"/>
        <v>0</v>
      </c>
      <c r="AB384" s="309"/>
      <c r="AC384" s="309"/>
      <c r="AD384" s="329">
        <f t="shared" si="190"/>
        <v>0</v>
      </c>
      <c r="AF384" s="11"/>
      <c r="AG384" s="579"/>
      <c r="AH384" s="64">
        <f t="shared" si="194"/>
        <v>43389</v>
      </c>
      <c r="AI384" s="698"/>
      <c r="AJ384" s="699"/>
      <c r="AK384" s="699"/>
      <c r="AL384" s="699"/>
      <c r="AM384" s="699"/>
      <c r="AN384" s="699"/>
      <c r="AO384" s="699"/>
      <c r="AP384" s="699"/>
      <c r="AQ384" s="699"/>
      <c r="AR384" s="699"/>
      <c r="AS384" s="699"/>
      <c r="AT384" s="699"/>
      <c r="AU384" s="699"/>
      <c r="AV384" s="699"/>
      <c r="AW384" s="699"/>
      <c r="AX384" s="700"/>
      <c r="AY384" s="700"/>
      <c r="AZ384" s="701"/>
    </row>
    <row r="385" spans="1:52" ht="29.25" customHeight="1" thickBot="1">
      <c r="A385" s="67">
        <f t="shared" si="193"/>
        <v>44882</v>
      </c>
      <c r="B385" s="155"/>
      <c r="C385" s="155"/>
      <c r="D385" s="155"/>
      <c r="E385" s="155"/>
      <c r="F385" s="155"/>
      <c r="G385" s="155"/>
      <c r="H385" s="155"/>
      <c r="I385" s="155"/>
      <c r="J385" s="155"/>
      <c r="K385" s="155"/>
      <c r="L385" s="155"/>
      <c r="M385" s="155"/>
      <c r="N385" s="155"/>
      <c r="O385" s="155"/>
      <c r="P385" s="155"/>
      <c r="Q385" s="155"/>
      <c r="R385" s="156"/>
      <c r="S385" s="156"/>
      <c r="T385" s="833"/>
      <c r="U385" s="833"/>
      <c r="V385" s="833"/>
      <c r="W385" s="833"/>
      <c r="X385" s="833"/>
      <c r="Y385" s="255">
        <f t="shared" si="191"/>
        <v>0</v>
      </c>
      <c r="Z385" s="309">
        <f t="shared" si="192"/>
        <v>0</v>
      </c>
      <c r="AA385" s="256">
        <f t="shared" si="189"/>
        <v>0</v>
      </c>
      <c r="AB385" s="309"/>
      <c r="AC385" s="309"/>
      <c r="AD385" s="329">
        <f t="shared" si="190"/>
        <v>0</v>
      </c>
      <c r="AF385" s="11" t="s">
        <v>1</v>
      </c>
      <c r="AG385" s="579"/>
      <c r="AH385" s="64">
        <f t="shared" si="194"/>
        <v>43390</v>
      </c>
      <c r="AI385" s="698"/>
      <c r="AJ385" s="699"/>
      <c r="AK385" s="699"/>
      <c r="AL385" s="699"/>
      <c r="AM385" s="699"/>
      <c r="AN385" s="699"/>
      <c r="AO385" s="699"/>
      <c r="AP385" s="699"/>
      <c r="AQ385" s="699"/>
      <c r="AR385" s="699"/>
      <c r="AS385" s="699"/>
      <c r="AT385" s="699"/>
      <c r="AU385" s="699"/>
      <c r="AV385" s="699"/>
      <c r="AW385" s="699"/>
      <c r="AX385" s="700"/>
      <c r="AY385" s="700"/>
      <c r="AZ385" s="701"/>
    </row>
    <row r="386" spans="1:52" ht="29.25" customHeight="1" thickBot="1">
      <c r="A386" s="67">
        <f t="shared" si="193"/>
        <v>44883</v>
      </c>
      <c r="B386" s="155"/>
      <c r="C386" s="155"/>
      <c r="D386" s="155"/>
      <c r="E386" s="155"/>
      <c r="F386" s="155"/>
      <c r="G386" s="155"/>
      <c r="H386" s="155"/>
      <c r="I386" s="155"/>
      <c r="J386" s="155"/>
      <c r="K386" s="155"/>
      <c r="L386" s="155"/>
      <c r="M386" s="155"/>
      <c r="N386" s="155"/>
      <c r="O386" s="155"/>
      <c r="P386" s="155"/>
      <c r="Q386" s="155"/>
      <c r="R386" s="156"/>
      <c r="S386" s="156"/>
      <c r="T386" s="833"/>
      <c r="U386" s="833"/>
      <c r="V386" s="833"/>
      <c r="W386" s="833"/>
      <c r="X386" s="833"/>
      <c r="Y386" s="255">
        <f t="shared" si="191"/>
        <v>0</v>
      </c>
      <c r="Z386" s="309">
        <f t="shared" si="192"/>
        <v>0</v>
      </c>
      <c r="AA386" s="256">
        <f t="shared" si="189"/>
        <v>0</v>
      </c>
      <c r="AB386" s="309"/>
      <c r="AC386" s="309"/>
      <c r="AD386" s="329">
        <f t="shared" si="190"/>
        <v>0</v>
      </c>
      <c r="AF386" s="11"/>
      <c r="AG386" s="579"/>
      <c r="AH386" s="64">
        <f t="shared" si="194"/>
        <v>43391</v>
      </c>
      <c r="AI386" s="698"/>
      <c r="AJ386" s="699"/>
      <c r="AK386" s="699"/>
      <c r="AL386" s="699"/>
      <c r="AM386" s="699"/>
      <c r="AN386" s="699"/>
      <c r="AO386" s="699"/>
      <c r="AP386" s="699"/>
      <c r="AQ386" s="699"/>
      <c r="AR386" s="699"/>
      <c r="AS386" s="699"/>
      <c r="AT386" s="699"/>
      <c r="AU386" s="699"/>
      <c r="AV386" s="699"/>
      <c r="AW386" s="699"/>
      <c r="AX386" s="700"/>
      <c r="AY386" s="700"/>
      <c r="AZ386" s="701"/>
    </row>
    <row r="387" spans="1:52" ht="29.25" customHeight="1" thickBot="1">
      <c r="A387" s="67">
        <f t="shared" si="193"/>
        <v>44884</v>
      </c>
      <c r="B387" s="155"/>
      <c r="C387" s="155"/>
      <c r="D387" s="155"/>
      <c r="E387" s="155"/>
      <c r="F387" s="155"/>
      <c r="G387" s="155"/>
      <c r="H387" s="155"/>
      <c r="I387" s="155"/>
      <c r="J387" s="155"/>
      <c r="K387" s="155"/>
      <c r="L387" s="155"/>
      <c r="M387" s="155"/>
      <c r="N387" s="155"/>
      <c r="O387" s="155"/>
      <c r="P387" s="155"/>
      <c r="Q387" s="155"/>
      <c r="R387" s="156"/>
      <c r="S387" s="156"/>
      <c r="T387" s="833"/>
      <c r="U387" s="833"/>
      <c r="V387" s="833"/>
      <c r="W387" s="833"/>
      <c r="X387" s="833"/>
      <c r="Y387" s="255">
        <f t="shared" si="191"/>
        <v>0</v>
      </c>
      <c r="Z387" s="309">
        <f t="shared" si="192"/>
        <v>0</v>
      </c>
      <c r="AA387" s="256">
        <f t="shared" si="189"/>
        <v>0</v>
      </c>
      <c r="AB387" s="309"/>
      <c r="AC387" s="309"/>
      <c r="AD387" s="329">
        <f t="shared" si="190"/>
        <v>0</v>
      </c>
      <c r="AF387" s="11"/>
      <c r="AG387" s="579"/>
      <c r="AH387" s="64">
        <f t="shared" si="194"/>
        <v>43392</v>
      </c>
      <c r="AI387" s="698"/>
      <c r="AJ387" s="699"/>
      <c r="AK387" s="699"/>
      <c r="AL387" s="699"/>
      <c r="AM387" s="699"/>
      <c r="AN387" s="699"/>
      <c r="AO387" s="699"/>
      <c r="AP387" s="699"/>
      <c r="AQ387" s="699"/>
      <c r="AR387" s="699"/>
      <c r="AS387" s="699"/>
      <c r="AT387" s="699"/>
      <c r="AU387" s="699"/>
      <c r="AV387" s="699"/>
      <c r="AW387" s="699"/>
      <c r="AX387" s="700"/>
      <c r="AY387" s="700"/>
      <c r="AZ387" s="701"/>
    </row>
    <row r="388" spans="1:52" ht="29.25" customHeight="1" thickBot="1">
      <c r="A388" s="67">
        <f t="shared" si="193"/>
        <v>44885</v>
      </c>
      <c r="B388" s="155"/>
      <c r="C388" s="155"/>
      <c r="D388" s="155"/>
      <c r="E388" s="155"/>
      <c r="F388" s="155"/>
      <c r="G388" s="155"/>
      <c r="H388" s="155"/>
      <c r="I388" s="155"/>
      <c r="J388" s="155"/>
      <c r="K388" s="155"/>
      <c r="L388" s="155"/>
      <c r="M388" s="155"/>
      <c r="N388" s="155"/>
      <c r="O388" s="155"/>
      <c r="P388" s="155"/>
      <c r="Q388" s="155"/>
      <c r="R388" s="156"/>
      <c r="S388" s="156"/>
      <c r="T388" s="833"/>
      <c r="U388" s="833"/>
      <c r="V388" s="833"/>
      <c r="W388" s="833"/>
      <c r="X388" s="833"/>
      <c r="Y388" s="255">
        <f t="shared" si="191"/>
        <v>0</v>
      </c>
      <c r="Z388" s="309">
        <f t="shared" si="192"/>
        <v>0</v>
      </c>
      <c r="AA388" s="256">
        <f t="shared" si="189"/>
        <v>0</v>
      </c>
      <c r="AB388" s="309"/>
      <c r="AC388" s="309"/>
      <c r="AD388" s="329">
        <f t="shared" si="190"/>
        <v>0</v>
      </c>
      <c r="AF388" s="11"/>
      <c r="AG388" s="579"/>
      <c r="AH388" s="64">
        <f t="shared" si="194"/>
        <v>43393</v>
      </c>
      <c r="AI388" s="698"/>
      <c r="AJ388" s="699"/>
      <c r="AK388" s="699"/>
      <c r="AL388" s="699"/>
      <c r="AM388" s="699"/>
      <c r="AN388" s="699"/>
      <c r="AO388" s="699"/>
      <c r="AP388" s="699"/>
      <c r="AQ388" s="699"/>
      <c r="AR388" s="699"/>
      <c r="AS388" s="699"/>
      <c r="AT388" s="699"/>
      <c r="AU388" s="699"/>
      <c r="AV388" s="699"/>
      <c r="AW388" s="699"/>
      <c r="AX388" s="700"/>
      <c r="AY388" s="700"/>
      <c r="AZ388" s="701"/>
    </row>
    <row r="389" spans="1:52" ht="29.25" customHeight="1" thickBot="1">
      <c r="A389" s="67">
        <f t="shared" si="193"/>
        <v>44886</v>
      </c>
      <c r="B389" s="155"/>
      <c r="C389" s="155"/>
      <c r="D389" s="155"/>
      <c r="E389" s="155"/>
      <c r="F389" s="155"/>
      <c r="G389" s="155"/>
      <c r="H389" s="155"/>
      <c r="I389" s="155"/>
      <c r="J389" s="155"/>
      <c r="K389" s="155"/>
      <c r="L389" s="155"/>
      <c r="M389" s="155"/>
      <c r="N389" s="155"/>
      <c r="O389" s="155"/>
      <c r="P389" s="155"/>
      <c r="Q389" s="155"/>
      <c r="R389" s="156"/>
      <c r="S389" s="156"/>
      <c r="T389" s="833"/>
      <c r="U389" s="833"/>
      <c r="V389" s="833"/>
      <c r="W389" s="833"/>
      <c r="X389" s="833"/>
      <c r="Y389" s="255">
        <f t="shared" si="191"/>
        <v>0</v>
      </c>
      <c r="Z389" s="309">
        <f t="shared" si="192"/>
        <v>0</v>
      </c>
      <c r="AA389" s="256">
        <f t="shared" si="189"/>
        <v>0</v>
      </c>
      <c r="AB389" s="309"/>
      <c r="AC389" s="309"/>
      <c r="AD389" s="329">
        <f t="shared" si="190"/>
        <v>0</v>
      </c>
      <c r="AF389" s="11"/>
      <c r="AG389" s="579"/>
      <c r="AH389" s="64">
        <f t="shared" si="194"/>
        <v>43394</v>
      </c>
      <c r="AI389" s="698"/>
      <c r="AJ389" s="699"/>
      <c r="AK389" s="699"/>
      <c r="AL389" s="699"/>
      <c r="AM389" s="699"/>
      <c r="AN389" s="699"/>
      <c r="AO389" s="699"/>
      <c r="AP389" s="699"/>
      <c r="AQ389" s="699"/>
      <c r="AR389" s="699"/>
      <c r="AS389" s="699"/>
      <c r="AT389" s="699"/>
      <c r="AU389" s="699"/>
      <c r="AV389" s="699"/>
      <c r="AW389" s="699"/>
      <c r="AX389" s="700"/>
      <c r="AY389" s="700"/>
      <c r="AZ389" s="701"/>
    </row>
    <row r="390" spans="1:52" ht="29.25" customHeight="1" thickBot="1">
      <c r="A390" s="67">
        <f t="shared" si="193"/>
        <v>44887</v>
      </c>
      <c r="B390" s="155"/>
      <c r="C390" s="155"/>
      <c r="D390" s="155"/>
      <c r="E390" s="155"/>
      <c r="F390" s="155"/>
      <c r="G390" s="155"/>
      <c r="H390" s="155"/>
      <c r="I390" s="155"/>
      <c r="J390" s="155"/>
      <c r="K390" s="155"/>
      <c r="L390" s="155"/>
      <c r="M390" s="155"/>
      <c r="N390" s="155"/>
      <c r="O390" s="155"/>
      <c r="P390" s="155"/>
      <c r="Q390" s="155"/>
      <c r="R390" s="156"/>
      <c r="S390" s="156"/>
      <c r="T390" s="833"/>
      <c r="U390" s="833"/>
      <c r="V390" s="833"/>
      <c r="W390" s="833"/>
      <c r="X390" s="833"/>
      <c r="Y390" s="255">
        <f t="shared" si="191"/>
        <v>0</v>
      </c>
      <c r="Z390" s="309">
        <f t="shared" si="192"/>
        <v>0</v>
      </c>
      <c r="AA390" s="256">
        <f t="shared" si="189"/>
        <v>0</v>
      </c>
      <c r="AB390" s="309"/>
      <c r="AC390" s="309"/>
      <c r="AD390" s="329">
        <f t="shared" si="190"/>
        <v>0</v>
      </c>
      <c r="AF390" s="11"/>
      <c r="AG390" s="579"/>
      <c r="AH390" s="64">
        <f t="shared" si="194"/>
        <v>43395</v>
      </c>
      <c r="AI390" s="698"/>
      <c r="AJ390" s="699"/>
      <c r="AK390" s="699"/>
      <c r="AL390" s="699"/>
      <c r="AM390" s="699"/>
      <c r="AN390" s="699"/>
      <c r="AO390" s="699"/>
      <c r="AP390" s="699"/>
      <c r="AQ390" s="699"/>
      <c r="AR390" s="699"/>
      <c r="AS390" s="699"/>
      <c r="AT390" s="699"/>
      <c r="AU390" s="699"/>
      <c r="AV390" s="699"/>
      <c r="AW390" s="699"/>
      <c r="AX390" s="700"/>
      <c r="AY390" s="700"/>
      <c r="AZ390" s="701"/>
    </row>
    <row r="391" spans="1:52" ht="29.25" customHeight="1" thickBot="1">
      <c r="A391" s="67">
        <f t="shared" si="193"/>
        <v>44888</v>
      </c>
      <c r="B391" s="155"/>
      <c r="C391" s="155"/>
      <c r="D391" s="155"/>
      <c r="E391" s="155"/>
      <c r="F391" s="155"/>
      <c r="G391" s="155"/>
      <c r="H391" s="155"/>
      <c r="I391" s="155"/>
      <c r="J391" s="155"/>
      <c r="K391" s="155"/>
      <c r="L391" s="155"/>
      <c r="M391" s="155"/>
      <c r="N391" s="155"/>
      <c r="O391" s="155"/>
      <c r="P391" s="155"/>
      <c r="Q391" s="155"/>
      <c r="R391" s="156"/>
      <c r="S391" s="156"/>
      <c r="T391" s="833"/>
      <c r="U391" s="833"/>
      <c r="V391" s="833"/>
      <c r="W391" s="833"/>
      <c r="X391" s="833"/>
      <c r="Y391" s="255">
        <f t="shared" si="191"/>
        <v>0</v>
      </c>
      <c r="Z391" s="309">
        <f t="shared" si="192"/>
        <v>0</v>
      </c>
      <c r="AA391" s="256">
        <f t="shared" si="189"/>
        <v>0</v>
      </c>
      <c r="AB391" s="309"/>
      <c r="AC391" s="309"/>
      <c r="AD391" s="329">
        <f t="shared" si="190"/>
        <v>0</v>
      </c>
      <c r="AF391" s="11"/>
      <c r="AG391" s="579"/>
      <c r="AH391" s="64">
        <f t="shared" si="194"/>
        <v>43396</v>
      </c>
      <c r="AI391" s="698"/>
      <c r="AJ391" s="699"/>
      <c r="AK391" s="699"/>
      <c r="AL391" s="699"/>
      <c r="AM391" s="699"/>
      <c r="AN391" s="699"/>
      <c r="AO391" s="699"/>
      <c r="AP391" s="699"/>
      <c r="AQ391" s="699"/>
      <c r="AR391" s="699"/>
      <c r="AS391" s="699"/>
      <c r="AT391" s="699"/>
      <c r="AU391" s="699"/>
      <c r="AV391" s="699"/>
      <c r="AW391" s="699"/>
      <c r="AX391" s="700"/>
      <c r="AY391" s="700"/>
      <c r="AZ391" s="701"/>
    </row>
    <row r="392" spans="1:52" ht="29.25" customHeight="1" thickBot="1">
      <c r="A392" s="67">
        <f t="shared" si="193"/>
        <v>44889</v>
      </c>
      <c r="B392" s="155"/>
      <c r="C392" s="155"/>
      <c r="D392" s="155"/>
      <c r="E392" s="155"/>
      <c r="F392" s="155"/>
      <c r="G392" s="155"/>
      <c r="H392" s="155"/>
      <c r="I392" s="155"/>
      <c r="J392" s="155"/>
      <c r="K392" s="155"/>
      <c r="L392" s="155"/>
      <c r="M392" s="155"/>
      <c r="N392" s="155"/>
      <c r="O392" s="155"/>
      <c r="P392" s="155"/>
      <c r="Q392" s="155"/>
      <c r="R392" s="156"/>
      <c r="S392" s="156"/>
      <c r="T392" s="833"/>
      <c r="U392" s="833"/>
      <c r="V392" s="833"/>
      <c r="W392" s="833"/>
      <c r="X392" s="833"/>
      <c r="Y392" s="255">
        <f t="shared" si="191"/>
        <v>0</v>
      </c>
      <c r="Z392" s="309">
        <f t="shared" si="192"/>
        <v>0</v>
      </c>
      <c r="AA392" s="256">
        <f t="shared" si="189"/>
        <v>0</v>
      </c>
      <c r="AB392" s="309"/>
      <c r="AC392" s="309"/>
      <c r="AD392" s="329">
        <f t="shared" si="190"/>
        <v>0</v>
      </c>
      <c r="AF392" s="11"/>
      <c r="AG392" s="579"/>
      <c r="AH392" s="64">
        <f t="shared" si="194"/>
        <v>43397</v>
      </c>
      <c r="AI392" s="698"/>
      <c r="AJ392" s="699"/>
      <c r="AK392" s="699"/>
      <c r="AL392" s="699"/>
      <c r="AM392" s="699"/>
      <c r="AN392" s="699"/>
      <c r="AO392" s="699"/>
      <c r="AP392" s="699"/>
      <c r="AQ392" s="699"/>
      <c r="AR392" s="699"/>
      <c r="AS392" s="699"/>
      <c r="AT392" s="699"/>
      <c r="AU392" s="699"/>
      <c r="AV392" s="699"/>
      <c r="AW392" s="699"/>
      <c r="AX392" s="700"/>
      <c r="AY392" s="700"/>
      <c r="AZ392" s="701"/>
    </row>
    <row r="393" spans="1:52" ht="29.25" customHeight="1" thickBot="1">
      <c r="A393" s="67">
        <f t="shared" si="193"/>
        <v>44890</v>
      </c>
      <c r="B393" s="155"/>
      <c r="C393" s="155"/>
      <c r="D393" s="155"/>
      <c r="E393" s="155"/>
      <c r="F393" s="155"/>
      <c r="G393" s="155"/>
      <c r="H393" s="155"/>
      <c r="I393" s="155"/>
      <c r="J393" s="155"/>
      <c r="K393" s="155"/>
      <c r="L393" s="155"/>
      <c r="M393" s="155"/>
      <c r="N393" s="155"/>
      <c r="O393" s="155"/>
      <c r="P393" s="155"/>
      <c r="Q393" s="155"/>
      <c r="R393" s="156"/>
      <c r="S393" s="156"/>
      <c r="T393" s="833"/>
      <c r="U393" s="833"/>
      <c r="V393" s="833"/>
      <c r="W393" s="833"/>
      <c r="X393" s="833"/>
      <c r="Y393" s="255">
        <f t="shared" si="191"/>
        <v>0</v>
      </c>
      <c r="Z393" s="309">
        <f t="shared" si="192"/>
        <v>0</v>
      </c>
      <c r="AA393" s="256">
        <f t="shared" si="189"/>
        <v>0</v>
      </c>
      <c r="AB393" s="309"/>
      <c r="AC393" s="309"/>
      <c r="AD393" s="329">
        <f t="shared" si="190"/>
        <v>0</v>
      </c>
      <c r="AF393" s="11"/>
      <c r="AG393" s="579"/>
      <c r="AH393" s="64">
        <f t="shared" si="194"/>
        <v>43398</v>
      </c>
      <c r="AI393" s="698"/>
      <c r="AJ393" s="699"/>
      <c r="AK393" s="699"/>
      <c r="AL393" s="699"/>
      <c r="AM393" s="699"/>
      <c r="AN393" s="699"/>
      <c r="AO393" s="699"/>
      <c r="AP393" s="699"/>
      <c r="AQ393" s="699"/>
      <c r="AR393" s="699"/>
      <c r="AS393" s="699"/>
      <c r="AT393" s="699"/>
      <c r="AU393" s="699"/>
      <c r="AV393" s="699"/>
      <c r="AW393" s="699"/>
      <c r="AX393" s="700"/>
      <c r="AY393" s="700"/>
      <c r="AZ393" s="701"/>
    </row>
    <row r="394" spans="1:52" ht="29.25" customHeight="1" thickBot="1">
      <c r="A394" s="67">
        <f t="shared" si="193"/>
        <v>44891</v>
      </c>
      <c r="B394" s="155"/>
      <c r="C394" s="155"/>
      <c r="D394" s="155"/>
      <c r="E394" s="155"/>
      <c r="F394" s="155"/>
      <c r="G394" s="155"/>
      <c r="H394" s="155"/>
      <c r="I394" s="155"/>
      <c r="J394" s="155"/>
      <c r="K394" s="155"/>
      <c r="L394" s="155"/>
      <c r="M394" s="155"/>
      <c r="N394" s="155"/>
      <c r="O394" s="155"/>
      <c r="P394" s="155"/>
      <c r="Q394" s="155"/>
      <c r="R394" s="156"/>
      <c r="S394" s="156"/>
      <c r="T394" s="833"/>
      <c r="U394" s="833"/>
      <c r="V394" s="833"/>
      <c r="W394" s="833"/>
      <c r="X394" s="833"/>
      <c r="Y394" s="255">
        <f t="shared" si="191"/>
        <v>0</v>
      </c>
      <c r="Z394" s="309">
        <f t="shared" si="192"/>
        <v>0</v>
      </c>
      <c r="AA394" s="256">
        <f t="shared" si="189"/>
        <v>0</v>
      </c>
      <c r="AB394" s="309"/>
      <c r="AC394" s="309"/>
      <c r="AD394" s="329">
        <f t="shared" si="190"/>
        <v>0</v>
      </c>
      <c r="AF394" s="11"/>
      <c r="AG394" s="579"/>
      <c r="AH394" s="64">
        <f t="shared" si="194"/>
        <v>43399</v>
      </c>
      <c r="AI394" s="698"/>
      <c r="AJ394" s="699"/>
      <c r="AK394" s="699"/>
      <c r="AL394" s="699"/>
      <c r="AM394" s="699"/>
      <c r="AN394" s="699"/>
      <c r="AO394" s="699"/>
      <c r="AP394" s="699"/>
      <c r="AQ394" s="699"/>
      <c r="AR394" s="699"/>
      <c r="AS394" s="699"/>
      <c r="AT394" s="699"/>
      <c r="AU394" s="699"/>
      <c r="AV394" s="699"/>
      <c r="AW394" s="699"/>
      <c r="AX394" s="700"/>
      <c r="AY394" s="700"/>
      <c r="AZ394" s="701"/>
    </row>
    <row r="395" spans="1:52" ht="29.25" customHeight="1" thickBot="1">
      <c r="A395" s="67">
        <f t="shared" si="193"/>
        <v>44892</v>
      </c>
      <c r="B395" s="155"/>
      <c r="C395" s="155"/>
      <c r="D395" s="155"/>
      <c r="E395" s="155"/>
      <c r="F395" s="155"/>
      <c r="G395" s="155"/>
      <c r="H395" s="155"/>
      <c r="I395" s="155"/>
      <c r="J395" s="155"/>
      <c r="K395" s="155"/>
      <c r="L395" s="155"/>
      <c r="M395" s="155"/>
      <c r="N395" s="155"/>
      <c r="O395" s="155"/>
      <c r="P395" s="155"/>
      <c r="Q395" s="155"/>
      <c r="R395" s="156"/>
      <c r="S395" s="156"/>
      <c r="T395" s="833"/>
      <c r="U395" s="833"/>
      <c r="V395" s="833"/>
      <c r="W395" s="833"/>
      <c r="X395" s="833"/>
      <c r="Y395" s="255">
        <f t="shared" si="191"/>
        <v>0</v>
      </c>
      <c r="Z395" s="309">
        <f t="shared" si="192"/>
        <v>0</v>
      </c>
      <c r="AA395" s="256">
        <f t="shared" si="189"/>
        <v>0</v>
      </c>
      <c r="AB395" s="309"/>
      <c r="AC395" s="309"/>
      <c r="AD395" s="329">
        <f t="shared" si="190"/>
        <v>0</v>
      </c>
      <c r="AF395" s="11"/>
      <c r="AG395" s="579"/>
      <c r="AH395" s="64">
        <f t="shared" si="194"/>
        <v>43400</v>
      </c>
      <c r="AI395" s="698"/>
      <c r="AJ395" s="699"/>
      <c r="AK395" s="699"/>
      <c r="AL395" s="699"/>
      <c r="AM395" s="699"/>
      <c r="AN395" s="699"/>
      <c r="AO395" s="699"/>
      <c r="AP395" s="699"/>
      <c r="AQ395" s="699"/>
      <c r="AR395" s="699"/>
      <c r="AS395" s="699"/>
      <c r="AT395" s="699"/>
      <c r="AU395" s="699"/>
      <c r="AV395" s="699"/>
      <c r="AW395" s="699"/>
      <c r="AX395" s="700"/>
      <c r="AY395" s="700"/>
      <c r="AZ395" s="701"/>
    </row>
    <row r="396" spans="1:52" ht="29.25" customHeight="1" thickBot="1">
      <c r="A396" s="67">
        <f t="shared" si="193"/>
        <v>44893</v>
      </c>
      <c r="B396" s="155"/>
      <c r="C396" s="155"/>
      <c r="D396" s="155"/>
      <c r="E396" s="155"/>
      <c r="F396" s="155"/>
      <c r="G396" s="155"/>
      <c r="H396" s="155"/>
      <c r="I396" s="155"/>
      <c r="J396" s="155"/>
      <c r="K396" s="155"/>
      <c r="L396" s="155"/>
      <c r="M396" s="155"/>
      <c r="N396" s="155"/>
      <c r="O396" s="155"/>
      <c r="P396" s="155"/>
      <c r="Q396" s="155"/>
      <c r="R396" s="156"/>
      <c r="S396" s="156"/>
      <c r="T396" s="833"/>
      <c r="U396" s="833"/>
      <c r="V396" s="833"/>
      <c r="W396" s="833"/>
      <c r="X396" s="833"/>
      <c r="Y396" s="255">
        <f t="shared" si="191"/>
        <v>0</v>
      </c>
      <c r="Z396" s="309">
        <f t="shared" si="192"/>
        <v>0</v>
      </c>
      <c r="AA396" s="256">
        <f t="shared" si="189"/>
        <v>0</v>
      </c>
      <c r="AB396" s="309"/>
      <c r="AC396" s="309"/>
      <c r="AD396" s="329">
        <f t="shared" si="190"/>
        <v>0</v>
      </c>
      <c r="AF396" s="11"/>
      <c r="AG396" s="579"/>
      <c r="AH396" s="64">
        <f t="shared" si="194"/>
        <v>43401</v>
      </c>
      <c r="AI396" s="698"/>
      <c r="AJ396" s="699"/>
      <c r="AK396" s="699"/>
      <c r="AL396" s="699"/>
      <c r="AM396" s="699"/>
      <c r="AN396" s="699"/>
      <c r="AO396" s="699"/>
      <c r="AP396" s="699"/>
      <c r="AQ396" s="699"/>
      <c r="AR396" s="699"/>
      <c r="AS396" s="699"/>
      <c r="AT396" s="699"/>
      <c r="AU396" s="699"/>
      <c r="AV396" s="699"/>
      <c r="AW396" s="699"/>
      <c r="AX396" s="700"/>
      <c r="AY396" s="700"/>
      <c r="AZ396" s="701"/>
    </row>
    <row r="397" spans="1:52" ht="29.25" customHeight="1" thickBot="1">
      <c r="A397" s="67">
        <f t="shared" si="193"/>
        <v>44894</v>
      </c>
      <c r="B397" s="155"/>
      <c r="C397" s="155"/>
      <c r="D397" s="155"/>
      <c r="E397" s="155"/>
      <c r="F397" s="155"/>
      <c r="G397" s="155"/>
      <c r="H397" s="155"/>
      <c r="I397" s="155"/>
      <c r="J397" s="155"/>
      <c r="K397" s="155"/>
      <c r="L397" s="155"/>
      <c r="M397" s="155"/>
      <c r="N397" s="155"/>
      <c r="O397" s="155"/>
      <c r="P397" s="155"/>
      <c r="Q397" s="155"/>
      <c r="R397" s="156"/>
      <c r="S397" s="156"/>
      <c r="T397" s="833"/>
      <c r="U397" s="833"/>
      <c r="V397" s="833"/>
      <c r="W397" s="833"/>
      <c r="X397" s="833"/>
      <c r="Y397" s="255">
        <f t="shared" si="191"/>
        <v>0</v>
      </c>
      <c r="Z397" s="309">
        <f t="shared" si="192"/>
        <v>0</v>
      </c>
      <c r="AA397" s="256">
        <f t="shared" si="189"/>
        <v>0</v>
      </c>
      <c r="AB397" s="309"/>
      <c r="AC397" s="309"/>
      <c r="AD397" s="329">
        <f t="shared" si="190"/>
        <v>0</v>
      </c>
      <c r="AF397" s="11"/>
      <c r="AG397" s="579"/>
      <c r="AH397" s="64">
        <f>AH396+1</f>
        <v>43402</v>
      </c>
      <c r="AI397" s="698"/>
      <c r="AJ397" s="699"/>
      <c r="AK397" s="699"/>
      <c r="AL397" s="699"/>
      <c r="AM397" s="699"/>
      <c r="AN397" s="699"/>
      <c r="AO397" s="699"/>
      <c r="AP397" s="699"/>
      <c r="AQ397" s="699"/>
      <c r="AR397" s="699"/>
      <c r="AS397" s="699"/>
      <c r="AT397" s="699"/>
      <c r="AU397" s="699"/>
      <c r="AV397" s="699"/>
      <c r="AW397" s="699"/>
      <c r="AX397" s="700"/>
      <c r="AY397" s="700"/>
      <c r="AZ397" s="701"/>
    </row>
    <row r="398" spans="1:52" ht="29.25" customHeight="1" thickBot="1">
      <c r="A398" s="67">
        <f t="shared" si="193"/>
        <v>44895</v>
      </c>
      <c r="B398" s="155"/>
      <c r="C398" s="155"/>
      <c r="D398" s="155"/>
      <c r="E398" s="155"/>
      <c r="F398" s="155"/>
      <c r="G398" s="155"/>
      <c r="H398" s="155"/>
      <c r="I398" s="155"/>
      <c r="J398" s="155"/>
      <c r="K398" s="155"/>
      <c r="L398" s="155"/>
      <c r="M398" s="155"/>
      <c r="N398" s="155"/>
      <c r="O398" s="155"/>
      <c r="P398" s="155"/>
      <c r="Q398" s="155"/>
      <c r="R398" s="156"/>
      <c r="S398" s="156"/>
      <c r="T398" s="833"/>
      <c r="U398" s="833"/>
      <c r="V398" s="833"/>
      <c r="W398" s="833"/>
      <c r="X398" s="833"/>
      <c r="Y398" s="255">
        <f t="shared" si="191"/>
        <v>0</v>
      </c>
      <c r="Z398" s="309">
        <f t="shared" si="192"/>
        <v>0</v>
      </c>
      <c r="AA398" s="256">
        <f t="shared" si="189"/>
        <v>0</v>
      </c>
      <c r="AB398" s="309"/>
      <c r="AC398" s="309"/>
      <c r="AD398" s="329">
        <f t="shared" si="190"/>
        <v>0</v>
      </c>
      <c r="AF398" s="11"/>
      <c r="AG398" s="579"/>
      <c r="AH398" s="64">
        <f t="shared" si="194"/>
        <v>43403</v>
      </c>
      <c r="AI398" s="698"/>
      <c r="AJ398" s="699"/>
      <c r="AK398" s="699"/>
      <c r="AL398" s="699"/>
      <c r="AM398" s="699"/>
      <c r="AN398" s="699"/>
      <c r="AO398" s="699"/>
      <c r="AP398" s="699"/>
      <c r="AQ398" s="699"/>
      <c r="AR398" s="699"/>
      <c r="AS398" s="699"/>
      <c r="AT398" s="699"/>
      <c r="AU398" s="699"/>
      <c r="AV398" s="699"/>
      <c r="AW398" s="699"/>
      <c r="AX398" s="700"/>
      <c r="AY398" s="700"/>
      <c r="AZ398" s="701"/>
    </row>
    <row r="399" spans="1:52" ht="29.25" customHeight="1" thickBot="1">
      <c r="A399" s="102">
        <f t="shared" si="193"/>
        <v>44896</v>
      </c>
      <c r="B399" s="157"/>
      <c r="C399" s="157"/>
      <c r="D399" s="158"/>
      <c r="E399" s="158"/>
      <c r="F399" s="157"/>
      <c r="G399" s="157"/>
      <c r="H399" s="157"/>
      <c r="I399" s="158"/>
      <c r="J399" s="157"/>
      <c r="K399" s="157"/>
      <c r="L399" s="157"/>
      <c r="M399" s="157"/>
      <c r="N399" s="157"/>
      <c r="O399" s="158"/>
      <c r="P399" s="158"/>
      <c r="Q399" s="157"/>
      <c r="R399" s="159"/>
      <c r="S399" s="159"/>
      <c r="T399" s="158"/>
      <c r="U399" s="158"/>
      <c r="V399" s="158"/>
      <c r="W399" s="158"/>
      <c r="X399" s="158"/>
      <c r="Y399" s="255">
        <f t="shared" si="191"/>
        <v>0</v>
      </c>
      <c r="Z399" s="309">
        <f t="shared" si="192"/>
        <v>0</v>
      </c>
      <c r="AA399" s="256">
        <f t="shared" si="189"/>
        <v>0</v>
      </c>
      <c r="AB399" s="309"/>
      <c r="AC399" s="309"/>
      <c r="AD399" s="329">
        <f t="shared" si="190"/>
        <v>0</v>
      </c>
      <c r="AF399" s="11"/>
      <c r="AG399" s="579"/>
      <c r="AH399" s="65">
        <f t="shared" si="194"/>
        <v>43404</v>
      </c>
      <c r="AI399" s="702"/>
      <c r="AJ399" s="703"/>
      <c r="AK399" s="703"/>
      <c r="AL399" s="703"/>
      <c r="AM399" s="703"/>
      <c r="AN399" s="703"/>
      <c r="AO399" s="703"/>
      <c r="AP399" s="703"/>
      <c r="AQ399" s="703"/>
      <c r="AR399" s="703"/>
      <c r="AS399" s="703"/>
      <c r="AT399" s="703"/>
      <c r="AU399" s="703"/>
      <c r="AV399" s="703"/>
      <c r="AW399" s="703"/>
      <c r="AX399" s="704"/>
      <c r="AY399" s="704"/>
      <c r="AZ399" s="705"/>
    </row>
    <row r="400" spans="1:52" ht="50.1" customHeight="1" thickTop="1" thickBot="1">
      <c r="A400" s="89" t="s">
        <v>74</v>
      </c>
      <c r="B400" s="90">
        <f>SUM(B369:B399)</f>
        <v>0</v>
      </c>
      <c r="C400" s="90">
        <f t="shared" ref="C400:S400" si="195">SUM(C369:C399)</f>
        <v>0</v>
      </c>
      <c r="D400" s="90">
        <f t="shared" si="195"/>
        <v>0</v>
      </c>
      <c r="E400" s="90"/>
      <c r="F400" s="90">
        <f t="shared" si="195"/>
        <v>0</v>
      </c>
      <c r="G400" s="90">
        <f t="shared" si="195"/>
        <v>0</v>
      </c>
      <c r="H400" s="90">
        <f t="shared" si="195"/>
        <v>0</v>
      </c>
      <c r="I400" s="90">
        <f t="shared" si="195"/>
        <v>0</v>
      </c>
      <c r="J400" s="90">
        <f t="shared" si="195"/>
        <v>0</v>
      </c>
      <c r="K400" s="90">
        <f t="shared" si="195"/>
        <v>0</v>
      </c>
      <c r="L400" s="90">
        <f t="shared" si="195"/>
        <v>0</v>
      </c>
      <c r="M400" s="90">
        <f t="shared" si="195"/>
        <v>0</v>
      </c>
      <c r="N400" s="90">
        <f t="shared" si="195"/>
        <v>0</v>
      </c>
      <c r="O400" s="90">
        <f t="shared" si="195"/>
        <v>0</v>
      </c>
      <c r="P400" s="90"/>
      <c r="Q400" s="90">
        <f t="shared" si="195"/>
        <v>0</v>
      </c>
      <c r="R400" s="90">
        <f t="shared" si="195"/>
        <v>0</v>
      </c>
      <c r="S400" s="90">
        <f t="shared" si="195"/>
        <v>0</v>
      </c>
      <c r="T400" s="90"/>
      <c r="U400" s="90"/>
      <c r="V400" s="90"/>
      <c r="W400" s="90"/>
      <c r="X400" s="90"/>
      <c r="Y400" s="271">
        <f>SUM(Y369:Y399)</f>
        <v>0</v>
      </c>
      <c r="Z400" s="259"/>
      <c r="AA400" s="259"/>
      <c r="AB400" s="316">
        <f>SUM(AB369:AB399)</f>
        <v>0</v>
      </c>
      <c r="AC400" s="316"/>
      <c r="AD400" s="291"/>
      <c r="AF400" s="9"/>
      <c r="AG400" s="10"/>
      <c r="AH400" s="706" t="s">
        <v>101</v>
      </c>
      <c r="AI400" s="707">
        <f>SUM(AI369:AI399)</f>
        <v>0</v>
      </c>
      <c r="AJ400" s="707">
        <f>SUM(AJ369:AJ399)</f>
        <v>0</v>
      </c>
      <c r="AK400" s="707">
        <f t="shared" ref="AK400:AZ400" si="196">SUM(AK369:AK399)</f>
        <v>0</v>
      </c>
      <c r="AL400" s="707">
        <f t="shared" si="196"/>
        <v>0</v>
      </c>
      <c r="AM400" s="707">
        <f t="shared" si="196"/>
        <v>0</v>
      </c>
      <c r="AN400" s="707">
        <f t="shared" si="196"/>
        <v>0</v>
      </c>
      <c r="AO400" s="707">
        <f t="shared" si="196"/>
        <v>0</v>
      </c>
      <c r="AP400" s="707">
        <f t="shared" si="196"/>
        <v>0</v>
      </c>
      <c r="AQ400" s="707">
        <f t="shared" si="196"/>
        <v>0</v>
      </c>
      <c r="AR400" s="707">
        <f t="shared" si="196"/>
        <v>0</v>
      </c>
      <c r="AS400" s="707">
        <f t="shared" si="196"/>
        <v>0</v>
      </c>
      <c r="AT400" s="707">
        <f t="shared" si="196"/>
        <v>0</v>
      </c>
      <c r="AU400" s="707">
        <f t="shared" si="196"/>
        <v>0</v>
      </c>
      <c r="AV400" s="707">
        <f t="shared" si="196"/>
        <v>0</v>
      </c>
      <c r="AW400" s="707">
        <f t="shared" si="196"/>
        <v>0</v>
      </c>
      <c r="AX400" s="707">
        <f t="shared" si="196"/>
        <v>0</v>
      </c>
      <c r="AY400" s="707">
        <f t="shared" si="196"/>
        <v>0</v>
      </c>
      <c r="AZ400" s="707">
        <f t="shared" si="196"/>
        <v>0</v>
      </c>
    </row>
    <row r="401" spans="1:52" ht="27.75" thickTop="1" thickBo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8"/>
      <c r="AA401" s="8"/>
      <c r="AB401" s="8"/>
      <c r="AF401" s="2"/>
      <c r="AG401" s="2"/>
      <c r="AH401" s="706" t="s">
        <v>45</v>
      </c>
      <c r="AI401" s="707">
        <v>220</v>
      </c>
      <c r="AJ401" s="707">
        <v>220</v>
      </c>
      <c r="AK401" s="707">
        <v>220</v>
      </c>
      <c r="AL401" s="707">
        <v>100</v>
      </c>
      <c r="AM401" s="707">
        <v>100</v>
      </c>
      <c r="AN401" s="707">
        <v>80</v>
      </c>
      <c r="AO401" s="707">
        <v>25</v>
      </c>
      <c r="AP401" s="707">
        <v>25</v>
      </c>
      <c r="AQ401" s="707">
        <v>25</v>
      </c>
      <c r="AR401" s="707">
        <v>400</v>
      </c>
      <c r="AS401" s="707">
        <v>400</v>
      </c>
      <c r="AT401" s="707">
        <v>400</v>
      </c>
      <c r="AU401" s="707">
        <v>0</v>
      </c>
      <c r="AV401" s="707">
        <v>0</v>
      </c>
      <c r="AW401" s="707">
        <v>200</v>
      </c>
      <c r="AX401" s="707">
        <v>200</v>
      </c>
      <c r="AY401" s="707">
        <v>0</v>
      </c>
      <c r="AZ401" s="707">
        <v>0</v>
      </c>
    </row>
    <row r="402" spans="1:52" ht="27.75" thickTop="1" thickBo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8"/>
      <c r="AA402" s="8"/>
      <c r="AB402" s="8"/>
      <c r="AF402" s="2"/>
      <c r="AG402" s="2"/>
      <c r="AH402" s="706" t="s">
        <v>46</v>
      </c>
      <c r="AI402" s="707">
        <f>AI400*AI401</f>
        <v>0</v>
      </c>
      <c r="AJ402" s="707">
        <f t="shared" ref="AJ402" si="197">AJ400*AJ401</f>
        <v>0</v>
      </c>
      <c r="AK402" s="707">
        <f t="shared" ref="AK402" si="198">AK400*AK401</f>
        <v>0</v>
      </c>
      <c r="AL402" s="707">
        <f t="shared" ref="AL402" si="199">AL400*AL401</f>
        <v>0</v>
      </c>
      <c r="AM402" s="707">
        <f t="shared" ref="AM402" si="200">AM400*AM401</f>
        <v>0</v>
      </c>
      <c r="AN402" s="707">
        <f t="shared" ref="AN402" si="201">AN400*AN401</f>
        <v>0</v>
      </c>
      <c r="AO402" s="707">
        <f t="shared" ref="AO402" si="202">AO400*AO401</f>
        <v>0</v>
      </c>
      <c r="AP402" s="707">
        <f t="shared" ref="AP402" si="203">AP400*AP401</f>
        <v>0</v>
      </c>
      <c r="AQ402" s="707">
        <f t="shared" ref="AQ402" si="204">AQ400*AQ401</f>
        <v>0</v>
      </c>
      <c r="AR402" s="707">
        <f t="shared" ref="AR402" si="205">AR400*AR401</f>
        <v>0</v>
      </c>
      <c r="AS402" s="707">
        <f t="shared" ref="AS402" si="206">AS400*AS401</f>
        <v>0</v>
      </c>
      <c r="AT402" s="707">
        <f t="shared" ref="AT402" si="207">AT400*AT401</f>
        <v>0</v>
      </c>
      <c r="AU402" s="707">
        <f t="shared" ref="AU402" si="208">AU400*AU401</f>
        <v>0</v>
      </c>
      <c r="AV402" s="707">
        <f t="shared" ref="AV402" si="209">AV400*AV401</f>
        <v>0</v>
      </c>
      <c r="AW402" s="707">
        <f t="shared" ref="AW402" si="210">AW400*AW401</f>
        <v>0</v>
      </c>
      <c r="AX402" s="707">
        <f t="shared" ref="AX402" si="211">AX400*AX401</f>
        <v>0</v>
      </c>
      <c r="AY402" s="707">
        <f t="shared" ref="AY402" si="212">AY400*AY401</f>
        <v>0</v>
      </c>
      <c r="AZ402" s="707">
        <f t="shared" ref="AZ402" si="213">AZ400*AZ401</f>
        <v>0</v>
      </c>
    </row>
    <row r="403" spans="1:52" ht="24" thickTop="1">
      <c r="A403" s="7"/>
      <c r="B403" s="7"/>
      <c r="C403" s="7"/>
      <c r="D403" s="7" t="s">
        <v>1</v>
      </c>
      <c r="E403" s="7"/>
      <c r="F403" s="7"/>
      <c r="G403" s="7"/>
      <c r="H403" s="7" t="s">
        <v>1</v>
      </c>
      <c r="I403" s="7"/>
      <c r="J403" s="7"/>
      <c r="K403" s="7" t="s">
        <v>1</v>
      </c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8"/>
      <c r="AA403" s="8"/>
      <c r="AB403" s="8"/>
      <c r="AE403" t="s">
        <v>1</v>
      </c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714">
        <f>SUM(AI402:AZ402)</f>
        <v>0</v>
      </c>
    </row>
    <row r="404" spans="1:52" ht="15.75" thickBo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 t="s">
        <v>1</v>
      </c>
      <c r="R404" s="7"/>
      <c r="S404" s="7"/>
      <c r="T404" s="7"/>
      <c r="U404" s="7"/>
      <c r="V404" s="7"/>
      <c r="W404" s="7"/>
      <c r="X404" s="7"/>
      <c r="Y404" s="7"/>
      <c r="Z404" s="8"/>
      <c r="AA404" s="8"/>
      <c r="AB404" s="8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</row>
    <row r="405" spans="1:52" ht="39.950000000000003" customHeight="1" thickBot="1">
      <c r="A405" s="109">
        <f>A5</f>
        <v>2022</v>
      </c>
      <c r="B405" s="1444"/>
      <c r="C405" s="1445"/>
      <c r="D405" s="1445"/>
      <c r="E405" s="1445"/>
      <c r="F405" s="1445"/>
      <c r="G405" s="1445"/>
      <c r="H405" s="1445"/>
      <c r="I405" s="1445"/>
      <c r="J405" s="1445"/>
      <c r="K405" s="1445"/>
      <c r="L405" s="1445"/>
      <c r="M405" s="1445"/>
      <c r="N405" s="1445"/>
      <c r="O405" s="1445"/>
      <c r="P405" s="1445"/>
      <c r="Q405" s="1445"/>
      <c r="R405" s="1445"/>
      <c r="S405" s="1445"/>
      <c r="T405" s="1445"/>
      <c r="U405" s="1445"/>
      <c r="V405" s="1445"/>
      <c r="W405" s="1445"/>
      <c r="X405" s="1445"/>
      <c r="Y405" s="1446"/>
      <c r="Z405" s="21"/>
      <c r="AA405" s="21"/>
      <c r="AB405" s="21"/>
      <c r="AF405" s="10"/>
      <c r="AG405" s="21"/>
      <c r="AH405" s="109">
        <v>2018</v>
      </c>
      <c r="AI405" s="1424">
        <f>B405</f>
        <v>0</v>
      </c>
      <c r="AJ405" s="1425"/>
      <c r="AK405" s="1425"/>
      <c r="AL405" s="1425"/>
      <c r="AM405" s="1425"/>
      <c r="AN405" s="1425"/>
      <c r="AO405" s="1425"/>
      <c r="AP405" s="1425"/>
      <c r="AQ405" s="1425"/>
      <c r="AR405" s="1425"/>
      <c r="AS405" s="1425"/>
      <c r="AT405" s="1425"/>
      <c r="AU405" s="1425"/>
      <c r="AV405" s="1425"/>
      <c r="AW405" s="1425"/>
      <c r="AX405" s="1425"/>
      <c r="AY405" s="1425"/>
      <c r="AZ405" s="1425"/>
    </row>
    <row r="406" spans="1:52" ht="60" customHeight="1" thickTop="1" thickBot="1">
      <c r="A406" s="1468" t="s">
        <v>94</v>
      </c>
      <c r="B406" s="1402" t="s">
        <v>95</v>
      </c>
      <c r="C406" s="1403"/>
      <c r="D406" s="1403"/>
      <c r="E406" s="1404"/>
      <c r="F406" s="1402" t="s">
        <v>7</v>
      </c>
      <c r="G406" s="1403"/>
      <c r="H406" s="1404"/>
      <c r="I406" s="1402" t="s">
        <v>8</v>
      </c>
      <c r="J406" s="1404"/>
      <c r="K406" s="1402" t="s">
        <v>9</v>
      </c>
      <c r="L406" s="1403"/>
      <c r="M406" s="1403"/>
      <c r="N406" s="1403"/>
      <c r="O406" s="1403"/>
      <c r="P406" s="1403"/>
      <c r="Q406" s="1403"/>
      <c r="R406" s="1405" t="s">
        <v>10</v>
      </c>
      <c r="S406" s="1406"/>
      <c r="T406" s="1400" t="s">
        <v>289</v>
      </c>
      <c r="U406" s="1401"/>
      <c r="V406" s="842" t="s">
        <v>258</v>
      </c>
      <c r="W406" s="842"/>
      <c r="X406" s="842"/>
      <c r="Y406" s="211"/>
      <c r="Z406" s="21"/>
      <c r="AA406" s="21"/>
      <c r="AB406" s="21"/>
      <c r="AC406" s="21"/>
      <c r="AF406" s="10"/>
      <c r="AG406" s="34"/>
      <c r="AH406" s="1422" t="s">
        <v>94</v>
      </c>
      <c r="AI406" s="1402" t="s">
        <v>95</v>
      </c>
      <c r="AJ406" s="1403"/>
      <c r="AK406" s="1404"/>
      <c r="AL406" s="1402" t="s">
        <v>7</v>
      </c>
      <c r="AM406" s="1403"/>
      <c r="AN406" s="1404"/>
      <c r="AO406" s="1402" t="s">
        <v>8</v>
      </c>
      <c r="AP406" s="1403"/>
      <c r="AQ406" s="1404"/>
      <c r="AR406" s="1402" t="s">
        <v>9</v>
      </c>
      <c r="AS406" s="1403"/>
      <c r="AT406" s="1404"/>
      <c r="AU406" s="1403" t="s">
        <v>9</v>
      </c>
      <c r="AV406" s="1404"/>
      <c r="AW406" s="1429" t="s">
        <v>10</v>
      </c>
      <c r="AX406" s="1430"/>
      <c r="AY406" s="690"/>
      <c r="AZ406" s="404" t="s">
        <v>11</v>
      </c>
    </row>
    <row r="407" spans="1:52" ht="42" thickTop="1" thickBot="1">
      <c r="A407" s="1428"/>
      <c r="B407" s="482" t="s">
        <v>12</v>
      </c>
      <c r="C407" s="482" t="s">
        <v>13</v>
      </c>
      <c r="D407" s="482" t="s">
        <v>14</v>
      </c>
      <c r="E407" s="688" t="s">
        <v>198</v>
      </c>
      <c r="F407" s="482" t="s">
        <v>12</v>
      </c>
      <c r="G407" s="482" t="s">
        <v>13</v>
      </c>
      <c r="H407" s="482" t="s">
        <v>282</v>
      </c>
      <c r="I407" s="482" t="s">
        <v>12</v>
      </c>
      <c r="J407" s="482" t="s">
        <v>16</v>
      </c>
      <c r="K407" s="482" t="s">
        <v>17</v>
      </c>
      <c r="L407" s="482" t="s">
        <v>18</v>
      </c>
      <c r="M407" s="482" t="s">
        <v>19</v>
      </c>
      <c r="N407" s="484" t="s">
        <v>96</v>
      </c>
      <c r="O407" s="484" t="s">
        <v>257</v>
      </c>
      <c r="P407" s="484" t="s">
        <v>254</v>
      </c>
      <c r="Q407" s="484" t="s">
        <v>20</v>
      </c>
      <c r="R407" s="483" t="s">
        <v>14</v>
      </c>
      <c r="S407" s="482" t="s">
        <v>13</v>
      </c>
      <c r="T407" s="846" t="s">
        <v>284</v>
      </c>
      <c r="U407" s="846" t="s">
        <v>288</v>
      </c>
      <c r="V407" s="484" t="s">
        <v>259</v>
      </c>
      <c r="W407" s="484"/>
      <c r="X407" s="484"/>
      <c r="Y407" s="209" t="s">
        <v>90</v>
      </c>
      <c r="Z407" s="210" t="s">
        <v>97</v>
      </c>
      <c r="AA407" s="210" t="s">
        <v>74</v>
      </c>
      <c r="AB407" s="210" t="s">
        <v>98</v>
      </c>
      <c r="AC407" s="210" t="s">
        <v>99</v>
      </c>
      <c r="AD407" s="210" t="s">
        <v>100</v>
      </c>
      <c r="AF407" s="578" t="s">
        <v>1</v>
      </c>
      <c r="AG407" s="4"/>
      <c r="AH407" s="1428"/>
      <c r="AI407" s="482" t="s">
        <v>12</v>
      </c>
      <c r="AJ407" s="482" t="s">
        <v>13</v>
      </c>
      <c r="AK407" s="482" t="s">
        <v>14</v>
      </c>
      <c r="AL407" s="482" t="s">
        <v>12</v>
      </c>
      <c r="AM407" s="482" t="s">
        <v>13</v>
      </c>
      <c r="AN407" s="482" t="s">
        <v>15</v>
      </c>
      <c r="AO407" s="482" t="s">
        <v>12</v>
      </c>
      <c r="AP407" s="482" t="s">
        <v>205</v>
      </c>
      <c r="AQ407" s="482" t="s">
        <v>16</v>
      </c>
      <c r="AR407" s="482" t="s">
        <v>17</v>
      </c>
      <c r="AS407" s="482" t="s">
        <v>18</v>
      </c>
      <c r="AT407" s="482" t="s">
        <v>19</v>
      </c>
      <c r="AU407" s="482" t="s">
        <v>201</v>
      </c>
      <c r="AV407" s="482" t="s">
        <v>20</v>
      </c>
      <c r="AW407" s="482" t="s">
        <v>12</v>
      </c>
      <c r="AX407" s="483" t="s">
        <v>13</v>
      </c>
      <c r="AY407" s="688" t="s">
        <v>198</v>
      </c>
      <c r="AZ407" s="484" t="s">
        <v>96</v>
      </c>
    </row>
    <row r="408" spans="1:52" ht="30.75" thickBot="1">
      <c r="A408" s="67">
        <f>A369</f>
        <v>44866</v>
      </c>
      <c r="B408" s="153"/>
      <c r="C408" s="153"/>
      <c r="D408" s="153"/>
      <c r="E408" s="153"/>
      <c r="F408" s="153"/>
      <c r="G408" s="153"/>
      <c r="H408" s="153"/>
      <c r="I408" s="153"/>
      <c r="J408" s="153"/>
      <c r="K408" s="153"/>
      <c r="L408" s="153"/>
      <c r="M408" s="153"/>
      <c r="N408" s="153"/>
      <c r="O408" s="153"/>
      <c r="P408" s="153"/>
      <c r="Q408" s="153"/>
      <c r="R408" s="154"/>
      <c r="S408" s="154"/>
      <c r="T408" s="833"/>
      <c r="U408" s="833"/>
      <c r="V408" s="833"/>
      <c r="W408" s="833"/>
      <c r="X408" s="833"/>
      <c r="Y408" s="255">
        <f>B408*400+C408*400+D408*400+E408*400+F408*130+G408*130+H408*140+I408*35+J408*35+K408*400+L408*400+M408*800+N408*400+O408*400+P408*120+Q408*200+R408*260+S408*400+T408*30+U408*60</f>
        <v>0</v>
      </c>
      <c r="Z408" s="308"/>
      <c r="AA408" s="263">
        <f t="shared" ref="AA408:AA438" si="214">Y408+Z408</f>
        <v>0</v>
      </c>
      <c r="AB408" s="308"/>
      <c r="AC408" s="308"/>
      <c r="AD408" s="319">
        <f t="shared" ref="AD408:AD438" si="215">AA408-AB408-AC408</f>
        <v>0</v>
      </c>
      <c r="AF408" s="11"/>
      <c r="AG408" s="579"/>
      <c r="AH408" s="63">
        <f>AH369</f>
        <v>43374</v>
      </c>
      <c r="AI408" s="694"/>
      <c r="AJ408" s="695"/>
      <c r="AK408" s="695"/>
      <c r="AL408" s="695"/>
      <c r="AM408" s="695"/>
      <c r="AN408" s="695"/>
      <c r="AO408" s="695"/>
      <c r="AP408" s="695"/>
      <c r="AQ408" s="695"/>
      <c r="AR408" s="695"/>
      <c r="AS408" s="695"/>
      <c r="AT408" s="695"/>
      <c r="AU408" s="695"/>
      <c r="AV408" s="695"/>
      <c r="AW408" s="695"/>
      <c r="AX408" s="696"/>
      <c r="AY408" s="696"/>
      <c r="AZ408" s="697"/>
    </row>
    <row r="409" spans="1:52" ht="30.75" thickBot="1">
      <c r="A409" s="67">
        <f>A408+1</f>
        <v>44867</v>
      </c>
      <c r="B409" s="155"/>
      <c r="C409" s="155"/>
      <c r="D409" s="155"/>
      <c r="E409" s="155"/>
      <c r="F409" s="155"/>
      <c r="G409" s="155"/>
      <c r="H409" s="155"/>
      <c r="I409" s="155"/>
      <c r="J409" s="155"/>
      <c r="K409" s="155"/>
      <c r="L409" s="155"/>
      <c r="M409" s="155"/>
      <c r="N409" s="155"/>
      <c r="O409" s="155"/>
      <c r="P409" s="155"/>
      <c r="Q409" s="155"/>
      <c r="R409" s="156"/>
      <c r="S409" s="156"/>
      <c r="T409" s="833"/>
      <c r="U409" s="833"/>
      <c r="V409" s="833"/>
      <c r="W409" s="833"/>
      <c r="X409" s="833"/>
      <c r="Y409" s="255">
        <f t="shared" ref="Y409:Y438" si="216">B409*400+C409*400+D409*400+E409*400+F409*130+G409*130+H409*140+I409*35+J409*35+K409*400+L409*400+M409*800+N409*400+O409*400+P409*120+Q409*200+R409*260+S409*400+T409*30+U409*60</f>
        <v>0</v>
      </c>
      <c r="Z409" s="309">
        <f t="shared" ref="Z409:Z438" si="217">AD408</f>
        <v>0</v>
      </c>
      <c r="AA409" s="256">
        <f t="shared" si="214"/>
        <v>0</v>
      </c>
      <c r="AB409" s="309"/>
      <c r="AC409" s="309"/>
      <c r="AD409" s="320">
        <f t="shared" si="215"/>
        <v>0</v>
      </c>
      <c r="AF409" s="11"/>
      <c r="AG409" s="579"/>
      <c r="AH409" s="64">
        <f>AH408+1</f>
        <v>43375</v>
      </c>
      <c r="AI409" s="698"/>
      <c r="AJ409" s="699"/>
      <c r="AK409" s="699"/>
      <c r="AL409" s="699"/>
      <c r="AM409" s="699"/>
      <c r="AN409" s="699"/>
      <c r="AO409" s="699"/>
      <c r="AP409" s="699"/>
      <c r="AQ409" s="699"/>
      <c r="AR409" s="699"/>
      <c r="AS409" s="699"/>
      <c r="AT409" s="699"/>
      <c r="AU409" s="699"/>
      <c r="AV409" s="699"/>
      <c r="AW409" s="699"/>
      <c r="AX409" s="700"/>
      <c r="AY409" s="700"/>
      <c r="AZ409" s="701"/>
    </row>
    <row r="410" spans="1:52" ht="30.75" thickBot="1">
      <c r="A410" s="67">
        <f t="shared" ref="A410:A438" si="218">A409+1</f>
        <v>44868</v>
      </c>
      <c r="B410" s="155"/>
      <c r="C410" s="155"/>
      <c r="D410" s="155"/>
      <c r="E410" s="155"/>
      <c r="F410" s="155"/>
      <c r="G410" s="155"/>
      <c r="H410" s="155"/>
      <c r="I410" s="155"/>
      <c r="J410" s="155"/>
      <c r="K410" s="155"/>
      <c r="L410" s="155"/>
      <c r="M410" s="155"/>
      <c r="N410" s="155"/>
      <c r="O410" s="155"/>
      <c r="P410" s="155"/>
      <c r="Q410" s="155"/>
      <c r="R410" s="156"/>
      <c r="S410" s="156"/>
      <c r="T410" s="833"/>
      <c r="U410" s="833"/>
      <c r="V410" s="833"/>
      <c r="W410" s="833"/>
      <c r="X410" s="833"/>
      <c r="Y410" s="255">
        <f t="shared" si="216"/>
        <v>0</v>
      </c>
      <c r="Z410" s="309">
        <f t="shared" si="217"/>
        <v>0</v>
      </c>
      <c r="AA410" s="256">
        <f t="shared" si="214"/>
        <v>0</v>
      </c>
      <c r="AB410" s="309"/>
      <c r="AC410" s="309"/>
      <c r="AD410" s="320">
        <f t="shared" si="215"/>
        <v>0</v>
      </c>
      <c r="AF410" s="11"/>
      <c r="AG410" s="579"/>
      <c r="AH410" s="64">
        <f t="shared" ref="AH410:AH438" si="219">AH409+1</f>
        <v>43376</v>
      </c>
      <c r="AI410" s="698"/>
      <c r="AJ410" s="699"/>
      <c r="AK410" s="699"/>
      <c r="AL410" s="699"/>
      <c r="AM410" s="699"/>
      <c r="AN410" s="699"/>
      <c r="AO410" s="699"/>
      <c r="AP410" s="699"/>
      <c r="AQ410" s="699"/>
      <c r="AR410" s="699"/>
      <c r="AS410" s="699"/>
      <c r="AT410" s="699"/>
      <c r="AU410" s="699"/>
      <c r="AV410" s="699"/>
      <c r="AW410" s="699"/>
      <c r="AX410" s="700"/>
      <c r="AY410" s="700"/>
      <c r="AZ410" s="701"/>
    </row>
    <row r="411" spans="1:52" ht="30.75" thickBot="1">
      <c r="A411" s="67">
        <f t="shared" si="218"/>
        <v>44869</v>
      </c>
      <c r="B411" s="155"/>
      <c r="C411" s="155"/>
      <c r="D411" s="155"/>
      <c r="E411" s="155"/>
      <c r="F411" s="155"/>
      <c r="G411" s="155"/>
      <c r="H411" s="155"/>
      <c r="I411" s="155"/>
      <c r="J411" s="155"/>
      <c r="K411" s="155"/>
      <c r="L411" s="155"/>
      <c r="M411" s="155"/>
      <c r="N411" s="155"/>
      <c r="O411" s="155"/>
      <c r="P411" s="155"/>
      <c r="Q411" s="155"/>
      <c r="R411" s="156"/>
      <c r="S411" s="156"/>
      <c r="T411" s="833"/>
      <c r="U411" s="833"/>
      <c r="V411" s="833"/>
      <c r="W411" s="833"/>
      <c r="X411" s="833"/>
      <c r="Y411" s="255">
        <f t="shared" si="216"/>
        <v>0</v>
      </c>
      <c r="Z411" s="309">
        <f t="shared" si="217"/>
        <v>0</v>
      </c>
      <c r="AA411" s="256">
        <f t="shared" si="214"/>
        <v>0</v>
      </c>
      <c r="AB411" s="309"/>
      <c r="AC411" s="309"/>
      <c r="AD411" s="320">
        <f t="shared" si="215"/>
        <v>0</v>
      </c>
      <c r="AF411" s="11"/>
      <c r="AG411" s="579"/>
      <c r="AH411" s="64">
        <f t="shared" si="219"/>
        <v>43377</v>
      </c>
      <c r="AI411" s="698"/>
      <c r="AJ411" s="699"/>
      <c r="AK411" s="699"/>
      <c r="AL411" s="699"/>
      <c r="AM411" s="699"/>
      <c r="AN411" s="699"/>
      <c r="AO411" s="699"/>
      <c r="AP411" s="699"/>
      <c r="AQ411" s="699"/>
      <c r="AR411" s="699"/>
      <c r="AS411" s="699"/>
      <c r="AT411" s="699"/>
      <c r="AU411" s="699"/>
      <c r="AV411" s="699"/>
      <c r="AW411" s="699"/>
      <c r="AX411" s="700"/>
      <c r="AY411" s="700"/>
      <c r="AZ411" s="701"/>
    </row>
    <row r="412" spans="1:52" ht="30.75" thickBot="1">
      <c r="A412" s="67">
        <f t="shared" si="218"/>
        <v>44870</v>
      </c>
      <c r="B412" s="155"/>
      <c r="C412" s="155"/>
      <c r="D412" s="155"/>
      <c r="E412" s="155"/>
      <c r="F412" s="155"/>
      <c r="G412" s="155"/>
      <c r="H412" s="155"/>
      <c r="I412" s="155"/>
      <c r="J412" s="155"/>
      <c r="K412" s="155"/>
      <c r="L412" s="155"/>
      <c r="M412" s="155"/>
      <c r="N412" s="155"/>
      <c r="O412" s="155"/>
      <c r="P412" s="155"/>
      <c r="Q412" s="155"/>
      <c r="R412" s="156"/>
      <c r="S412" s="156"/>
      <c r="T412" s="833"/>
      <c r="U412" s="833"/>
      <c r="V412" s="833"/>
      <c r="W412" s="833"/>
      <c r="X412" s="833"/>
      <c r="Y412" s="255">
        <f t="shared" si="216"/>
        <v>0</v>
      </c>
      <c r="Z412" s="309">
        <f t="shared" si="217"/>
        <v>0</v>
      </c>
      <c r="AA412" s="256">
        <f t="shared" si="214"/>
        <v>0</v>
      </c>
      <c r="AB412" s="309"/>
      <c r="AC412" s="309"/>
      <c r="AD412" s="320">
        <f t="shared" si="215"/>
        <v>0</v>
      </c>
      <c r="AF412" s="11"/>
      <c r="AG412" s="579"/>
      <c r="AH412" s="64">
        <f t="shared" si="219"/>
        <v>43378</v>
      </c>
      <c r="AI412" s="698"/>
      <c r="AJ412" s="699"/>
      <c r="AK412" s="699"/>
      <c r="AL412" s="699"/>
      <c r="AM412" s="699"/>
      <c r="AN412" s="699"/>
      <c r="AO412" s="699"/>
      <c r="AP412" s="699"/>
      <c r="AQ412" s="699"/>
      <c r="AR412" s="699"/>
      <c r="AS412" s="699"/>
      <c r="AT412" s="699"/>
      <c r="AU412" s="699"/>
      <c r="AV412" s="699"/>
      <c r="AW412" s="699"/>
      <c r="AX412" s="700"/>
      <c r="AY412" s="700"/>
      <c r="AZ412" s="701"/>
    </row>
    <row r="413" spans="1:52" ht="30.75" thickBot="1">
      <c r="A413" s="67">
        <f t="shared" si="218"/>
        <v>44871</v>
      </c>
      <c r="B413" s="155"/>
      <c r="C413" s="155"/>
      <c r="D413" s="155"/>
      <c r="E413" s="155"/>
      <c r="F413" s="155"/>
      <c r="G413" s="155"/>
      <c r="H413" s="155"/>
      <c r="I413" s="155"/>
      <c r="J413" s="155"/>
      <c r="K413" s="155"/>
      <c r="L413" s="155"/>
      <c r="M413" s="155"/>
      <c r="N413" s="155"/>
      <c r="O413" s="155"/>
      <c r="P413" s="155"/>
      <c r="Q413" s="155"/>
      <c r="R413" s="156"/>
      <c r="S413" s="156"/>
      <c r="T413" s="833"/>
      <c r="U413" s="833"/>
      <c r="V413" s="833"/>
      <c r="W413" s="833"/>
      <c r="X413" s="833"/>
      <c r="Y413" s="255">
        <f t="shared" si="216"/>
        <v>0</v>
      </c>
      <c r="Z413" s="309">
        <f t="shared" si="217"/>
        <v>0</v>
      </c>
      <c r="AA413" s="256">
        <f t="shared" si="214"/>
        <v>0</v>
      </c>
      <c r="AB413" s="309"/>
      <c r="AC413" s="309"/>
      <c r="AD413" s="320">
        <f t="shared" si="215"/>
        <v>0</v>
      </c>
      <c r="AF413" s="11"/>
      <c r="AG413" s="579"/>
      <c r="AH413" s="64">
        <f t="shared" si="219"/>
        <v>43379</v>
      </c>
      <c r="AI413" s="698"/>
      <c r="AJ413" s="699"/>
      <c r="AK413" s="699"/>
      <c r="AL413" s="699"/>
      <c r="AM413" s="699"/>
      <c r="AN413" s="699"/>
      <c r="AO413" s="699"/>
      <c r="AP413" s="699"/>
      <c r="AQ413" s="699"/>
      <c r="AR413" s="699"/>
      <c r="AS413" s="699"/>
      <c r="AT413" s="699"/>
      <c r="AU413" s="699"/>
      <c r="AV413" s="699"/>
      <c r="AW413" s="699"/>
      <c r="AX413" s="700"/>
      <c r="AY413" s="700"/>
      <c r="AZ413" s="701"/>
    </row>
    <row r="414" spans="1:52" ht="30.75" thickBot="1">
      <c r="A414" s="67">
        <f t="shared" si="218"/>
        <v>44872</v>
      </c>
      <c r="B414" s="155"/>
      <c r="C414" s="155"/>
      <c r="D414" s="155"/>
      <c r="E414" s="155"/>
      <c r="F414" s="155"/>
      <c r="G414" s="155"/>
      <c r="H414" s="155"/>
      <c r="I414" s="155"/>
      <c r="J414" s="155"/>
      <c r="K414" s="155"/>
      <c r="L414" s="155"/>
      <c r="M414" s="155"/>
      <c r="N414" s="155"/>
      <c r="O414" s="155"/>
      <c r="P414" s="155"/>
      <c r="Q414" s="155"/>
      <c r="R414" s="156"/>
      <c r="S414" s="156"/>
      <c r="T414" s="833"/>
      <c r="U414" s="833"/>
      <c r="V414" s="833"/>
      <c r="W414" s="833"/>
      <c r="X414" s="833"/>
      <c r="Y414" s="255">
        <f t="shared" si="216"/>
        <v>0</v>
      </c>
      <c r="Z414" s="309">
        <f t="shared" si="217"/>
        <v>0</v>
      </c>
      <c r="AA414" s="256">
        <f t="shared" si="214"/>
        <v>0</v>
      </c>
      <c r="AB414" s="309"/>
      <c r="AC414" s="309"/>
      <c r="AD414" s="320">
        <f t="shared" si="215"/>
        <v>0</v>
      </c>
      <c r="AF414" s="11"/>
      <c r="AG414" s="579"/>
      <c r="AH414" s="64">
        <f t="shared" si="219"/>
        <v>43380</v>
      </c>
      <c r="AI414" s="698"/>
      <c r="AJ414" s="699"/>
      <c r="AK414" s="699"/>
      <c r="AL414" s="699"/>
      <c r="AM414" s="699"/>
      <c r="AN414" s="699"/>
      <c r="AO414" s="699"/>
      <c r="AP414" s="699"/>
      <c r="AQ414" s="699"/>
      <c r="AR414" s="699"/>
      <c r="AS414" s="699"/>
      <c r="AT414" s="699"/>
      <c r="AU414" s="699"/>
      <c r="AV414" s="699"/>
      <c r="AW414" s="699"/>
      <c r="AX414" s="700"/>
      <c r="AY414" s="700"/>
      <c r="AZ414" s="701"/>
    </row>
    <row r="415" spans="1:52" ht="30.75" thickBot="1">
      <c r="A415" s="67">
        <f t="shared" si="218"/>
        <v>44873</v>
      </c>
      <c r="B415" s="155"/>
      <c r="C415" s="155"/>
      <c r="D415" s="155"/>
      <c r="E415" s="155"/>
      <c r="F415" s="155"/>
      <c r="G415" s="155"/>
      <c r="H415" s="155"/>
      <c r="I415" s="155"/>
      <c r="J415" s="155"/>
      <c r="K415" s="155"/>
      <c r="L415" s="155"/>
      <c r="M415" s="155"/>
      <c r="N415" s="155"/>
      <c r="O415" s="155"/>
      <c r="P415" s="155"/>
      <c r="Q415" s="155"/>
      <c r="R415" s="156"/>
      <c r="S415" s="156"/>
      <c r="T415" s="833"/>
      <c r="U415" s="833"/>
      <c r="V415" s="833"/>
      <c r="W415" s="833"/>
      <c r="X415" s="833"/>
      <c r="Y415" s="255">
        <f t="shared" si="216"/>
        <v>0</v>
      </c>
      <c r="Z415" s="309">
        <f t="shared" si="217"/>
        <v>0</v>
      </c>
      <c r="AA415" s="256">
        <f t="shared" si="214"/>
        <v>0</v>
      </c>
      <c r="AB415" s="309"/>
      <c r="AC415" s="309"/>
      <c r="AD415" s="320">
        <f t="shared" si="215"/>
        <v>0</v>
      </c>
      <c r="AF415" s="11"/>
      <c r="AG415" s="579"/>
      <c r="AH415" s="64">
        <f t="shared" si="219"/>
        <v>43381</v>
      </c>
      <c r="AI415" s="698"/>
      <c r="AJ415" s="699"/>
      <c r="AK415" s="699"/>
      <c r="AL415" s="699"/>
      <c r="AM415" s="699"/>
      <c r="AN415" s="699"/>
      <c r="AO415" s="699"/>
      <c r="AP415" s="699"/>
      <c r="AQ415" s="699"/>
      <c r="AR415" s="699"/>
      <c r="AS415" s="699"/>
      <c r="AT415" s="699"/>
      <c r="AU415" s="699"/>
      <c r="AV415" s="699"/>
      <c r="AW415" s="699"/>
      <c r="AX415" s="700"/>
      <c r="AY415" s="700"/>
      <c r="AZ415" s="701"/>
    </row>
    <row r="416" spans="1:52" ht="30.75" thickBot="1">
      <c r="A416" s="67">
        <f t="shared" si="218"/>
        <v>44874</v>
      </c>
      <c r="B416" s="155"/>
      <c r="C416" s="155"/>
      <c r="D416" s="155"/>
      <c r="E416" s="155"/>
      <c r="F416" s="155"/>
      <c r="G416" s="155"/>
      <c r="H416" s="155"/>
      <c r="I416" s="155"/>
      <c r="J416" s="155"/>
      <c r="K416" s="155"/>
      <c r="L416" s="155"/>
      <c r="M416" s="155"/>
      <c r="N416" s="155"/>
      <c r="O416" s="155"/>
      <c r="P416" s="155"/>
      <c r="Q416" s="155"/>
      <c r="R416" s="156"/>
      <c r="S416" s="156"/>
      <c r="T416" s="833"/>
      <c r="U416" s="833"/>
      <c r="V416" s="833"/>
      <c r="W416" s="833"/>
      <c r="X416" s="833"/>
      <c r="Y416" s="255">
        <f t="shared" si="216"/>
        <v>0</v>
      </c>
      <c r="Z416" s="309">
        <f t="shared" si="217"/>
        <v>0</v>
      </c>
      <c r="AA416" s="256">
        <f t="shared" si="214"/>
        <v>0</v>
      </c>
      <c r="AB416" s="309"/>
      <c r="AC416" s="309"/>
      <c r="AD416" s="320">
        <f t="shared" si="215"/>
        <v>0</v>
      </c>
      <c r="AF416" s="11"/>
      <c r="AG416" s="579"/>
      <c r="AH416" s="64">
        <f t="shared" si="219"/>
        <v>43382</v>
      </c>
      <c r="AI416" s="698"/>
      <c r="AJ416" s="699"/>
      <c r="AK416" s="699"/>
      <c r="AL416" s="699"/>
      <c r="AM416" s="699"/>
      <c r="AN416" s="699"/>
      <c r="AO416" s="699"/>
      <c r="AP416" s="699"/>
      <c r="AQ416" s="699"/>
      <c r="AR416" s="699"/>
      <c r="AS416" s="699"/>
      <c r="AT416" s="699"/>
      <c r="AU416" s="699"/>
      <c r="AV416" s="699"/>
      <c r="AW416" s="699"/>
      <c r="AX416" s="700"/>
      <c r="AY416" s="700"/>
      <c r="AZ416" s="701"/>
    </row>
    <row r="417" spans="1:52" ht="30.75" thickBot="1">
      <c r="A417" s="67">
        <f t="shared" si="218"/>
        <v>44875</v>
      </c>
      <c r="B417" s="155"/>
      <c r="C417" s="155"/>
      <c r="D417" s="155"/>
      <c r="E417" s="155"/>
      <c r="F417" s="155"/>
      <c r="G417" s="155"/>
      <c r="H417" s="155"/>
      <c r="I417" s="155"/>
      <c r="J417" s="155"/>
      <c r="K417" s="155"/>
      <c r="L417" s="155"/>
      <c r="M417" s="155"/>
      <c r="N417" s="155"/>
      <c r="O417" s="155"/>
      <c r="P417" s="155"/>
      <c r="Q417" s="155"/>
      <c r="R417" s="156"/>
      <c r="S417" s="156"/>
      <c r="T417" s="833"/>
      <c r="U417" s="833"/>
      <c r="V417" s="833"/>
      <c r="W417" s="833"/>
      <c r="X417" s="833"/>
      <c r="Y417" s="255">
        <f t="shared" si="216"/>
        <v>0</v>
      </c>
      <c r="Z417" s="309">
        <f t="shared" si="217"/>
        <v>0</v>
      </c>
      <c r="AA417" s="256">
        <f t="shared" si="214"/>
        <v>0</v>
      </c>
      <c r="AB417" s="309"/>
      <c r="AC417" s="309"/>
      <c r="AD417" s="320">
        <f t="shared" si="215"/>
        <v>0</v>
      </c>
      <c r="AF417" s="11"/>
      <c r="AG417" s="579"/>
      <c r="AH417" s="64">
        <f t="shared" si="219"/>
        <v>43383</v>
      </c>
      <c r="AI417" s="698"/>
      <c r="AJ417" s="699"/>
      <c r="AK417" s="699"/>
      <c r="AL417" s="699"/>
      <c r="AM417" s="699"/>
      <c r="AN417" s="699"/>
      <c r="AO417" s="699"/>
      <c r="AP417" s="699"/>
      <c r="AQ417" s="699"/>
      <c r="AR417" s="699"/>
      <c r="AS417" s="699"/>
      <c r="AT417" s="699"/>
      <c r="AU417" s="699"/>
      <c r="AV417" s="699"/>
      <c r="AW417" s="699"/>
      <c r="AX417" s="700"/>
      <c r="AY417" s="700"/>
      <c r="AZ417" s="701"/>
    </row>
    <row r="418" spans="1:52" ht="30.75" thickBot="1">
      <c r="A418" s="67">
        <f t="shared" si="218"/>
        <v>44876</v>
      </c>
      <c r="B418" s="155"/>
      <c r="C418" s="155"/>
      <c r="D418" s="155"/>
      <c r="E418" s="155"/>
      <c r="F418" s="155"/>
      <c r="G418" s="155"/>
      <c r="H418" s="155"/>
      <c r="I418" s="155"/>
      <c r="J418" s="155"/>
      <c r="K418" s="155"/>
      <c r="L418" s="155"/>
      <c r="M418" s="155"/>
      <c r="N418" s="155"/>
      <c r="O418" s="155"/>
      <c r="P418" s="155"/>
      <c r="Q418" s="155"/>
      <c r="R418" s="156"/>
      <c r="S418" s="156"/>
      <c r="T418" s="833"/>
      <c r="U418" s="833"/>
      <c r="V418" s="833"/>
      <c r="W418" s="833"/>
      <c r="X418" s="833"/>
      <c r="Y418" s="255">
        <f t="shared" si="216"/>
        <v>0</v>
      </c>
      <c r="Z418" s="309">
        <f t="shared" si="217"/>
        <v>0</v>
      </c>
      <c r="AA418" s="256">
        <f t="shared" si="214"/>
        <v>0</v>
      </c>
      <c r="AB418" s="309"/>
      <c r="AC418" s="309"/>
      <c r="AD418" s="320">
        <f t="shared" si="215"/>
        <v>0</v>
      </c>
      <c r="AF418" s="11"/>
      <c r="AG418" s="579"/>
      <c r="AH418" s="64">
        <f t="shared" si="219"/>
        <v>43384</v>
      </c>
      <c r="AI418" s="698"/>
      <c r="AJ418" s="699"/>
      <c r="AK418" s="699"/>
      <c r="AL418" s="699"/>
      <c r="AM418" s="699"/>
      <c r="AN418" s="699"/>
      <c r="AO418" s="699"/>
      <c r="AP418" s="699"/>
      <c r="AQ418" s="699"/>
      <c r="AR418" s="699"/>
      <c r="AS418" s="699"/>
      <c r="AT418" s="699"/>
      <c r="AU418" s="699"/>
      <c r="AV418" s="699"/>
      <c r="AW418" s="699"/>
      <c r="AX418" s="700"/>
      <c r="AY418" s="700"/>
      <c r="AZ418" s="701"/>
    </row>
    <row r="419" spans="1:52" ht="30.75" thickBot="1">
      <c r="A419" s="67">
        <f t="shared" si="218"/>
        <v>44877</v>
      </c>
      <c r="B419" s="155"/>
      <c r="C419" s="155"/>
      <c r="D419" s="155"/>
      <c r="E419" s="155"/>
      <c r="F419" s="155"/>
      <c r="G419" s="155"/>
      <c r="H419" s="155"/>
      <c r="I419" s="155"/>
      <c r="J419" s="155"/>
      <c r="K419" s="155"/>
      <c r="L419" s="155"/>
      <c r="M419" s="155"/>
      <c r="N419" s="155"/>
      <c r="O419" s="155"/>
      <c r="P419" s="155"/>
      <c r="Q419" s="155"/>
      <c r="R419" s="156"/>
      <c r="S419" s="156"/>
      <c r="T419" s="833"/>
      <c r="U419" s="833"/>
      <c r="V419" s="833"/>
      <c r="W419" s="833"/>
      <c r="X419" s="833"/>
      <c r="Y419" s="255">
        <f t="shared" si="216"/>
        <v>0</v>
      </c>
      <c r="Z419" s="309">
        <f t="shared" si="217"/>
        <v>0</v>
      </c>
      <c r="AA419" s="256">
        <f t="shared" si="214"/>
        <v>0</v>
      </c>
      <c r="AB419" s="309"/>
      <c r="AC419" s="309"/>
      <c r="AD419" s="320">
        <f t="shared" si="215"/>
        <v>0</v>
      </c>
      <c r="AF419" s="11"/>
      <c r="AG419" s="579"/>
      <c r="AH419" s="64">
        <f t="shared" si="219"/>
        <v>43385</v>
      </c>
      <c r="AI419" s="698"/>
      <c r="AJ419" s="699"/>
      <c r="AK419" s="699"/>
      <c r="AL419" s="699"/>
      <c r="AM419" s="699"/>
      <c r="AN419" s="699"/>
      <c r="AO419" s="699"/>
      <c r="AP419" s="699"/>
      <c r="AQ419" s="699"/>
      <c r="AR419" s="699"/>
      <c r="AS419" s="699"/>
      <c r="AT419" s="699"/>
      <c r="AU419" s="699"/>
      <c r="AV419" s="699"/>
      <c r="AW419" s="699"/>
      <c r="AX419" s="700"/>
      <c r="AY419" s="700"/>
      <c r="AZ419" s="701"/>
    </row>
    <row r="420" spans="1:52" ht="30.75" thickBot="1">
      <c r="A420" s="67">
        <f t="shared" si="218"/>
        <v>44878</v>
      </c>
      <c r="B420" s="155"/>
      <c r="C420" s="155"/>
      <c r="D420" s="155"/>
      <c r="E420" s="155"/>
      <c r="F420" s="155"/>
      <c r="G420" s="155"/>
      <c r="H420" s="155"/>
      <c r="I420" s="155"/>
      <c r="J420" s="155"/>
      <c r="K420" s="155"/>
      <c r="L420" s="155"/>
      <c r="M420" s="155"/>
      <c r="N420" s="155"/>
      <c r="O420" s="155"/>
      <c r="P420" s="155"/>
      <c r="Q420" s="155"/>
      <c r="R420" s="156"/>
      <c r="S420" s="156"/>
      <c r="T420" s="833"/>
      <c r="U420" s="833"/>
      <c r="V420" s="833"/>
      <c r="W420" s="833"/>
      <c r="X420" s="833"/>
      <c r="Y420" s="255">
        <f t="shared" si="216"/>
        <v>0</v>
      </c>
      <c r="Z420" s="309">
        <f t="shared" si="217"/>
        <v>0</v>
      </c>
      <c r="AA420" s="256">
        <f t="shared" si="214"/>
        <v>0</v>
      </c>
      <c r="AB420" s="309"/>
      <c r="AC420" s="309"/>
      <c r="AD420" s="320">
        <f t="shared" si="215"/>
        <v>0</v>
      </c>
      <c r="AF420" s="11"/>
      <c r="AG420" s="579"/>
      <c r="AH420" s="64">
        <f t="shared" si="219"/>
        <v>43386</v>
      </c>
      <c r="AI420" s="698"/>
      <c r="AJ420" s="699"/>
      <c r="AK420" s="699"/>
      <c r="AL420" s="699"/>
      <c r="AM420" s="699"/>
      <c r="AN420" s="699"/>
      <c r="AO420" s="699"/>
      <c r="AP420" s="699"/>
      <c r="AQ420" s="699"/>
      <c r="AR420" s="699"/>
      <c r="AS420" s="699"/>
      <c r="AT420" s="699"/>
      <c r="AU420" s="699"/>
      <c r="AV420" s="699"/>
      <c r="AW420" s="699"/>
      <c r="AX420" s="700"/>
      <c r="AY420" s="700"/>
      <c r="AZ420" s="701"/>
    </row>
    <row r="421" spans="1:52" ht="30.75" thickBot="1">
      <c r="A421" s="67">
        <f t="shared" si="218"/>
        <v>44879</v>
      </c>
      <c r="B421" s="155"/>
      <c r="C421" s="155"/>
      <c r="D421" s="155"/>
      <c r="E421" s="155"/>
      <c r="F421" s="155"/>
      <c r="G421" s="155"/>
      <c r="H421" s="155"/>
      <c r="I421" s="155"/>
      <c r="J421" s="155"/>
      <c r="K421" s="155"/>
      <c r="L421" s="155"/>
      <c r="M421" s="155"/>
      <c r="N421" s="155"/>
      <c r="O421" s="155"/>
      <c r="P421" s="155"/>
      <c r="Q421" s="155"/>
      <c r="R421" s="156"/>
      <c r="S421" s="156"/>
      <c r="T421" s="833"/>
      <c r="U421" s="833"/>
      <c r="V421" s="833"/>
      <c r="W421" s="833"/>
      <c r="X421" s="833"/>
      <c r="Y421" s="255">
        <f t="shared" si="216"/>
        <v>0</v>
      </c>
      <c r="Z421" s="309">
        <f t="shared" si="217"/>
        <v>0</v>
      </c>
      <c r="AA421" s="256">
        <f t="shared" si="214"/>
        <v>0</v>
      </c>
      <c r="AB421" s="309"/>
      <c r="AC421" s="309"/>
      <c r="AD421" s="320">
        <f t="shared" si="215"/>
        <v>0</v>
      </c>
      <c r="AF421" s="11"/>
      <c r="AG421" s="579"/>
      <c r="AH421" s="64">
        <f t="shared" si="219"/>
        <v>43387</v>
      </c>
      <c r="AI421" s="698"/>
      <c r="AJ421" s="699"/>
      <c r="AK421" s="699"/>
      <c r="AL421" s="699"/>
      <c r="AM421" s="699"/>
      <c r="AN421" s="699"/>
      <c r="AO421" s="699"/>
      <c r="AP421" s="699"/>
      <c r="AQ421" s="699"/>
      <c r="AR421" s="699"/>
      <c r="AS421" s="699"/>
      <c r="AT421" s="699"/>
      <c r="AU421" s="699"/>
      <c r="AV421" s="699"/>
      <c r="AW421" s="699"/>
      <c r="AX421" s="700"/>
      <c r="AY421" s="700"/>
      <c r="AZ421" s="701"/>
    </row>
    <row r="422" spans="1:52" ht="30.75" thickBot="1">
      <c r="A422" s="67">
        <f t="shared" si="218"/>
        <v>44880</v>
      </c>
      <c r="B422" s="155"/>
      <c r="C422" s="155"/>
      <c r="D422" s="155"/>
      <c r="E422" s="155"/>
      <c r="F422" s="155"/>
      <c r="G422" s="155"/>
      <c r="H422" s="155"/>
      <c r="I422" s="155"/>
      <c r="J422" s="155"/>
      <c r="K422" s="155"/>
      <c r="L422" s="155"/>
      <c r="M422" s="155"/>
      <c r="N422" s="155"/>
      <c r="O422" s="155"/>
      <c r="P422" s="155"/>
      <c r="Q422" s="155"/>
      <c r="R422" s="156"/>
      <c r="S422" s="156"/>
      <c r="T422" s="833"/>
      <c r="U422" s="833"/>
      <c r="V422" s="833"/>
      <c r="W422" s="833"/>
      <c r="X422" s="833"/>
      <c r="Y422" s="255">
        <f t="shared" si="216"/>
        <v>0</v>
      </c>
      <c r="Z422" s="309">
        <f t="shared" si="217"/>
        <v>0</v>
      </c>
      <c r="AA422" s="256">
        <f t="shared" si="214"/>
        <v>0</v>
      </c>
      <c r="AB422" s="309"/>
      <c r="AC422" s="309"/>
      <c r="AD422" s="320">
        <f t="shared" si="215"/>
        <v>0</v>
      </c>
      <c r="AF422" s="11"/>
      <c r="AG422" s="579"/>
      <c r="AH422" s="64">
        <f t="shared" si="219"/>
        <v>43388</v>
      </c>
      <c r="AI422" s="698"/>
      <c r="AJ422" s="699"/>
      <c r="AK422" s="699"/>
      <c r="AL422" s="699"/>
      <c r="AM422" s="699"/>
      <c r="AN422" s="699"/>
      <c r="AO422" s="699"/>
      <c r="AP422" s="699"/>
      <c r="AQ422" s="699"/>
      <c r="AR422" s="699"/>
      <c r="AS422" s="699"/>
      <c r="AT422" s="699"/>
      <c r="AU422" s="699"/>
      <c r="AV422" s="699"/>
      <c r="AW422" s="699"/>
      <c r="AX422" s="700"/>
      <c r="AY422" s="700"/>
      <c r="AZ422" s="701"/>
    </row>
    <row r="423" spans="1:52" ht="30.75" thickBot="1">
      <c r="A423" s="67">
        <f t="shared" si="218"/>
        <v>44881</v>
      </c>
      <c r="B423" s="155"/>
      <c r="C423" s="155"/>
      <c r="D423" s="155"/>
      <c r="E423" s="155"/>
      <c r="F423" s="155"/>
      <c r="G423" s="155"/>
      <c r="H423" s="155"/>
      <c r="I423" s="155"/>
      <c r="J423" s="155"/>
      <c r="K423" s="155"/>
      <c r="L423" s="155"/>
      <c r="M423" s="155"/>
      <c r="N423" s="155"/>
      <c r="O423" s="155"/>
      <c r="P423" s="155"/>
      <c r="Q423" s="155"/>
      <c r="R423" s="156"/>
      <c r="S423" s="156"/>
      <c r="T423" s="833"/>
      <c r="U423" s="833"/>
      <c r="V423" s="833"/>
      <c r="W423" s="833"/>
      <c r="X423" s="833"/>
      <c r="Y423" s="255">
        <f t="shared" si="216"/>
        <v>0</v>
      </c>
      <c r="Z423" s="309">
        <f t="shared" si="217"/>
        <v>0</v>
      </c>
      <c r="AA423" s="256">
        <f t="shared" si="214"/>
        <v>0</v>
      </c>
      <c r="AB423" s="309"/>
      <c r="AC423" s="309"/>
      <c r="AD423" s="320">
        <f t="shared" si="215"/>
        <v>0</v>
      </c>
      <c r="AF423" s="11"/>
      <c r="AG423" s="579"/>
      <c r="AH423" s="64">
        <f t="shared" si="219"/>
        <v>43389</v>
      </c>
      <c r="AI423" s="698"/>
      <c r="AJ423" s="699"/>
      <c r="AK423" s="699"/>
      <c r="AL423" s="699"/>
      <c r="AM423" s="699"/>
      <c r="AN423" s="699"/>
      <c r="AO423" s="699"/>
      <c r="AP423" s="699"/>
      <c r="AQ423" s="699"/>
      <c r="AR423" s="699"/>
      <c r="AS423" s="699"/>
      <c r="AT423" s="699"/>
      <c r="AU423" s="699"/>
      <c r="AV423" s="699"/>
      <c r="AW423" s="699"/>
      <c r="AX423" s="700"/>
      <c r="AY423" s="700"/>
      <c r="AZ423" s="701"/>
    </row>
    <row r="424" spans="1:52" ht="30.75" thickBot="1">
      <c r="A424" s="67">
        <f t="shared" si="218"/>
        <v>44882</v>
      </c>
      <c r="B424" s="155"/>
      <c r="C424" s="155"/>
      <c r="D424" s="155"/>
      <c r="E424" s="155"/>
      <c r="F424" s="155"/>
      <c r="G424" s="155"/>
      <c r="H424" s="155"/>
      <c r="I424" s="155"/>
      <c r="J424" s="155"/>
      <c r="K424" s="155"/>
      <c r="L424" s="155"/>
      <c r="M424" s="155"/>
      <c r="N424" s="155"/>
      <c r="O424" s="155"/>
      <c r="P424" s="155"/>
      <c r="Q424" s="155"/>
      <c r="R424" s="156"/>
      <c r="S424" s="156"/>
      <c r="T424" s="833"/>
      <c r="U424" s="833"/>
      <c r="V424" s="833"/>
      <c r="W424" s="833"/>
      <c r="X424" s="833"/>
      <c r="Y424" s="255">
        <f t="shared" si="216"/>
        <v>0</v>
      </c>
      <c r="Z424" s="309">
        <f t="shared" si="217"/>
        <v>0</v>
      </c>
      <c r="AA424" s="256">
        <f t="shared" si="214"/>
        <v>0</v>
      </c>
      <c r="AB424" s="309"/>
      <c r="AC424" s="309"/>
      <c r="AD424" s="320">
        <f t="shared" si="215"/>
        <v>0</v>
      </c>
      <c r="AF424" s="11"/>
      <c r="AG424" s="579"/>
      <c r="AH424" s="64">
        <f t="shared" si="219"/>
        <v>43390</v>
      </c>
      <c r="AI424" s="698"/>
      <c r="AJ424" s="699"/>
      <c r="AK424" s="699"/>
      <c r="AL424" s="699"/>
      <c r="AM424" s="699"/>
      <c r="AN424" s="699"/>
      <c r="AO424" s="699"/>
      <c r="AP424" s="699"/>
      <c r="AQ424" s="699"/>
      <c r="AR424" s="699"/>
      <c r="AS424" s="699"/>
      <c r="AT424" s="699"/>
      <c r="AU424" s="699"/>
      <c r="AV424" s="699"/>
      <c r="AW424" s="699"/>
      <c r="AX424" s="700"/>
      <c r="AY424" s="700"/>
      <c r="AZ424" s="701"/>
    </row>
    <row r="425" spans="1:52" ht="30.75" thickBot="1">
      <c r="A425" s="67">
        <f t="shared" si="218"/>
        <v>44883</v>
      </c>
      <c r="B425" s="155"/>
      <c r="C425" s="155"/>
      <c r="D425" s="155"/>
      <c r="E425" s="155"/>
      <c r="F425" s="155"/>
      <c r="G425" s="155"/>
      <c r="H425" s="155"/>
      <c r="I425" s="155"/>
      <c r="J425" s="155"/>
      <c r="K425" s="155"/>
      <c r="L425" s="155"/>
      <c r="M425" s="155"/>
      <c r="N425" s="155"/>
      <c r="O425" s="155"/>
      <c r="P425" s="155"/>
      <c r="Q425" s="155"/>
      <c r="R425" s="156"/>
      <c r="S425" s="156"/>
      <c r="T425" s="833"/>
      <c r="U425" s="833"/>
      <c r="V425" s="833"/>
      <c r="W425" s="833"/>
      <c r="X425" s="833"/>
      <c r="Y425" s="255">
        <f t="shared" si="216"/>
        <v>0</v>
      </c>
      <c r="Z425" s="309">
        <f t="shared" si="217"/>
        <v>0</v>
      </c>
      <c r="AA425" s="256">
        <f t="shared" si="214"/>
        <v>0</v>
      </c>
      <c r="AB425" s="309"/>
      <c r="AC425" s="309"/>
      <c r="AD425" s="320">
        <f t="shared" si="215"/>
        <v>0</v>
      </c>
      <c r="AF425" s="11"/>
      <c r="AG425" s="579"/>
      <c r="AH425" s="64">
        <f t="shared" si="219"/>
        <v>43391</v>
      </c>
      <c r="AI425" s="698"/>
      <c r="AJ425" s="699"/>
      <c r="AK425" s="699"/>
      <c r="AL425" s="699"/>
      <c r="AM425" s="699"/>
      <c r="AN425" s="699"/>
      <c r="AO425" s="699"/>
      <c r="AP425" s="699"/>
      <c r="AQ425" s="699"/>
      <c r="AR425" s="699"/>
      <c r="AS425" s="699"/>
      <c r="AT425" s="699"/>
      <c r="AU425" s="699"/>
      <c r="AV425" s="699"/>
      <c r="AW425" s="699"/>
      <c r="AX425" s="700"/>
      <c r="AY425" s="700"/>
      <c r="AZ425" s="701"/>
    </row>
    <row r="426" spans="1:52" ht="30.75" thickBot="1">
      <c r="A426" s="67">
        <f t="shared" si="218"/>
        <v>44884</v>
      </c>
      <c r="B426" s="155"/>
      <c r="C426" s="155"/>
      <c r="D426" s="155"/>
      <c r="E426" s="155"/>
      <c r="F426" s="155"/>
      <c r="G426" s="155"/>
      <c r="H426" s="155"/>
      <c r="I426" s="155"/>
      <c r="J426" s="155"/>
      <c r="K426" s="155"/>
      <c r="L426" s="155"/>
      <c r="M426" s="155"/>
      <c r="N426" s="155"/>
      <c r="O426" s="155"/>
      <c r="P426" s="155"/>
      <c r="Q426" s="155"/>
      <c r="R426" s="156"/>
      <c r="S426" s="156"/>
      <c r="T426" s="833"/>
      <c r="U426" s="833"/>
      <c r="V426" s="833"/>
      <c r="W426" s="833"/>
      <c r="X426" s="833"/>
      <c r="Y426" s="255">
        <f t="shared" si="216"/>
        <v>0</v>
      </c>
      <c r="Z426" s="309">
        <f t="shared" si="217"/>
        <v>0</v>
      </c>
      <c r="AA426" s="256">
        <f t="shared" si="214"/>
        <v>0</v>
      </c>
      <c r="AB426" s="309"/>
      <c r="AC426" s="309"/>
      <c r="AD426" s="320">
        <f t="shared" si="215"/>
        <v>0</v>
      </c>
      <c r="AF426" s="11"/>
      <c r="AG426" s="579"/>
      <c r="AH426" s="64">
        <f t="shared" si="219"/>
        <v>43392</v>
      </c>
      <c r="AI426" s="698"/>
      <c r="AJ426" s="699"/>
      <c r="AK426" s="699"/>
      <c r="AL426" s="699"/>
      <c r="AM426" s="699"/>
      <c r="AN426" s="699"/>
      <c r="AO426" s="699"/>
      <c r="AP426" s="699"/>
      <c r="AQ426" s="699"/>
      <c r="AR426" s="699"/>
      <c r="AS426" s="699"/>
      <c r="AT426" s="699"/>
      <c r="AU426" s="699"/>
      <c r="AV426" s="699"/>
      <c r="AW426" s="699"/>
      <c r="AX426" s="700"/>
      <c r="AY426" s="700"/>
      <c r="AZ426" s="701"/>
    </row>
    <row r="427" spans="1:52" ht="30.75" thickBot="1">
      <c r="A427" s="67">
        <f t="shared" si="218"/>
        <v>44885</v>
      </c>
      <c r="B427" s="155"/>
      <c r="C427" s="155"/>
      <c r="D427" s="155"/>
      <c r="E427" s="155"/>
      <c r="F427" s="155"/>
      <c r="G427" s="155"/>
      <c r="H427" s="155"/>
      <c r="I427" s="155"/>
      <c r="J427" s="155"/>
      <c r="K427" s="155"/>
      <c r="L427" s="155"/>
      <c r="M427" s="155"/>
      <c r="N427" s="155"/>
      <c r="O427" s="155"/>
      <c r="P427" s="155"/>
      <c r="Q427" s="155"/>
      <c r="R427" s="156"/>
      <c r="S427" s="156"/>
      <c r="T427" s="833"/>
      <c r="U427" s="833"/>
      <c r="V427" s="833"/>
      <c r="W427" s="833"/>
      <c r="X427" s="833"/>
      <c r="Y427" s="255">
        <f t="shared" si="216"/>
        <v>0</v>
      </c>
      <c r="Z427" s="309">
        <f t="shared" si="217"/>
        <v>0</v>
      </c>
      <c r="AA427" s="256">
        <f t="shared" si="214"/>
        <v>0</v>
      </c>
      <c r="AB427" s="309"/>
      <c r="AC427" s="309"/>
      <c r="AD427" s="320">
        <f t="shared" si="215"/>
        <v>0</v>
      </c>
      <c r="AF427" s="11"/>
      <c r="AG427" s="579"/>
      <c r="AH427" s="64">
        <f t="shared" si="219"/>
        <v>43393</v>
      </c>
      <c r="AI427" s="698"/>
      <c r="AJ427" s="699"/>
      <c r="AK427" s="699"/>
      <c r="AL427" s="699"/>
      <c r="AM427" s="699"/>
      <c r="AN427" s="699"/>
      <c r="AO427" s="699"/>
      <c r="AP427" s="699"/>
      <c r="AQ427" s="699"/>
      <c r="AR427" s="699"/>
      <c r="AS427" s="699"/>
      <c r="AT427" s="699"/>
      <c r="AU427" s="699"/>
      <c r="AV427" s="699"/>
      <c r="AW427" s="699"/>
      <c r="AX427" s="700"/>
      <c r="AY427" s="700"/>
      <c r="AZ427" s="701"/>
    </row>
    <row r="428" spans="1:52" ht="30.75" thickBot="1">
      <c r="A428" s="67">
        <f t="shared" si="218"/>
        <v>44886</v>
      </c>
      <c r="B428" s="155"/>
      <c r="C428" s="155"/>
      <c r="D428" s="155"/>
      <c r="E428" s="155"/>
      <c r="F428" s="155"/>
      <c r="G428" s="155"/>
      <c r="H428" s="155"/>
      <c r="I428" s="155"/>
      <c r="J428" s="155"/>
      <c r="K428" s="155"/>
      <c r="L428" s="155"/>
      <c r="M428" s="155"/>
      <c r="N428" s="155"/>
      <c r="O428" s="155"/>
      <c r="P428" s="155"/>
      <c r="Q428" s="155"/>
      <c r="R428" s="156"/>
      <c r="S428" s="156"/>
      <c r="T428" s="833"/>
      <c r="U428" s="833"/>
      <c r="V428" s="833"/>
      <c r="W428" s="833"/>
      <c r="X428" s="833"/>
      <c r="Y428" s="255">
        <f t="shared" si="216"/>
        <v>0</v>
      </c>
      <c r="Z428" s="309">
        <f t="shared" si="217"/>
        <v>0</v>
      </c>
      <c r="AA428" s="256">
        <f t="shared" si="214"/>
        <v>0</v>
      </c>
      <c r="AB428" s="309"/>
      <c r="AC428" s="309"/>
      <c r="AD428" s="320">
        <f t="shared" si="215"/>
        <v>0</v>
      </c>
      <c r="AF428" s="11"/>
      <c r="AG428" s="579"/>
      <c r="AH428" s="64">
        <f t="shared" si="219"/>
        <v>43394</v>
      </c>
      <c r="AI428" s="698"/>
      <c r="AJ428" s="699"/>
      <c r="AK428" s="699"/>
      <c r="AL428" s="699"/>
      <c r="AM428" s="699"/>
      <c r="AN428" s="699"/>
      <c r="AO428" s="699"/>
      <c r="AP428" s="699"/>
      <c r="AQ428" s="699"/>
      <c r="AR428" s="699"/>
      <c r="AS428" s="699"/>
      <c r="AT428" s="699"/>
      <c r="AU428" s="699"/>
      <c r="AV428" s="699"/>
      <c r="AW428" s="699"/>
      <c r="AX428" s="700"/>
      <c r="AY428" s="700"/>
      <c r="AZ428" s="701"/>
    </row>
    <row r="429" spans="1:52" ht="30.75" thickBot="1">
      <c r="A429" s="67">
        <f t="shared" si="218"/>
        <v>44887</v>
      </c>
      <c r="B429" s="155"/>
      <c r="C429" s="155"/>
      <c r="D429" s="155"/>
      <c r="E429" s="155"/>
      <c r="F429" s="155"/>
      <c r="G429" s="155"/>
      <c r="H429" s="155"/>
      <c r="I429" s="155"/>
      <c r="J429" s="155"/>
      <c r="K429" s="155"/>
      <c r="L429" s="155"/>
      <c r="M429" s="155"/>
      <c r="N429" s="155"/>
      <c r="O429" s="155"/>
      <c r="P429" s="155"/>
      <c r="Q429" s="155"/>
      <c r="R429" s="156"/>
      <c r="S429" s="156"/>
      <c r="T429" s="833"/>
      <c r="U429" s="833"/>
      <c r="V429" s="833"/>
      <c r="W429" s="833"/>
      <c r="X429" s="833"/>
      <c r="Y429" s="255">
        <f t="shared" si="216"/>
        <v>0</v>
      </c>
      <c r="Z429" s="309">
        <f t="shared" si="217"/>
        <v>0</v>
      </c>
      <c r="AA429" s="256">
        <f t="shared" si="214"/>
        <v>0</v>
      </c>
      <c r="AB429" s="309"/>
      <c r="AC429" s="309"/>
      <c r="AD429" s="320">
        <f t="shared" si="215"/>
        <v>0</v>
      </c>
      <c r="AF429" s="11"/>
      <c r="AG429" s="579"/>
      <c r="AH429" s="64">
        <f t="shared" si="219"/>
        <v>43395</v>
      </c>
      <c r="AI429" s="698"/>
      <c r="AJ429" s="699"/>
      <c r="AK429" s="699"/>
      <c r="AL429" s="699"/>
      <c r="AM429" s="699"/>
      <c r="AN429" s="699"/>
      <c r="AO429" s="699"/>
      <c r="AP429" s="699"/>
      <c r="AQ429" s="699"/>
      <c r="AR429" s="699"/>
      <c r="AS429" s="699"/>
      <c r="AT429" s="699"/>
      <c r="AU429" s="699"/>
      <c r="AV429" s="699"/>
      <c r="AW429" s="699"/>
      <c r="AX429" s="700"/>
      <c r="AY429" s="700"/>
      <c r="AZ429" s="701"/>
    </row>
    <row r="430" spans="1:52" ht="30.75" thickBot="1">
      <c r="A430" s="67">
        <f t="shared" si="218"/>
        <v>44888</v>
      </c>
      <c r="B430" s="155"/>
      <c r="C430" s="155"/>
      <c r="D430" s="155"/>
      <c r="E430" s="155"/>
      <c r="F430" s="155"/>
      <c r="G430" s="155"/>
      <c r="H430" s="155"/>
      <c r="I430" s="155"/>
      <c r="J430" s="155"/>
      <c r="K430" s="155"/>
      <c r="L430" s="155"/>
      <c r="M430" s="155"/>
      <c r="N430" s="155"/>
      <c r="O430" s="155"/>
      <c r="P430" s="155"/>
      <c r="Q430" s="155"/>
      <c r="R430" s="156"/>
      <c r="S430" s="156"/>
      <c r="T430" s="833"/>
      <c r="U430" s="833"/>
      <c r="V430" s="833"/>
      <c r="W430" s="833"/>
      <c r="X430" s="833"/>
      <c r="Y430" s="255">
        <f t="shared" si="216"/>
        <v>0</v>
      </c>
      <c r="Z430" s="309">
        <f t="shared" si="217"/>
        <v>0</v>
      </c>
      <c r="AA430" s="256">
        <f t="shared" si="214"/>
        <v>0</v>
      </c>
      <c r="AB430" s="309"/>
      <c r="AC430" s="309"/>
      <c r="AD430" s="320">
        <f t="shared" si="215"/>
        <v>0</v>
      </c>
      <c r="AF430" s="11"/>
      <c r="AG430" s="579"/>
      <c r="AH430" s="64">
        <f t="shared" si="219"/>
        <v>43396</v>
      </c>
      <c r="AI430" s="698"/>
      <c r="AJ430" s="699"/>
      <c r="AK430" s="699"/>
      <c r="AL430" s="699"/>
      <c r="AM430" s="699"/>
      <c r="AN430" s="699"/>
      <c r="AO430" s="699"/>
      <c r="AP430" s="699"/>
      <c r="AQ430" s="699"/>
      <c r="AR430" s="699"/>
      <c r="AS430" s="699"/>
      <c r="AT430" s="699"/>
      <c r="AU430" s="699"/>
      <c r="AV430" s="699"/>
      <c r="AW430" s="699"/>
      <c r="AX430" s="700"/>
      <c r="AY430" s="700"/>
      <c r="AZ430" s="701"/>
    </row>
    <row r="431" spans="1:52" ht="30.75" thickBot="1">
      <c r="A431" s="67">
        <f t="shared" si="218"/>
        <v>44889</v>
      </c>
      <c r="B431" s="155"/>
      <c r="C431" s="155"/>
      <c r="D431" s="155"/>
      <c r="E431" s="155"/>
      <c r="F431" s="155"/>
      <c r="G431" s="155"/>
      <c r="H431" s="155"/>
      <c r="I431" s="155"/>
      <c r="J431" s="155"/>
      <c r="K431" s="155"/>
      <c r="L431" s="155"/>
      <c r="M431" s="155"/>
      <c r="N431" s="155"/>
      <c r="O431" s="155"/>
      <c r="P431" s="155"/>
      <c r="Q431" s="155"/>
      <c r="R431" s="156"/>
      <c r="S431" s="156"/>
      <c r="T431" s="833"/>
      <c r="U431" s="833"/>
      <c r="V431" s="833"/>
      <c r="W431" s="833"/>
      <c r="X431" s="833"/>
      <c r="Y431" s="255">
        <f t="shared" si="216"/>
        <v>0</v>
      </c>
      <c r="Z431" s="309">
        <f t="shared" si="217"/>
        <v>0</v>
      </c>
      <c r="AA431" s="256">
        <f t="shared" si="214"/>
        <v>0</v>
      </c>
      <c r="AB431" s="309"/>
      <c r="AC431" s="309"/>
      <c r="AD431" s="320">
        <f t="shared" si="215"/>
        <v>0</v>
      </c>
      <c r="AF431" s="11"/>
      <c r="AG431" s="579"/>
      <c r="AH431" s="64">
        <f t="shared" si="219"/>
        <v>43397</v>
      </c>
      <c r="AI431" s="698"/>
      <c r="AJ431" s="699"/>
      <c r="AK431" s="699"/>
      <c r="AL431" s="699"/>
      <c r="AM431" s="699"/>
      <c r="AN431" s="699"/>
      <c r="AO431" s="699"/>
      <c r="AP431" s="699"/>
      <c r="AQ431" s="699"/>
      <c r="AR431" s="699"/>
      <c r="AS431" s="699"/>
      <c r="AT431" s="699"/>
      <c r="AU431" s="699"/>
      <c r="AV431" s="699"/>
      <c r="AW431" s="699"/>
      <c r="AX431" s="700"/>
      <c r="AY431" s="700"/>
      <c r="AZ431" s="701"/>
    </row>
    <row r="432" spans="1:52" ht="30.75" thickBot="1">
      <c r="A432" s="67">
        <f t="shared" si="218"/>
        <v>44890</v>
      </c>
      <c r="B432" s="155"/>
      <c r="C432" s="155"/>
      <c r="D432" s="155"/>
      <c r="E432" s="155"/>
      <c r="F432" s="155"/>
      <c r="G432" s="155"/>
      <c r="H432" s="155"/>
      <c r="I432" s="155"/>
      <c r="J432" s="155"/>
      <c r="K432" s="155"/>
      <c r="L432" s="155"/>
      <c r="M432" s="155"/>
      <c r="N432" s="155"/>
      <c r="O432" s="155"/>
      <c r="P432" s="155"/>
      <c r="Q432" s="155"/>
      <c r="R432" s="156"/>
      <c r="S432" s="156"/>
      <c r="T432" s="833"/>
      <c r="U432" s="833"/>
      <c r="V432" s="833"/>
      <c r="W432" s="833"/>
      <c r="X432" s="833"/>
      <c r="Y432" s="255">
        <f t="shared" si="216"/>
        <v>0</v>
      </c>
      <c r="Z432" s="309">
        <f t="shared" si="217"/>
        <v>0</v>
      </c>
      <c r="AA432" s="256">
        <f t="shared" si="214"/>
        <v>0</v>
      </c>
      <c r="AB432" s="309"/>
      <c r="AC432" s="309"/>
      <c r="AD432" s="320">
        <f t="shared" si="215"/>
        <v>0</v>
      </c>
      <c r="AF432" s="11"/>
      <c r="AG432" s="579"/>
      <c r="AH432" s="64">
        <f t="shared" si="219"/>
        <v>43398</v>
      </c>
      <c r="AI432" s="698"/>
      <c r="AJ432" s="699"/>
      <c r="AK432" s="699"/>
      <c r="AL432" s="699"/>
      <c r="AM432" s="699"/>
      <c r="AN432" s="699"/>
      <c r="AO432" s="699"/>
      <c r="AP432" s="699"/>
      <c r="AQ432" s="699"/>
      <c r="AR432" s="699"/>
      <c r="AS432" s="699"/>
      <c r="AT432" s="699"/>
      <c r="AU432" s="699"/>
      <c r="AV432" s="699"/>
      <c r="AW432" s="699"/>
      <c r="AX432" s="700"/>
      <c r="AY432" s="700"/>
      <c r="AZ432" s="701"/>
    </row>
    <row r="433" spans="1:52" ht="30.75" thickBot="1">
      <c r="A433" s="67">
        <f t="shared" si="218"/>
        <v>44891</v>
      </c>
      <c r="B433" s="155"/>
      <c r="C433" s="155"/>
      <c r="D433" s="155"/>
      <c r="E433" s="155"/>
      <c r="F433" s="155"/>
      <c r="G433" s="155"/>
      <c r="H433" s="155"/>
      <c r="I433" s="155"/>
      <c r="J433" s="155"/>
      <c r="K433" s="155"/>
      <c r="L433" s="155"/>
      <c r="M433" s="155"/>
      <c r="N433" s="155"/>
      <c r="O433" s="155"/>
      <c r="P433" s="155"/>
      <c r="Q433" s="155"/>
      <c r="R433" s="156"/>
      <c r="S433" s="156"/>
      <c r="T433" s="833"/>
      <c r="U433" s="833"/>
      <c r="V433" s="833"/>
      <c r="W433" s="833"/>
      <c r="X433" s="833"/>
      <c r="Y433" s="255">
        <f t="shared" si="216"/>
        <v>0</v>
      </c>
      <c r="Z433" s="309">
        <f t="shared" si="217"/>
        <v>0</v>
      </c>
      <c r="AA433" s="256">
        <f t="shared" si="214"/>
        <v>0</v>
      </c>
      <c r="AB433" s="309"/>
      <c r="AC433" s="309"/>
      <c r="AD433" s="320">
        <f t="shared" si="215"/>
        <v>0</v>
      </c>
      <c r="AF433" s="11"/>
      <c r="AG433" s="579"/>
      <c r="AH433" s="64">
        <f t="shared" si="219"/>
        <v>43399</v>
      </c>
      <c r="AI433" s="698"/>
      <c r="AJ433" s="699"/>
      <c r="AK433" s="699"/>
      <c r="AL433" s="699"/>
      <c r="AM433" s="699"/>
      <c r="AN433" s="699"/>
      <c r="AO433" s="699"/>
      <c r="AP433" s="699"/>
      <c r="AQ433" s="699"/>
      <c r="AR433" s="699"/>
      <c r="AS433" s="699"/>
      <c r="AT433" s="699"/>
      <c r="AU433" s="699"/>
      <c r="AV433" s="699"/>
      <c r="AW433" s="699"/>
      <c r="AX433" s="700"/>
      <c r="AY433" s="700"/>
      <c r="AZ433" s="701"/>
    </row>
    <row r="434" spans="1:52" ht="30.75" thickBot="1">
      <c r="A434" s="67">
        <f t="shared" si="218"/>
        <v>44892</v>
      </c>
      <c r="B434" s="155"/>
      <c r="C434" s="155"/>
      <c r="D434" s="155"/>
      <c r="E434" s="155"/>
      <c r="F434" s="155"/>
      <c r="G434" s="155"/>
      <c r="H434" s="155"/>
      <c r="I434" s="155"/>
      <c r="J434" s="155"/>
      <c r="K434" s="155"/>
      <c r="L434" s="155"/>
      <c r="M434" s="155"/>
      <c r="N434" s="155"/>
      <c r="O434" s="155"/>
      <c r="P434" s="155"/>
      <c r="Q434" s="155"/>
      <c r="R434" s="156"/>
      <c r="S434" s="156"/>
      <c r="T434" s="833"/>
      <c r="U434" s="833"/>
      <c r="V434" s="833"/>
      <c r="W434" s="833"/>
      <c r="X434" s="833"/>
      <c r="Y434" s="255">
        <f t="shared" si="216"/>
        <v>0</v>
      </c>
      <c r="Z434" s="309">
        <f t="shared" si="217"/>
        <v>0</v>
      </c>
      <c r="AA434" s="256">
        <f t="shared" si="214"/>
        <v>0</v>
      </c>
      <c r="AB434" s="309"/>
      <c r="AC434" s="309"/>
      <c r="AD434" s="320">
        <f t="shared" si="215"/>
        <v>0</v>
      </c>
      <c r="AF434" s="11"/>
      <c r="AG434" s="579"/>
      <c r="AH434" s="64">
        <f t="shared" si="219"/>
        <v>43400</v>
      </c>
      <c r="AI434" s="698"/>
      <c r="AJ434" s="699"/>
      <c r="AK434" s="699"/>
      <c r="AL434" s="699"/>
      <c r="AM434" s="699"/>
      <c r="AN434" s="699"/>
      <c r="AO434" s="699"/>
      <c r="AP434" s="699"/>
      <c r="AQ434" s="699"/>
      <c r="AR434" s="699"/>
      <c r="AS434" s="699"/>
      <c r="AT434" s="699"/>
      <c r="AU434" s="699"/>
      <c r="AV434" s="699"/>
      <c r="AW434" s="699"/>
      <c r="AX434" s="700"/>
      <c r="AY434" s="700"/>
      <c r="AZ434" s="701"/>
    </row>
    <row r="435" spans="1:52" ht="30.75" thickBot="1">
      <c r="A435" s="67">
        <f t="shared" si="218"/>
        <v>44893</v>
      </c>
      <c r="B435" s="155"/>
      <c r="C435" s="155"/>
      <c r="D435" s="155"/>
      <c r="E435" s="155"/>
      <c r="F435" s="155"/>
      <c r="G435" s="155"/>
      <c r="H435" s="155"/>
      <c r="I435" s="155"/>
      <c r="J435" s="155"/>
      <c r="K435" s="155"/>
      <c r="L435" s="155"/>
      <c r="M435" s="155"/>
      <c r="N435" s="155"/>
      <c r="O435" s="155"/>
      <c r="P435" s="155"/>
      <c r="Q435" s="155"/>
      <c r="R435" s="156"/>
      <c r="S435" s="156"/>
      <c r="T435" s="833"/>
      <c r="U435" s="833"/>
      <c r="V435" s="833"/>
      <c r="W435" s="833"/>
      <c r="X435" s="833"/>
      <c r="Y435" s="255">
        <f t="shared" si="216"/>
        <v>0</v>
      </c>
      <c r="Z435" s="309">
        <f t="shared" si="217"/>
        <v>0</v>
      </c>
      <c r="AA435" s="256">
        <f t="shared" si="214"/>
        <v>0</v>
      </c>
      <c r="AB435" s="309"/>
      <c r="AC435" s="309"/>
      <c r="AD435" s="320">
        <f t="shared" si="215"/>
        <v>0</v>
      </c>
      <c r="AF435" s="11"/>
      <c r="AG435" s="579"/>
      <c r="AH435" s="64">
        <f t="shared" si="219"/>
        <v>43401</v>
      </c>
      <c r="AI435" s="698"/>
      <c r="AJ435" s="699"/>
      <c r="AK435" s="699"/>
      <c r="AL435" s="699"/>
      <c r="AM435" s="699"/>
      <c r="AN435" s="699"/>
      <c r="AO435" s="699"/>
      <c r="AP435" s="699"/>
      <c r="AQ435" s="699"/>
      <c r="AR435" s="699"/>
      <c r="AS435" s="699"/>
      <c r="AT435" s="699"/>
      <c r="AU435" s="699"/>
      <c r="AV435" s="699"/>
      <c r="AW435" s="699"/>
      <c r="AX435" s="700"/>
      <c r="AY435" s="700"/>
      <c r="AZ435" s="701"/>
    </row>
    <row r="436" spans="1:52" ht="30.75" thickBot="1">
      <c r="A436" s="67">
        <f t="shared" si="218"/>
        <v>44894</v>
      </c>
      <c r="B436" s="155"/>
      <c r="C436" s="155"/>
      <c r="D436" s="155"/>
      <c r="E436" s="155"/>
      <c r="F436" s="155"/>
      <c r="G436" s="155"/>
      <c r="H436" s="155"/>
      <c r="I436" s="155"/>
      <c r="J436" s="155"/>
      <c r="K436" s="155"/>
      <c r="L436" s="155"/>
      <c r="M436" s="155"/>
      <c r="N436" s="155"/>
      <c r="O436" s="155"/>
      <c r="P436" s="155"/>
      <c r="Q436" s="155"/>
      <c r="R436" s="156"/>
      <c r="S436" s="156"/>
      <c r="T436" s="833"/>
      <c r="U436" s="833"/>
      <c r="V436" s="833"/>
      <c r="W436" s="833"/>
      <c r="X436" s="833"/>
      <c r="Y436" s="255">
        <f t="shared" si="216"/>
        <v>0</v>
      </c>
      <c r="Z436" s="309">
        <f t="shared" si="217"/>
        <v>0</v>
      </c>
      <c r="AA436" s="256">
        <f t="shared" si="214"/>
        <v>0</v>
      </c>
      <c r="AB436" s="309"/>
      <c r="AC436" s="309"/>
      <c r="AD436" s="320">
        <f t="shared" si="215"/>
        <v>0</v>
      </c>
      <c r="AF436" s="11"/>
      <c r="AG436" s="579"/>
      <c r="AH436" s="64">
        <f>AH435+1</f>
        <v>43402</v>
      </c>
      <c r="AI436" s="698"/>
      <c r="AJ436" s="699"/>
      <c r="AK436" s="699"/>
      <c r="AL436" s="699"/>
      <c r="AM436" s="699"/>
      <c r="AN436" s="699"/>
      <c r="AO436" s="699"/>
      <c r="AP436" s="699"/>
      <c r="AQ436" s="699"/>
      <c r="AR436" s="699"/>
      <c r="AS436" s="699"/>
      <c r="AT436" s="699"/>
      <c r="AU436" s="699"/>
      <c r="AV436" s="699"/>
      <c r="AW436" s="699"/>
      <c r="AX436" s="700"/>
      <c r="AY436" s="700"/>
      <c r="AZ436" s="701"/>
    </row>
    <row r="437" spans="1:52" ht="30.75" thickBot="1">
      <c r="A437" s="67">
        <f t="shared" si="218"/>
        <v>44895</v>
      </c>
      <c r="B437" s="155"/>
      <c r="C437" s="155"/>
      <c r="D437" s="155"/>
      <c r="E437" s="155"/>
      <c r="F437" s="155"/>
      <c r="G437" s="155"/>
      <c r="H437" s="155"/>
      <c r="I437" s="155"/>
      <c r="J437" s="155"/>
      <c r="K437" s="155"/>
      <c r="L437" s="155"/>
      <c r="M437" s="155"/>
      <c r="N437" s="155"/>
      <c r="O437" s="155"/>
      <c r="P437" s="155"/>
      <c r="Q437" s="155"/>
      <c r="R437" s="156"/>
      <c r="S437" s="156"/>
      <c r="T437" s="833"/>
      <c r="U437" s="833"/>
      <c r="V437" s="833"/>
      <c r="W437" s="833"/>
      <c r="X437" s="833"/>
      <c r="Y437" s="255">
        <f t="shared" si="216"/>
        <v>0</v>
      </c>
      <c r="Z437" s="309">
        <f t="shared" si="217"/>
        <v>0</v>
      </c>
      <c r="AA437" s="256">
        <f t="shared" si="214"/>
        <v>0</v>
      </c>
      <c r="AB437" s="309"/>
      <c r="AC437" s="309"/>
      <c r="AD437" s="320">
        <f t="shared" si="215"/>
        <v>0</v>
      </c>
      <c r="AF437" s="11"/>
      <c r="AG437" s="579"/>
      <c r="AH437" s="64">
        <f t="shared" si="219"/>
        <v>43403</v>
      </c>
      <c r="AI437" s="698"/>
      <c r="AJ437" s="699"/>
      <c r="AK437" s="699"/>
      <c r="AL437" s="699"/>
      <c r="AM437" s="699"/>
      <c r="AN437" s="699"/>
      <c r="AO437" s="699"/>
      <c r="AP437" s="699"/>
      <c r="AQ437" s="699"/>
      <c r="AR437" s="699"/>
      <c r="AS437" s="699"/>
      <c r="AT437" s="699"/>
      <c r="AU437" s="699"/>
      <c r="AV437" s="699"/>
      <c r="AW437" s="699"/>
      <c r="AX437" s="700"/>
      <c r="AY437" s="700"/>
      <c r="AZ437" s="701"/>
    </row>
    <row r="438" spans="1:52" ht="30.75" thickBot="1">
      <c r="A438" s="102">
        <f t="shared" si="218"/>
        <v>44896</v>
      </c>
      <c r="B438" s="157"/>
      <c r="C438" s="157"/>
      <c r="D438" s="157"/>
      <c r="E438" s="157"/>
      <c r="F438" s="157"/>
      <c r="G438" s="157"/>
      <c r="H438" s="157"/>
      <c r="I438" s="157"/>
      <c r="J438" s="157"/>
      <c r="K438" s="157"/>
      <c r="L438" s="157"/>
      <c r="M438" s="157"/>
      <c r="N438" s="157"/>
      <c r="O438" s="157"/>
      <c r="P438" s="157"/>
      <c r="Q438" s="157"/>
      <c r="R438" s="159"/>
      <c r="S438" s="159"/>
      <c r="T438" s="158"/>
      <c r="U438" s="158"/>
      <c r="V438" s="158"/>
      <c r="W438" s="158"/>
      <c r="X438" s="158"/>
      <c r="Y438" s="255">
        <f t="shared" si="216"/>
        <v>0</v>
      </c>
      <c r="Z438" s="309">
        <f t="shared" si="217"/>
        <v>0</v>
      </c>
      <c r="AA438" s="256">
        <f t="shared" si="214"/>
        <v>0</v>
      </c>
      <c r="AB438" s="309"/>
      <c r="AC438" s="309"/>
      <c r="AD438" s="320">
        <f t="shared" si="215"/>
        <v>0</v>
      </c>
      <c r="AF438" s="11"/>
      <c r="AG438" s="579"/>
      <c r="AH438" s="65">
        <f t="shared" si="219"/>
        <v>43404</v>
      </c>
      <c r="AI438" s="702"/>
      <c r="AJ438" s="703"/>
      <c r="AK438" s="703"/>
      <c r="AL438" s="703"/>
      <c r="AM438" s="703"/>
      <c r="AN438" s="703"/>
      <c r="AO438" s="703"/>
      <c r="AP438" s="703"/>
      <c r="AQ438" s="703"/>
      <c r="AR438" s="703"/>
      <c r="AS438" s="703"/>
      <c r="AT438" s="703"/>
      <c r="AU438" s="703"/>
      <c r="AV438" s="703"/>
      <c r="AW438" s="703"/>
      <c r="AX438" s="704"/>
      <c r="AY438" s="704"/>
      <c r="AZ438" s="705"/>
    </row>
    <row r="439" spans="1:52" ht="50.1" customHeight="1" thickTop="1" thickBot="1">
      <c r="A439" s="89" t="s">
        <v>74</v>
      </c>
      <c r="B439" s="90">
        <f>SUM(B408:B438)</f>
        <v>0</v>
      </c>
      <c r="C439" s="90">
        <f t="shared" ref="C439:Y439" si="220">SUM(C408:C438)</f>
        <v>0</v>
      </c>
      <c r="D439" s="90">
        <f t="shared" si="220"/>
        <v>0</v>
      </c>
      <c r="E439" s="90"/>
      <c r="F439" s="90">
        <f t="shared" si="220"/>
        <v>0</v>
      </c>
      <c r="G439" s="90">
        <f t="shared" si="220"/>
        <v>0</v>
      </c>
      <c r="H439" s="90">
        <f t="shared" si="220"/>
        <v>0</v>
      </c>
      <c r="I439" s="90">
        <f t="shared" si="220"/>
        <v>0</v>
      </c>
      <c r="J439" s="90">
        <f t="shared" si="220"/>
        <v>0</v>
      </c>
      <c r="K439" s="90">
        <f t="shared" si="220"/>
        <v>0</v>
      </c>
      <c r="L439" s="90">
        <f t="shared" si="220"/>
        <v>0</v>
      </c>
      <c r="M439" s="90">
        <f t="shared" si="220"/>
        <v>0</v>
      </c>
      <c r="N439" s="90">
        <f t="shared" si="220"/>
        <v>0</v>
      </c>
      <c r="O439" s="90">
        <f t="shared" si="220"/>
        <v>0</v>
      </c>
      <c r="P439" s="90"/>
      <c r="Q439" s="90">
        <f t="shared" si="220"/>
        <v>0</v>
      </c>
      <c r="R439" s="90">
        <f t="shared" si="220"/>
        <v>0</v>
      </c>
      <c r="S439" s="90">
        <f t="shared" si="220"/>
        <v>0</v>
      </c>
      <c r="T439" s="90"/>
      <c r="U439" s="90"/>
      <c r="V439" s="90"/>
      <c r="W439" s="90"/>
      <c r="X439" s="90"/>
      <c r="Y439" s="271">
        <f t="shared" si="220"/>
        <v>0</v>
      </c>
      <c r="Z439" s="259"/>
      <c r="AA439" s="259"/>
      <c r="AB439" s="316">
        <f>SUM(AB408:AB438)</f>
        <v>0</v>
      </c>
      <c r="AC439" s="316"/>
      <c r="AD439" s="260"/>
      <c r="AF439" s="9"/>
      <c r="AG439" s="10"/>
      <c r="AH439" s="706" t="s">
        <v>101</v>
      </c>
      <c r="AI439" s="707">
        <f>SUM(AI408:AI438)</f>
        <v>0</v>
      </c>
      <c r="AJ439" s="707">
        <f>SUM(AJ408:AJ438)</f>
        <v>0</v>
      </c>
      <c r="AK439" s="707">
        <f t="shared" ref="AK439:AZ439" si="221">SUM(AK408:AK438)</f>
        <v>0</v>
      </c>
      <c r="AL439" s="707">
        <f t="shared" si="221"/>
        <v>0</v>
      </c>
      <c r="AM439" s="707">
        <f t="shared" si="221"/>
        <v>0</v>
      </c>
      <c r="AN439" s="707">
        <f t="shared" si="221"/>
        <v>0</v>
      </c>
      <c r="AO439" s="707">
        <f t="shared" si="221"/>
        <v>0</v>
      </c>
      <c r="AP439" s="707">
        <f t="shared" si="221"/>
        <v>0</v>
      </c>
      <c r="AQ439" s="707">
        <f t="shared" si="221"/>
        <v>0</v>
      </c>
      <c r="AR439" s="707">
        <f t="shared" si="221"/>
        <v>0</v>
      </c>
      <c r="AS439" s="707">
        <f t="shared" si="221"/>
        <v>0</v>
      </c>
      <c r="AT439" s="707">
        <f t="shared" si="221"/>
        <v>0</v>
      </c>
      <c r="AU439" s="707">
        <f t="shared" si="221"/>
        <v>0</v>
      </c>
      <c r="AV439" s="707">
        <f t="shared" si="221"/>
        <v>0</v>
      </c>
      <c r="AW439" s="707">
        <f t="shared" si="221"/>
        <v>0</v>
      </c>
      <c r="AX439" s="707">
        <f t="shared" si="221"/>
        <v>0</v>
      </c>
      <c r="AY439" s="707">
        <f t="shared" si="221"/>
        <v>0</v>
      </c>
      <c r="AZ439" s="707">
        <f t="shared" si="221"/>
        <v>0</v>
      </c>
    </row>
    <row r="440" spans="1:52" ht="27.75" thickTop="1" thickBot="1">
      <c r="A440" s="7"/>
      <c r="B440" s="7" t="s">
        <v>1</v>
      </c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8"/>
      <c r="AA440" s="8"/>
      <c r="AB440" s="8"/>
      <c r="AF440" s="2"/>
      <c r="AG440" s="2"/>
      <c r="AH440" s="706" t="s">
        <v>45</v>
      </c>
      <c r="AI440" s="707">
        <v>220</v>
      </c>
      <c r="AJ440" s="707">
        <v>220</v>
      </c>
      <c r="AK440" s="707">
        <v>220</v>
      </c>
      <c r="AL440" s="707">
        <v>100</v>
      </c>
      <c r="AM440" s="707">
        <v>100</v>
      </c>
      <c r="AN440" s="707">
        <v>80</v>
      </c>
      <c r="AO440" s="707">
        <v>25</v>
      </c>
      <c r="AP440" s="707">
        <v>25</v>
      </c>
      <c r="AQ440" s="707">
        <v>25</v>
      </c>
      <c r="AR440" s="707">
        <v>400</v>
      </c>
      <c r="AS440" s="707">
        <v>400</v>
      </c>
      <c r="AT440" s="707">
        <v>400</v>
      </c>
      <c r="AU440" s="707">
        <v>0</v>
      </c>
      <c r="AV440" s="707">
        <v>0</v>
      </c>
      <c r="AW440" s="707">
        <v>200</v>
      </c>
      <c r="AX440" s="707">
        <v>200</v>
      </c>
      <c r="AY440" s="707">
        <v>0</v>
      </c>
      <c r="AZ440" s="707">
        <v>0</v>
      </c>
    </row>
    <row r="441" spans="1:52" ht="27.75" thickTop="1" thickBo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F441" s="2"/>
      <c r="AG441" s="2"/>
      <c r="AH441" s="706" t="s">
        <v>46</v>
      </c>
      <c r="AI441" s="707">
        <f>AI439*AI440</f>
        <v>0</v>
      </c>
      <c r="AJ441" s="707">
        <f t="shared" ref="AJ441" si="222">AJ439*AJ440</f>
        <v>0</v>
      </c>
      <c r="AK441" s="707">
        <f t="shared" ref="AK441" si="223">AK439*AK440</f>
        <v>0</v>
      </c>
      <c r="AL441" s="707">
        <f t="shared" ref="AL441" si="224">AL439*AL440</f>
        <v>0</v>
      </c>
      <c r="AM441" s="707">
        <f t="shared" ref="AM441" si="225">AM439*AM440</f>
        <v>0</v>
      </c>
      <c r="AN441" s="707">
        <f t="shared" ref="AN441" si="226">AN439*AN440</f>
        <v>0</v>
      </c>
      <c r="AO441" s="707">
        <f t="shared" ref="AO441" si="227">AO439*AO440</f>
        <v>0</v>
      </c>
      <c r="AP441" s="707">
        <f t="shared" ref="AP441" si="228">AP439*AP440</f>
        <v>0</v>
      </c>
      <c r="AQ441" s="707">
        <f t="shared" ref="AQ441" si="229">AQ439*AQ440</f>
        <v>0</v>
      </c>
      <c r="AR441" s="707">
        <f t="shared" ref="AR441" si="230">AR439*AR440</f>
        <v>0</v>
      </c>
      <c r="AS441" s="707">
        <f t="shared" ref="AS441" si="231">AS439*AS440</f>
        <v>0</v>
      </c>
      <c r="AT441" s="707">
        <f t="shared" ref="AT441" si="232">AT439*AT440</f>
        <v>0</v>
      </c>
      <c r="AU441" s="707">
        <f t="shared" ref="AU441" si="233">AU439*AU440</f>
        <v>0</v>
      </c>
      <c r="AV441" s="707">
        <f t="shared" ref="AV441" si="234">AV439*AV440</f>
        <v>0</v>
      </c>
      <c r="AW441" s="707">
        <f t="shared" ref="AW441" si="235">AW439*AW440</f>
        <v>0</v>
      </c>
      <c r="AX441" s="707">
        <f t="shared" ref="AX441" si="236">AX439*AX440</f>
        <v>0</v>
      </c>
      <c r="AY441" s="707">
        <f t="shared" ref="AY441" si="237">AY439*AY440</f>
        <v>0</v>
      </c>
      <c r="AZ441" s="707">
        <f t="shared" ref="AZ441" si="238">AZ439*AZ440</f>
        <v>0</v>
      </c>
    </row>
    <row r="442" spans="1:52" ht="24.75" thickTop="1" thickBo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8"/>
      <c r="AA442" s="8"/>
      <c r="AB442" s="8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714">
        <f>SUM(AI441:AZ441)</f>
        <v>0</v>
      </c>
    </row>
    <row r="443" spans="1:52" ht="39.950000000000003" customHeight="1" thickBot="1">
      <c r="A443" s="109">
        <f>A5</f>
        <v>2022</v>
      </c>
      <c r="B443" s="1447"/>
      <c r="C443" s="1448"/>
      <c r="D443" s="1448"/>
      <c r="E443" s="1448"/>
      <c r="F443" s="1448"/>
      <c r="G443" s="1448"/>
      <c r="H443" s="1448"/>
      <c r="I443" s="1448"/>
      <c r="J443" s="1448"/>
      <c r="K443" s="1448"/>
      <c r="L443" s="1448"/>
      <c r="M443" s="1448"/>
      <c r="N443" s="1448"/>
      <c r="O443" s="1448"/>
      <c r="P443" s="1448"/>
      <c r="Q443" s="1448"/>
      <c r="R443" s="1448"/>
      <c r="S443" s="1448"/>
      <c r="T443" s="1448"/>
      <c r="U443" s="1448"/>
      <c r="V443" s="1448"/>
      <c r="W443" s="1448"/>
      <c r="X443" s="1448"/>
      <c r="Y443" s="1449"/>
      <c r="Z443" s="21"/>
      <c r="AA443" s="21"/>
      <c r="AB443" s="21"/>
      <c r="AC443" t="s">
        <v>1</v>
      </c>
      <c r="AE443" t="s">
        <v>1</v>
      </c>
      <c r="AF443" s="10"/>
      <c r="AG443" s="21"/>
      <c r="AH443" s="109">
        <v>2018</v>
      </c>
      <c r="AI443" s="1424">
        <f>B443</f>
        <v>0</v>
      </c>
      <c r="AJ443" s="1425"/>
      <c r="AK443" s="1425"/>
      <c r="AL443" s="1425"/>
      <c r="AM443" s="1425"/>
      <c r="AN443" s="1425"/>
      <c r="AO443" s="1425"/>
      <c r="AP443" s="1425"/>
      <c r="AQ443" s="1425"/>
      <c r="AR443" s="1425"/>
      <c r="AS443" s="1425"/>
      <c r="AT443" s="1425"/>
      <c r="AU443" s="1425"/>
      <c r="AV443" s="1425"/>
      <c r="AW443" s="1425"/>
      <c r="AX443" s="1425"/>
      <c r="AY443" s="1425"/>
      <c r="AZ443" s="1425"/>
    </row>
    <row r="444" spans="1:52" ht="60" customHeight="1" thickTop="1" thickBot="1">
      <c r="A444" s="1468" t="s">
        <v>94</v>
      </c>
      <c r="B444" s="1402" t="s">
        <v>95</v>
      </c>
      <c r="C444" s="1403"/>
      <c r="D444" s="1403"/>
      <c r="E444" s="1404"/>
      <c r="F444" s="1402" t="s">
        <v>7</v>
      </c>
      <c r="G444" s="1403"/>
      <c r="H444" s="1404"/>
      <c r="I444" s="1402" t="s">
        <v>8</v>
      </c>
      <c r="J444" s="1404"/>
      <c r="K444" s="1402" t="s">
        <v>9</v>
      </c>
      <c r="L444" s="1403"/>
      <c r="M444" s="1403"/>
      <c r="N444" s="1403"/>
      <c r="O444" s="1403"/>
      <c r="P444" s="1403"/>
      <c r="Q444" s="1403"/>
      <c r="R444" s="1405" t="s">
        <v>10</v>
      </c>
      <c r="S444" s="1406"/>
      <c r="T444" s="1400" t="s">
        <v>289</v>
      </c>
      <c r="U444" s="1401"/>
      <c r="V444" s="842" t="s">
        <v>258</v>
      </c>
      <c r="W444" s="842"/>
      <c r="X444" s="842"/>
      <c r="Y444" s="211"/>
      <c r="Z444" s="21"/>
      <c r="AA444" s="21"/>
      <c r="AB444" s="21"/>
      <c r="AC444" s="21"/>
      <c r="AF444" s="10"/>
      <c r="AG444" s="34"/>
      <c r="AH444" s="1422" t="s">
        <v>94</v>
      </c>
      <c r="AI444" s="1402" t="s">
        <v>95</v>
      </c>
      <c r="AJ444" s="1403"/>
      <c r="AK444" s="1404"/>
      <c r="AL444" s="1402" t="s">
        <v>7</v>
      </c>
      <c r="AM444" s="1403"/>
      <c r="AN444" s="1404"/>
      <c r="AO444" s="1402" t="s">
        <v>8</v>
      </c>
      <c r="AP444" s="1403"/>
      <c r="AQ444" s="1404"/>
      <c r="AR444" s="1402" t="s">
        <v>9</v>
      </c>
      <c r="AS444" s="1403"/>
      <c r="AT444" s="1404"/>
      <c r="AU444" s="1403" t="s">
        <v>9</v>
      </c>
      <c r="AV444" s="1404"/>
      <c r="AW444" s="1429" t="s">
        <v>10</v>
      </c>
      <c r="AX444" s="1430"/>
      <c r="AY444" s="690"/>
      <c r="AZ444" s="404" t="s">
        <v>11</v>
      </c>
    </row>
    <row r="445" spans="1:52" ht="42" thickTop="1" thickBot="1">
      <c r="A445" s="1428"/>
      <c r="B445" s="482" t="s">
        <v>12</v>
      </c>
      <c r="C445" s="482" t="s">
        <v>13</v>
      </c>
      <c r="D445" s="482" t="s">
        <v>14</v>
      </c>
      <c r="E445" s="688" t="s">
        <v>198</v>
      </c>
      <c r="F445" s="482" t="s">
        <v>12</v>
      </c>
      <c r="G445" s="482" t="s">
        <v>13</v>
      </c>
      <c r="H445" s="482" t="s">
        <v>282</v>
      </c>
      <c r="I445" s="482" t="s">
        <v>12</v>
      </c>
      <c r="J445" s="482" t="s">
        <v>16</v>
      </c>
      <c r="K445" s="482" t="s">
        <v>17</v>
      </c>
      <c r="L445" s="482" t="s">
        <v>18</v>
      </c>
      <c r="M445" s="482" t="s">
        <v>19</v>
      </c>
      <c r="N445" s="484" t="s">
        <v>96</v>
      </c>
      <c r="O445" s="484" t="s">
        <v>257</v>
      </c>
      <c r="P445" s="484" t="s">
        <v>254</v>
      </c>
      <c r="Q445" s="484" t="s">
        <v>20</v>
      </c>
      <c r="R445" s="483" t="s">
        <v>14</v>
      </c>
      <c r="S445" s="482" t="s">
        <v>13</v>
      </c>
      <c r="T445" s="846" t="s">
        <v>284</v>
      </c>
      <c r="U445" s="846" t="s">
        <v>288</v>
      </c>
      <c r="V445" s="484" t="s">
        <v>259</v>
      </c>
      <c r="W445" s="484"/>
      <c r="X445" s="484"/>
      <c r="Y445" s="209" t="s">
        <v>90</v>
      </c>
      <c r="Z445" s="210" t="s">
        <v>97</v>
      </c>
      <c r="AA445" s="210" t="s">
        <v>74</v>
      </c>
      <c r="AB445" s="210" t="s">
        <v>98</v>
      </c>
      <c r="AC445" s="210" t="s">
        <v>99</v>
      </c>
      <c r="AD445" s="210" t="s">
        <v>100</v>
      </c>
      <c r="AF445" s="578" t="s">
        <v>1</v>
      </c>
      <c r="AG445" s="4"/>
      <c r="AH445" s="1428"/>
      <c r="AI445" s="482" t="s">
        <v>12</v>
      </c>
      <c r="AJ445" s="482" t="s">
        <v>13</v>
      </c>
      <c r="AK445" s="482" t="s">
        <v>14</v>
      </c>
      <c r="AL445" s="482" t="s">
        <v>12</v>
      </c>
      <c r="AM445" s="482" t="s">
        <v>13</v>
      </c>
      <c r="AN445" s="482" t="s">
        <v>15</v>
      </c>
      <c r="AO445" s="482" t="s">
        <v>12</v>
      </c>
      <c r="AP445" s="482" t="s">
        <v>205</v>
      </c>
      <c r="AQ445" s="482" t="s">
        <v>16</v>
      </c>
      <c r="AR445" s="482" t="s">
        <v>17</v>
      </c>
      <c r="AS445" s="482" t="s">
        <v>18</v>
      </c>
      <c r="AT445" s="482" t="s">
        <v>19</v>
      </c>
      <c r="AU445" s="482" t="s">
        <v>201</v>
      </c>
      <c r="AV445" s="482" t="s">
        <v>20</v>
      </c>
      <c r="AW445" s="482" t="s">
        <v>12</v>
      </c>
      <c r="AX445" s="483" t="s">
        <v>13</v>
      </c>
      <c r="AY445" s="688" t="s">
        <v>198</v>
      </c>
      <c r="AZ445" s="484" t="s">
        <v>96</v>
      </c>
    </row>
    <row r="446" spans="1:52" ht="30.75" thickBot="1">
      <c r="A446" s="67">
        <f>A408</f>
        <v>44866</v>
      </c>
      <c r="B446" s="153"/>
      <c r="C446" s="153"/>
      <c r="D446" s="153"/>
      <c r="E446" s="153"/>
      <c r="F446" s="153"/>
      <c r="G446" s="153"/>
      <c r="H446" s="153"/>
      <c r="I446" s="153"/>
      <c r="J446" s="153"/>
      <c r="K446" s="153"/>
      <c r="L446" s="153"/>
      <c r="M446" s="153"/>
      <c r="N446" s="153"/>
      <c r="O446" s="153"/>
      <c r="P446" s="153"/>
      <c r="Q446" s="153"/>
      <c r="R446" s="154"/>
      <c r="S446" s="154"/>
      <c r="T446" s="833"/>
      <c r="U446" s="833"/>
      <c r="V446" s="833"/>
      <c r="W446" s="833"/>
      <c r="X446" s="833"/>
      <c r="Y446" s="255">
        <f>B446*280+C446*280+D446*280+E446*280+F446*130+G446*130+H446*90+I446*35+J446*35+K446*400+L446*400+M446*400+N446*22+O446*42+P446*80+Q446*200+R446*260+S446*41+T446*30+U446*60</f>
        <v>0</v>
      </c>
      <c r="Z446" s="308"/>
      <c r="AA446" s="263">
        <f t="shared" ref="AA446:AA476" si="239">Y446+Z446</f>
        <v>0</v>
      </c>
      <c r="AB446" s="308"/>
      <c r="AC446" s="308"/>
      <c r="AD446" s="319">
        <f t="shared" ref="AD446:AD476" si="240">AA446-AB446-AC446</f>
        <v>0</v>
      </c>
      <c r="AF446" s="11"/>
      <c r="AG446" s="579"/>
      <c r="AH446" s="63">
        <f>AH408</f>
        <v>43374</v>
      </c>
      <c r="AI446" s="694"/>
      <c r="AJ446" s="695"/>
      <c r="AK446" s="695"/>
      <c r="AL446" s="695"/>
      <c r="AM446" s="695"/>
      <c r="AN446" s="695"/>
      <c r="AO446" s="695"/>
      <c r="AP446" s="695"/>
      <c r="AQ446" s="695"/>
      <c r="AR446" s="695"/>
      <c r="AS446" s="695"/>
      <c r="AT446" s="695"/>
      <c r="AU446" s="695"/>
      <c r="AV446" s="695"/>
      <c r="AW446" s="695"/>
      <c r="AX446" s="696"/>
      <c r="AY446" s="696"/>
      <c r="AZ446" s="697"/>
    </row>
    <row r="447" spans="1:52" ht="30.75" thickBot="1">
      <c r="A447" s="67">
        <f>A446+1</f>
        <v>44867</v>
      </c>
      <c r="B447" s="153"/>
      <c r="C447" s="153"/>
      <c r="D447" s="153"/>
      <c r="E447" s="153"/>
      <c r="F447" s="153"/>
      <c r="G447" s="153"/>
      <c r="H447" s="153"/>
      <c r="I447" s="153"/>
      <c r="J447" s="153"/>
      <c r="K447" s="153"/>
      <c r="L447" s="153"/>
      <c r="M447" s="155"/>
      <c r="N447" s="155"/>
      <c r="O447" s="155"/>
      <c r="P447" s="155"/>
      <c r="Q447" s="155"/>
      <c r="R447" s="156"/>
      <c r="S447" s="156"/>
      <c r="T447" s="834"/>
      <c r="U447" s="834"/>
      <c r="V447" s="834"/>
      <c r="W447" s="834"/>
      <c r="X447" s="834"/>
      <c r="Y447" s="255">
        <f>B447*280+C447*280+D447*280+E447*280+F447*130+G447*130+H447*90+I447*35+J447*35+K447*395+L447*400+M447*400+N447*22+O447*42+P447*80+Q447*200+R447*260+S447*41+T447*30+U447*60</f>
        <v>0</v>
      </c>
      <c r="Z447" s="309">
        <f t="shared" ref="Z447:Z476" si="241">AD446</f>
        <v>0</v>
      </c>
      <c r="AA447" s="256">
        <f t="shared" si="239"/>
        <v>0</v>
      </c>
      <c r="AB447" s="309"/>
      <c r="AC447" s="309"/>
      <c r="AD447" s="320">
        <f t="shared" si="240"/>
        <v>0</v>
      </c>
      <c r="AF447" s="11"/>
      <c r="AG447" s="579"/>
      <c r="AH447" s="64">
        <f>AH446+1</f>
        <v>43375</v>
      </c>
      <c r="AI447" s="698"/>
      <c r="AJ447" s="699"/>
      <c r="AK447" s="699"/>
      <c r="AL447" s="699"/>
      <c r="AM447" s="699"/>
      <c r="AN447" s="699"/>
      <c r="AO447" s="699"/>
      <c r="AP447" s="699"/>
      <c r="AQ447" s="699"/>
      <c r="AR447" s="699"/>
      <c r="AS447" s="699"/>
      <c r="AT447" s="699"/>
      <c r="AU447" s="699"/>
      <c r="AV447" s="699"/>
      <c r="AW447" s="699"/>
      <c r="AX447" s="700"/>
      <c r="AY447" s="700"/>
      <c r="AZ447" s="701"/>
    </row>
    <row r="448" spans="1:52" ht="30.75" thickBot="1">
      <c r="A448" s="67">
        <f t="shared" ref="A448:A476" si="242">A447+1</f>
        <v>44868</v>
      </c>
      <c r="B448" s="155"/>
      <c r="C448" s="155"/>
      <c r="D448" s="155"/>
      <c r="E448" s="155"/>
      <c r="F448" s="155"/>
      <c r="G448" s="155"/>
      <c r="H448" s="155"/>
      <c r="I448" s="155"/>
      <c r="J448" s="155"/>
      <c r="K448" s="155"/>
      <c r="L448" s="155"/>
      <c r="M448" s="155"/>
      <c r="N448" s="155"/>
      <c r="O448" s="155"/>
      <c r="P448" s="155"/>
      <c r="Q448" s="155"/>
      <c r="R448" s="156"/>
      <c r="S448" s="156"/>
      <c r="T448" s="834"/>
      <c r="U448" s="834"/>
      <c r="V448" s="834"/>
      <c r="W448" s="834"/>
      <c r="X448" s="834"/>
      <c r="Y448" s="255">
        <f t="shared" ref="Y448:Y476" si="243">B448*280+C448*280+D448*280+E448*280+F448*130+G448*130+H448*90+I448*35+J448*35+K448*395+L448*400+M448*400+N448*22+O448*42+P448*80+Q448*200+R448*260+S448*41+T448*30+U448*60</f>
        <v>0</v>
      </c>
      <c r="Z448" s="309">
        <f t="shared" si="241"/>
        <v>0</v>
      </c>
      <c r="AA448" s="256">
        <f t="shared" si="239"/>
        <v>0</v>
      </c>
      <c r="AB448" s="309"/>
      <c r="AC448" s="309"/>
      <c r="AD448" s="320">
        <f t="shared" si="240"/>
        <v>0</v>
      </c>
      <c r="AF448" s="11"/>
      <c r="AG448" s="579"/>
      <c r="AH448" s="64">
        <f t="shared" ref="AH448:AH476" si="244">AH447+1</f>
        <v>43376</v>
      </c>
      <c r="AI448" s="698"/>
      <c r="AJ448" s="699"/>
      <c r="AK448" s="699"/>
      <c r="AL448" s="699"/>
      <c r="AM448" s="699"/>
      <c r="AN448" s="699"/>
      <c r="AO448" s="699"/>
      <c r="AP448" s="699"/>
      <c r="AQ448" s="699"/>
      <c r="AR448" s="699"/>
      <c r="AS448" s="699"/>
      <c r="AT448" s="699"/>
      <c r="AU448" s="699"/>
      <c r="AV448" s="699"/>
      <c r="AW448" s="699"/>
      <c r="AX448" s="700"/>
      <c r="AY448" s="700"/>
      <c r="AZ448" s="701"/>
    </row>
    <row r="449" spans="1:52" ht="30.75" thickBot="1">
      <c r="A449" s="67">
        <f t="shared" si="242"/>
        <v>44869</v>
      </c>
      <c r="B449" s="155"/>
      <c r="C449" s="155"/>
      <c r="D449" s="155"/>
      <c r="E449" s="155"/>
      <c r="F449" s="155"/>
      <c r="G449" s="155"/>
      <c r="H449" s="155"/>
      <c r="I449" s="155"/>
      <c r="J449" s="155"/>
      <c r="K449" s="155"/>
      <c r="L449" s="155"/>
      <c r="M449" s="155"/>
      <c r="N449" s="155"/>
      <c r="O449" s="155"/>
      <c r="P449" s="155"/>
      <c r="Q449" s="155"/>
      <c r="R449" s="156"/>
      <c r="S449" s="156"/>
      <c r="T449" s="834"/>
      <c r="U449" s="834"/>
      <c r="V449" s="834"/>
      <c r="W449" s="834"/>
      <c r="X449" s="834"/>
      <c r="Y449" s="255">
        <f t="shared" si="243"/>
        <v>0</v>
      </c>
      <c r="Z449" s="309">
        <f t="shared" si="241"/>
        <v>0</v>
      </c>
      <c r="AA449" s="256">
        <f t="shared" si="239"/>
        <v>0</v>
      </c>
      <c r="AB449" s="309"/>
      <c r="AC449" s="309"/>
      <c r="AD449" s="320">
        <f t="shared" si="240"/>
        <v>0</v>
      </c>
      <c r="AF449" s="11"/>
      <c r="AG449" s="579"/>
      <c r="AH449" s="64">
        <f t="shared" si="244"/>
        <v>43377</v>
      </c>
      <c r="AI449" s="698"/>
      <c r="AJ449" s="699"/>
      <c r="AK449" s="699"/>
      <c r="AL449" s="699"/>
      <c r="AM449" s="699"/>
      <c r="AN449" s="699"/>
      <c r="AO449" s="699"/>
      <c r="AP449" s="699"/>
      <c r="AQ449" s="699"/>
      <c r="AR449" s="699"/>
      <c r="AS449" s="699"/>
      <c r="AT449" s="699"/>
      <c r="AU449" s="699"/>
      <c r="AV449" s="699"/>
      <c r="AW449" s="699"/>
      <c r="AX449" s="700"/>
      <c r="AY449" s="700"/>
      <c r="AZ449" s="701"/>
    </row>
    <row r="450" spans="1:52" ht="30.75" thickBot="1">
      <c r="A450" s="67">
        <f t="shared" si="242"/>
        <v>44870</v>
      </c>
      <c r="B450" s="155"/>
      <c r="C450" s="155"/>
      <c r="D450" s="155"/>
      <c r="E450" s="155"/>
      <c r="F450" s="155"/>
      <c r="G450" s="155"/>
      <c r="H450" s="155"/>
      <c r="I450" s="155"/>
      <c r="J450" s="155"/>
      <c r="K450" s="155"/>
      <c r="L450" s="155"/>
      <c r="M450" s="155"/>
      <c r="N450" s="155"/>
      <c r="O450" s="155"/>
      <c r="P450" s="155"/>
      <c r="Q450" s="155"/>
      <c r="R450" s="156"/>
      <c r="S450" s="156"/>
      <c r="T450" s="834"/>
      <c r="U450" s="834"/>
      <c r="V450" s="834"/>
      <c r="W450" s="834"/>
      <c r="X450" s="834"/>
      <c r="Y450" s="255">
        <f t="shared" si="243"/>
        <v>0</v>
      </c>
      <c r="Z450" s="309">
        <f t="shared" si="241"/>
        <v>0</v>
      </c>
      <c r="AA450" s="256">
        <f t="shared" si="239"/>
        <v>0</v>
      </c>
      <c r="AB450" s="309"/>
      <c r="AC450" s="309"/>
      <c r="AD450" s="320">
        <f t="shared" si="240"/>
        <v>0</v>
      </c>
      <c r="AF450" s="11"/>
      <c r="AG450" s="579"/>
      <c r="AH450" s="64">
        <f t="shared" si="244"/>
        <v>43378</v>
      </c>
      <c r="AI450" s="698"/>
      <c r="AJ450" s="699"/>
      <c r="AK450" s="699"/>
      <c r="AL450" s="699"/>
      <c r="AM450" s="699"/>
      <c r="AN450" s="699"/>
      <c r="AO450" s="699"/>
      <c r="AP450" s="699"/>
      <c r="AQ450" s="699"/>
      <c r="AR450" s="699"/>
      <c r="AS450" s="699"/>
      <c r="AT450" s="699"/>
      <c r="AU450" s="699"/>
      <c r="AV450" s="699"/>
      <c r="AW450" s="699"/>
      <c r="AX450" s="700"/>
      <c r="AY450" s="700"/>
      <c r="AZ450" s="701"/>
    </row>
    <row r="451" spans="1:52" ht="30.75" thickBot="1">
      <c r="A451" s="67">
        <f t="shared" si="242"/>
        <v>44871</v>
      </c>
      <c r="B451" s="155"/>
      <c r="C451" s="155"/>
      <c r="D451" s="155"/>
      <c r="E451" s="155"/>
      <c r="F451" s="155"/>
      <c r="G451" s="155"/>
      <c r="H451" s="155"/>
      <c r="I451" s="155"/>
      <c r="J451" s="155"/>
      <c r="K451" s="155"/>
      <c r="L451" s="155"/>
      <c r="M451" s="155"/>
      <c r="N451" s="155"/>
      <c r="O451" s="155"/>
      <c r="P451" s="155"/>
      <c r="Q451" s="155"/>
      <c r="R451" s="156"/>
      <c r="S451" s="156"/>
      <c r="T451" s="834"/>
      <c r="U451" s="834"/>
      <c r="V451" s="834"/>
      <c r="W451" s="834"/>
      <c r="X451" s="834"/>
      <c r="Y451" s="255">
        <f t="shared" si="243"/>
        <v>0</v>
      </c>
      <c r="Z451" s="309">
        <f t="shared" si="241"/>
        <v>0</v>
      </c>
      <c r="AA451" s="256">
        <f t="shared" si="239"/>
        <v>0</v>
      </c>
      <c r="AB451" s="309"/>
      <c r="AC451" s="309"/>
      <c r="AD451" s="320">
        <f t="shared" si="240"/>
        <v>0</v>
      </c>
      <c r="AF451" s="11"/>
      <c r="AG451" s="579"/>
      <c r="AH451" s="64">
        <f t="shared" si="244"/>
        <v>43379</v>
      </c>
      <c r="AI451" s="698"/>
      <c r="AJ451" s="699"/>
      <c r="AK451" s="699"/>
      <c r="AL451" s="699"/>
      <c r="AM451" s="699"/>
      <c r="AN451" s="699"/>
      <c r="AO451" s="699"/>
      <c r="AP451" s="699"/>
      <c r="AQ451" s="699"/>
      <c r="AR451" s="699"/>
      <c r="AS451" s="699"/>
      <c r="AT451" s="699"/>
      <c r="AU451" s="699"/>
      <c r="AV451" s="699"/>
      <c r="AW451" s="699"/>
      <c r="AX451" s="700"/>
      <c r="AY451" s="700"/>
      <c r="AZ451" s="701"/>
    </row>
    <row r="452" spans="1:52" ht="30.75" thickBot="1">
      <c r="A452" s="67">
        <f t="shared" si="242"/>
        <v>44872</v>
      </c>
      <c r="B452" s="155"/>
      <c r="C452" s="155"/>
      <c r="D452" s="155"/>
      <c r="E452" s="155"/>
      <c r="F452" s="155"/>
      <c r="G452" s="155"/>
      <c r="H452" s="155"/>
      <c r="I452" s="155"/>
      <c r="J452" s="155"/>
      <c r="K452" s="155"/>
      <c r="L452" s="155"/>
      <c r="M452" s="155"/>
      <c r="N452" s="155"/>
      <c r="O452" s="155"/>
      <c r="P452" s="155"/>
      <c r="Q452" s="155"/>
      <c r="R452" s="156"/>
      <c r="S452" s="156"/>
      <c r="T452" s="834"/>
      <c r="U452" s="834"/>
      <c r="V452" s="834"/>
      <c r="W452" s="834"/>
      <c r="X452" s="834"/>
      <c r="Y452" s="255">
        <f t="shared" si="243"/>
        <v>0</v>
      </c>
      <c r="Z452" s="309">
        <f>AD451</f>
        <v>0</v>
      </c>
      <c r="AA452" s="256">
        <f t="shared" si="239"/>
        <v>0</v>
      </c>
      <c r="AB452" s="309"/>
      <c r="AC452" s="309"/>
      <c r="AD452" s="320">
        <f t="shared" si="240"/>
        <v>0</v>
      </c>
      <c r="AF452" s="11"/>
      <c r="AG452" s="579"/>
      <c r="AH452" s="64">
        <f t="shared" si="244"/>
        <v>43380</v>
      </c>
      <c r="AI452" s="698"/>
      <c r="AJ452" s="699"/>
      <c r="AK452" s="699"/>
      <c r="AL452" s="699"/>
      <c r="AM452" s="699"/>
      <c r="AN452" s="699"/>
      <c r="AO452" s="699"/>
      <c r="AP452" s="699"/>
      <c r="AQ452" s="699"/>
      <c r="AR452" s="699"/>
      <c r="AS452" s="699"/>
      <c r="AT452" s="699"/>
      <c r="AU452" s="699"/>
      <c r="AV452" s="699"/>
      <c r="AW452" s="699"/>
      <c r="AX452" s="700"/>
      <c r="AY452" s="700"/>
      <c r="AZ452" s="701"/>
    </row>
    <row r="453" spans="1:52" ht="30.75" thickBot="1">
      <c r="A453" s="67">
        <f t="shared" si="242"/>
        <v>44873</v>
      </c>
      <c r="B453" s="155"/>
      <c r="C453" s="155"/>
      <c r="D453" s="155"/>
      <c r="E453" s="155"/>
      <c r="F453" s="155"/>
      <c r="G453" s="155"/>
      <c r="H453" s="155"/>
      <c r="I453" s="155"/>
      <c r="J453" s="155"/>
      <c r="K453" s="155"/>
      <c r="L453" s="155"/>
      <c r="M453" s="155"/>
      <c r="N453" s="155"/>
      <c r="O453" s="155"/>
      <c r="P453" s="155"/>
      <c r="Q453" s="155"/>
      <c r="R453" s="156"/>
      <c r="S453" s="156"/>
      <c r="T453" s="834"/>
      <c r="U453" s="834"/>
      <c r="V453" s="834"/>
      <c r="W453" s="834"/>
      <c r="X453" s="834"/>
      <c r="Y453" s="255">
        <f t="shared" si="243"/>
        <v>0</v>
      </c>
      <c r="Z453" s="309">
        <f t="shared" si="241"/>
        <v>0</v>
      </c>
      <c r="AA453" s="256">
        <f t="shared" si="239"/>
        <v>0</v>
      </c>
      <c r="AB453" s="309"/>
      <c r="AC453" s="309"/>
      <c r="AD453" s="320">
        <f t="shared" si="240"/>
        <v>0</v>
      </c>
      <c r="AF453" s="11"/>
      <c r="AG453" s="579"/>
      <c r="AH453" s="64">
        <f t="shared" si="244"/>
        <v>43381</v>
      </c>
      <c r="AI453" s="698"/>
      <c r="AJ453" s="699"/>
      <c r="AK453" s="699"/>
      <c r="AL453" s="699"/>
      <c r="AM453" s="699"/>
      <c r="AN453" s="699"/>
      <c r="AO453" s="699"/>
      <c r="AP453" s="699"/>
      <c r="AQ453" s="699"/>
      <c r="AR453" s="699"/>
      <c r="AS453" s="699"/>
      <c r="AT453" s="699"/>
      <c r="AU453" s="699"/>
      <c r="AV453" s="699"/>
      <c r="AW453" s="699"/>
      <c r="AX453" s="700"/>
      <c r="AY453" s="700"/>
      <c r="AZ453" s="701"/>
    </row>
    <row r="454" spans="1:52" ht="30.75" thickBot="1">
      <c r="A454" s="67">
        <f t="shared" si="242"/>
        <v>44874</v>
      </c>
      <c r="B454" s="155"/>
      <c r="C454" s="155"/>
      <c r="D454" s="155"/>
      <c r="E454" s="155"/>
      <c r="F454" s="155"/>
      <c r="G454" s="155"/>
      <c r="H454" s="155"/>
      <c r="I454" s="155"/>
      <c r="J454" s="155"/>
      <c r="K454" s="155"/>
      <c r="L454" s="155"/>
      <c r="M454" s="155"/>
      <c r="N454" s="155"/>
      <c r="O454" s="155"/>
      <c r="P454" s="155"/>
      <c r="Q454" s="155"/>
      <c r="R454" s="156"/>
      <c r="S454" s="156"/>
      <c r="T454" s="834"/>
      <c r="U454" s="834"/>
      <c r="V454" s="834"/>
      <c r="W454" s="834"/>
      <c r="X454" s="834"/>
      <c r="Y454" s="255">
        <f>B454*280+C454*280+D454*280+E454*280+F454*130+G454*130+H454*90+I454*35+J454*35+K454*395+L454*400+M454*400+N454*393.5+O454*42+P454*80+Q454*200+R454*260+S454*41+T454*30+U454*60</f>
        <v>0</v>
      </c>
      <c r="Z454" s="309">
        <f t="shared" si="241"/>
        <v>0</v>
      </c>
      <c r="AA454" s="256">
        <f t="shared" si="239"/>
        <v>0</v>
      </c>
      <c r="AB454" s="309"/>
      <c r="AC454" s="309"/>
      <c r="AD454" s="320">
        <f t="shared" si="240"/>
        <v>0</v>
      </c>
      <c r="AF454" s="11"/>
      <c r="AG454" s="579"/>
      <c r="AH454" s="64">
        <f t="shared" si="244"/>
        <v>43382</v>
      </c>
      <c r="AI454" s="698"/>
      <c r="AJ454" s="699"/>
      <c r="AK454" s="699"/>
      <c r="AL454" s="699"/>
      <c r="AM454" s="699"/>
      <c r="AN454" s="699"/>
      <c r="AO454" s="699"/>
      <c r="AP454" s="699"/>
      <c r="AQ454" s="699"/>
      <c r="AR454" s="699"/>
      <c r="AS454" s="699"/>
      <c r="AT454" s="699"/>
      <c r="AU454" s="699"/>
      <c r="AV454" s="699"/>
      <c r="AW454" s="699"/>
      <c r="AX454" s="700"/>
      <c r="AY454" s="700"/>
      <c r="AZ454" s="701"/>
    </row>
    <row r="455" spans="1:52" ht="30.75" thickBot="1">
      <c r="A455" s="67">
        <f t="shared" si="242"/>
        <v>44875</v>
      </c>
      <c r="B455" s="155"/>
      <c r="C455" s="155"/>
      <c r="D455" s="155"/>
      <c r="E455" s="155"/>
      <c r="F455" s="155"/>
      <c r="G455" s="155"/>
      <c r="H455" s="155"/>
      <c r="I455" s="155"/>
      <c r="J455" s="155"/>
      <c r="K455" s="155"/>
      <c r="L455" s="155"/>
      <c r="M455" s="155"/>
      <c r="N455" s="155"/>
      <c r="O455" s="155"/>
      <c r="P455" s="155"/>
      <c r="Q455" s="155"/>
      <c r="R455" s="156"/>
      <c r="S455" s="156"/>
      <c r="T455" s="834"/>
      <c r="U455" s="834"/>
      <c r="V455" s="834"/>
      <c r="W455" s="834"/>
      <c r="X455" s="834"/>
      <c r="Y455" s="255">
        <f t="shared" si="243"/>
        <v>0</v>
      </c>
      <c r="Z455" s="309">
        <f t="shared" si="241"/>
        <v>0</v>
      </c>
      <c r="AA455" s="256">
        <f t="shared" si="239"/>
        <v>0</v>
      </c>
      <c r="AB455" s="309"/>
      <c r="AC455" s="309"/>
      <c r="AD455" s="320">
        <f t="shared" si="240"/>
        <v>0</v>
      </c>
      <c r="AF455" s="11"/>
      <c r="AG455" s="579"/>
      <c r="AH455" s="64">
        <f t="shared" si="244"/>
        <v>43383</v>
      </c>
      <c r="AI455" s="698"/>
      <c r="AJ455" s="699"/>
      <c r="AK455" s="699"/>
      <c r="AL455" s="699"/>
      <c r="AM455" s="699"/>
      <c r="AN455" s="699"/>
      <c r="AO455" s="699"/>
      <c r="AP455" s="699"/>
      <c r="AQ455" s="699"/>
      <c r="AR455" s="699"/>
      <c r="AS455" s="699"/>
      <c r="AT455" s="699"/>
      <c r="AU455" s="699"/>
      <c r="AV455" s="699"/>
      <c r="AW455" s="699"/>
      <c r="AX455" s="700"/>
      <c r="AY455" s="700"/>
      <c r="AZ455" s="701"/>
    </row>
    <row r="456" spans="1:52" ht="30.75" thickBot="1">
      <c r="A456" s="67">
        <f t="shared" si="242"/>
        <v>44876</v>
      </c>
      <c r="B456" s="155"/>
      <c r="C456" s="155"/>
      <c r="D456" s="155"/>
      <c r="E456" s="155"/>
      <c r="F456" s="155"/>
      <c r="G456" s="155"/>
      <c r="H456" s="155"/>
      <c r="I456" s="155"/>
      <c r="J456" s="155"/>
      <c r="K456" s="155"/>
      <c r="L456" s="155"/>
      <c r="M456" s="155"/>
      <c r="N456" s="155"/>
      <c r="O456" s="155"/>
      <c r="P456" s="155"/>
      <c r="Q456" s="155"/>
      <c r="R456" s="156"/>
      <c r="S456" s="156"/>
      <c r="T456" s="834"/>
      <c r="U456" s="834"/>
      <c r="V456" s="834"/>
      <c r="W456" s="834"/>
      <c r="X456" s="834"/>
      <c r="Y456" s="255">
        <f t="shared" si="243"/>
        <v>0</v>
      </c>
      <c r="Z456" s="309">
        <f t="shared" si="241"/>
        <v>0</v>
      </c>
      <c r="AA456" s="256">
        <f t="shared" si="239"/>
        <v>0</v>
      </c>
      <c r="AB456" s="309"/>
      <c r="AC456" s="309"/>
      <c r="AD456" s="320">
        <f t="shared" si="240"/>
        <v>0</v>
      </c>
      <c r="AF456" s="11"/>
      <c r="AG456" s="579"/>
      <c r="AH456" s="64">
        <f t="shared" si="244"/>
        <v>43384</v>
      </c>
      <c r="AI456" s="698"/>
      <c r="AJ456" s="699"/>
      <c r="AK456" s="699"/>
      <c r="AL456" s="699"/>
      <c r="AM456" s="699"/>
      <c r="AN456" s="699"/>
      <c r="AO456" s="699"/>
      <c r="AP456" s="699"/>
      <c r="AQ456" s="699"/>
      <c r="AR456" s="699"/>
      <c r="AS456" s="699"/>
      <c r="AT456" s="699"/>
      <c r="AU456" s="699"/>
      <c r="AV456" s="699"/>
      <c r="AW456" s="699"/>
      <c r="AX456" s="700"/>
      <c r="AY456" s="700"/>
      <c r="AZ456" s="701"/>
    </row>
    <row r="457" spans="1:52" ht="30.75" thickBot="1">
      <c r="A457" s="67">
        <f t="shared" si="242"/>
        <v>44877</v>
      </c>
      <c r="B457" s="155"/>
      <c r="C457" s="155"/>
      <c r="D457" s="155"/>
      <c r="E457" s="155"/>
      <c r="F457" s="155"/>
      <c r="G457" s="155"/>
      <c r="H457" s="155"/>
      <c r="I457" s="155"/>
      <c r="J457" s="155"/>
      <c r="K457" s="155"/>
      <c r="L457" s="155"/>
      <c r="M457" s="155"/>
      <c r="N457" s="155"/>
      <c r="O457" s="155"/>
      <c r="P457" s="155"/>
      <c r="Q457" s="155"/>
      <c r="R457" s="156"/>
      <c r="S457" s="156"/>
      <c r="T457" s="834"/>
      <c r="U457" s="834"/>
      <c r="V457" s="834"/>
      <c r="W457" s="834"/>
      <c r="X457" s="834"/>
      <c r="Y457" s="255">
        <f t="shared" si="243"/>
        <v>0</v>
      </c>
      <c r="Z457" s="309">
        <f t="shared" si="241"/>
        <v>0</v>
      </c>
      <c r="AA457" s="256">
        <f t="shared" si="239"/>
        <v>0</v>
      </c>
      <c r="AB457" s="309"/>
      <c r="AC457" s="309"/>
      <c r="AD457" s="320">
        <f t="shared" si="240"/>
        <v>0</v>
      </c>
      <c r="AF457" s="11"/>
      <c r="AG457" s="579"/>
      <c r="AH457" s="64">
        <f t="shared" si="244"/>
        <v>43385</v>
      </c>
      <c r="AI457" s="698"/>
      <c r="AJ457" s="699"/>
      <c r="AK457" s="699"/>
      <c r="AL457" s="699"/>
      <c r="AM457" s="699"/>
      <c r="AN457" s="699"/>
      <c r="AO457" s="699"/>
      <c r="AP457" s="699"/>
      <c r="AQ457" s="699"/>
      <c r="AR457" s="699"/>
      <c r="AS457" s="699"/>
      <c r="AT457" s="699"/>
      <c r="AU457" s="699"/>
      <c r="AV457" s="699"/>
      <c r="AW457" s="699"/>
      <c r="AX457" s="700"/>
      <c r="AY457" s="700"/>
      <c r="AZ457" s="701"/>
    </row>
    <row r="458" spans="1:52" ht="30.75" thickBot="1">
      <c r="A458" s="67">
        <f t="shared" si="242"/>
        <v>44878</v>
      </c>
      <c r="B458" s="155"/>
      <c r="C458" s="155"/>
      <c r="D458" s="155"/>
      <c r="E458" s="155"/>
      <c r="F458" s="155"/>
      <c r="G458" s="155"/>
      <c r="H458" s="155"/>
      <c r="I458" s="155"/>
      <c r="J458" s="155"/>
      <c r="K458" s="155"/>
      <c r="L458" s="155"/>
      <c r="M458" s="155"/>
      <c r="N458" s="155"/>
      <c r="O458" s="155"/>
      <c r="P458" s="155"/>
      <c r="Q458" s="155"/>
      <c r="R458" s="156"/>
      <c r="S458" s="156"/>
      <c r="T458" s="834"/>
      <c r="U458" s="834"/>
      <c r="V458" s="834"/>
      <c r="W458" s="834"/>
      <c r="X458" s="834"/>
      <c r="Y458" s="255">
        <f t="shared" si="243"/>
        <v>0</v>
      </c>
      <c r="Z458" s="309">
        <f t="shared" si="241"/>
        <v>0</v>
      </c>
      <c r="AA458" s="256">
        <f t="shared" si="239"/>
        <v>0</v>
      </c>
      <c r="AB458" s="309"/>
      <c r="AC458" s="309"/>
      <c r="AD458" s="320">
        <f t="shared" si="240"/>
        <v>0</v>
      </c>
      <c r="AF458" s="11"/>
      <c r="AG458" s="579"/>
      <c r="AH458" s="64">
        <f t="shared" si="244"/>
        <v>43386</v>
      </c>
      <c r="AI458" s="698"/>
      <c r="AJ458" s="699"/>
      <c r="AK458" s="699"/>
      <c r="AL458" s="699"/>
      <c r="AM458" s="699"/>
      <c r="AN458" s="699"/>
      <c r="AO458" s="699"/>
      <c r="AP458" s="699"/>
      <c r="AQ458" s="699"/>
      <c r="AR458" s="699"/>
      <c r="AS458" s="699"/>
      <c r="AT458" s="699"/>
      <c r="AU458" s="699"/>
      <c r="AV458" s="699"/>
      <c r="AW458" s="699"/>
      <c r="AX458" s="700"/>
      <c r="AY458" s="700"/>
      <c r="AZ458" s="701"/>
    </row>
    <row r="459" spans="1:52" ht="30.75" thickBot="1">
      <c r="A459" s="67">
        <f t="shared" si="242"/>
        <v>44879</v>
      </c>
      <c r="B459" s="155"/>
      <c r="C459" s="155"/>
      <c r="D459" s="155"/>
      <c r="E459" s="155"/>
      <c r="F459" s="155"/>
      <c r="G459" s="155"/>
      <c r="H459" s="155"/>
      <c r="I459" s="155"/>
      <c r="J459" s="155"/>
      <c r="K459" s="155"/>
      <c r="L459" s="155"/>
      <c r="M459" s="155"/>
      <c r="N459" s="155"/>
      <c r="O459" s="155"/>
      <c r="P459" s="155"/>
      <c r="Q459" s="155"/>
      <c r="R459" s="156"/>
      <c r="S459" s="156"/>
      <c r="T459" s="834"/>
      <c r="U459" s="834"/>
      <c r="V459" s="834"/>
      <c r="W459" s="834"/>
      <c r="X459" s="834"/>
      <c r="Y459" s="255">
        <f t="shared" si="243"/>
        <v>0</v>
      </c>
      <c r="Z459" s="309">
        <f t="shared" si="241"/>
        <v>0</v>
      </c>
      <c r="AA459" s="256">
        <f t="shared" si="239"/>
        <v>0</v>
      </c>
      <c r="AB459" s="309"/>
      <c r="AC459" s="309"/>
      <c r="AD459" s="320">
        <f t="shared" si="240"/>
        <v>0</v>
      </c>
      <c r="AF459" s="11"/>
      <c r="AG459" s="579"/>
      <c r="AH459" s="64">
        <f t="shared" si="244"/>
        <v>43387</v>
      </c>
      <c r="AI459" s="698"/>
      <c r="AJ459" s="699"/>
      <c r="AK459" s="699"/>
      <c r="AL459" s="699"/>
      <c r="AM459" s="699"/>
      <c r="AN459" s="699"/>
      <c r="AO459" s="699"/>
      <c r="AP459" s="699"/>
      <c r="AQ459" s="699"/>
      <c r="AR459" s="699"/>
      <c r="AS459" s="699"/>
      <c r="AT459" s="699"/>
      <c r="AU459" s="699"/>
      <c r="AV459" s="699"/>
      <c r="AW459" s="699"/>
      <c r="AX459" s="700"/>
      <c r="AY459" s="700"/>
      <c r="AZ459" s="701"/>
    </row>
    <row r="460" spans="1:52" ht="30.75" thickBot="1">
      <c r="A460" s="67">
        <f t="shared" si="242"/>
        <v>44880</v>
      </c>
      <c r="B460" s="155"/>
      <c r="C460" s="155"/>
      <c r="D460" s="155"/>
      <c r="E460" s="155"/>
      <c r="F460" s="155"/>
      <c r="G460" s="155"/>
      <c r="H460" s="155"/>
      <c r="I460" s="155"/>
      <c r="J460" s="155"/>
      <c r="K460" s="155"/>
      <c r="L460" s="155"/>
      <c r="M460" s="155"/>
      <c r="N460" s="155"/>
      <c r="O460" s="155"/>
      <c r="P460" s="155"/>
      <c r="Q460" s="155"/>
      <c r="R460" s="156"/>
      <c r="S460" s="156"/>
      <c r="T460" s="834"/>
      <c r="U460" s="834"/>
      <c r="V460" s="834"/>
      <c r="W460" s="834"/>
      <c r="X460" s="834"/>
      <c r="Y460" s="255">
        <f t="shared" si="243"/>
        <v>0</v>
      </c>
      <c r="Z460" s="309">
        <f t="shared" si="241"/>
        <v>0</v>
      </c>
      <c r="AA460" s="256">
        <f t="shared" si="239"/>
        <v>0</v>
      </c>
      <c r="AB460" s="309"/>
      <c r="AC460" s="309"/>
      <c r="AD460" s="320">
        <f t="shared" si="240"/>
        <v>0</v>
      </c>
      <c r="AF460" s="11"/>
      <c r="AG460" s="579"/>
      <c r="AH460" s="64">
        <f t="shared" si="244"/>
        <v>43388</v>
      </c>
      <c r="AI460" s="698"/>
      <c r="AJ460" s="699"/>
      <c r="AK460" s="699"/>
      <c r="AL460" s="699"/>
      <c r="AM460" s="699"/>
      <c r="AN460" s="699"/>
      <c r="AO460" s="699"/>
      <c r="AP460" s="699"/>
      <c r="AQ460" s="699"/>
      <c r="AR460" s="699"/>
      <c r="AS460" s="699"/>
      <c r="AT460" s="699"/>
      <c r="AU460" s="699"/>
      <c r="AV460" s="699"/>
      <c r="AW460" s="699"/>
      <c r="AX460" s="700"/>
      <c r="AY460" s="700"/>
      <c r="AZ460" s="701"/>
    </row>
    <row r="461" spans="1:52" ht="30.75" thickBot="1">
      <c r="A461" s="67">
        <f t="shared" si="242"/>
        <v>44881</v>
      </c>
      <c r="B461" s="155"/>
      <c r="C461" s="155"/>
      <c r="D461" s="155"/>
      <c r="E461" s="155"/>
      <c r="F461" s="155"/>
      <c r="G461" s="155"/>
      <c r="H461" s="155"/>
      <c r="I461" s="155"/>
      <c r="J461" s="155"/>
      <c r="K461" s="155"/>
      <c r="L461" s="155"/>
      <c r="M461" s="155"/>
      <c r="N461" s="155"/>
      <c r="O461" s="155"/>
      <c r="P461" s="155"/>
      <c r="Q461" s="155"/>
      <c r="R461" s="156"/>
      <c r="S461" s="156"/>
      <c r="T461" s="834"/>
      <c r="U461" s="834"/>
      <c r="V461" s="834"/>
      <c r="W461" s="834"/>
      <c r="X461" s="834"/>
      <c r="Y461" s="255">
        <f t="shared" si="243"/>
        <v>0</v>
      </c>
      <c r="Z461" s="309">
        <f t="shared" si="241"/>
        <v>0</v>
      </c>
      <c r="AA461" s="256">
        <f t="shared" si="239"/>
        <v>0</v>
      </c>
      <c r="AB461" s="309"/>
      <c r="AC461" s="309"/>
      <c r="AD461" s="320">
        <f t="shared" si="240"/>
        <v>0</v>
      </c>
      <c r="AF461" s="11"/>
      <c r="AG461" s="579"/>
      <c r="AH461" s="64">
        <f t="shared" si="244"/>
        <v>43389</v>
      </c>
      <c r="AI461" s="698"/>
      <c r="AJ461" s="699"/>
      <c r="AK461" s="699"/>
      <c r="AL461" s="699"/>
      <c r="AM461" s="699"/>
      <c r="AN461" s="699"/>
      <c r="AO461" s="699"/>
      <c r="AP461" s="699"/>
      <c r="AQ461" s="699"/>
      <c r="AR461" s="699"/>
      <c r="AS461" s="699"/>
      <c r="AT461" s="699"/>
      <c r="AU461" s="699"/>
      <c r="AV461" s="699"/>
      <c r="AW461" s="699"/>
      <c r="AX461" s="700"/>
      <c r="AY461" s="700"/>
      <c r="AZ461" s="701"/>
    </row>
    <row r="462" spans="1:52" ht="30.75" thickBot="1">
      <c r="A462" s="67">
        <f t="shared" si="242"/>
        <v>44882</v>
      </c>
      <c r="B462" s="155"/>
      <c r="C462" s="155"/>
      <c r="D462" s="155"/>
      <c r="E462" s="155"/>
      <c r="F462" s="155"/>
      <c r="G462" s="155"/>
      <c r="H462" s="155"/>
      <c r="I462" s="155"/>
      <c r="J462" s="155"/>
      <c r="K462" s="155"/>
      <c r="L462" s="155"/>
      <c r="M462" s="155"/>
      <c r="N462" s="155"/>
      <c r="O462" s="155"/>
      <c r="P462" s="155"/>
      <c r="Q462" s="155"/>
      <c r="R462" s="156"/>
      <c r="S462" s="156"/>
      <c r="T462" s="834"/>
      <c r="U462" s="834"/>
      <c r="V462" s="834"/>
      <c r="W462" s="834"/>
      <c r="X462" s="834"/>
      <c r="Y462" s="255">
        <f t="shared" si="243"/>
        <v>0</v>
      </c>
      <c r="Z462" s="309">
        <f t="shared" si="241"/>
        <v>0</v>
      </c>
      <c r="AA462" s="256">
        <f t="shared" si="239"/>
        <v>0</v>
      </c>
      <c r="AB462" s="309"/>
      <c r="AC462" s="309"/>
      <c r="AD462" s="320">
        <f t="shared" si="240"/>
        <v>0</v>
      </c>
      <c r="AF462" s="11"/>
      <c r="AG462" s="579"/>
      <c r="AH462" s="64">
        <f t="shared" si="244"/>
        <v>43390</v>
      </c>
      <c r="AI462" s="698"/>
      <c r="AJ462" s="699"/>
      <c r="AK462" s="699"/>
      <c r="AL462" s="699"/>
      <c r="AM462" s="699"/>
      <c r="AN462" s="699"/>
      <c r="AO462" s="699"/>
      <c r="AP462" s="699"/>
      <c r="AQ462" s="699"/>
      <c r="AR462" s="699"/>
      <c r="AS462" s="699"/>
      <c r="AT462" s="699"/>
      <c r="AU462" s="699"/>
      <c r="AV462" s="699"/>
      <c r="AW462" s="699"/>
      <c r="AX462" s="700"/>
      <c r="AY462" s="700"/>
      <c r="AZ462" s="701"/>
    </row>
    <row r="463" spans="1:52" ht="30.75" thickBot="1">
      <c r="A463" s="67">
        <f t="shared" si="242"/>
        <v>44883</v>
      </c>
      <c r="B463" s="155"/>
      <c r="C463" s="155"/>
      <c r="D463" s="155"/>
      <c r="E463" s="155"/>
      <c r="F463" s="155"/>
      <c r="G463" s="155"/>
      <c r="H463" s="155"/>
      <c r="I463" s="155"/>
      <c r="J463" s="155"/>
      <c r="K463" s="155"/>
      <c r="L463" s="155"/>
      <c r="M463" s="155"/>
      <c r="N463" s="155"/>
      <c r="O463" s="155"/>
      <c r="P463" s="155"/>
      <c r="Q463" s="155"/>
      <c r="R463" s="156"/>
      <c r="S463" s="156"/>
      <c r="T463" s="834"/>
      <c r="U463" s="834"/>
      <c r="V463" s="834"/>
      <c r="W463" s="834"/>
      <c r="X463" s="834"/>
      <c r="Y463" s="255">
        <f t="shared" si="243"/>
        <v>0</v>
      </c>
      <c r="Z463" s="309">
        <f t="shared" si="241"/>
        <v>0</v>
      </c>
      <c r="AA463" s="256">
        <f t="shared" si="239"/>
        <v>0</v>
      </c>
      <c r="AB463" s="309"/>
      <c r="AC463" s="309"/>
      <c r="AD463" s="320">
        <f t="shared" si="240"/>
        <v>0</v>
      </c>
      <c r="AF463" s="11"/>
      <c r="AG463" s="579"/>
      <c r="AH463" s="64">
        <f t="shared" si="244"/>
        <v>43391</v>
      </c>
      <c r="AI463" s="698"/>
      <c r="AJ463" s="699"/>
      <c r="AK463" s="699"/>
      <c r="AL463" s="699"/>
      <c r="AM463" s="699"/>
      <c r="AN463" s="699"/>
      <c r="AO463" s="699"/>
      <c r="AP463" s="699"/>
      <c r="AQ463" s="699"/>
      <c r="AR463" s="699"/>
      <c r="AS463" s="699"/>
      <c r="AT463" s="699"/>
      <c r="AU463" s="699"/>
      <c r="AV463" s="699"/>
      <c r="AW463" s="699"/>
      <c r="AX463" s="700"/>
      <c r="AY463" s="700"/>
      <c r="AZ463" s="701"/>
    </row>
    <row r="464" spans="1:52" ht="30.75" thickBot="1">
      <c r="A464" s="67">
        <f t="shared" si="242"/>
        <v>44884</v>
      </c>
      <c r="B464" s="155"/>
      <c r="C464" s="155"/>
      <c r="D464" s="155"/>
      <c r="E464" s="155"/>
      <c r="F464" s="155"/>
      <c r="G464" s="155"/>
      <c r="H464" s="155"/>
      <c r="I464" s="155"/>
      <c r="J464" s="155"/>
      <c r="K464" s="155"/>
      <c r="L464" s="155"/>
      <c r="M464" s="155"/>
      <c r="N464" s="155"/>
      <c r="O464" s="155"/>
      <c r="P464" s="155"/>
      <c r="Q464" s="155"/>
      <c r="R464" s="156"/>
      <c r="S464" s="156"/>
      <c r="T464" s="834"/>
      <c r="U464" s="834"/>
      <c r="V464" s="834"/>
      <c r="W464" s="834"/>
      <c r="X464" s="834"/>
      <c r="Y464" s="255">
        <f t="shared" si="243"/>
        <v>0</v>
      </c>
      <c r="Z464" s="309">
        <f t="shared" si="241"/>
        <v>0</v>
      </c>
      <c r="AA464" s="256">
        <f t="shared" si="239"/>
        <v>0</v>
      </c>
      <c r="AB464" s="309"/>
      <c r="AC464" s="309"/>
      <c r="AD464" s="320">
        <f t="shared" si="240"/>
        <v>0</v>
      </c>
      <c r="AF464" s="11"/>
      <c r="AG464" s="579"/>
      <c r="AH464" s="64">
        <f t="shared" si="244"/>
        <v>43392</v>
      </c>
      <c r="AI464" s="698"/>
      <c r="AJ464" s="699"/>
      <c r="AK464" s="699"/>
      <c r="AL464" s="699"/>
      <c r="AM464" s="699"/>
      <c r="AN464" s="699"/>
      <c r="AO464" s="699"/>
      <c r="AP464" s="699"/>
      <c r="AQ464" s="699"/>
      <c r="AR464" s="699"/>
      <c r="AS464" s="699"/>
      <c r="AT464" s="699"/>
      <c r="AU464" s="699"/>
      <c r="AV464" s="699"/>
      <c r="AW464" s="699"/>
      <c r="AX464" s="700"/>
      <c r="AY464" s="700"/>
      <c r="AZ464" s="701"/>
    </row>
    <row r="465" spans="1:52" ht="30.75" thickBot="1">
      <c r="A465" s="67">
        <f t="shared" si="242"/>
        <v>44885</v>
      </c>
      <c r="B465" s="155"/>
      <c r="C465" s="155"/>
      <c r="D465" s="155"/>
      <c r="E465" s="155"/>
      <c r="F465" s="155"/>
      <c r="G465" s="155"/>
      <c r="H465" s="155"/>
      <c r="I465" s="155"/>
      <c r="J465" s="155"/>
      <c r="K465" s="155"/>
      <c r="L465" s="155"/>
      <c r="M465" s="155"/>
      <c r="N465" s="155"/>
      <c r="O465" s="155"/>
      <c r="P465" s="155"/>
      <c r="Q465" s="155"/>
      <c r="R465" s="156"/>
      <c r="S465" s="156"/>
      <c r="T465" s="834"/>
      <c r="U465" s="834"/>
      <c r="V465" s="834"/>
      <c r="W465" s="834"/>
      <c r="X465" s="834"/>
      <c r="Y465" s="255">
        <f t="shared" si="243"/>
        <v>0</v>
      </c>
      <c r="Z465" s="309">
        <f t="shared" si="241"/>
        <v>0</v>
      </c>
      <c r="AA465" s="256">
        <f t="shared" si="239"/>
        <v>0</v>
      </c>
      <c r="AB465" s="309"/>
      <c r="AC465" s="309"/>
      <c r="AD465" s="320">
        <f t="shared" si="240"/>
        <v>0</v>
      </c>
      <c r="AF465" s="11"/>
      <c r="AG465" s="579"/>
      <c r="AH465" s="64">
        <f t="shared" si="244"/>
        <v>43393</v>
      </c>
      <c r="AI465" s="698"/>
      <c r="AJ465" s="699"/>
      <c r="AK465" s="699"/>
      <c r="AL465" s="699"/>
      <c r="AM465" s="699"/>
      <c r="AN465" s="699"/>
      <c r="AO465" s="699"/>
      <c r="AP465" s="699"/>
      <c r="AQ465" s="699"/>
      <c r="AR465" s="699"/>
      <c r="AS465" s="699"/>
      <c r="AT465" s="699"/>
      <c r="AU465" s="699"/>
      <c r="AV465" s="699"/>
      <c r="AW465" s="699"/>
      <c r="AX465" s="700"/>
      <c r="AY465" s="700"/>
      <c r="AZ465" s="701"/>
    </row>
    <row r="466" spans="1:52" ht="30.75" thickBot="1">
      <c r="A466" s="67">
        <f t="shared" si="242"/>
        <v>44886</v>
      </c>
      <c r="B466" s="155"/>
      <c r="C466" s="155"/>
      <c r="D466" s="155"/>
      <c r="E466" s="155"/>
      <c r="F466" s="155"/>
      <c r="G466" s="155"/>
      <c r="H466" s="155"/>
      <c r="I466" s="155"/>
      <c r="J466" s="155"/>
      <c r="K466" s="155"/>
      <c r="L466" s="155"/>
      <c r="M466" s="155"/>
      <c r="N466" s="155"/>
      <c r="O466" s="155"/>
      <c r="P466" s="155"/>
      <c r="Q466" s="155"/>
      <c r="R466" s="156"/>
      <c r="S466" s="156"/>
      <c r="T466" s="834"/>
      <c r="U466" s="834"/>
      <c r="V466" s="834"/>
      <c r="W466" s="834"/>
      <c r="X466" s="834"/>
      <c r="Y466" s="255">
        <f t="shared" si="243"/>
        <v>0</v>
      </c>
      <c r="Z466" s="309">
        <f t="shared" si="241"/>
        <v>0</v>
      </c>
      <c r="AA466" s="256">
        <f t="shared" si="239"/>
        <v>0</v>
      </c>
      <c r="AB466" s="309"/>
      <c r="AC466" s="309"/>
      <c r="AD466" s="320">
        <f t="shared" si="240"/>
        <v>0</v>
      </c>
      <c r="AF466" s="11"/>
      <c r="AG466" s="579"/>
      <c r="AH466" s="64">
        <f t="shared" si="244"/>
        <v>43394</v>
      </c>
      <c r="AI466" s="698"/>
      <c r="AJ466" s="699"/>
      <c r="AK466" s="699"/>
      <c r="AL466" s="699"/>
      <c r="AM466" s="699"/>
      <c r="AN466" s="699"/>
      <c r="AO466" s="699"/>
      <c r="AP466" s="699"/>
      <c r="AQ466" s="699"/>
      <c r="AR466" s="699"/>
      <c r="AS466" s="699"/>
      <c r="AT466" s="699"/>
      <c r="AU466" s="699"/>
      <c r="AV466" s="699"/>
      <c r="AW466" s="699"/>
      <c r="AX466" s="700"/>
      <c r="AY466" s="700"/>
      <c r="AZ466" s="701"/>
    </row>
    <row r="467" spans="1:52" ht="30.75" thickBot="1">
      <c r="A467" s="67">
        <f t="shared" si="242"/>
        <v>44887</v>
      </c>
      <c r="B467" s="155"/>
      <c r="C467" s="155"/>
      <c r="D467" s="155"/>
      <c r="E467" s="155"/>
      <c r="F467" s="155"/>
      <c r="G467" s="155"/>
      <c r="H467" s="155"/>
      <c r="I467" s="155"/>
      <c r="J467" s="155"/>
      <c r="K467" s="155"/>
      <c r="L467" s="155"/>
      <c r="M467" s="155"/>
      <c r="N467" s="155"/>
      <c r="O467" s="155"/>
      <c r="P467" s="155"/>
      <c r="Q467" s="155"/>
      <c r="R467" s="156"/>
      <c r="S467" s="156"/>
      <c r="T467" s="834"/>
      <c r="U467" s="834"/>
      <c r="V467" s="834"/>
      <c r="W467" s="834"/>
      <c r="X467" s="834"/>
      <c r="Y467" s="255">
        <f t="shared" si="243"/>
        <v>0</v>
      </c>
      <c r="Z467" s="309">
        <f t="shared" si="241"/>
        <v>0</v>
      </c>
      <c r="AA467" s="256">
        <f t="shared" si="239"/>
        <v>0</v>
      </c>
      <c r="AB467" s="309"/>
      <c r="AC467" s="309"/>
      <c r="AD467" s="320">
        <f t="shared" si="240"/>
        <v>0</v>
      </c>
      <c r="AF467" s="11"/>
      <c r="AG467" s="579"/>
      <c r="AH467" s="64">
        <f t="shared" si="244"/>
        <v>43395</v>
      </c>
      <c r="AI467" s="698"/>
      <c r="AJ467" s="699"/>
      <c r="AK467" s="699"/>
      <c r="AL467" s="699"/>
      <c r="AM467" s="699"/>
      <c r="AN467" s="699"/>
      <c r="AO467" s="699"/>
      <c r="AP467" s="699"/>
      <c r="AQ467" s="699"/>
      <c r="AR467" s="699"/>
      <c r="AS467" s="699"/>
      <c r="AT467" s="699"/>
      <c r="AU467" s="699"/>
      <c r="AV467" s="699"/>
      <c r="AW467" s="699"/>
      <c r="AX467" s="700"/>
      <c r="AY467" s="700"/>
      <c r="AZ467" s="701"/>
    </row>
    <row r="468" spans="1:52" ht="30.75" thickBot="1">
      <c r="A468" s="67">
        <f t="shared" si="242"/>
        <v>44888</v>
      </c>
      <c r="B468" s="155"/>
      <c r="C468" s="155"/>
      <c r="D468" s="155"/>
      <c r="E468" s="155"/>
      <c r="F468" s="155"/>
      <c r="G468" s="155"/>
      <c r="H468" s="155"/>
      <c r="I468" s="155"/>
      <c r="J468" s="155"/>
      <c r="K468" s="155"/>
      <c r="L468" s="155"/>
      <c r="M468" s="155"/>
      <c r="N468" s="155"/>
      <c r="O468" s="155"/>
      <c r="P468" s="155"/>
      <c r="Q468" s="155"/>
      <c r="R468" s="156"/>
      <c r="S468" s="156"/>
      <c r="T468" s="834"/>
      <c r="U468" s="834"/>
      <c r="V468" s="834"/>
      <c r="W468" s="834"/>
      <c r="X468" s="834"/>
      <c r="Y468" s="255">
        <f t="shared" si="243"/>
        <v>0</v>
      </c>
      <c r="Z468" s="309">
        <f t="shared" si="241"/>
        <v>0</v>
      </c>
      <c r="AA468" s="256">
        <f t="shared" si="239"/>
        <v>0</v>
      </c>
      <c r="AB468" s="309"/>
      <c r="AC468" s="309"/>
      <c r="AD468" s="320">
        <f t="shared" si="240"/>
        <v>0</v>
      </c>
      <c r="AF468" s="11"/>
      <c r="AG468" s="579"/>
      <c r="AH468" s="64">
        <f t="shared" si="244"/>
        <v>43396</v>
      </c>
      <c r="AI468" s="698"/>
      <c r="AJ468" s="699"/>
      <c r="AK468" s="699"/>
      <c r="AL468" s="699"/>
      <c r="AM468" s="699"/>
      <c r="AN468" s="699"/>
      <c r="AO468" s="699"/>
      <c r="AP468" s="699"/>
      <c r="AQ468" s="699"/>
      <c r="AR468" s="699"/>
      <c r="AS468" s="699"/>
      <c r="AT468" s="699"/>
      <c r="AU468" s="699"/>
      <c r="AV468" s="699"/>
      <c r="AW468" s="699"/>
      <c r="AX468" s="700"/>
      <c r="AY468" s="700"/>
      <c r="AZ468" s="701"/>
    </row>
    <row r="469" spans="1:52" ht="30.75" thickBot="1">
      <c r="A469" s="67">
        <f t="shared" si="242"/>
        <v>44889</v>
      </c>
      <c r="B469" s="155"/>
      <c r="C469" s="155"/>
      <c r="D469" s="155"/>
      <c r="E469" s="155"/>
      <c r="F469" s="155"/>
      <c r="G469" s="155"/>
      <c r="H469" s="155"/>
      <c r="I469" s="155"/>
      <c r="J469" s="155"/>
      <c r="K469" s="155"/>
      <c r="L469" s="155"/>
      <c r="M469" s="155"/>
      <c r="N469" s="155"/>
      <c r="O469" s="155"/>
      <c r="P469" s="155"/>
      <c r="Q469" s="155"/>
      <c r="R469" s="156"/>
      <c r="S469" s="156"/>
      <c r="T469" s="834"/>
      <c r="U469" s="834"/>
      <c r="V469" s="834"/>
      <c r="W469" s="834"/>
      <c r="X469" s="834"/>
      <c r="Y469" s="255">
        <f t="shared" si="243"/>
        <v>0</v>
      </c>
      <c r="Z469" s="309">
        <f t="shared" si="241"/>
        <v>0</v>
      </c>
      <c r="AA469" s="256">
        <f t="shared" si="239"/>
        <v>0</v>
      </c>
      <c r="AB469" s="309"/>
      <c r="AC469" s="309"/>
      <c r="AD469" s="320">
        <f t="shared" si="240"/>
        <v>0</v>
      </c>
      <c r="AF469" s="11"/>
      <c r="AG469" s="579"/>
      <c r="AH469" s="64">
        <f t="shared" si="244"/>
        <v>43397</v>
      </c>
      <c r="AI469" s="698"/>
      <c r="AJ469" s="699"/>
      <c r="AK469" s="699"/>
      <c r="AL469" s="699"/>
      <c r="AM469" s="699"/>
      <c r="AN469" s="699"/>
      <c r="AO469" s="699"/>
      <c r="AP469" s="699"/>
      <c r="AQ469" s="699"/>
      <c r="AR469" s="699"/>
      <c r="AS469" s="699"/>
      <c r="AT469" s="699"/>
      <c r="AU469" s="699"/>
      <c r="AV469" s="699"/>
      <c r="AW469" s="699"/>
      <c r="AX469" s="700"/>
      <c r="AY469" s="700"/>
      <c r="AZ469" s="701"/>
    </row>
    <row r="470" spans="1:52" ht="30.75" thickBot="1">
      <c r="A470" s="67">
        <f t="shared" si="242"/>
        <v>44890</v>
      </c>
      <c r="B470" s="155"/>
      <c r="C470" s="155"/>
      <c r="D470" s="155"/>
      <c r="E470" s="155"/>
      <c r="F470" s="155"/>
      <c r="G470" s="155"/>
      <c r="H470" s="155"/>
      <c r="I470" s="155"/>
      <c r="J470" s="155"/>
      <c r="K470" s="155"/>
      <c r="L470" s="155"/>
      <c r="M470" s="155"/>
      <c r="N470" s="155"/>
      <c r="O470" s="155"/>
      <c r="P470" s="155"/>
      <c r="Q470" s="155"/>
      <c r="R470" s="156"/>
      <c r="S470" s="156"/>
      <c r="T470" s="834"/>
      <c r="U470" s="834"/>
      <c r="V470" s="834"/>
      <c r="W470" s="834"/>
      <c r="X470" s="834"/>
      <c r="Y470" s="255">
        <f t="shared" si="243"/>
        <v>0</v>
      </c>
      <c r="Z470" s="309">
        <f t="shared" si="241"/>
        <v>0</v>
      </c>
      <c r="AA470" s="256">
        <f t="shared" si="239"/>
        <v>0</v>
      </c>
      <c r="AB470" s="309"/>
      <c r="AC470" s="309"/>
      <c r="AD470" s="320">
        <f t="shared" si="240"/>
        <v>0</v>
      </c>
      <c r="AF470" s="11"/>
      <c r="AG470" s="579"/>
      <c r="AH470" s="64">
        <f t="shared" si="244"/>
        <v>43398</v>
      </c>
      <c r="AI470" s="698"/>
      <c r="AJ470" s="699"/>
      <c r="AK470" s="699"/>
      <c r="AL470" s="699"/>
      <c r="AM470" s="699"/>
      <c r="AN470" s="699"/>
      <c r="AO470" s="699"/>
      <c r="AP470" s="699"/>
      <c r="AQ470" s="699"/>
      <c r="AR470" s="699"/>
      <c r="AS470" s="699"/>
      <c r="AT470" s="699"/>
      <c r="AU470" s="699"/>
      <c r="AV470" s="699"/>
      <c r="AW470" s="699"/>
      <c r="AX470" s="700"/>
      <c r="AY470" s="700"/>
      <c r="AZ470" s="701"/>
    </row>
    <row r="471" spans="1:52" ht="30.75" thickBot="1">
      <c r="A471" s="67">
        <f t="shared" si="242"/>
        <v>44891</v>
      </c>
      <c r="B471" s="155"/>
      <c r="C471" s="155"/>
      <c r="D471" s="155"/>
      <c r="E471" s="155"/>
      <c r="F471" s="155"/>
      <c r="G471" s="155"/>
      <c r="H471" s="155"/>
      <c r="I471" s="155"/>
      <c r="J471" s="155"/>
      <c r="K471" s="155"/>
      <c r="L471" s="155"/>
      <c r="M471" s="155"/>
      <c r="N471" s="155"/>
      <c r="O471" s="155"/>
      <c r="P471" s="155"/>
      <c r="Q471" s="155"/>
      <c r="R471" s="156"/>
      <c r="S471" s="156"/>
      <c r="T471" s="834"/>
      <c r="U471" s="834"/>
      <c r="V471" s="834"/>
      <c r="W471" s="834"/>
      <c r="X471" s="834"/>
      <c r="Y471" s="255">
        <f t="shared" si="243"/>
        <v>0</v>
      </c>
      <c r="Z471" s="309">
        <f t="shared" si="241"/>
        <v>0</v>
      </c>
      <c r="AA471" s="256">
        <f t="shared" si="239"/>
        <v>0</v>
      </c>
      <c r="AB471" s="309"/>
      <c r="AC471" s="309"/>
      <c r="AD471" s="320">
        <f t="shared" si="240"/>
        <v>0</v>
      </c>
      <c r="AF471" s="11"/>
      <c r="AG471" s="579"/>
      <c r="AH471" s="64">
        <f t="shared" si="244"/>
        <v>43399</v>
      </c>
      <c r="AI471" s="698"/>
      <c r="AJ471" s="699"/>
      <c r="AK471" s="699"/>
      <c r="AL471" s="699"/>
      <c r="AM471" s="699"/>
      <c r="AN471" s="699"/>
      <c r="AO471" s="699"/>
      <c r="AP471" s="699"/>
      <c r="AQ471" s="699"/>
      <c r="AR471" s="699"/>
      <c r="AS471" s="699"/>
      <c r="AT471" s="699"/>
      <c r="AU471" s="699"/>
      <c r="AV471" s="699"/>
      <c r="AW471" s="699"/>
      <c r="AX471" s="700"/>
      <c r="AY471" s="700"/>
      <c r="AZ471" s="701"/>
    </row>
    <row r="472" spans="1:52" ht="30.75" thickBot="1">
      <c r="A472" s="67">
        <f t="shared" si="242"/>
        <v>44892</v>
      </c>
      <c r="B472" s="155"/>
      <c r="C472" s="155"/>
      <c r="D472" s="155"/>
      <c r="E472" s="155"/>
      <c r="F472" s="155"/>
      <c r="G472" s="155"/>
      <c r="H472" s="155"/>
      <c r="I472" s="155"/>
      <c r="J472" s="155"/>
      <c r="K472" s="155"/>
      <c r="L472" s="155"/>
      <c r="M472" s="155"/>
      <c r="N472" s="155"/>
      <c r="O472" s="155"/>
      <c r="P472" s="155"/>
      <c r="Q472" s="155"/>
      <c r="R472" s="156"/>
      <c r="S472" s="156"/>
      <c r="T472" s="834"/>
      <c r="U472" s="834"/>
      <c r="V472" s="834"/>
      <c r="W472" s="834"/>
      <c r="X472" s="834"/>
      <c r="Y472" s="255">
        <f t="shared" si="243"/>
        <v>0</v>
      </c>
      <c r="Z472" s="309">
        <f t="shared" si="241"/>
        <v>0</v>
      </c>
      <c r="AA472" s="256">
        <f t="shared" si="239"/>
        <v>0</v>
      </c>
      <c r="AB472" s="309"/>
      <c r="AC472" s="309"/>
      <c r="AD472" s="320">
        <f t="shared" si="240"/>
        <v>0</v>
      </c>
      <c r="AF472" s="11"/>
      <c r="AG472" s="579"/>
      <c r="AH472" s="64">
        <f t="shared" si="244"/>
        <v>43400</v>
      </c>
      <c r="AI472" s="698"/>
      <c r="AJ472" s="699"/>
      <c r="AK472" s="699"/>
      <c r="AL472" s="699"/>
      <c r="AM472" s="699"/>
      <c r="AN472" s="699"/>
      <c r="AO472" s="699"/>
      <c r="AP472" s="699"/>
      <c r="AQ472" s="699"/>
      <c r="AR472" s="699"/>
      <c r="AS472" s="699"/>
      <c r="AT472" s="699"/>
      <c r="AU472" s="699"/>
      <c r="AV472" s="699"/>
      <c r="AW472" s="699"/>
      <c r="AX472" s="700"/>
      <c r="AY472" s="700"/>
      <c r="AZ472" s="701"/>
    </row>
    <row r="473" spans="1:52" ht="30.75" thickBot="1">
      <c r="A473" s="67">
        <f t="shared" si="242"/>
        <v>44893</v>
      </c>
      <c r="B473" s="155"/>
      <c r="C473" s="155"/>
      <c r="D473" s="155"/>
      <c r="E473" s="155"/>
      <c r="F473" s="155"/>
      <c r="G473" s="155"/>
      <c r="H473" s="155"/>
      <c r="I473" s="155"/>
      <c r="J473" s="155"/>
      <c r="K473" s="155"/>
      <c r="L473" s="155"/>
      <c r="M473" s="155"/>
      <c r="N473" s="155"/>
      <c r="O473" s="155"/>
      <c r="P473" s="155"/>
      <c r="Q473" s="155"/>
      <c r="R473" s="156"/>
      <c r="S473" s="156"/>
      <c r="T473" s="834"/>
      <c r="U473" s="834"/>
      <c r="V473" s="834"/>
      <c r="W473" s="834"/>
      <c r="X473" s="834"/>
      <c r="Y473" s="255">
        <f t="shared" si="243"/>
        <v>0</v>
      </c>
      <c r="Z473" s="309">
        <f t="shared" si="241"/>
        <v>0</v>
      </c>
      <c r="AA473" s="256">
        <f t="shared" si="239"/>
        <v>0</v>
      </c>
      <c r="AB473" s="309"/>
      <c r="AC473" s="309"/>
      <c r="AD473" s="320">
        <f t="shared" si="240"/>
        <v>0</v>
      </c>
      <c r="AF473" s="11"/>
      <c r="AG473" s="579"/>
      <c r="AH473" s="64">
        <f t="shared" si="244"/>
        <v>43401</v>
      </c>
      <c r="AI473" s="698"/>
      <c r="AJ473" s="699"/>
      <c r="AK473" s="699"/>
      <c r="AL473" s="699"/>
      <c r="AM473" s="699"/>
      <c r="AN473" s="699"/>
      <c r="AO473" s="699"/>
      <c r="AP473" s="699"/>
      <c r="AQ473" s="699"/>
      <c r="AR473" s="699"/>
      <c r="AS473" s="699"/>
      <c r="AT473" s="699"/>
      <c r="AU473" s="699"/>
      <c r="AV473" s="699"/>
      <c r="AW473" s="699"/>
      <c r="AX473" s="700"/>
      <c r="AY473" s="700"/>
      <c r="AZ473" s="701"/>
    </row>
    <row r="474" spans="1:52" ht="30.75" thickBot="1">
      <c r="A474" s="67">
        <f t="shared" si="242"/>
        <v>44894</v>
      </c>
      <c r="B474" s="155"/>
      <c r="C474" s="155"/>
      <c r="D474" s="155"/>
      <c r="E474" s="155"/>
      <c r="F474" s="155"/>
      <c r="G474" s="155"/>
      <c r="H474" s="155"/>
      <c r="I474" s="155"/>
      <c r="J474" s="155"/>
      <c r="K474" s="155"/>
      <c r="L474" s="155"/>
      <c r="M474" s="155"/>
      <c r="N474" s="155"/>
      <c r="O474" s="155"/>
      <c r="P474" s="155"/>
      <c r="Q474" s="155"/>
      <c r="R474" s="156"/>
      <c r="S474" s="156"/>
      <c r="T474" s="834"/>
      <c r="U474" s="834"/>
      <c r="V474" s="834"/>
      <c r="W474" s="834"/>
      <c r="X474" s="834"/>
      <c r="Y474" s="255">
        <f t="shared" si="243"/>
        <v>0</v>
      </c>
      <c r="Z474" s="309">
        <f t="shared" si="241"/>
        <v>0</v>
      </c>
      <c r="AA474" s="256">
        <f t="shared" si="239"/>
        <v>0</v>
      </c>
      <c r="AB474" s="309"/>
      <c r="AC474" s="309"/>
      <c r="AD474" s="320">
        <f t="shared" si="240"/>
        <v>0</v>
      </c>
      <c r="AF474" s="11"/>
      <c r="AG474" s="579"/>
      <c r="AH474" s="64">
        <f>AH473+1</f>
        <v>43402</v>
      </c>
      <c r="AI474" s="698"/>
      <c r="AJ474" s="699"/>
      <c r="AK474" s="699"/>
      <c r="AL474" s="699"/>
      <c r="AM474" s="699"/>
      <c r="AN474" s="699"/>
      <c r="AO474" s="699"/>
      <c r="AP474" s="699"/>
      <c r="AQ474" s="699"/>
      <c r="AR474" s="699"/>
      <c r="AS474" s="699"/>
      <c r="AT474" s="699"/>
      <c r="AU474" s="699"/>
      <c r="AV474" s="699"/>
      <c r="AW474" s="699"/>
      <c r="AX474" s="700"/>
      <c r="AY474" s="700"/>
      <c r="AZ474" s="701"/>
    </row>
    <row r="475" spans="1:52" ht="30.75" thickBot="1">
      <c r="A475" s="67">
        <f t="shared" si="242"/>
        <v>44895</v>
      </c>
      <c r="B475" s="155"/>
      <c r="C475" s="155"/>
      <c r="D475" s="155"/>
      <c r="E475" s="155"/>
      <c r="F475" s="155"/>
      <c r="G475" s="155"/>
      <c r="H475" s="155"/>
      <c r="I475" s="155"/>
      <c r="J475" s="155"/>
      <c r="K475" s="155"/>
      <c r="L475" s="155"/>
      <c r="M475" s="155"/>
      <c r="N475" s="155"/>
      <c r="O475" s="155"/>
      <c r="P475" s="155"/>
      <c r="Q475" s="155"/>
      <c r="R475" s="156"/>
      <c r="S475" s="156"/>
      <c r="T475" s="834"/>
      <c r="U475" s="834"/>
      <c r="V475" s="834"/>
      <c r="W475" s="834"/>
      <c r="X475" s="834"/>
      <c r="Y475" s="255">
        <f t="shared" si="243"/>
        <v>0</v>
      </c>
      <c r="Z475" s="309">
        <f t="shared" si="241"/>
        <v>0</v>
      </c>
      <c r="AA475" s="256">
        <f t="shared" si="239"/>
        <v>0</v>
      </c>
      <c r="AB475" s="309"/>
      <c r="AC475" s="309"/>
      <c r="AD475" s="320">
        <f t="shared" si="240"/>
        <v>0</v>
      </c>
      <c r="AF475" s="11"/>
      <c r="AG475" s="579"/>
      <c r="AH475" s="64">
        <f t="shared" si="244"/>
        <v>43403</v>
      </c>
      <c r="AI475" s="698"/>
      <c r="AJ475" s="699"/>
      <c r="AK475" s="699"/>
      <c r="AL475" s="699"/>
      <c r="AM475" s="699"/>
      <c r="AN475" s="699"/>
      <c r="AO475" s="699"/>
      <c r="AP475" s="699"/>
      <c r="AQ475" s="699"/>
      <c r="AR475" s="699"/>
      <c r="AS475" s="699"/>
      <c r="AT475" s="699"/>
      <c r="AU475" s="699"/>
      <c r="AV475" s="699"/>
      <c r="AW475" s="699"/>
      <c r="AX475" s="700"/>
      <c r="AY475" s="700"/>
      <c r="AZ475" s="701"/>
    </row>
    <row r="476" spans="1:52" ht="30.75" thickBot="1">
      <c r="A476" s="102">
        <f t="shared" si="242"/>
        <v>44896</v>
      </c>
      <c r="B476" s="157"/>
      <c r="C476" s="158"/>
      <c r="D476" s="157"/>
      <c r="E476" s="157"/>
      <c r="F476" s="157"/>
      <c r="G476" s="157"/>
      <c r="H476" s="157"/>
      <c r="I476" s="158"/>
      <c r="J476" s="158"/>
      <c r="K476" s="157"/>
      <c r="L476" s="158"/>
      <c r="M476" s="157"/>
      <c r="N476" s="158"/>
      <c r="O476" s="157"/>
      <c r="P476" s="157"/>
      <c r="Q476" s="157"/>
      <c r="R476" s="159"/>
      <c r="S476" s="159"/>
      <c r="T476" s="158"/>
      <c r="U476" s="158"/>
      <c r="V476" s="158"/>
      <c r="W476" s="158"/>
      <c r="X476" s="158"/>
      <c r="Y476" s="255">
        <f t="shared" si="243"/>
        <v>0</v>
      </c>
      <c r="Z476" s="309">
        <f t="shared" si="241"/>
        <v>0</v>
      </c>
      <c r="AA476" s="256">
        <f t="shared" si="239"/>
        <v>0</v>
      </c>
      <c r="AB476" s="309"/>
      <c r="AC476" s="309"/>
      <c r="AD476" s="320">
        <f t="shared" si="240"/>
        <v>0</v>
      </c>
      <c r="AF476" s="11"/>
      <c r="AG476" s="579"/>
      <c r="AH476" s="65">
        <f t="shared" si="244"/>
        <v>43404</v>
      </c>
      <c r="AI476" s="702"/>
      <c r="AJ476" s="703"/>
      <c r="AK476" s="703"/>
      <c r="AL476" s="703"/>
      <c r="AM476" s="703"/>
      <c r="AN476" s="703"/>
      <c r="AO476" s="703"/>
      <c r="AP476" s="703"/>
      <c r="AQ476" s="703"/>
      <c r="AR476" s="703"/>
      <c r="AS476" s="703"/>
      <c r="AT476" s="703"/>
      <c r="AU476" s="703"/>
      <c r="AV476" s="703"/>
      <c r="AW476" s="703"/>
      <c r="AX476" s="704"/>
      <c r="AY476" s="704"/>
      <c r="AZ476" s="705"/>
    </row>
    <row r="477" spans="1:52" s="70" customFormat="1" ht="50.1" customHeight="1" thickTop="1" thickBot="1">
      <c r="A477" s="476" t="s">
        <v>74</v>
      </c>
      <c r="B477" s="90">
        <f>SUM(B446:B476)</f>
        <v>0</v>
      </c>
      <c r="C477" s="90">
        <f t="shared" ref="C477:Y477" si="245">SUM(C446:C476)</f>
        <v>0</v>
      </c>
      <c r="D477" s="90">
        <f t="shared" si="245"/>
        <v>0</v>
      </c>
      <c r="E477" s="90"/>
      <c r="F477" s="90">
        <f t="shared" si="245"/>
        <v>0</v>
      </c>
      <c r="G477" s="90">
        <f t="shared" si="245"/>
        <v>0</v>
      </c>
      <c r="H477" s="90">
        <f t="shared" si="245"/>
        <v>0</v>
      </c>
      <c r="I477" s="90">
        <f t="shared" si="245"/>
        <v>0</v>
      </c>
      <c r="J477" s="90">
        <f t="shared" si="245"/>
        <v>0</v>
      </c>
      <c r="K477" s="90">
        <f t="shared" si="245"/>
        <v>0</v>
      </c>
      <c r="L477" s="90">
        <f t="shared" si="245"/>
        <v>0</v>
      </c>
      <c r="M477" s="90">
        <f t="shared" si="245"/>
        <v>0</v>
      </c>
      <c r="N477" s="90">
        <f t="shared" si="245"/>
        <v>0</v>
      </c>
      <c r="O477" s="90">
        <f t="shared" si="245"/>
        <v>0</v>
      </c>
      <c r="P477" s="90"/>
      <c r="Q477" s="90">
        <f t="shared" si="245"/>
        <v>0</v>
      </c>
      <c r="R477" s="90">
        <f t="shared" si="245"/>
        <v>0</v>
      </c>
      <c r="S477" s="90">
        <f t="shared" si="245"/>
        <v>0</v>
      </c>
      <c r="T477" s="90"/>
      <c r="U477" s="90"/>
      <c r="V477" s="90"/>
      <c r="W477" s="90"/>
      <c r="X477" s="90"/>
      <c r="Y477" s="271">
        <f t="shared" si="245"/>
        <v>0</v>
      </c>
      <c r="Z477" s="259"/>
      <c r="AA477" s="259"/>
      <c r="AB477" s="316">
        <f>SUM(AB446:AB476)</f>
        <v>0</v>
      </c>
      <c r="AC477" s="316"/>
      <c r="AD477" s="475"/>
      <c r="AF477" s="578"/>
      <c r="AG477" s="578"/>
      <c r="AH477" s="706" t="s">
        <v>101</v>
      </c>
      <c r="AI477" s="707">
        <f>SUM(AI446:AI476)</f>
        <v>0</v>
      </c>
      <c r="AJ477" s="707">
        <f>SUM(AJ446:AJ476)</f>
        <v>0</v>
      </c>
      <c r="AK477" s="707">
        <f t="shared" ref="AK477:AZ477" si="246">SUM(AK446:AK476)</f>
        <v>0</v>
      </c>
      <c r="AL477" s="707">
        <f t="shared" si="246"/>
        <v>0</v>
      </c>
      <c r="AM477" s="707">
        <f t="shared" si="246"/>
        <v>0</v>
      </c>
      <c r="AN477" s="707">
        <f t="shared" si="246"/>
        <v>0</v>
      </c>
      <c r="AO477" s="707">
        <f t="shared" si="246"/>
        <v>0</v>
      </c>
      <c r="AP477" s="707">
        <f t="shared" si="246"/>
        <v>0</v>
      </c>
      <c r="AQ477" s="707">
        <f t="shared" si="246"/>
        <v>0</v>
      </c>
      <c r="AR477" s="707">
        <f t="shared" si="246"/>
        <v>0</v>
      </c>
      <c r="AS477" s="707">
        <f t="shared" si="246"/>
        <v>0</v>
      </c>
      <c r="AT477" s="707">
        <f t="shared" si="246"/>
        <v>0</v>
      </c>
      <c r="AU477" s="707">
        <f t="shared" si="246"/>
        <v>0</v>
      </c>
      <c r="AV477" s="707">
        <f t="shared" si="246"/>
        <v>0</v>
      </c>
      <c r="AW477" s="707">
        <f t="shared" si="246"/>
        <v>0</v>
      </c>
      <c r="AX477" s="707">
        <f t="shared" si="246"/>
        <v>0</v>
      </c>
      <c r="AY477" s="707">
        <f t="shared" si="246"/>
        <v>0</v>
      </c>
      <c r="AZ477" s="707">
        <f t="shared" si="246"/>
        <v>0</v>
      </c>
    </row>
    <row r="478" spans="1:52" s="70" customFormat="1" ht="50.1" customHeight="1" thickTop="1" thickBot="1">
      <c r="A478" s="625"/>
      <c r="B478" s="898"/>
      <c r="C478" s="898"/>
      <c r="D478" s="898"/>
      <c r="E478" s="898"/>
      <c r="F478" s="898"/>
      <c r="G478" s="898"/>
      <c r="H478" s="898"/>
      <c r="I478" s="898"/>
      <c r="J478" s="898"/>
      <c r="K478" s="898"/>
      <c r="L478" s="898"/>
      <c r="M478" s="898"/>
      <c r="N478" s="898"/>
      <c r="O478" s="898"/>
      <c r="P478" s="898"/>
      <c r="Q478" s="898"/>
      <c r="R478" s="898"/>
      <c r="S478" s="898"/>
      <c r="T478" s="898"/>
      <c r="U478" s="898"/>
      <c r="V478" s="898"/>
      <c r="W478" s="898"/>
      <c r="X478" s="898"/>
      <c r="Y478" s="899"/>
      <c r="Z478" s="709"/>
      <c r="AA478" s="709"/>
      <c r="AB478" s="710"/>
      <c r="AC478" s="710"/>
      <c r="AD478" s="895"/>
      <c r="AF478" s="894"/>
      <c r="AG478" s="894"/>
      <c r="AH478" s="896"/>
      <c r="AI478" s="897"/>
      <c r="AJ478" s="897"/>
      <c r="AK478" s="897"/>
      <c r="AL478" s="897"/>
      <c r="AM478" s="897"/>
      <c r="AN478" s="897"/>
      <c r="AO478" s="897"/>
      <c r="AP478" s="897"/>
      <c r="AQ478" s="897"/>
      <c r="AR478" s="897"/>
      <c r="AS478" s="897"/>
      <c r="AT478" s="897"/>
      <c r="AU478" s="897"/>
      <c r="AV478" s="897"/>
      <c r="AW478" s="897"/>
      <c r="AX478" s="897"/>
      <c r="AY478" s="897"/>
      <c r="AZ478" s="897"/>
    </row>
    <row r="479" spans="1:52" ht="39.950000000000003" customHeight="1" thickBot="1">
      <c r="A479" s="893">
        <f>A5</f>
        <v>2022</v>
      </c>
      <c r="B479" s="1484"/>
      <c r="C479" s="1484"/>
      <c r="D479" s="1484"/>
      <c r="E479" s="1484"/>
      <c r="F479" s="1484"/>
      <c r="G479" s="1484"/>
      <c r="H479" s="1484"/>
      <c r="I479" s="1484"/>
      <c r="J479" s="1484"/>
      <c r="K479" s="1484"/>
      <c r="L479" s="1484"/>
      <c r="M479" s="1484"/>
      <c r="N479" s="1484"/>
      <c r="O479" s="1484"/>
      <c r="P479" s="1484"/>
      <c r="Q479" s="1484"/>
      <c r="R479" s="1484"/>
      <c r="S479" s="1484"/>
      <c r="T479" s="1484"/>
      <c r="U479" s="1484"/>
      <c r="V479" s="1484"/>
      <c r="W479" s="1484"/>
      <c r="X479" s="1484"/>
      <c r="Y479" s="1485"/>
      <c r="Z479" s="21"/>
      <c r="AA479" s="21"/>
      <c r="AB479" s="21"/>
      <c r="AC479" s="2"/>
      <c r="AF479" s="10"/>
      <c r="AG479" s="34"/>
      <c r="AH479" s="109">
        <v>2018</v>
      </c>
      <c r="AI479" s="1424">
        <f>B479</f>
        <v>0</v>
      </c>
      <c r="AJ479" s="1425"/>
      <c r="AK479" s="1425"/>
      <c r="AL479" s="1425"/>
      <c r="AM479" s="1425"/>
      <c r="AN479" s="1425"/>
      <c r="AO479" s="1425"/>
      <c r="AP479" s="1425"/>
      <c r="AQ479" s="1425"/>
      <c r="AR479" s="1425"/>
      <c r="AS479" s="1425"/>
      <c r="AT479" s="1425"/>
      <c r="AU479" s="1425"/>
      <c r="AV479" s="1425"/>
      <c r="AW479" s="1425"/>
      <c r="AX479" s="1425"/>
      <c r="AY479" s="1425"/>
      <c r="AZ479" s="1425"/>
    </row>
    <row r="480" spans="1:52" ht="60" customHeight="1" thickTop="1" thickBot="1">
      <c r="A480" s="1469" t="s">
        <v>94</v>
      </c>
      <c r="B480" s="1402" t="s">
        <v>95</v>
      </c>
      <c r="C480" s="1403"/>
      <c r="D480" s="1403"/>
      <c r="E480" s="1404"/>
      <c r="F480" s="1402" t="s">
        <v>7</v>
      </c>
      <c r="G480" s="1403"/>
      <c r="H480" s="1404"/>
      <c r="I480" s="1402" t="s">
        <v>8</v>
      </c>
      <c r="J480" s="1404"/>
      <c r="K480" s="1402" t="s">
        <v>9</v>
      </c>
      <c r="L480" s="1403"/>
      <c r="M480" s="1403"/>
      <c r="N480" s="1403"/>
      <c r="O480" s="1403"/>
      <c r="P480" s="1403"/>
      <c r="Q480" s="1403"/>
      <c r="R480" s="1405" t="s">
        <v>10</v>
      </c>
      <c r="S480" s="1406"/>
      <c r="T480" s="1400" t="s">
        <v>289</v>
      </c>
      <c r="U480" s="1401"/>
      <c r="V480" s="842" t="s">
        <v>258</v>
      </c>
      <c r="W480" s="842"/>
      <c r="X480" s="842"/>
      <c r="Y480" s="581"/>
      <c r="Z480" s="21"/>
      <c r="AA480" s="21"/>
      <c r="AB480" s="21"/>
      <c r="AC480" s="21"/>
      <c r="AF480" s="10"/>
      <c r="AG480" s="34"/>
      <c r="AH480" s="1422" t="s">
        <v>94</v>
      </c>
      <c r="AI480" s="1402" t="s">
        <v>95</v>
      </c>
      <c r="AJ480" s="1403"/>
      <c r="AK480" s="1404"/>
      <c r="AL480" s="1402" t="s">
        <v>7</v>
      </c>
      <c r="AM480" s="1403"/>
      <c r="AN480" s="1404"/>
      <c r="AO480" s="1402" t="s">
        <v>8</v>
      </c>
      <c r="AP480" s="1403"/>
      <c r="AQ480" s="1404"/>
      <c r="AR480" s="1402" t="s">
        <v>9</v>
      </c>
      <c r="AS480" s="1403"/>
      <c r="AT480" s="1404"/>
      <c r="AU480" s="1403" t="s">
        <v>9</v>
      </c>
      <c r="AV480" s="1404"/>
      <c r="AW480" s="1429" t="s">
        <v>10</v>
      </c>
      <c r="AX480" s="1430"/>
      <c r="AY480" s="690"/>
      <c r="AZ480" s="404" t="s">
        <v>11</v>
      </c>
    </row>
    <row r="481" spans="1:52" ht="42" thickTop="1" thickBot="1">
      <c r="A481" s="1428"/>
      <c r="B481" s="482" t="s">
        <v>12</v>
      </c>
      <c r="C481" s="482" t="s">
        <v>13</v>
      </c>
      <c r="D481" s="482" t="s">
        <v>14</v>
      </c>
      <c r="E481" s="688" t="s">
        <v>198</v>
      </c>
      <c r="F481" s="482" t="s">
        <v>12</v>
      </c>
      <c r="G481" s="482" t="s">
        <v>13</v>
      </c>
      <c r="H481" s="482" t="s">
        <v>282</v>
      </c>
      <c r="I481" s="482" t="s">
        <v>12</v>
      </c>
      <c r="J481" s="482" t="s">
        <v>16</v>
      </c>
      <c r="K481" s="482" t="s">
        <v>17</v>
      </c>
      <c r="L481" s="482" t="s">
        <v>18</v>
      </c>
      <c r="M481" s="482" t="s">
        <v>19</v>
      </c>
      <c r="N481" s="484" t="s">
        <v>96</v>
      </c>
      <c r="O481" s="484" t="s">
        <v>257</v>
      </c>
      <c r="P481" s="484" t="s">
        <v>254</v>
      </c>
      <c r="Q481" s="484" t="s">
        <v>20</v>
      </c>
      <c r="R481" s="483" t="s">
        <v>14</v>
      </c>
      <c r="S481" s="482" t="s">
        <v>13</v>
      </c>
      <c r="T481" s="846" t="s">
        <v>284</v>
      </c>
      <c r="U481" s="846" t="s">
        <v>288</v>
      </c>
      <c r="V481" s="484" t="s">
        <v>259</v>
      </c>
      <c r="W481" s="484"/>
      <c r="X481" s="484"/>
      <c r="Y481" s="209" t="s">
        <v>90</v>
      </c>
      <c r="Z481" s="210" t="s">
        <v>97</v>
      </c>
      <c r="AA481" s="210" t="s">
        <v>74</v>
      </c>
      <c r="AB481" s="210" t="s">
        <v>98</v>
      </c>
      <c r="AC481" s="210" t="s">
        <v>99</v>
      </c>
      <c r="AD481" s="210" t="s">
        <v>100</v>
      </c>
      <c r="AF481" s="578" t="s">
        <v>1</v>
      </c>
      <c r="AG481" s="4"/>
      <c r="AH481" s="1428"/>
      <c r="AI481" s="482" t="s">
        <v>12</v>
      </c>
      <c r="AJ481" s="482" t="s">
        <v>13</v>
      </c>
      <c r="AK481" s="482" t="s">
        <v>14</v>
      </c>
      <c r="AL481" s="482" t="s">
        <v>12</v>
      </c>
      <c r="AM481" s="482" t="s">
        <v>13</v>
      </c>
      <c r="AN481" s="482" t="s">
        <v>15</v>
      </c>
      <c r="AO481" s="482" t="s">
        <v>12</v>
      </c>
      <c r="AP481" s="482" t="s">
        <v>205</v>
      </c>
      <c r="AQ481" s="482" t="s">
        <v>16</v>
      </c>
      <c r="AR481" s="482" t="s">
        <v>17</v>
      </c>
      <c r="AS481" s="482" t="s">
        <v>18</v>
      </c>
      <c r="AT481" s="482" t="s">
        <v>19</v>
      </c>
      <c r="AU481" s="482" t="s">
        <v>201</v>
      </c>
      <c r="AV481" s="482" t="s">
        <v>20</v>
      </c>
      <c r="AW481" s="482" t="s">
        <v>12</v>
      </c>
      <c r="AX481" s="483" t="s">
        <v>13</v>
      </c>
      <c r="AY481" s="688" t="s">
        <v>198</v>
      </c>
      <c r="AZ481" s="484" t="s">
        <v>96</v>
      </c>
    </row>
    <row r="482" spans="1:52" ht="27" customHeight="1" thickBot="1">
      <c r="A482" s="67">
        <f>A446</f>
        <v>44866</v>
      </c>
      <c r="B482" s="135"/>
      <c r="C482" s="135"/>
      <c r="D482" s="135"/>
      <c r="E482" s="135"/>
      <c r="F482" s="135"/>
      <c r="G482" s="135"/>
      <c r="H482" s="135"/>
      <c r="I482" s="135"/>
      <c r="J482" s="135"/>
      <c r="K482" s="135"/>
      <c r="L482" s="135"/>
      <c r="M482" s="135"/>
      <c r="N482" s="135"/>
      <c r="O482" s="135"/>
      <c r="P482" s="135"/>
      <c r="Q482" s="135"/>
      <c r="R482" s="136"/>
      <c r="S482" s="136"/>
      <c r="T482" s="136"/>
      <c r="U482" s="136"/>
      <c r="V482" s="136"/>
      <c r="W482" s="136"/>
      <c r="X482" s="136"/>
      <c r="Y482" s="255">
        <f t="shared" ref="Y482:Y512" si="247">B482*280+C482*280+D482*280+E482*280+F482*130+G482*130+H482*90+I482*35+J482*35+K482*400+L482*400+M482*400+N482*387.5+O482*42+P482*80+Q482*200+R482*260+S482*41+T482*30+U482*60</f>
        <v>0</v>
      </c>
      <c r="Z482" s="337"/>
      <c r="AA482" s="332">
        <f t="shared" ref="AA482:AA512" si="248">Y482+Z482</f>
        <v>0</v>
      </c>
      <c r="AB482" s="317"/>
      <c r="AC482" s="317"/>
      <c r="AD482" s="330">
        <f t="shared" ref="AD482:AD512" si="249">AA482-AB482-AC482</f>
        <v>0</v>
      </c>
      <c r="AF482" s="11"/>
      <c r="AG482" s="24"/>
      <c r="AH482" s="63">
        <f>AH446</f>
        <v>43374</v>
      </c>
      <c r="AI482" s="694"/>
      <c r="AJ482" s="695"/>
      <c r="AK482" s="695"/>
      <c r="AL482" s="695"/>
      <c r="AM482" s="695"/>
      <c r="AN482" s="695"/>
      <c r="AO482" s="695"/>
      <c r="AP482" s="695"/>
      <c r="AQ482" s="695"/>
      <c r="AR482" s="695"/>
      <c r="AS482" s="695"/>
      <c r="AT482" s="695"/>
      <c r="AU482" s="695"/>
      <c r="AV482" s="695"/>
      <c r="AW482" s="695"/>
      <c r="AX482" s="696"/>
      <c r="AY482" s="696"/>
      <c r="AZ482" s="697"/>
    </row>
    <row r="483" spans="1:52" ht="27" customHeight="1" thickBot="1">
      <c r="A483" s="67">
        <f>A482+1</f>
        <v>44867</v>
      </c>
      <c r="B483" s="138"/>
      <c r="C483" s="138"/>
      <c r="D483" s="138"/>
      <c r="E483" s="138"/>
      <c r="F483" s="138"/>
      <c r="G483" s="138"/>
      <c r="H483" s="138"/>
      <c r="I483" s="138"/>
      <c r="J483" s="138"/>
      <c r="K483" s="138"/>
      <c r="L483" s="138"/>
      <c r="M483" s="138"/>
      <c r="N483" s="138"/>
      <c r="O483" s="138"/>
      <c r="P483" s="138"/>
      <c r="Q483" s="138"/>
      <c r="R483" s="139"/>
      <c r="S483" s="139"/>
      <c r="T483" s="139"/>
      <c r="U483" s="139"/>
      <c r="V483" s="139"/>
      <c r="W483" s="139"/>
      <c r="X483" s="139"/>
      <c r="Y483" s="255">
        <f t="shared" si="247"/>
        <v>0</v>
      </c>
      <c r="Z483" s="338">
        <f t="shared" ref="Z483:Z512" si="250">AD482</f>
        <v>0</v>
      </c>
      <c r="AA483" s="333">
        <f t="shared" si="248"/>
        <v>0</v>
      </c>
      <c r="AB483" s="318"/>
      <c r="AC483" s="318"/>
      <c r="AD483" s="331">
        <f t="shared" si="249"/>
        <v>0</v>
      </c>
      <c r="AF483" s="11"/>
      <c r="AG483" s="24"/>
      <c r="AH483" s="64">
        <f>AH482+1</f>
        <v>43375</v>
      </c>
      <c r="AI483" s="698"/>
      <c r="AJ483" s="699"/>
      <c r="AK483" s="699"/>
      <c r="AL483" s="699"/>
      <c r="AM483" s="699"/>
      <c r="AN483" s="699"/>
      <c r="AO483" s="699"/>
      <c r="AP483" s="699"/>
      <c r="AQ483" s="699"/>
      <c r="AR483" s="699"/>
      <c r="AS483" s="699"/>
      <c r="AT483" s="699"/>
      <c r="AU483" s="699"/>
      <c r="AV483" s="699"/>
      <c r="AW483" s="699"/>
      <c r="AX483" s="700"/>
      <c r="AY483" s="700"/>
      <c r="AZ483" s="701"/>
    </row>
    <row r="484" spans="1:52" ht="27" customHeight="1" thickBot="1">
      <c r="A484" s="67">
        <f t="shared" ref="A484:A512" si="251">A483+1</f>
        <v>44868</v>
      </c>
      <c r="B484" s="138"/>
      <c r="C484" s="138"/>
      <c r="D484" s="138"/>
      <c r="E484" s="138"/>
      <c r="F484" s="138"/>
      <c r="G484" s="138"/>
      <c r="H484" s="138"/>
      <c r="I484" s="138"/>
      <c r="J484" s="138"/>
      <c r="K484" s="138"/>
      <c r="L484" s="138"/>
      <c r="M484" s="138"/>
      <c r="N484" s="138"/>
      <c r="O484" s="138"/>
      <c r="P484" s="138"/>
      <c r="Q484" s="138"/>
      <c r="R484" s="139"/>
      <c r="S484" s="139"/>
      <c r="T484" s="139"/>
      <c r="U484" s="139"/>
      <c r="V484" s="139"/>
      <c r="W484" s="139"/>
      <c r="X484" s="139"/>
      <c r="Y484" s="255">
        <f t="shared" si="247"/>
        <v>0</v>
      </c>
      <c r="Z484" s="338">
        <f t="shared" si="250"/>
        <v>0</v>
      </c>
      <c r="AA484" s="333">
        <f t="shared" si="248"/>
        <v>0</v>
      </c>
      <c r="AB484" s="318"/>
      <c r="AC484" s="318"/>
      <c r="AD484" s="331">
        <f t="shared" si="249"/>
        <v>0</v>
      </c>
      <c r="AF484" s="11"/>
      <c r="AG484" s="24"/>
      <c r="AH484" s="64">
        <f t="shared" ref="AH484:AH512" si="252">AH483+1</f>
        <v>43376</v>
      </c>
      <c r="AI484" s="698"/>
      <c r="AJ484" s="699"/>
      <c r="AK484" s="699"/>
      <c r="AL484" s="699"/>
      <c r="AM484" s="699"/>
      <c r="AN484" s="699"/>
      <c r="AO484" s="699"/>
      <c r="AP484" s="699"/>
      <c r="AQ484" s="699"/>
      <c r="AR484" s="699"/>
      <c r="AS484" s="699"/>
      <c r="AT484" s="699"/>
      <c r="AU484" s="699"/>
      <c r="AV484" s="699"/>
      <c r="AW484" s="699"/>
      <c r="AX484" s="700"/>
      <c r="AY484" s="700"/>
      <c r="AZ484" s="701"/>
    </row>
    <row r="485" spans="1:52" ht="27" customHeight="1" thickBot="1">
      <c r="A485" s="67">
        <f t="shared" si="251"/>
        <v>44869</v>
      </c>
      <c r="B485" s="138"/>
      <c r="C485" s="138"/>
      <c r="D485" s="138"/>
      <c r="E485" s="138"/>
      <c r="F485" s="138"/>
      <c r="G485" s="138"/>
      <c r="H485" s="138"/>
      <c r="I485" s="138"/>
      <c r="J485" s="138"/>
      <c r="K485" s="138"/>
      <c r="L485" s="138"/>
      <c r="M485" s="138"/>
      <c r="N485" s="138"/>
      <c r="O485" s="138"/>
      <c r="P485" s="138"/>
      <c r="Q485" s="138"/>
      <c r="R485" s="139"/>
      <c r="S485" s="139"/>
      <c r="T485" s="139"/>
      <c r="U485" s="139"/>
      <c r="V485" s="139"/>
      <c r="W485" s="139"/>
      <c r="X485" s="139"/>
      <c r="Y485" s="255">
        <f t="shared" si="247"/>
        <v>0</v>
      </c>
      <c r="Z485" s="338">
        <f t="shared" si="250"/>
        <v>0</v>
      </c>
      <c r="AA485" s="333">
        <f t="shared" si="248"/>
        <v>0</v>
      </c>
      <c r="AB485" s="318"/>
      <c r="AC485" s="318"/>
      <c r="AD485" s="331">
        <f t="shared" si="249"/>
        <v>0</v>
      </c>
      <c r="AF485" s="11"/>
      <c r="AG485" s="24"/>
      <c r="AH485" s="64">
        <f t="shared" si="252"/>
        <v>43377</v>
      </c>
      <c r="AI485" s="698"/>
      <c r="AJ485" s="699"/>
      <c r="AK485" s="699"/>
      <c r="AL485" s="699"/>
      <c r="AM485" s="699"/>
      <c r="AN485" s="699"/>
      <c r="AO485" s="699"/>
      <c r="AP485" s="699"/>
      <c r="AQ485" s="699"/>
      <c r="AR485" s="699"/>
      <c r="AS485" s="699"/>
      <c r="AT485" s="699"/>
      <c r="AU485" s="699"/>
      <c r="AV485" s="699"/>
      <c r="AW485" s="699"/>
      <c r="AX485" s="700"/>
      <c r="AY485" s="700"/>
      <c r="AZ485" s="701"/>
    </row>
    <row r="486" spans="1:52" ht="27" customHeight="1" thickBot="1">
      <c r="A486" s="67">
        <f t="shared" si="251"/>
        <v>44870</v>
      </c>
      <c r="B486" s="138"/>
      <c r="C486" s="138"/>
      <c r="D486" s="138"/>
      <c r="E486" s="138"/>
      <c r="F486" s="138"/>
      <c r="G486" s="138"/>
      <c r="H486" s="138"/>
      <c r="I486" s="138"/>
      <c r="J486" s="138"/>
      <c r="K486" s="138"/>
      <c r="L486" s="138"/>
      <c r="M486" s="138"/>
      <c r="N486" s="138"/>
      <c r="O486" s="138"/>
      <c r="P486" s="138"/>
      <c r="Q486" s="138"/>
      <c r="R486" s="139"/>
      <c r="S486" s="139"/>
      <c r="T486" s="139"/>
      <c r="U486" s="139"/>
      <c r="V486" s="139"/>
      <c r="W486" s="139"/>
      <c r="X486" s="139"/>
      <c r="Y486" s="255">
        <f t="shared" si="247"/>
        <v>0</v>
      </c>
      <c r="Z486" s="338">
        <f t="shared" si="250"/>
        <v>0</v>
      </c>
      <c r="AA486" s="333">
        <f t="shared" si="248"/>
        <v>0</v>
      </c>
      <c r="AB486" s="318"/>
      <c r="AC486" s="318"/>
      <c r="AD486" s="331">
        <f t="shared" si="249"/>
        <v>0</v>
      </c>
      <c r="AF486" s="11"/>
      <c r="AG486" s="24"/>
      <c r="AH486" s="64">
        <f t="shared" si="252"/>
        <v>43378</v>
      </c>
      <c r="AI486" s="698"/>
      <c r="AJ486" s="699"/>
      <c r="AK486" s="699"/>
      <c r="AL486" s="699"/>
      <c r="AM486" s="699"/>
      <c r="AN486" s="699"/>
      <c r="AO486" s="699"/>
      <c r="AP486" s="699"/>
      <c r="AQ486" s="699"/>
      <c r="AR486" s="699"/>
      <c r="AS486" s="699"/>
      <c r="AT486" s="699"/>
      <c r="AU486" s="699"/>
      <c r="AV486" s="699"/>
      <c r="AW486" s="699"/>
      <c r="AX486" s="700"/>
      <c r="AY486" s="700"/>
      <c r="AZ486" s="701"/>
    </row>
    <row r="487" spans="1:52" ht="27" customHeight="1" thickBot="1">
      <c r="A487" s="67">
        <f t="shared" si="251"/>
        <v>44871</v>
      </c>
      <c r="B487" s="138"/>
      <c r="C487" s="138"/>
      <c r="D487" s="138"/>
      <c r="E487" s="138"/>
      <c r="F487" s="138"/>
      <c r="G487" s="138"/>
      <c r="H487" s="138"/>
      <c r="I487" s="138"/>
      <c r="J487" s="138"/>
      <c r="K487" s="138"/>
      <c r="L487" s="138"/>
      <c r="M487" s="138"/>
      <c r="N487" s="138"/>
      <c r="O487" s="138"/>
      <c r="P487" s="138"/>
      <c r="Q487" s="138"/>
      <c r="R487" s="139"/>
      <c r="S487" s="139"/>
      <c r="T487" s="139"/>
      <c r="U487" s="139"/>
      <c r="V487" s="139"/>
      <c r="W487" s="139"/>
      <c r="X487" s="139"/>
      <c r="Y487" s="255">
        <f t="shared" si="247"/>
        <v>0</v>
      </c>
      <c r="Z487" s="338">
        <f t="shared" si="250"/>
        <v>0</v>
      </c>
      <c r="AA487" s="333">
        <f t="shared" si="248"/>
        <v>0</v>
      </c>
      <c r="AB487" s="318"/>
      <c r="AC487" s="318"/>
      <c r="AD487" s="331">
        <f t="shared" si="249"/>
        <v>0</v>
      </c>
      <c r="AF487" s="11" t="s">
        <v>1</v>
      </c>
      <c r="AG487" s="24"/>
      <c r="AH487" s="64">
        <f t="shared" si="252"/>
        <v>43379</v>
      </c>
      <c r="AI487" s="698"/>
      <c r="AJ487" s="699"/>
      <c r="AK487" s="699"/>
      <c r="AL487" s="699"/>
      <c r="AM487" s="699"/>
      <c r="AN487" s="699"/>
      <c r="AO487" s="699"/>
      <c r="AP487" s="699"/>
      <c r="AQ487" s="699"/>
      <c r="AR487" s="699"/>
      <c r="AS487" s="699"/>
      <c r="AT487" s="699"/>
      <c r="AU487" s="699"/>
      <c r="AV487" s="699"/>
      <c r="AW487" s="699"/>
      <c r="AX487" s="700"/>
      <c r="AY487" s="700"/>
      <c r="AZ487" s="701"/>
    </row>
    <row r="488" spans="1:52" ht="27" customHeight="1" thickBot="1">
      <c r="A488" s="67">
        <f t="shared" si="251"/>
        <v>44872</v>
      </c>
      <c r="B488" s="138"/>
      <c r="C488" s="138"/>
      <c r="D488" s="138"/>
      <c r="E488" s="138"/>
      <c r="F488" s="138"/>
      <c r="G488" s="138"/>
      <c r="H488" s="138"/>
      <c r="I488" s="138"/>
      <c r="J488" s="138"/>
      <c r="K488" s="138"/>
      <c r="L488" s="138"/>
      <c r="M488" s="138"/>
      <c r="N488" s="138"/>
      <c r="O488" s="138"/>
      <c r="P488" s="138"/>
      <c r="Q488" s="138"/>
      <c r="R488" s="139"/>
      <c r="S488" s="139"/>
      <c r="T488" s="139"/>
      <c r="U488" s="139"/>
      <c r="V488" s="139"/>
      <c r="W488" s="139"/>
      <c r="X488" s="139"/>
      <c r="Y488" s="255">
        <f t="shared" si="247"/>
        <v>0</v>
      </c>
      <c r="Z488" s="338">
        <f t="shared" si="250"/>
        <v>0</v>
      </c>
      <c r="AA488" s="333">
        <f t="shared" si="248"/>
        <v>0</v>
      </c>
      <c r="AB488" s="318"/>
      <c r="AC488" s="318"/>
      <c r="AD488" s="331">
        <f t="shared" si="249"/>
        <v>0</v>
      </c>
      <c r="AF488" s="11"/>
      <c r="AG488" s="24"/>
      <c r="AH488" s="64">
        <f t="shared" si="252"/>
        <v>43380</v>
      </c>
      <c r="AI488" s="698"/>
      <c r="AJ488" s="699"/>
      <c r="AK488" s="699"/>
      <c r="AL488" s="699"/>
      <c r="AM488" s="699"/>
      <c r="AN488" s="699"/>
      <c r="AO488" s="699"/>
      <c r="AP488" s="699"/>
      <c r="AQ488" s="699"/>
      <c r="AR488" s="699"/>
      <c r="AS488" s="699"/>
      <c r="AT488" s="699"/>
      <c r="AU488" s="699"/>
      <c r="AV488" s="699"/>
      <c r="AW488" s="699"/>
      <c r="AX488" s="700"/>
      <c r="AY488" s="700"/>
      <c r="AZ488" s="701"/>
    </row>
    <row r="489" spans="1:52" ht="27" customHeight="1" thickBot="1">
      <c r="A489" s="67">
        <f t="shared" si="251"/>
        <v>44873</v>
      </c>
      <c r="B489" s="138"/>
      <c r="C489" s="138"/>
      <c r="D489" s="138"/>
      <c r="E489" s="138"/>
      <c r="F489" s="138"/>
      <c r="G489" s="138"/>
      <c r="H489" s="138"/>
      <c r="I489" s="138"/>
      <c r="J489" s="138"/>
      <c r="K489" s="138"/>
      <c r="L489" s="138"/>
      <c r="M489" s="138"/>
      <c r="N489" s="138"/>
      <c r="O489" s="138"/>
      <c r="P489" s="138"/>
      <c r="Q489" s="138"/>
      <c r="R489" s="139"/>
      <c r="S489" s="139"/>
      <c r="T489" s="139"/>
      <c r="U489" s="139"/>
      <c r="V489" s="139"/>
      <c r="W489" s="139"/>
      <c r="X489" s="139"/>
      <c r="Y489" s="255">
        <f t="shared" si="247"/>
        <v>0</v>
      </c>
      <c r="Z489" s="338">
        <f t="shared" si="250"/>
        <v>0</v>
      </c>
      <c r="AA489" s="333">
        <f t="shared" si="248"/>
        <v>0</v>
      </c>
      <c r="AB489" s="318"/>
      <c r="AC489" s="318"/>
      <c r="AD489" s="331">
        <f t="shared" si="249"/>
        <v>0</v>
      </c>
      <c r="AF489" s="11"/>
      <c r="AG489" s="24"/>
      <c r="AH489" s="64">
        <f t="shared" si="252"/>
        <v>43381</v>
      </c>
      <c r="AI489" s="698"/>
      <c r="AJ489" s="699"/>
      <c r="AK489" s="699"/>
      <c r="AL489" s="699"/>
      <c r="AM489" s="699"/>
      <c r="AN489" s="699"/>
      <c r="AO489" s="699"/>
      <c r="AP489" s="699"/>
      <c r="AQ489" s="699"/>
      <c r="AR489" s="699"/>
      <c r="AS489" s="699"/>
      <c r="AT489" s="699"/>
      <c r="AU489" s="699"/>
      <c r="AV489" s="699"/>
      <c r="AW489" s="699"/>
      <c r="AX489" s="700"/>
      <c r="AY489" s="700"/>
      <c r="AZ489" s="701"/>
    </row>
    <row r="490" spans="1:52" ht="27" customHeight="1" thickBot="1">
      <c r="A490" s="67">
        <f t="shared" si="251"/>
        <v>44874</v>
      </c>
      <c r="B490" s="138"/>
      <c r="C490" s="138"/>
      <c r="D490" s="138"/>
      <c r="E490" s="138"/>
      <c r="F490" s="138"/>
      <c r="G490" s="138"/>
      <c r="H490" s="138"/>
      <c r="I490" s="138"/>
      <c r="J490" s="138"/>
      <c r="K490" s="138"/>
      <c r="L490" s="138"/>
      <c r="M490" s="138"/>
      <c r="N490" s="138"/>
      <c r="O490" s="138"/>
      <c r="P490" s="138"/>
      <c r="Q490" s="138"/>
      <c r="R490" s="139"/>
      <c r="S490" s="139"/>
      <c r="T490" s="139"/>
      <c r="U490" s="139"/>
      <c r="V490" s="139"/>
      <c r="W490" s="139"/>
      <c r="X490" s="139"/>
      <c r="Y490" s="255">
        <f t="shared" si="247"/>
        <v>0</v>
      </c>
      <c r="Z490" s="338">
        <f t="shared" si="250"/>
        <v>0</v>
      </c>
      <c r="AA490" s="333">
        <f t="shared" si="248"/>
        <v>0</v>
      </c>
      <c r="AB490" s="318"/>
      <c r="AC490" s="318"/>
      <c r="AD490" s="331">
        <f t="shared" si="249"/>
        <v>0</v>
      </c>
      <c r="AF490" s="11"/>
      <c r="AG490" s="24"/>
      <c r="AH490" s="64">
        <f t="shared" si="252"/>
        <v>43382</v>
      </c>
      <c r="AI490" s="698"/>
      <c r="AJ490" s="699"/>
      <c r="AK490" s="699"/>
      <c r="AL490" s="699"/>
      <c r="AM490" s="699"/>
      <c r="AN490" s="699"/>
      <c r="AO490" s="699"/>
      <c r="AP490" s="699"/>
      <c r="AQ490" s="699"/>
      <c r="AR490" s="699"/>
      <c r="AS490" s="699"/>
      <c r="AT490" s="699"/>
      <c r="AU490" s="699"/>
      <c r="AV490" s="699"/>
      <c r="AW490" s="699"/>
      <c r="AX490" s="700"/>
      <c r="AY490" s="700"/>
      <c r="AZ490" s="701"/>
    </row>
    <row r="491" spans="1:52" ht="27" customHeight="1" thickBot="1">
      <c r="A491" s="67">
        <f t="shared" si="251"/>
        <v>44875</v>
      </c>
      <c r="B491" s="138"/>
      <c r="C491" s="138"/>
      <c r="D491" s="138"/>
      <c r="E491" s="138"/>
      <c r="F491" s="138"/>
      <c r="G491" s="138"/>
      <c r="H491" s="138"/>
      <c r="I491" s="138"/>
      <c r="J491" s="138"/>
      <c r="K491" s="138"/>
      <c r="L491" s="138"/>
      <c r="M491" s="138"/>
      <c r="N491" s="138"/>
      <c r="O491" s="138"/>
      <c r="P491" s="138"/>
      <c r="Q491" s="138"/>
      <c r="R491" s="139"/>
      <c r="S491" s="139"/>
      <c r="T491" s="139"/>
      <c r="U491" s="139"/>
      <c r="V491" s="139"/>
      <c r="W491" s="139"/>
      <c r="X491" s="139"/>
      <c r="Y491" s="255">
        <f t="shared" si="247"/>
        <v>0</v>
      </c>
      <c r="Z491" s="338">
        <f t="shared" si="250"/>
        <v>0</v>
      </c>
      <c r="AA491" s="333">
        <f t="shared" si="248"/>
        <v>0</v>
      </c>
      <c r="AB491" s="318"/>
      <c r="AC491" s="318"/>
      <c r="AD491" s="331">
        <f t="shared" si="249"/>
        <v>0</v>
      </c>
      <c r="AF491" s="11"/>
      <c r="AG491" s="24"/>
      <c r="AH491" s="64">
        <f t="shared" si="252"/>
        <v>43383</v>
      </c>
      <c r="AI491" s="698"/>
      <c r="AJ491" s="699"/>
      <c r="AK491" s="699"/>
      <c r="AL491" s="699"/>
      <c r="AM491" s="699"/>
      <c r="AN491" s="699"/>
      <c r="AO491" s="699"/>
      <c r="AP491" s="699"/>
      <c r="AQ491" s="699"/>
      <c r="AR491" s="699"/>
      <c r="AS491" s="699"/>
      <c r="AT491" s="699"/>
      <c r="AU491" s="699"/>
      <c r="AV491" s="699"/>
      <c r="AW491" s="699"/>
      <c r="AX491" s="700"/>
      <c r="AY491" s="700"/>
      <c r="AZ491" s="701"/>
    </row>
    <row r="492" spans="1:52" ht="27" customHeight="1" thickBot="1">
      <c r="A492" s="67">
        <f t="shared" si="251"/>
        <v>44876</v>
      </c>
      <c r="B492" s="138"/>
      <c r="C492" s="138"/>
      <c r="D492" s="138"/>
      <c r="E492" s="138"/>
      <c r="F492" s="138"/>
      <c r="G492" s="138"/>
      <c r="H492" s="138"/>
      <c r="I492" s="138"/>
      <c r="J492" s="138"/>
      <c r="K492" s="138"/>
      <c r="L492" s="138"/>
      <c r="M492" s="138"/>
      <c r="N492" s="138"/>
      <c r="O492" s="138"/>
      <c r="P492" s="138"/>
      <c r="Q492" s="138"/>
      <c r="R492" s="139"/>
      <c r="S492" s="139"/>
      <c r="T492" s="139"/>
      <c r="U492" s="139"/>
      <c r="V492" s="139"/>
      <c r="W492" s="139"/>
      <c r="X492" s="139"/>
      <c r="Y492" s="255">
        <f t="shared" si="247"/>
        <v>0</v>
      </c>
      <c r="Z492" s="338">
        <f t="shared" si="250"/>
        <v>0</v>
      </c>
      <c r="AA492" s="333">
        <f t="shared" si="248"/>
        <v>0</v>
      </c>
      <c r="AB492" s="318"/>
      <c r="AC492" s="318"/>
      <c r="AD492" s="331">
        <f t="shared" si="249"/>
        <v>0</v>
      </c>
      <c r="AF492" s="11"/>
      <c r="AG492" s="24"/>
      <c r="AH492" s="64">
        <f t="shared" si="252"/>
        <v>43384</v>
      </c>
      <c r="AI492" s="698"/>
      <c r="AJ492" s="699"/>
      <c r="AK492" s="699"/>
      <c r="AL492" s="699"/>
      <c r="AM492" s="699"/>
      <c r="AN492" s="699"/>
      <c r="AO492" s="699"/>
      <c r="AP492" s="699"/>
      <c r="AQ492" s="699"/>
      <c r="AR492" s="699"/>
      <c r="AS492" s="699"/>
      <c r="AT492" s="699"/>
      <c r="AU492" s="699"/>
      <c r="AV492" s="699"/>
      <c r="AW492" s="699"/>
      <c r="AX492" s="700"/>
      <c r="AY492" s="700"/>
      <c r="AZ492" s="701"/>
    </row>
    <row r="493" spans="1:52" ht="27" customHeight="1" thickBot="1">
      <c r="A493" s="67">
        <f t="shared" si="251"/>
        <v>44877</v>
      </c>
      <c r="B493" s="138"/>
      <c r="C493" s="138"/>
      <c r="D493" s="138"/>
      <c r="E493" s="138"/>
      <c r="F493" s="138"/>
      <c r="G493" s="138"/>
      <c r="H493" s="138"/>
      <c r="I493" s="138"/>
      <c r="J493" s="138"/>
      <c r="K493" s="138"/>
      <c r="L493" s="138"/>
      <c r="M493" s="138"/>
      <c r="N493" s="138"/>
      <c r="O493" s="138"/>
      <c r="P493" s="138"/>
      <c r="Q493" s="138"/>
      <c r="R493" s="139"/>
      <c r="S493" s="139"/>
      <c r="T493" s="139"/>
      <c r="U493" s="139"/>
      <c r="V493" s="139"/>
      <c r="W493" s="139"/>
      <c r="X493" s="139"/>
      <c r="Y493" s="255">
        <f t="shared" si="247"/>
        <v>0</v>
      </c>
      <c r="Z493" s="338">
        <f t="shared" si="250"/>
        <v>0</v>
      </c>
      <c r="AA493" s="333">
        <f t="shared" si="248"/>
        <v>0</v>
      </c>
      <c r="AB493" s="318"/>
      <c r="AC493" s="318"/>
      <c r="AD493" s="331">
        <f t="shared" si="249"/>
        <v>0</v>
      </c>
      <c r="AF493" s="11"/>
      <c r="AG493" s="24"/>
      <c r="AH493" s="64">
        <f t="shared" si="252"/>
        <v>43385</v>
      </c>
      <c r="AI493" s="698"/>
      <c r="AJ493" s="699"/>
      <c r="AK493" s="699"/>
      <c r="AL493" s="699"/>
      <c r="AM493" s="699"/>
      <c r="AN493" s="699"/>
      <c r="AO493" s="699"/>
      <c r="AP493" s="699"/>
      <c r="AQ493" s="699"/>
      <c r="AR493" s="699"/>
      <c r="AS493" s="699"/>
      <c r="AT493" s="699"/>
      <c r="AU493" s="699"/>
      <c r="AV493" s="699"/>
      <c r="AW493" s="699"/>
      <c r="AX493" s="700"/>
      <c r="AY493" s="700"/>
      <c r="AZ493" s="701"/>
    </row>
    <row r="494" spans="1:52" ht="27" customHeight="1" thickBot="1">
      <c r="A494" s="67">
        <f t="shared" si="251"/>
        <v>44878</v>
      </c>
      <c r="B494" s="138"/>
      <c r="C494" s="138"/>
      <c r="D494" s="138"/>
      <c r="E494" s="138"/>
      <c r="F494" s="138"/>
      <c r="G494" s="138"/>
      <c r="H494" s="138"/>
      <c r="I494" s="138"/>
      <c r="J494" s="138"/>
      <c r="K494" s="138"/>
      <c r="L494" s="138"/>
      <c r="M494" s="138"/>
      <c r="N494" s="138"/>
      <c r="O494" s="138"/>
      <c r="P494" s="138"/>
      <c r="Q494" s="138"/>
      <c r="R494" s="139"/>
      <c r="S494" s="139"/>
      <c r="T494" s="139"/>
      <c r="U494" s="139"/>
      <c r="V494" s="139"/>
      <c r="W494" s="139"/>
      <c r="X494" s="139"/>
      <c r="Y494" s="255">
        <f t="shared" si="247"/>
        <v>0</v>
      </c>
      <c r="Z494" s="338">
        <f t="shared" si="250"/>
        <v>0</v>
      </c>
      <c r="AA494" s="333">
        <f t="shared" si="248"/>
        <v>0</v>
      </c>
      <c r="AB494" s="318"/>
      <c r="AC494" s="318"/>
      <c r="AD494" s="331">
        <f t="shared" si="249"/>
        <v>0</v>
      </c>
      <c r="AF494" s="11"/>
      <c r="AG494" s="24"/>
      <c r="AH494" s="64">
        <f t="shared" si="252"/>
        <v>43386</v>
      </c>
      <c r="AI494" s="698"/>
      <c r="AJ494" s="699"/>
      <c r="AK494" s="699"/>
      <c r="AL494" s="699"/>
      <c r="AM494" s="699"/>
      <c r="AN494" s="699"/>
      <c r="AO494" s="699"/>
      <c r="AP494" s="699"/>
      <c r="AQ494" s="699"/>
      <c r="AR494" s="699"/>
      <c r="AS494" s="699"/>
      <c r="AT494" s="699"/>
      <c r="AU494" s="699"/>
      <c r="AV494" s="699"/>
      <c r="AW494" s="699"/>
      <c r="AX494" s="700"/>
      <c r="AY494" s="700"/>
      <c r="AZ494" s="701"/>
    </row>
    <row r="495" spans="1:52" ht="27" customHeight="1" thickBot="1">
      <c r="A495" s="67">
        <f t="shared" si="251"/>
        <v>44879</v>
      </c>
      <c r="B495" s="138"/>
      <c r="C495" s="138"/>
      <c r="D495" s="138"/>
      <c r="E495" s="138"/>
      <c r="F495" s="138"/>
      <c r="G495" s="138"/>
      <c r="H495" s="138"/>
      <c r="I495" s="138"/>
      <c r="J495" s="138"/>
      <c r="K495" s="138"/>
      <c r="L495" s="138"/>
      <c r="M495" s="138"/>
      <c r="N495" s="138"/>
      <c r="O495" s="138"/>
      <c r="P495" s="138"/>
      <c r="Q495" s="138"/>
      <c r="R495" s="139"/>
      <c r="S495" s="139"/>
      <c r="T495" s="139"/>
      <c r="U495" s="139"/>
      <c r="V495" s="139"/>
      <c r="W495" s="139"/>
      <c r="X495" s="139"/>
      <c r="Y495" s="255">
        <f t="shared" si="247"/>
        <v>0</v>
      </c>
      <c r="Z495" s="338">
        <f t="shared" si="250"/>
        <v>0</v>
      </c>
      <c r="AA495" s="333">
        <f t="shared" si="248"/>
        <v>0</v>
      </c>
      <c r="AB495" s="318"/>
      <c r="AC495" s="318"/>
      <c r="AD495" s="331">
        <f t="shared" si="249"/>
        <v>0</v>
      </c>
      <c r="AF495" s="11"/>
      <c r="AG495" s="24"/>
      <c r="AH495" s="64">
        <f t="shared" si="252"/>
        <v>43387</v>
      </c>
      <c r="AI495" s="698"/>
      <c r="AJ495" s="699"/>
      <c r="AK495" s="699"/>
      <c r="AL495" s="699"/>
      <c r="AM495" s="699"/>
      <c r="AN495" s="699"/>
      <c r="AO495" s="699"/>
      <c r="AP495" s="699"/>
      <c r="AQ495" s="699"/>
      <c r="AR495" s="699"/>
      <c r="AS495" s="699"/>
      <c r="AT495" s="699"/>
      <c r="AU495" s="699"/>
      <c r="AV495" s="699"/>
      <c r="AW495" s="699"/>
      <c r="AX495" s="700"/>
      <c r="AY495" s="700"/>
      <c r="AZ495" s="701"/>
    </row>
    <row r="496" spans="1:52" ht="27" customHeight="1" thickBot="1">
      <c r="A496" s="67">
        <f t="shared" si="251"/>
        <v>44880</v>
      </c>
      <c r="B496" s="138"/>
      <c r="C496" s="138"/>
      <c r="D496" s="138"/>
      <c r="E496" s="138"/>
      <c r="F496" s="138"/>
      <c r="G496" s="138"/>
      <c r="H496" s="138"/>
      <c r="I496" s="138"/>
      <c r="J496" s="138"/>
      <c r="K496" s="138"/>
      <c r="L496" s="138"/>
      <c r="M496" s="138"/>
      <c r="N496" s="138"/>
      <c r="O496" s="138"/>
      <c r="P496" s="138"/>
      <c r="Q496" s="138"/>
      <c r="R496" s="139"/>
      <c r="S496" s="139"/>
      <c r="T496" s="139"/>
      <c r="U496" s="139"/>
      <c r="V496" s="139"/>
      <c r="W496" s="139"/>
      <c r="X496" s="139"/>
      <c r="Y496" s="255">
        <f t="shared" si="247"/>
        <v>0</v>
      </c>
      <c r="Z496" s="338">
        <f t="shared" si="250"/>
        <v>0</v>
      </c>
      <c r="AA496" s="333">
        <f t="shared" si="248"/>
        <v>0</v>
      </c>
      <c r="AB496" s="318"/>
      <c r="AC496" s="318"/>
      <c r="AD496" s="331">
        <f t="shared" si="249"/>
        <v>0</v>
      </c>
      <c r="AF496" s="11"/>
      <c r="AG496" s="24"/>
      <c r="AH496" s="64">
        <f t="shared" si="252"/>
        <v>43388</v>
      </c>
      <c r="AI496" s="698"/>
      <c r="AJ496" s="699"/>
      <c r="AK496" s="699"/>
      <c r="AL496" s="699"/>
      <c r="AM496" s="699"/>
      <c r="AN496" s="699"/>
      <c r="AO496" s="699"/>
      <c r="AP496" s="699"/>
      <c r="AQ496" s="699"/>
      <c r="AR496" s="699"/>
      <c r="AS496" s="699"/>
      <c r="AT496" s="699"/>
      <c r="AU496" s="699"/>
      <c r="AV496" s="699"/>
      <c r="AW496" s="699"/>
      <c r="AX496" s="700"/>
      <c r="AY496" s="700"/>
      <c r="AZ496" s="701"/>
    </row>
    <row r="497" spans="1:52" ht="27" customHeight="1" thickBot="1">
      <c r="A497" s="67">
        <f t="shared" si="251"/>
        <v>44881</v>
      </c>
      <c r="B497" s="138"/>
      <c r="C497" s="138"/>
      <c r="D497" s="138"/>
      <c r="E497" s="138"/>
      <c r="F497" s="138"/>
      <c r="G497" s="138"/>
      <c r="H497" s="138"/>
      <c r="I497" s="138"/>
      <c r="J497" s="138"/>
      <c r="K497" s="138"/>
      <c r="L497" s="138"/>
      <c r="M497" s="138"/>
      <c r="N497" s="138"/>
      <c r="O497" s="138"/>
      <c r="P497" s="138"/>
      <c r="Q497" s="138"/>
      <c r="R497" s="139"/>
      <c r="S497" s="139"/>
      <c r="T497" s="139"/>
      <c r="U497" s="139"/>
      <c r="V497" s="139"/>
      <c r="W497" s="139"/>
      <c r="X497" s="139"/>
      <c r="Y497" s="255">
        <f t="shared" si="247"/>
        <v>0</v>
      </c>
      <c r="Z497" s="338">
        <f t="shared" si="250"/>
        <v>0</v>
      </c>
      <c r="AA497" s="333">
        <f t="shared" si="248"/>
        <v>0</v>
      </c>
      <c r="AB497" s="318"/>
      <c r="AC497" s="318"/>
      <c r="AD497" s="331">
        <f t="shared" si="249"/>
        <v>0</v>
      </c>
      <c r="AF497" s="11"/>
      <c r="AG497" s="24"/>
      <c r="AH497" s="64">
        <f t="shared" si="252"/>
        <v>43389</v>
      </c>
      <c r="AI497" s="698"/>
      <c r="AJ497" s="699"/>
      <c r="AK497" s="699"/>
      <c r="AL497" s="699"/>
      <c r="AM497" s="699"/>
      <c r="AN497" s="699"/>
      <c r="AO497" s="699"/>
      <c r="AP497" s="699"/>
      <c r="AQ497" s="699"/>
      <c r="AR497" s="699"/>
      <c r="AS497" s="699"/>
      <c r="AT497" s="699"/>
      <c r="AU497" s="699"/>
      <c r="AV497" s="699"/>
      <c r="AW497" s="699"/>
      <c r="AX497" s="700"/>
      <c r="AY497" s="700"/>
      <c r="AZ497" s="701"/>
    </row>
    <row r="498" spans="1:52" ht="27" customHeight="1" thickBot="1">
      <c r="A498" s="67">
        <f t="shared" si="251"/>
        <v>44882</v>
      </c>
      <c r="B498" s="138"/>
      <c r="C498" s="138"/>
      <c r="D498" s="138"/>
      <c r="E498" s="138"/>
      <c r="F498" s="138"/>
      <c r="G498" s="138"/>
      <c r="H498" s="138"/>
      <c r="I498" s="138"/>
      <c r="J498" s="138"/>
      <c r="K498" s="138"/>
      <c r="L498" s="138"/>
      <c r="M498" s="138"/>
      <c r="N498" s="138"/>
      <c r="O498" s="138"/>
      <c r="P498" s="138"/>
      <c r="Q498" s="138"/>
      <c r="R498" s="139"/>
      <c r="S498" s="139"/>
      <c r="T498" s="139"/>
      <c r="U498" s="139"/>
      <c r="V498" s="139"/>
      <c r="W498" s="139"/>
      <c r="X498" s="139"/>
      <c r="Y498" s="255">
        <f t="shared" si="247"/>
        <v>0</v>
      </c>
      <c r="Z498" s="338">
        <f t="shared" si="250"/>
        <v>0</v>
      </c>
      <c r="AA498" s="333">
        <f t="shared" si="248"/>
        <v>0</v>
      </c>
      <c r="AB498" s="318"/>
      <c r="AC498" s="318"/>
      <c r="AD498" s="331">
        <f t="shared" si="249"/>
        <v>0</v>
      </c>
      <c r="AF498" s="11"/>
      <c r="AG498" s="24"/>
      <c r="AH498" s="64">
        <f t="shared" si="252"/>
        <v>43390</v>
      </c>
      <c r="AI498" s="698"/>
      <c r="AJ498" s="699"/>
      <c r="AK498" s="699"/>
      <c r="AL498" s="699"/>
      <c r="AM498" s="699"/>
      <c r="AN498" s="699"/>
      <c r="AO498" s="699"/>
      <c r="AP498" s="699"/>
      <c r="AQ498" s="699"/>
      <c r="AR498" s="699"/>
      <c r="AS498" s="699"/>
      <c r="AT498" s="699"/>
      <c r="AU498" s="699"/>
      <c r="AV498" s="699"/>
      <c r="AW498" s="699"/>
      <c r="AX498" s="700"/>
      <c r="AY498" s="700"/>
      <c r="AZ498" s="701"/>
    </row>
    <row r="499" spans="1:52" ht="27" customHeight="1" thickBot="1">
      <c r="A499" s="67">
        <f t="shared" si="251"/>
        <v>44883</v>
      </c>
      <c r="B499" s="138"/>
      <c r="C499" s="138"/>
      <c r="D499" s="138"/>
      <c r="E499" s="138"/>
      <c r="F499" s="138"/>
      <c r="G499" s="138"/>
      <c r="H499" s="138"/>
      <c r="I499" s="138"/>
      <c r="J499" s="138"/>
      <c r="K499" s="138"/>
      <c r="L499" s="138"/>
      <c r="M499" s="138"/>
      <c r="N499" s="138"/>
      <c r="O499" s="138"/>
      <c r="P499" s="138"/>
      <c r="Q499" s="138"/>
      <c r="R499" s="139"/>
      <c r="S499" s="139"/>
      <c r="T499" s="139"/>
      <c r="U499" s="139"/>
      <c r="V499" s="139"/>
      <c r="W499" s="139"/>
      <c r="X499" s="139"/>
      <c r="Y499" s="255">
        <f t="shared" si="247"/>
        <v>0</v>
      </c>
      <c r="Z499" s="338">
        <f t="shared" si="250"/>
        <v>0</v>
      </c>
      <c r="AA499" s="333">
        <f t="shared" si="248"/>
        <v>0</v>
      </c>
      <c r="AB499" s="318"/>
      <c r="AC499" s="318"/>
      <c r="AD499" s="331">
        <f t="shared" si="249"/>
        <v>0</v>
      </c>
      <c r="AF499" s="11"/>
      <c r="AG499" s="24"/>
      <c r="AH499" s="64">
        <f t="shared" si="252"/>
        <v>43391</v>
      </c>
      <c r="AI499" s="698"/>
      <c r="AJ499" s="699"/>
      <c r="AK499" s="699"/>
      <c r="AL499" s="699"/>
      <c r="AM499" s="699"/>
      <c r="AN499" s="699"/>
      <c r="AO499" s="699"/>
      <c r="AP499" s="699"/>
      <c r="AQ499" s="699"/>
      <c r="AR499" s="699"/>
      <c r="AS499" s="699"/>
      <c r="AT499" s="699"/>
      <c r="AU499" s="699"/>
      <c r="AV499" s="699"/>
      <c r="AW499" s="699"/>
      <c r="AX499" s="700"/>
      <c r="AY499" s="700"/>
      <c r="AZ499" s="701"/>
    </row>
    <row r="500" spans="1:52" ht="27" customHeight="1" thickBot="1">
      <c r="A500" s="67">
        <f t="shared" si="251"/>
        <v>44884</v>
      </c>
      <c r="B500" s="138"/>
      <c r="C500" s="138"/>
      <c r="D500" s="138"/>
      <c r="E500" s="138"/>
      <c r="F500" s="138"/>
      <c r="G500" s="138"/>
      <c r="H500" s="138"/>
      <c r="I500" s="138"/>
      <c r="J500" s="138"/>
      <c r="K500" s="138"/>
      <c r="L500" s="138"/>
      <c r="M500" s="138"/>
      <c r="N500" s="138"/>
      <c r="O500" s="138"/>
      <c r="P500" s="138"/>
      <c r="Q500" s="138"/>
      <c r="R500" s="139"/>
      <c r="S500" s="139"/>
      <c r="T500" s="139"/>
      <c r="U500" s="139"/>
      <c r="V500" s="139"/>
      <c r="W500" s="139"/>
      <c r="X500" s="139"/>
      <c r="Y500" s="255">
        <f t="shared" si="247"/>
        <v>0</v>
      </c>
      <c r="Z500" s="338">
        <f t="shared" si="250"/>
        <v>0</v>
      </c>
      <c r="AA500" s="333">
        <f t="shared" si="248"/>
        <v>0</v>
      </c>
      <c r="AB500" s="318"/>
      <c r="AC500" s="318"/>
      <c r="AD500" s="331">
        <f t="shared" si="249"/>
        <v>0</v>
      </c>
      <c r="AF500" s="11"/>
      <c r="AG500" s="24"/>
      <c r="AH500" s="64">
        <f t="shared" si="252"/>
        <v>43392</v>
      </c>
      <c r="AI500" s="698"/>
      <c r="AJ500" s="699"/>
      <c r="AK500" s="699"/>
      <c r="AL500" s="699"/>
      <c r="AM500" s="699"/>
      <c r="AN500" s="699"/>
      <c r="AO500" s="699"/>
      <c r="AP500" s="699"/>
      <c r="AQ500" s="699"/>
      <c r="AR500" s="699"/>
      <c r="AS500" s="699"/>
      <c r="AT500" s="699"/>
      <c r="AU500" s="699"/>
      <c r="AV500" s="699"/>
      <c r="AW500" s="699"/>
      <c r="AX500" s="700"/>
      <c r="AY500" s="700"/>
      <c r="AZ500" s="701"/>
    </row>
    <row r="501" spans="1:52" ht="27" customHeight="1" thickBot="1">
      <c r="A501" s="67">
        <f t="shared" si="251"/>
        <v>44885</v>
      </c>
      <c r="B501" s="138"/>
      <c r="C501" s="138"/>
      <c r="D501" s="138"/>
      <c r="E501" s="138"/>
      <c r="F501" s="138"/>
      <c r="G501" s="138"/>
      <c r="H501" s="138"/>
      <c r="I501" s="138"/>
      <c r="J501" s="138"/>
      <c r="K501" s="138"/>
      <c r="L501" s="138"/>
      <c r="M501" s="138"/>
      <c r="N501" s="138"/>
      <c r="O501" s="138"/>
      <c r="P501" s="138"/>
      <c r="Q501" s="138"/>
      <c r="R501" s="139"/>
      <c r="S501" s="139"/>
      <c r="T501" s="139"/>
      <c r="U501" s="139"/>
      <c r="V501" s="139"/>
      <c r="W501" s="139"/>
      <c r="X501" s="139"/>
      <c r="Y501" s="255">
        <f t="shared" si="247"/>
        <v>0</v>
      </c>
      <c r="Z501" s="338">
        <f t="shared" si="250"/>
        <v>0</v>
      </c>
      <c r="AA501" s="333">
        <f t="shared" si="248"/>
        <v>0</v>
      </c>
      <c r="AB501" s="318"/>
      <c r="AC501" s="318"/>
      <c r="AD501" s="331">
        <f t="shared" si="249"/>
        <v>0</v>
      </c>
      <c r="AF501" s="11"/>
      <c r="AG501" s="24"/>
      <c r="AH501" s="64">
        <f t="shared" si="252"/>
        <v>43393</v>
      </c>
      <c r="AI501" s="698"/>
      <c r="AJ501" s="699"/>
      <c r="AK501" s="699"/>
      <c r="AL501" s="699"/>
      <c r="AM501" s="699"/>
      <c r="AN501" s="699"/>
      <c r="AO501" s="699"/>
      <c r="AP501" s="699"/>
      <c r="AQ501" s="699"/>
      <c r="AR501" s="699"/>
      <c r="AS501" s="699"/>
      <c r="AT501" s="699"/>
      <c r="AU501" s="699"/>
      <c r="AV501" s="699"/>
      <c r="AW501" s="699"/>
      <c r="AX501" s="700"/>
      <c r="AY501" s="700"/>
      <c r="AZ501" s="701"/>
    </row>
    <row r="502" spans="1:52" ht="27" customHeight="1" thickBot="1">
      <c r="A502" s="67">
        <f t="shared" si="251"/>
        <v>44886</v>
      </c>
      <c r="B502" s="138"/>
      <c r="C502" s="138"/>
      <c r="D502" s="138"/>
      <c r="E502" s="138"/>
      <c r="F502" s="138"/>
      <c r="G502" s="138"/>
      <c r="H502" s="138"/>
      <c r="I502" s="138"/>
      <c r="J502" s="138"/>
      <c r="K502" s="138"/>
      <c r="L502" s="138"/>
      <c r="M502" s="138"/>
      <c r="N502" s="138"/>
      <c r="O502" s="138"/>
      <c r="P502" s="138"/>
      <c r="Q502" s="138"/>
      <c r="R502" s="139"/>
      <c r="S502" s="139"/>
      <c r="T502" s="139"/>
      <c r="U502" s="139"/>
      <c r="V502" s="139"/>
      <c r="W502" s="139"/>
      <c r="X502" s="139"/>
      <c r="Y502" s="255">
        <f t="shared" si="247"/>
        <v>0</v>
      </c>
      <c r="Z502" s="338">
        <f t="shared" si="250"/>
        <v>0</v>
      </c>
      <c r="AA502" s="333">
        <f t="shared" si="248"/>
        <v>0</v>
      </c>
      <c r="AB502" s="318"/>
      <c r="AC502" s="318"/>
      <c r="AD502" s="331">
        <f t="shared" si="249"/>
        <v>0</v>
      </c>
      <c r="AF502" s="11"/>
      <c r="AG502" s="24"/>
      <c r="AH502" s="64">
        <f t="shared" si="252"/>
        <v>43394</v>
      </c>
      <c r="AI502" s="698"/>
      <c r="AJ502" s="699"/>
      <c r="AK502" s="699"/>
      <c r="AL502" s="699"/>
      <c r="AM502" s="699"/>
      <c r="AN502" s="699"/>
      <c r="AO502" s="699"/>
      <c r="AP502" s="699"/>
      <c r="AQ502" s="699"/>
      <c r="AR502" s="699"/>
      <c r="AS502" s="699"/>
      <c r="AT502" s="699"/>
      <c r="AU502" s="699"/>
      <c r="AV502" s="699"/>
      <c r="AW502" s="699"/>
      <c r="AX502" s="700"/>
      <c r="AY502" s="700"/>
      <c r="AZ502" s="701"/>
    </row>
    <row r="503" spans="1:52" ht="27" customHeight="1" thickBot="1">
      <c r="A503" s="67">
        <f t="shared" si="251"/>
        <v>44887</v>
      </c>
      <c r="B503" s="138"/>
      <c r="C503" s="138"/>
      <c r="D503" s="138"/>
      <c r="E503" s="138"/>
      <c r="F503" s="138"/>
      <c r="G503" s="138"/>
      <c r="H503" s="138"/>
      <c r="I503" s="138"/>
      <c r="J503" s="138"/>
      <c r="K503" s="138"/>
      <c r="L503" s="138"/>
      <c r="M503" s="138"/>
      <c r="N503" s="138"/>
      <c r="O503" s="138"/>
      <c r="P503" s="138"/>
      <c r="Q503" s="138"/>
      <c r="R503" s="139"/>
      <c r="S503" s="139"/>
      <c r="T503" s="139"/>
      <c r="U503" s="139"/>
      <c r="V503" s="139"/>
      <c r="W503" s="139"/>
      <c r="X503" s="139"/>
      <c r="Y503" s="255">
        <f t="shared" si="247"/>
        <v>0</v>
      </c>
      <c r="Z503" s="338">
        <f t="shared" si="250"/>
        <v>0</v>
      </c>
      <c r="AA503" s="333">
        <f t="shared" si="248"/>
        <v>0</v>
      </c>
      <c r="AB503" s="318"/>
      <c r="AC503" s="318"/>
      <c r="AD503" s="331">
        <f t="shared" si="249"/>
        <v>0</v>
      </c>
      <c r="AF503" s="11"/>
      <c r="AG503" s="24"/>
      <c r="AH503" s="64">
        <f t="shared" si="252"/>
        <v>43395</v>
      </c>
      <c r="AI503" s="698"/>
      <c r="AJ503" s="699"/>
      <c r="AK503" s="699"/>
      <c r="AL503" s="699"/>
      <c r="AM503" s="699"/>
      <c r="AN503" s="699"/>
      <c r="AO503" s="699"/>
      <c r="AP503" s="699"/>
      <c r="AQ503" s="699"/>
      <c r="AR503" s="699"/>
      <c r="AS503" s="699"/>
      <c r="AT503" s="699"/>
      <c r="AU503" s="699"/>
      <c r="AV503" s="699"/>
      <c r="AW503" s="699"/>
      <c r="AX503" s="700"/>
      <c r="AY503" s="700"/>
      <c r="AZ503" s="701"/>
    </row>
    <row r="504" spans="1:52" ht="27" customHeight="1" thickBot="1">
      <c r="A504" s="67">
        <f t="shared" si="251"/>
        <v>44888</v>
      </c>
      <c r="B504" s="138"/>
      <c r="C504" s="138"/>
      <c r="D504" s="138"/>
      <c r="E504" s="138"/>
      <c r="F504" s="138"/>
      <c r="G504" s="138"/>
      <c r="H504" s="138"/>
      <c r="I504" s="138"/>
      <c r="J504" s="138"/>
      <c r="K504" s="138"/>
      <c r="L504" s="138"/>
      <c r="M504" s="138"/>
      <c r="N504" s="138"/>
      <c r="O504" s="138"/>
      <c r="P504" s="138"/>
      <c r="Q504" s="138"/>
      <c r="R504" s="139"/>
      <c r="S504" s="139"/>
      <c r="T504" s="139"/>
      <c r="U504" s="139"/>
      <c r="V504" s="139"/>
      <c r="W504" s="139"/>
      <c r="X504" s="139"/>
      <c r="Y504" s="255">
        <f t="shared" si="247"/>
        <v>0</v>
      </c>
      <c r="Z504" s="338">
        <f t="shared" si="250"/>
        <v>0</v>
      </c>
      <c r="AA504" s="333">
        <f t="shared" si="248"/>
        <v>0</v>
      </c>
      <c r="AB504" s="318"/>
      <c r="AC504" s="318"/>
      <c r="AD504" s="331">
        <f t="shared" si="249"/>
        <v>0</v>
      </c>
      <c r="AF504" s="11"/>
      <c r="AG504" s="24"/>
      <c r="AH504" s="64">
        <f t="shared" si="252"/>
        <v>43396</v>
      </c>
      <c r="AI504" s="698"/>
      <c r="AJ504" s="699"/>
      <c r="AK504" s="699"/>
      <c r="AL504" s="699"/>
      <c r="AM504" s="699"/>
      <c r="AN504" s="699"/>
      <c r="AO504" s="699"/>
      <c r="AP504" s="699"/>
      <c r="AQ504" s="699"/>
      <c r="AR504" s="699"/>
      <c r="AS504" s="699"/>
      <c r="AT504" s="699"/>
      <c r="AU504" s="699"/>
      <c r="AV504" s="699"/>
      <c r="AW504" s="699"/>
      <c r="AX504" s="700"/>
      <c r="AY504" s="700"/>
      <c r="AZ504" s="701"/>
    </row>
    <row r="505" spans="1:52" ht="27" customHeight="1" thickBot="1">
      <c r="A505" s="67">
        <f t="shared" si="251"/>
        <v>44889</v>
      </c>
      <c r="B505" s="138"/>
      <c r="C505" s="138"/>
      <c r="D505" s="138"/>
      <c r="E505" s="138"/>
      <c r="F505" s="138"/>
      <c r="G505" s="138"/>
      <c r="H505" s="138"/>
      <c r="I505" s="138"/>
      <c r="J505" s="138"/>
      <c r="K505" s="138"/>
      <c r="L505" s="138"/>
      <c r="M505" s="138"/>
      <c r="N505" s="138"/>
      <c r="O505" s="138"/>
      <c r="P505" s="138"/>
      <c r="Q505" s="138"/>
      <c r="R505" s="139"/>
      <c r="S505" s="139"/>
      <c r="T505" s="139"/>
      <c r="U505" s="139"/>
      <c r="V505" s="139"/>
      <c r="W505" s="139"/>
      <c r="X505" s="139"/>
      <c r="Y505" s="255">
        <f t="shared" si="247"/>
        <v>0</v>
      </c>
      <c r="Z505" s="338">
        <f t="shared" si="250"/>
        <v>0</v>
      </c>
      <c r="AA505" s="333">
        <f t="shared" si="248"/>
        <v>0</v>
      </c>
      <c r="AB505" s="318"/>
      <c r="AC505" s="318"/>
      <c r="AD505" s="331">
        <f t="shared" si="249"/>
        <v>0</v>
      </c>
      <c r="AF505" s="11"/>
      <c r="AG505" s="24"/>
      <c r="AH505" s="64">
        <f t="shared" si="252"/>
        <v>43397</v>
      </c>
      <c r="AI505" s="698"/>
      <c r="AJ505" s="699"/>
      <c r="AK505" s="699"/>
      <c r="AL505" s="699"/>
      <c r="AM505" s="699"/>
      <c r="AN505" s="699"/>
      <c r="AO505" s="699"/>
      <c r="AP505" s="699"/>
      <c r="AQ505" s="699"/>
      <c r="AR505" s="699"/>
      <c r="AS505" s="699"/>
      <c r="AT505" s="699"/>
      <c r="AU505" s="699"/>
      <c r="AV505" s="699"/>
      <c r="AW505" s="699"/>
      <c r="AX505" s="700"/>
      <c r="AY505" s="700"/>
      <c r="AZ505" s="701"/>
    </row>
    <row r="506" spans="1:52" ht="27" customHeight="1" thickBot="1">
      <c r="A506" s="67">
        <f t="shared" si="251"/>
        <v>44890</v>
      </c>
      <c r="B506" s="138"/>
      <c r="C506" s="138"/>
      <c r="D506" s="138"/>
      <c r="E506" s="138"/>
      <c r="F506" s="138"/>
      <c r="G506" s="138"/>
      <c r="H506" s="138"/>
      <c r="I506" s="138"/>
      <c r="J506" s="138"/>
      <c r="K506" s="138"/>
      <c r="L506" s="138"/>
      <c r="M506" s="138"/>
      <c r="N506" s="138"/>
      <c r="O506" s="138"/>
      <c r="P506" s="138"/>
      <c r="Q506" s="138"/>
      <c r="R506" s="139"/>
      <c r="S506" s="139"/>
      <c r="T506" s="139"/>
      <c r="U506" s="139"/>
      <c r="V506" s="139"/>
      <c r="W506" s="139"/>
      <c r="X506" s="139"/>
      <c r="Y506" s="255">
        <f t="shared" si="247"/>
        <v>0</v>
      </c>
      <c r="Z506" s="338">
        <f t="shared" si="250"/>
        <v>0</v>
      </c>
      <c r="AA506" s="333">
        <f t="shared" si="248"/>
        <v>0</v>
      </c>
      <c r="AB506" s="318"/>
      <c r="AC506" s="318"/>
      <c r="AD506" s="331">
        <f t="shared" si="249"/>
        <v>0</v>
      </c>
      <c r="AE506" t="s">
        <v>1</v>
      </c>
      <c r="AF506" s="11"/>
      <c r="AG506" s="24"/>
      <c r="AH506" s="64">
        <f t="shared" si="252"/>
        <v>43398</v>
      </c>
      <c r="AI506" s="698"/>
      <c r="AJ506" s="699"/>
      <c r="AK506" s="699"/>
      <c r="AL506" s="699"/>
      <c r="AM506" s="699"/>
      <c r="AN506" s="699"/>
      <c r="AO506" s="699"/>
      <c r="AP506" s="699"/>
      <c r="AQ506" s="699"/>
      <c r="AR506" s="699"/>
      <c r="AS506" s="699"/>
      <c r="AT506" s="699"/>
      <c r="AU506" s="699"/>
      <c r="AV506" s="699"/>
      <c r="AW506" s="699"/>
      <c r="AX506" s="700"/>
      <c r="AY506" s="700"/>
      <c r="AZ506" s="701"/>
    </row>
    <row r="507" spans="1:52" ht="27" customHeight="1" thickBot="1">
      <c r="A507" s="67">
        <f t="shared" si="251"/>
        <v>44891</v>
      </c>
      <c r="B507" s="138"/>
      <c r="C507" s="138"/>
      <c r="D507" s="138"/>
      <c r="E507" s="138"/>
      <c r="F507" s="138"/>
      <c r="G507" s="138"/>
      <c r="H507" s="138"/>
      <c r="I507" s="138"/>
      <c r="J507" s="138"/>
      <c r="K507" s="138"/>
      <c r="L507" s="138"/>
      <c r="M507" s="138"/>
      <c r="N507" s="138"/>
      <c r="O507" s="138"/>
      <c r="P507" s="138"/>
      <c r="Q507" s="138"/>
      <c r="R507" s="139"/>
      <c r="S507" s="139"/>
      <c r="T507" s="139"/>
      <c r="U507" s="139"/>
      <c r="V507" s="139"/>
      <c r="W507" s="139"/>
      <c r="X507" s="139"/>
      <c r="Y507" s="255">
        <f t="shared" si="247"/>
        <v>0</v>
      </c>
      <c r="Z507" s="338">
        <f t="shared" si="250"/>
        <v>0</v>
      </c>
      <c r="AA507" s="333">
        <f t="shared" si="248"/>
        <v>0</v>
      </c>
      <c r="AB507" s="318"/>
      <c r="AC507" s="318"/>
      <c r="AD507" s="331">
        <f t="shared" si="249"/>
        <v>0</v>
      </c>
      <c r="AF507" s="11"/>
      <c r="AG507" s="24"/>
      <c r="AH507" s="64">
        <f t="shared" si="252"/>
        <v>43399</v>
      </c>
      <c r="AI507" s="698"/>
      <c r="AJ507" s="699"/>
      <c r="AK507" s="699"/>
      <c r="AL507" s="699"/>
      <c r="AM507" s="699"/>
      <c r="AN507" s="699"/>
      <c r="AO507" s="699"/>
      <c r="AP507" s="699"/>
      <c r="AQ507" s="699"/>
      <c r="AR507" s="699"/>
      <c r="AS507" s="699"/>
      <c r="AT507" s="699"/>
      <c r="AU507" s="699"/>
      <c r="AV507" s="699"/>
      <c r="AW507" s="699"/>
      <c r="AX507" s="700"/>
      <c r="AY507" s="700"/>
      <c r="AZ507" s="701"/>
    </row>
    <row r="508" spans="1:52" ht="27" customHeight="1" thickBot="1">
      <c r="A508" s="67">
        <f t="shared" si="251"/>
        <v>44892</v>
      </c>
      <c r="B508" s="138"/>
      <c r="C508" s="138"/>
      <c r="D508" s="138"/>
      <c r="E508" s="138"/>
      <c r="F508" s="138"/>
      <c r="G508" s="138"/>
      <c r="H508" s="138"/>
      <c r="I508" s="138"/>
      <c r="J508" s="138"/>
      <c r="K508" s="138"/>
      <c r="L508" s="138"/>
      <c r="M508" s="138"/>
      <c r="N508" s="138"/>
      <c r="O508" s="138"/>
      <c r="P508" s="138"/>
      <c r="Q508" s="138"/>
      <c r="R508" s="139"/>
      <c r="S508" s="139"/>
      <c r="T508" s="139"/>
      <c r="U508" s="139"/>
      <c r="V508" s="139"/>
      <c r="W508" s="139"/>
      <c r="X508" s="139"/>
      <c r="Y508" s="255">
        <f t="shared" si="247"/>
        <v>0</v>
      </c>
      <c r="Z508" s="338">
        <f t="shared" si="250"/>
        <v>0</v>
      </c>
      <c r="AA508" s="333">
        <f t="shared" si="248"/>
        <v>0</v>
      </c>
      <c r="AB508" s="318"/>
      <c r="AC508" s="318"/>
      <c r="AD508" s="331">
        <f t="shared" si="249"/>
        <v>0</v>
      </c>
      <c r="AF508" s="11"/>
      <c r="AG508" s="24"/>
      <c r="AH508" s="64">
        <f t="shared" si="252"/>
        <v>43400</v>
      </c>
      <c r="AI508" s="698"/>
      <c r="AJ508" s="699"/>
      <c r="AK508" s="699"/>
      <c r="AL508" s="699"/>
      <c r="AM508" s="699"/>
      <c r="AN508" s="699"/>
      <c r="AO508" s="699"/>
      <c r="AP508" s="699"/>
      <c r="AQ508" s="699"/>
      <c r="AR508" s="699"/>
      <c r="AS508" s="699"/>
      <c r="AT508" s="699"/>
      <c r="AU508" s="699"/>
      <c r="AV508" s="699"/>
      <c r="AW508" s="699"/>
      <c r="AX508" s="700"/>
      <c r="AY508" s="700"/>
      <c r="AZ508" s="701"/>
    </row>
    <row r="509" spans="1:52" ht="27" customHeight="1" thickBot="1">
      <c r="A509" s="67">
        <f t="shared" si="251"/>
        <v>44893</v>
      </c>
      <c r="B509" s="138"/>
      <c r="C509" s="138"/>
      <c r="D509" s="138"/>
      <c r="E509" s="138"/>
      <c r="F509" s="138"/>
      <c r="G509" s="138"/>
      <c r="H509" s="138"/>
      <c r="I509" s="138"/>
      <c r="J509" s="138"/>
      <c r="K509" s="138"/>
      <c r="L509" s="138"/>
      <c r="M509" s="138"/>
      <c r="N509" s="138"/>
      <c r="O509" s="138"/>
      <c r="P509" s="138"/>
      <c r="Q509" s="138"/>
      <c r="R509" s="139"/>
      <c r="S509" s="139"/>
      <c r="T509" s="139"/>
      <c r="U509" s="139"/>
      <c r="V509" s="139"/>
      <c r="W509" s="139"/>
      <c r="X509" s="139"/>
      <c r="Y509" s="255">
        <f t="shared" si="247"/>
        <v>0</v>
      </c>
      <c r="Z509" s="338">
        <f t="shared" si="250"/>
        <v>0</v>
      </c>
      <c r="AA509" s="333">
        <f t="shared" si="248"/>
        <v>0</v>
      </c>
      <c r="AB509" s="318"/>
      <c r="AC509" s="318"/>
      <c r="AD509" s="331">
        <f t="shared" si="249"/>
        <v>0</v>
      </c>
      <c r="AF509" s="11"/>
      <c r="AG509" s="24"/>
      <c r="AH509" s="64">
        <f t="shared" si="252"/>
        <v>43401</v>
      </c>
      <c r="AI509" s="698"/>
      <c r="AJ509" s="699"/>
      <c r="AK509" s="699"/>
      <c r="AL509" s="699"/>
      <c r="AM509" s="699"/>
      <c r="AN509" s="699"/>
      <c r="AO509" s="699"/>
      <c r="AP509" s="699"/>
      <c r="AQ509" s="699"/>
      <c r="AR509" s="699"/>
      <c r="AS509" s="699"/>
      <c r="AT509" s="699"/>
      <c r="AU509" s="699"/>
      <c r="AV509" s="699"/>
      <c r="AW509" s="699"/>
      <c r="AX509" s="700"/>
      <c r="AY509" s="700"/>
      <c r="AZ509" s="701"/>
    </row>
    <row r="510" spans="1:52" ht="27" customHeight="1" thickBot="1">
      <c r="A510" s="67">
        <f t="shared" si="251"/>
        <v>44894</v>
      </c>
      <c r="B510" s="138"/>
      <c r="C510" s="138"/>
      <c r="D510" s="138"/>
      <c r="E510" s="138"/>
      <c r="F510" s="138"/>
      <c r="G510" s="138"/>
      <c r="H510" s="138"/>
      <c r="I510" s="138"/>
      <c r="J510" s="138"/>
      <c r="K510" s="138"/>
      <c r="L510" s="138"/>
      <c r="M510" s="138"/>
      <c r="N510" s="138"/>
      <c r="O510" s="138"/>
      <c r="P510" s="138"/>
      <c r="Q510" s="138"/>
      <c r="R510" s="139"/>
      <c r="S510" s="139"/>
      <c r="T510" s="139"/>
      <c r="U510" s="139"/>
      <c r="V510" s="139"/>
      <c r="W510" s="139"/>
      <c r="X510" s="139"/>
      <c r="Y510" s="255">
        <f t="shared" si="247"/>
        <v>0</v>
      </c>
      <c r="Z510" s="338">
        <f t="shared" si="250"/>
        <v>0</v>
      </c>
      <c r="AA510" s="333">
        <f t="shared" si="248"/>
        <v>0</v>
      </c>
      <c r="AB510" s="318"/>
      <c r="AC510" s="318"/>
      <c r="AD510" s="331">
        <f t="shared" si="249"/>
        <v>0</v>
      </c>
      <c r="AF510" s="11"/>
      <c r="AG510" s="24"/>
      <c r="AH510" s="64">
        <f>AH509+1</f>
        <v>43402</v>
      </c>
      <c r="AI510" s="698"/>
      <c r="AJ510" s="699"/>
      <c r="AK510" s="699"/>
      <c r="AL510" s="699"/>
      <c r="AM510" s="699"/>
      <c r="AN510" s="699"/>
      <c r="AO510" s="699"/>
      <c r="AP510" s="699"/>
      <c r="AQ510" s="699"/>
      <c r="AR510" s="699"/>
      <c r="AS510" s="699"/>
      <c r="AT510" s="699"/>
      <c r="AU510" s="699"/>
      <c r="AV510" s="699"/>
      <c r="AW510" s="699"/>
      <c r="AX510" s="700"/>
      <c r="AY510" s="700"/>
      <c r="AZ510" s="701"/>
    </row>
    <row r="511" spans="1:52" ht="27" customHeight="1" thickBot="1">
      <c r="A511" s="67">
        <f t="shared" si="251"/>
        <v>44895</v>
      </c>
      <c r="B511" s="138"/>
      <c r="C511" s="138"/>
      <c r="D511" s="138"/>
      <c r="E511" s="138"/>
      <c r="F511" s="138"/>
      <c r="G511" s="138"/>
      <c r="H511" s="138"/>
      <c r="I511" s="138"/>
      <c r="J511" s="138"/>
      <c r="K511" s="138"/>
      <c r="L511" s="138"/>
      <c r="M511" s="138"/>
      <c r="N511" s="138"/>
      <c r="O511" s="138"/>
      <c r="P511" s="138"/>
      <c r="Q511" s="138"/>
      <c r="R511" s="139"/>
      <c r="S511" s="139"/>
      <c r="T511" s="139"/>
      <c r="U511" s="139"/>
      <c r="V511" s="139"/>
      <c r="W511" s="139"/>
      <c r="X511" s="139"/>
      <c r="Y511" s="255">
        <f t="shared" si="247"/>
        <v>0</v>
      </c>
      <c r="Z511" s="338">
        <f t="shared" si="250"/>
        <v>0</v>
      </c>
      <c r="AA511" s="333">
        <f t="shared" si="248"/>
        <v>0</v>
      </c>
      <c r="AB511" s="318"/>
      <c r="AC511" s="318"/>
      <c r="AD511" s="331">
        <f t="shared" si="249"/>
        <v>0</v>
      </c>
      <c r="AF511" s="11"/>
      <c r="AG511" s="24"/>
      <c r="AH511" s="64">
        <f t="shared" si="252"/>
        <v>43403</v>
      </c>
      <c r="AI511" s="698"/>
      <c r="AJ511" s="699"/>
      <c r="AK511" s="699"/>
      <c r="AL511" s="699"/>
      <c r="AM511" s="699"/>
      <c r="AN511" s="699"/>
      <c r="AO511" s="699"/>
      <c r="AP511" s="699"/>
      <c r="AQ511" s="699"/>
      <c r="AR511" s="699"/>
      <c r="AS511" s="699"/>
      <c r="AT511" s="699"/>
      <c r="AU511" s="699"/>
      <c r="AV511" s="699"/>
      <c r="AW511" s="699"/>
      <c r="AX511" s="700"/>
      <c r="AY511" s="700"/>
      <c r="AZ511" s="701"/>
    </row>
    <row r="512" spans="1:52" ht="27" customHeight="1" thickBot="1">
      <c r="A512" s="102">
        <f t="shared" si="251"/>
        <v>44896</v>
      </c>
      <c r="B512" s="146"/>
      <c r="C512" s="146"/>
      <c r="D512" s="146"/>
      <c r="E512" s="146"/>
      <c r="F512" s="146"/>
      <c r="G512" s="146"/>
      <c r="H512" s="146"/>
      <c r="I512" s="146"/>
      <c r="J512" s="146"/>
      <c r="K512" s="146"/>
      <c r="L512" s="146"/>
      <c r="M512" s="146"/>
      <c r="N512" s="146"/>
      <c r="O512" s="146"/>
      <c r="P512" s="146"/>
      <c r="Q512" s="146"/>
      <c r="R512" s="147"/>
      <c r="S512" s="147"/>
      <c r="T512" s="147"/>
      <c r="U512" s="147"/>
      <c r="V512" s="147"/>
      <c r="W512" s="147"/>
      <c r="X512" s="147"/>
      <c r="Y512" s="255">
        <f t="shared" si="247"/>
        <v>0</v>
      </c>
      <c r="Z512" s="338">
        <f t="shared" si="250"/>
        <v>0</v>
      </c>
      <c r="AA512" s="333">
        <f t="shared" si="248"/>
        <v>0</v>
      </c>
      <c r="AB512" s="318"/>
      <c r="AC512" s="318"/>
      <c r="AD512" s="331">
        <f t="shared" si="249"/>
        <v>0</v>
      </c>
      <c r="AF512" s="11"/>
      <c r="AG512" s="24"/>
      <c r="AH512" s="65">
        <f t="shared" si="252"/>
        <v>43404</v>
      </c>
      <c r="AI512" s="702"/>
      <c r="AJ512" s="703"/>
      <c r="AK512" s="703"/>
      <c r="AL512" s="703"/>
      <c r="AM512" s="703"/>
      <c r="AN512" s="703"/>
      <c r="AO512" s="703"/>
      <c r="AP512" s="703"/>
      <c r="AQ512" s="703"/>
      <c r="AR512" s="703"/>
      <c r="AS512" s="703"/>
      <c r="AT512" s="703"/>
      <c r="AU512" s="703"/>
      <c r="AV512" s="703"/>
      <c r="AW512" s="703"/>
      <c r="AX512" s="704"/>
      <c r="AY512" s="704"/>
      <c r="AZ512" s="705"/>
    </row>
    <row r="513" spans="1:52" ht="50.1" customHeight="1" thickTop="1" thickBot="1">
      <c r="A513" s="103" t="s">
        <v>74</v>
      </c>
      <c r="B513" s="226">
        <f>SUM(B482:B512)</f>
        <v>0</v>
      </c>
      <c r="C513" s="226">
        <f t="shared" ref="C513:Y513" si="253">SUM(C482:C512)</f>
        <v>0</v>
      </c>
      <c r="D513" s="226">
        <f t="shared" si="253"/>
        <v>0</v>
      </c>
      <c r="E513" s="226"/>
      <c r="F513" s="226">
        <f t="shared" si="253"/>
        <v>0</v>
      </c>
      <c r="G513" s="226">
        <f t="shared" si="253"/>
        <v>0</v>
      </c>
      <c r="H513" s="226">
        <f t="shared" si="253"/>
        <v>0</v>
      </c>
      <c r="I513" s="226">
        <f t="shared" si="253"/>
        <v>0</v>
      </c>
      <c r="J513" s="226">
        <f t="shared" si="253"/>
        <v>0</v>
      </c>
      <c r="K513" s="226">
        <f t="shared" si="253"/>
        <v>0</v>
      </c>
      <c r="L513" s="226">
        <f t="shared" si="253"/>
        <v>0</v>
      </c>
      <c r="M513" s="226">
        <f t="shared" si="253"/>
        <v>0</v>
      </c>
      <c r="N513" s="226">
        <f t="shared" si="253"/>
        <v>0</v>
      </c>
      <c r="O513" s="226">
        <f t="shared" si="253"/>
        <v>0</v>
      </c>
      <c r="P513" s="226"/>
      <c r="Q513" s="226">
        <f t="shared" si="253"/>
        <v>0</v>
      </c>
      <c r="R513" s="226">
        <f t="shared" si="253"/>
        <v>0</v>
      </c>
      <c r="S513" s="226">
        <f t="shared" si="253"/>
        <v>0</v>
      </c>
      <c r="T513" s="226"/>
      <c r="U513" s="226"/>
      <c r="V513" s="226"/>
      <c r="W513" s="226"/>
      <c r="X513" s="226"/>
      <c r="Y513" s="296">
        <f t="shared" si="253"/>
        <v>0</v>
      </c>
      <c r="Z513" s="293"/>
      <c r="AA513" s="294"/>
      <c r="AB513" s="318">
        <f>SUM(AB482:AB512)</f>
        <v>0</v>
      </c>
      <c r="AC513" s="318"/>
      <c r="AD513" s="295"/>
      <c r="AF513" s="9"/>
      <c r="AG513" s="16"/>
      <c r="AH513" s="706" t="s">
        <v>101</v>
      </c>
      <c r="AI513" s="707">
        <f>SUM(AI482:AI512)</f>
        <v>0</v>
      </c>
      <c r="AJ513" s="707">
        <f>SUM(AJ482:AJ512)</f>
        <v>0</v>
      </c>
      <c r="AK513" s="707">
        <f t="shared" ref="AK513:AZ513" si="254">SUM(AK482:AK512)</f>
        <v>0</v>
      </c>
      <c r="AL513" s="707">
        <f t="shared" si="254"/>
        <v>0</v>
      </c>
      <c r="AM513" s="707">
        <f t="shared" si="254"/>
        <v>0</v>
      </c>
      <c r="AN513" s="707">
        <f t="shared" si="254"/>
        <v>0</v>
      </c>
      <c r="AO513" s="707">
        <f t="shared" si="254"/>
        <v>0</v>
      </c>
      <c r="AP513" s="707">
        <f t="shared" si="254"/>
        <v>0</v>
      </c>
      <c r="AQ513" s="707">
        <f t="shared" si="254"/>
        <v>0</v>
      </c>
      <c r="AR513" s="707">
        <f t="shared" si="254"/>
        <v>0</v>
      </c>
      <c r="AS513" s="707">
        <f t="shared" si="254"/>
        <v>0</v>
      </c>
      <c r="AT513" s="707">
        <f t="shared" si="254"/>
        <v>0</v>
      </c>
      <c r="AU513" s="707">
        <f t="shared" si="254"/>
        <v>0</v>
      </c>
      <c r="AV513" s="707">
        <f t="shared" si="254"/>
        <v>0</v>
      </c>
      <c r="AW513" s="707">
        <f t="shared" si="254"/>
        <v>0</v>
      </c>
      <c r="AX513" s="707">
        <f t="shared" si="254"/>
        <v>0</v>
      </c>
      <c r="AY513" s="707">
        <f t="shared" si="254"/>
        <v>0</v>
      </c>
      <c r="AZ513" s="707">
        <f t="shared" si="254"/>
        <v>0</v>
      </c>
    </row>
    <row r="514" spans="1:52" ht="20.100000000000001" customHeight="1" thickTop="1">
      <c r="A514" s="7"/>
      <c r="B514" s="7" t="s">
        <v>1</v>
      </c>
      <c r="C514" s="7"/>
      <c r="D514" s="7" t="s">
        <v>1</v>
      </c>
      <c r="E514" s="7"/>
      <c r="F514" s="7"/>
      <c r="G514" s="7"/>
      <c r="H514" s="7"/>
      <c r="I514" s="7"/>
      <c r="J514" s="7"/>
      <c r="K514" s="7" t="s">
        <v>1</v>
      </c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8"/>
      <c r="AA514" s="8"/>
      <c r="AB514" s="8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714" t="e">
        <f>SUM(#REF!)</f>
        <v>#REF!</v>
      </c>
    </row>
    <row r="515" spans="1:52" ht="20.100000000000001" customHeight="1" thickBot="1">
      <c r="A515" s="7" t="s">
        <v>1</v>
      </c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8"/>
      <c r="AA515" s="8"/>
      <c r="AB515" s="8"/>
      <c r="AF515" s="2"/>
      <c r="AG515" s="2"/>
      <c r="AH515" s="2"/>
      <c r="AI515" s="2"/>
      <c r="AJ515" s="2"/>
      <c r="AK515" s="28"/>
      <c r="AL515" s="28"/>
      <c r="AM515" s="28"/>
      <c r="AN515" s="27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</row>
    <row r="516" spans="1:52" ht="39.950000000000003" customHeight="1" thickBot="1">
      <c r="A516" s="109">
        <f>A5</f>
        <v>2022</v>
      </c>
      <c r="B516" s="1436"/>
      <c r="C516" s="1437"/>
      <c r="D516" s="1437"/>
      <c r="E516" s="1437"/>
      <c r="F516" s="1437"/>
      <c r="G516" s="1437"/>
      <c r="H516" s="1437"/>
      <c r="I516" s="1437"/>
      <c r="J516" s="1437"/>
      <c r="K516" s="1437"/>
      <c r="L516" s="1437"/>
      <c r="M516" s="1437"/>
      <c r="N516" s="1437"/>
      <c r="O516" s="1437"/>
      <c r="P516" s="1437"/>
      <c r="Q516" s="1437"/>
      <c r="R516" s="1437"/>
      <c r="S516" s="1437"/>
      <c r="T516" s="1437"/>
      <c r="U516" s="1437"/>
      <c r="V516" s="1437"/>
      <c r="W516" s="1437"/>
      <c r="X516" s="1437"/>
      <c r="Y516" s="1438"/>
      <c r="Z516" s="21"/>
      <c r="AA516" s="21"/>
      <c r="AB516" s="21" t="s">
        <v>1</v>
      </c>
      <c r="AD516" t="s">
        <v>1</v>
      </c>
      <c r="AF516" s="10"/>
      <c r="AG516" s="21"/>
      <c r="AH516" s="109">
        <v>2018</v>
      </c>
      <c r="AI516" s="1424">
        <f>B516</f>
        <v>0</v>
      </c>
      <c r="AJ516" s="1425"/>
      <c r="AK516" s="1425"/>
      <c r="AL516" s="1425"/>
      <c r="AM516" s="1425"/>
      <c r="AN516" s="1425"/>
      <c r="AO516" s="1425"/>
      <c r="AP516" s="1425"/>
      <c r="AQ516" s="1425"/>
      <c r="AR516" s="1425"/>
      <c r="AS516" s="1425"/>
      <c r="AT516" s="1425"/>
      <c r="AU516" s="1425"/>
      <c r="AV516" s="1425"/>
      <c r="AW516" s="1425"/>
      <c r="AX516" s="1425"/>
      <c r="AY516" s="1425"/>
      <c r="AZ516" s="1425"/>
    </row>
    <row r="517" spans="1:52" ht="60" customHeight="1" thickTop="1" thickBot="1">
      <c r="A517" s="1468" t="s">
        <v>94</v>
      </c>
      <c r="B517" s="1402" t="s">
        <v>95</v>
      </c>
      <c r="C517" s="1403"/>
      <c r="D517" s="1403"/>
      <c r="E517" s="1404"/>
      <c r="F517" s="1402" t="s">
        <v>7</v>
      </c>
      <c r="G517" s="1403"/>
      <c r="H517" s="1404"/>
      <c r="I517" s="1402" t="s">
        <v>8</v>
      </c>
      <c r="J517" s="1404"/>
      <c r="K517" s="1402" t="s">
        <v>9</v>
      </c>
      <c r="L517" s="1403"/>
      <c r="M517" s="1403"/>
      <c r="N517" s="1403"/>
      <c r="O517" s="1403"/>
      <c r="P517" s="1403"/>
      <c r="Q517" s="1403"/>
      <c r="R517" s="1405" t="s">
        <v>10</v>
      </c>
      <c r="S517" s="1406"/>
      <c r="T517" s="1400" t="s">
        <v>289</v>
      </c>
      <c r="U517" s="1401"/>
      <c r="V517" s="842" t="s">
        <v>258</v>
      </c>
      <c r="W517" s="842"/>
      <c r="X517" s="842"/>
      <c r="Y517" s="211"/>
      <c r="Z517" s="21"/>
      <c r="AA517" s="21"/>
      <c r="AB517" s="21"/>
      <c r="AC517" s="21"/>
      <c r="AF517" s="10"/>
      <c r="AG517" s="34"/>
      <c r="AH517" s="1422" t="s">
        <v>94</v>
      </c>
      <c r="AI517" s="1402" t="s">
        <v>95</v>
      </c>
      <c r="AJ517" s="1403"/>
      <c r="AK517" s="1404"/>
      <c r="AL517" s="1402" t="s">
        <v>7</v>
      </c>
      <c r="AM517" s="1403"/>
      <c r="AN517" s="1404"/>
      <c r="AO517" s="1402" t="s">
        <v>8</v>
      </c>
      <c r="AP517" s="1403"/>
      <c r="AQ517" s="1404"/>
      <c r="AR517" s="1402" t="s">
        <v>9</v>
      </c>
      <c r="AS517" s="1403"/>
      <c r="AT517" s="1404"/>
      <c r="AU517" s="1403" t="s">
        <v>9</v>
      </c>
      <c r="AV517" s="1404"/>
      <c r="AW517" s="1429" t="s">
        <v>10</v>
      </c>
      <c r="AX517" s="1430"/>
      <c r="AY517" s="690"/>
      <c r="AZ517" s="404" t="s">
        <v>11</v>
      </c>
    </row>
    <row r="518" spans="1:52" ht="42" thickTop="1" thickBot="1">
      <c r="A518" s="1428"/>
      <c r="B518" s="482" t="s">
        <v>12</v>
      </c>
      <c r="C518" s="482" t="s">
        <v>13</v>
      </c>
      <c r="D518" s="482" t="s">
        <v>14</v>
      </c>
      <c r="E518" s="688" t="s">
        <v>198</v>
      </c>
      <c r="F518" s="482" t="s">
        <v>12</v>
      </c>
      <c r="G518" s="482" t="s">
        <v>13</v>
      </c>
      <c r="H518" s="482" t="s">
        <v>282</v>
      </c>
      <c r="I518" s="482" t="s">
        <v>12</v>
      </c>
      <c r="J518" s="482" t="s">
        <v>16</v>
      </c>
      <c r="K518" s="482" t="s">
        <v>17</v>
      </c>
      <c r="L518" s="482" t="s">
        <v>18</v>
      </c>
      <c r="M518" s="482" t="s">
        <v>19</v>
      </c>
      <c r="N518" s="484" t="s">
        <v>96</v>
      </c>
      <c r="O518" s="484" t="s">
        <v>257</v>
      </c>
      <c r="P518" s="484" t="s">
        <v>254</v>
      </c>
      <c r="Q518" s="484" t="s">
        <v>20</v>
      </c>
      <c r="R518" s="483" t="s">
        <v>14</v>
      </c>
      <c r="S518" s="482" t="s">
        <v>13</v>
      </c>
      <c r="T518" s="846" t="s">
        <v>284</v>
      </c>
      <c r="U518" s="846" t="s">
        <v>288</v>
      </c>
      <c r="V518" s="484" t="s">
        <v>259</v>
      </c>
      <c r="W518" s="484"/>
      <c r="X518" s="484"/>
      <c r="Y518" s="209" t="s">
        <v>90</v>
      </c>
      <c r="Z518" s="210" t="s">
        <v>97</v>
      </c>
      <c r="AA518" s="210" t="s">
        <v>74</v>
      </c>
      <c r="AB518" s="210" t="s">
        <v>98</v>
      </c>
      <c r="AC518" s="210" t="s">
        <v>99</v>
      </c>
      <c r="AD518" s="210" t="s">
        <v>100</v>
      </c>
      <c r="AF518" s="578" t="s">
        <v>1</v>
      </c>
      <c r="AG518" s="4"/>
      <c r="AH518" s="1428"/>
      <c r="AI518" s="482" t="s">
        <v>12</v>
      </c>
      <c r="AJ518" s="482" t="s">
        <v>13</v>
      </c>
      <c r="AK518" s="482" t="s">
        <v>14</v>
      </c>
      <c r="AL518" s="482" t="s">
        <v>12</v>
      </c>
      <c r="AM518" s="482" t="s">
        <v>13</v>
      </c>
      <c r="AN518" s="482" t="s">
        <v>15</v>
      </c>
      <c r="AO518" s="482" t="s">
        <v>12</v>
      </c>
      <c r="AP518" s="482" t="s">
        <v>205</v>
      </c>
      <c r="AQ518" s="482" t="s">
        <v>16</v>
      </c>
      <c r="AR518" s="482" t="s">
        <v>17</v>
      </c>
      <c r="AS518" s="482" t="s">
        <v>18</v>
      </c>
      <c r="AT518" s="482" t="s">
        <v>19</v>
      </c>
      <c r="AU518" s="482" t="s">
        <v>201</v>
      </c>
      <c r="AV518" s="482" t="s">
        <v>20</v>
      </c>
      <c r="AW518" s="482" t="s">
        <v>12</v>
      </c>
      <c r="AX518" s="483" t="s">
        <v>13</v>
      </c>
      <c r="AY518" s="688" t="s">
        <v>198</v>
      </c>
      <c r="AZ518" s="484" t="s">
        <v>96</v>
      </c>
    </row>
    <row r="519" spans="1:52" ht="30.75" thickBot="1">
      <c r="A519" s="67">
        <f>A482</f>
        <v>44866</v>
      </c>
      <c r="B519" s="135"/>
      <c r="C519" s="135"/>
      <c r="D519" s="135"/>
      <c r="E519" s="135"/>
      <c r="F519" s="135"/>
      <c r="G519" s="135"/>
      <c r="H519" s="135"/>
      <c r="I519" s="135"/>
      <c r="J519" s="135"/>
      <c r="K519" s="135"/>
      <c r="L519" s="135"/>
      <c r="M519" s="135"/>
      <c r="N519" s="135"/>
      <c r="O519" s="135"/>
      <c r="P519" s="135"/>
      <c r="Q519" s="135"/>
      <c r="R519" s="136"/>
      <c r="S519" s="136"/>
      <c r="T519" s="149"/>
      <c r="U519" s="149"/>
      <c r="V519" s="149"/>
      <c r="W519" s="149"/>
      <c r="X519" s="149"/>
      <c r="Y519" s="255">
        <f>B519*280+C519*280+D519*280+E519*280+F519*130+G519*130+H519*90+I519*35+J519*35+K519*380+L519*380+M519*380+N519*380+O519*42+P519*80+Q519*200+R519*260+S519*41+T519*30+U519*60</f>
        <v>0</v>
      </c>
      <c r="Z519" s="308"/>
      <c r="AA519" s="263">
        <f t="shared" ref="AA519:AA549" si="255">Y519+Z519</f>
        <v>0</v>
      </c>
      <c r="AB519" s="308"/>
      <c r="AC519" s="308"/>
      <c r="AD519" s="319">
        <f t="shared" ref="AD519:AD549" si="256">AA519-AB519-AC519</f>
        <v>0</v>
      </c>
      <c r="AF519" s="11"/>
      <c r="AG519" s="579"/>
      <c r="AH519" s="63">
        <f>AH482</f>
        <v>43374</v>
      </c>
      <c r="AI519" s="694"/>
      <c r="AJ519" s="695"/>
      <c r="AK519" s="695"/>
      <c r="AL519" s="695"/>
      <c r="AM519" s="695"/>
      <c r="AN519" s="695"/>
      <c r="AO519" s="695"/>
      <c r="AP519" s="695"/>
      <c r="AQ519" s="695"/>
      <c r="AR519" s="695"/>
      <c r="AS519" s="695"/>
      <c r="AT519" s="695"/>
      <c r="AU519" s="695"/>
      <c r="AV519" s="695"/>
      <c r="AW519" s="695"/>
      <c r="AX519" s="696"/>
      <c r="AY519" s="696"/>
      <c r="AZ519" s="697"/>
    </row>
    <row r="520" spans="1:52" ht="30.75" thickBot="1">
      <c r="A520" s="67">
        <f>A519+1</f>
        <v>44867</v>
      </c>
      <c r="B520" s="138"/>
      <c r="C520" s="138"/>
      <c r="D520" s="138"/>
      <c r="E520" s="138"/>
      <c r="F520" s="138"/>
      <c r="G520" s="138"/>
      <c r="H520" s="138"/>
      <c r="I520" s="138"/>
      <c r="J520" s="138"/>
      <c r="K520" s="138"/>
      <c r="L520" s="138"/>
      <c r="M520" s="138"/>
      <c r="N520" s="138"/>
      <c r="O520" s="138"/>
      <c r="P520" s="138"/>
      <c r="Q520" s="138"/>
      <c r="R520" s="139"/>
      <c r="S520" s="139"/>
      <c r="T520" s="149"/>
      <c r="U520" s="149"/>
      <c r="V520" s="149"/>
      <c r="W520" s="149"/>
      <c r="X520" s="149"/>
      <c r="Y520" s="255">
        <f t="shared" ref="Y520:Y549" si="257">B520*280+C520*280+D520*280+E520*280+F520*130+G520*130+H520*90+I520*35+J520*35+K520*380+L520*380+M520*380+N520*380+O520*42+P520*80+Q520*200+R520*260+S520*41+T520*30+U520*60</f>
        <v>0</v>
      </c>
      <c r="Z520" s="309">
        <f t="shared" ref="Z520:Z549" si="258">AD519</f>
        <v>0</v>
      </c>
      <c r="AA520" s="256">
        <f t="shared" si="255"/>
        <v>0</v>
      </c>
      <c r="AB520" s="308"/>
      <c r="AC520" s="309"/>
      <c r="AD520" s="320">
        <f t="shared" si="256"/>
        <v>0</v>
      </c>
      <c r="AF520" s="11"/>
      <c r="AG520" s="579"/>
      <c r="AH520" s="64">
        <f>AH519+1</f>
        <v>43375</v>
      </c>
      <c r="AI520" s="698"/>
      <c r="AJ520" s="699"/>
      <c r="AK520" s="699"/>
      <c r="AL520" s="699"/>
      <c r="AM520" s="699"/>
      <c r="AN520" s="699"/>
      <c r="AO520" s="699"/>
      <c r="AP520" s="699"/>
      <c r="AQ520" s="699"/>
      <c r="AR520" s="699"/>
      <c r="AS520" s="699"/>
      <c r="AT520" s="699"/>
      <c r="AU520" s="699"/>
      <c r="AV520" s="699"/>
      <c r="AW520" s="699"/>
      <c r="AX520" s="700"/>
      <c r="AY520" s="700"/>
      <c r="AZ520" s="701"/>
    </row>
    <row r="521" spans="1:52" ht="30.75" thickBot="1">
      <c r="A521" s="67">
        <f t="shared" ref="A521:A549" si="259">A520+1</f>
        <v>44868</v>
      </c>
      <c r="B521" s="138"/>
      <c r="C521" s="138"/>
      <c r="D521" s="138"/>
      <c r="E521" s="138"/>
      <c r="F521" s="138"/>
      <c r="G521" s="138"/>
      <c r="H521" s="138"/>
      <c r="I521" s="138"/>
      <c r="J521" s="138"/>
      <c r="K521" s="138"/>
      <c r="L521" s="138"/>
      <c r="M521" s="138"/>
      <c r="N521" s="138"/>
      <c r="O521" s="138"/>
      <c r="P521" s="138"/>
      <c r="Q521" s="138"/>
      <c r="R521" s="139"/>
      <c r="S521" s="139"/>
      <c r="T521" s="149"/>
      <c r="U521" s="149"/>
      <c r="V521" s="149"/>
      <c r="W521" s="149"/>
      <c r="X521" s="149"/>
      <c r="Y521" s="255">
        <f t="shared" si="257"/>
        <v>0</v>
      </c>
      <c r="Z521" s="309">
        <f t="shared" si="258"/>
        <v>0</v>
      </c>
      <c r="AA521" s="256">
        <f t="shared" si="255"/>
        <v>0</v>
      </c>
      <c r="AB521" s="309"/>
      <c r="AC521" s="309"/>
      <c r="AD521" s="320">
        <f t="shared" si="256"/>
        <v>0</v>
      </c>
      <c r="AF521" s="11"/>
      <c r="AG521" s="579"/>
      <c r="AH521" s="64">
        <f t="shared" ref="AH521:AH549" si="260">AH520+1</f>
        <v>43376</v>
      </c>
      <c r="AI521" s="698"/>
      <c r="AJ521" s="699"/>
      <c r="AK521" s="699"/>
      <c r="AL521" s="699"/>
      <c r="AM521" s="699"/>
      <c r="AN521" s="699"/>
      <c r="AO521" s="699"/>
      <c r="AP521" s="699"/>
      <c r="AQ521" s="699"/>
      <c r="AR521" s="699"/>
      <c r="AS521" s="699"/>
      <c r="AT521" s="699"/>
      <c r="AU521" s="699"/>
      <c r="AV521" s="699"/>
      <c r="AW521" s="699"/>
      <c r="AX521" s="700"/>
      <c r="AY521" s="700"/>
      <c r="AZ521" s="701"/>
    </row>
    <row r="522" spans="1:52" ht="30.75" thickBot="1">
      <c r="A522" s="67">
        <f t="shared" si="259"/>
        <v>44869</v>
      </c>
      <c r="B522" s="138"/>
      <c r="C522" s="138"/>
      <c r="D522" s="138"/>
      <c r="E522" s="138"/>
      <c r="F522" s="138"/>
      <c r="G522" s="138"/>
      <c r="H522" s="138"/>
      <c r="I522" s="138"/>
      <c r="J522" s="138"/>
      <c r="K522" s="138"/>
      <c r="L522" s="138"/>
      <c r="M522" s="138"/>
      <c r="N522" s="138"/>
      <c r="O522" s="138"/>
      <c r="P522" s="138"/>
      <c r="Q522" s="138"/>
      <c r="R522" s="139"/>
      <c r="S522" s="139"/>
      <c r="T522" s="149"/>
      <c r="U522" s="149"/>
      <c r="V522" s="149"/>
      <c r="W522" s="149"/>
      <c r="X522" s="149"/>
      <c r="Y522" s="255">
        <f t="shared" si="257"/>
        <v>0</v>
      </c>
      <c r="Z522" s="309">
        <f t="shared" si="258"/>
        <v>0</v>
      </c>
      <c r="AA522" s="256">
        <f t="shared" si="255"/>
        <v>0</v>
      </c>
      <c r="AB522" s="309"/>
      <c r="AC522" s="309"/>
      <c r="AD522" s="320">
        <f t="shared" si="256"/>
        <v>0</v>
      </c>
      <c r="AF522" s="11"/>
      <c r="AG522" s="579"/>
      <c r="AH522" s="64">
        <f t="shared" si="260"/>
        <v>43377</v>
      </c>
      <c r="AI522" s="698"/>
      <c r="AJ522" s="699"/>
      <c r="AK522" s="699"/>
      <c r="AL522" s="699"/>
      <c r="AM522" s="699"/>
      <c r="AN522" s="699"/>
      <c r="AO522" s="699"/>
      <c r="AP522" s="699"/>
      <c r="AQ522" s="699"/>
      <c r="AR522" s="699"/>
      <c r="AS522" s="699"/>
      <c r="AT522" s="699"/>
      <c r="AU522" s="699"/>
      <c r="AV522" s="699"/>
      <c r="AW522" s="699"/>
      <c r="AX522" s="700"/>
      <c r="AY522" s="700"/>
      <c r="AZ522" s="701"/>
    </row>
    <row r="523" spans="1:52" ht="30.75" thickBot="1">
      <c r="A523" s="67">
        <f t="shared" si="259"/>
        <v>44870</v>
      </c>
      <c r="B523" s="138"/>
      <c r="C523" s="138"/>
      <c r="D523" s="138"/>
      <c r="E523" s="138"/>
      <c r="F523" s="138"/>
      <c r="G523" s="138"/>
      <c r="H523" s="138"/>
      <c r="I523" s="138"/>
      <c r="J523" s="138"/>
      <c r="K523" s="138"/>
      <c r="L523" s="138"/>
      <c r="M523" s="138"/>
      <c r="N523" s="138"/>
      <c r="O523" s="138"/>
      <c r="P523" s="138"/>
      <c r="Q523" s="138"/>
      <c r="R523" s="139"/>
      <c r="S523" s="139"/>
      <c r="T523" s="149"/>
      <c r="U523" s="149"/>
      <c r="V523" s="149"/>
      <c r="W523" s="149"/>
      <c r="X523" s="149"/>
      <c r="Y523" s="255">
        <f t="shared" si="257"/>
        <v>0</v>
      </c>
      <c r="Z523" s="309">
        <f t="shared" si="258"/>
        <v>0</v>
      </c>
      <c r="AA523" s="256">
        <f t="shared" si="255"/>
        <v>0</v>
      </c>
      <c r="AB523" s="309"/>
      <c r="AC523" s="309"/>
      <c r="AD523" s="320">
        <f t="shared" si="256"/>
        <v>0</v>
      </c>
      <c r="AF523" s="11"/>
      <c r="AG523" s="579"/>
      <c r="AH523" s="64">
        <f t="shared" si="260"/>
        <v>43378</v>
      </c>
      <c r="AI523" s="698"/>
      <c r="AJ523" s="699"/>
      <c r="AK523" s="699"/>
      <c r="AL523" s="699"/>
      <c r="AM523" s="699"/>
      <c r="AN523" s="699"/>
      <c r="AO523" s="699"/>
      <c r="AP523" s="699"/>
      <c r="AQ523" s="699"/>
      <c r="AR523" s="699"/>
      <c r="AS523" s="699"/>
      <c r="AT523" s="699"/>
      <c r="AU523" s="699"/>
      <c r="AV523" s="699"/>
      <c r="AW523" s="699"/>
      <c r="AX523" s="700"/>
      <c r="AY523" s="700"/>
      <c r="AZ523" s="701"/>
    </row>
    <row r="524" spans="1:52" ht="30.75" thickBot="1">
      <c r="A524" s="67">
        <f t="shared" si="259"/>
        <v>44871</v>
      </c>
      <c r="B524" s="138"/>
      <c r="C524" s="138"/>
      <c r="D524" s="138"/>
      <c r="E524" s="138"/>
      <c r="F524" s="138"/>
      <c r="G524" s="138"/>
      <c r="H524" s="138"/>
      <c r="I524" s="138"/>
      <c r="J524" s="138"/>
      <c r="K524" s="138"/>
      <c r="L524" s="138"/>
      <c r="M524" s="138"/>
      <c r="N524" s="138"/>
      <c r="O524" s="138"/>
      <c r="P524" s="138"/>
      <c r="Q524" s="138"/>
      <c r="R524" s="139"/>
      <c r="S524" s="139"/>
      <c r="T524" s="149"/>
      <c r="U524" s="149"/>
      <c r="V524" s="149"/>
      <c r="W524" s="149"/>
      <c r="X524" s="149"/>
      <c r="Y524" s="255">
        <f t="shared" si="257"/>
        <v>0</v>
      </c>
      <c r="Z524" s="309">
        <f t="shared" si="258"/>
        <v>0</v>
      </c>
      <c r="AA524" s="256">
        <f t="shared" si="255"/>
        <v>0</v>
      </c>
      <c r="AB524" s="309"/>
      <c r="AC524" s="309"/>
      <c r="AD524" s="320">
        <f t="shared" si="256"/>
        <v>0</v>
      </c>
      <c r="AF524" s="11"/>
      <c r="AG524" s="579"/>
      <c r="AH524" s="64">
        <f t="shared" si="260"/>
        <v>43379</v>
      </c>
      <c r="AI524" s="698"/>
      <c r="AJ524" s="699"/>
      <c r="AK524" s="699"/>
      <c r="AL524" s="699"/>
      <c r="AM524" s="699"/>
      <c r="AN524" s="699"/>
      <c r="AO524" s="699"/>
      <c r="AP524" s="699"/>
      <c r="AQ524" s="699"/>
      <c r="AR524" s="699"/>
      <c r="AS524" s="699"/>
      <c r="AT524" s="699"/>
      <c r="AU524" s="699"/>
      <c r="AV524" s="699"/>
      <c r="AW524" s="699"/>
      <c r="AX524" s="700"/>
      <c r="AY524" s="700"/>
      <c r="AZ524" s="701"/>
    </row>
    <row r="525" spans="1:52" ht="30.75" thickBot="1">
      <c r="A525" s="67">
        <f t="shared" si="259"/>
        <v>44872</v>
      </c>
      <c r="B525" s="138"/>
      <c r="C525" s="138"/>
      <c r="D525" s="138"/>
      <c r="E525" s="138"/>
      <c r="F525" s="138"/>
      <c r="G525" s="138"/>
      <c r="H525" s="138"/>
      <c r="I525" s="138"/>
      <c r="J525" s="138"/>
      <c r="K525" s="138"/>
      <c r="L525" s="138"/>
      <c r="M525" s="138"/>
      <c r="N525" s="138"/>
      <c r="O525" s="138"/>
      <c r="P525" s="138"/>
      <c r="Q525" s="138"/>
      <c r="R525" s="139"/>
      <c r="S525" s="139"/>
      <c r="T525" s="149"/>
      <c r="U525" s="149"/>
      <c r="V525" s="149"/>
      <c r="W525" s="149"/>
      <c r="X525" s="149"/>
      <c r="Y525" s="255">
        <f t="shared" si="257"/>
        <v>0</v>
      </c>
      <c r="Z525" s="309">
        <f t="shared" si="258"/>
        <v>0</v>
      </c>
      <c r="AA525" s="256">
        <f t="shared" si="255"/>
        <v>0</v>
      </c>
      <c r="AB525" s="309"/>
      <c r="AC525" s="309"/>
      <c r="AD525" s="320">
        <f t="shared" si="256"/>
        <v>0</v>
      </c>
      <c r="AF525" s="11"/>
      <c r="AG525" s="579"/>
      <c r="AH525" s="64">
        <f t="shared" si="260"/>
        <v>43380</v>
      </c>
      <c r="AI525" s="698"/>
      <c r="AJ525" s="699"/>
      <c r="AK525" s="699"/>
      <c r="AL525" s="699"/>
      <c r="AM525" s="699"/>
      <c r="AN525" s="699"/>
      <c r="AO525" s="699"/>
      <c r="AP525" s="699"/>
      <c r="AQ525" s="699"/>
      <c r="AR525" s="699"/>
      <c r="AS525" s="699"/>
      <c r="AT525" s="699"/>
      <c r="AU525" s="699"/>
      <c r="AV525" s="699"/>
      <c r="AW525" s="699"/>
      <c r="AX525" s="700"/>
      <c r="AY525" s="700"/>
      <c r="AZ525" s="701"/>
    </row>
    <row r="526" spans="1:52" ht="30.75" thickBot="1">
      <c r="A526" s="67">
        <f t="shared" si="259"/>
        <v>44873</v>
      </c>
      <c r="B526" s="138"/>
      <c r="C526" s="138"/>
      <c r="D526" s="138"/>
      <c r="E526" s="138"/>
      <c r="F526" s="138"/>
      <c r="G526" s="138"/>
      <c r="H526" s="138"/>
      <c r="I526" s="138"/>
      <c r="J526" s="138"/>
      <c r="K526" s="138"/>
      <c r="L526" s="138"/>
      <c r="M526" s="138"/>
      <c r="N526" s="138"/>
      <c r="O526" s="138"/>
      <c r="P526" s="138"/>
      <c r="Q526" s="138"/>
      <c r="R526" s="139"/>
      <c r="S526" s="139"/>
      <c r="T526" s="149"/>
      <c r="U526" s="149"/>
      <c r="V526" s="149"/>
      <c r="W526" s="149"/>
      <c r="X526" s="149"/>
      <c r="Y526" s="255">
        <f t="shared" si="257"/>
        <v>0</v>
      </c>
      <c r="Z526" s="309">
        <f t="shared" si="258"/>
        <v>0</v>
      </c>
      <c r="AA526" s="256">
        <f t="shared" si="255"/>
        <v>0</v>
      </c>
      <c r="AB526" s="309"/>
      <c r="AC526" s="309"/>
      <c r="AD526" s="320">
        <f t="shared" si="256"/>
        <v>0</v>
      </c>
      <c r="AF526" s="11"/>
      <c r="AG526" s="579"/>
      <c r="AH526" s="64">
        <f t="shared" si="260"/>
        <v>43381</v>
      </c>
      <c r="AI526" s="698"/>
      <c r="AJ526" s="699"/>
      <c r="AK526" s="699"/>
      <c r="AL526" s="699"/>
      <c r="AM526" s="699"/>
      <c r="AN526" s="699"/>
      <c r="AO526" s="699"/>
      <c r="AP526" s="699"/>
      <c r="AQ526" s="699"/>
      <c r="AR526" s="699"/>
      <c r="AS526" s="699"/>
      <c r="AT526" s="699"/>
      <c r="AU526" s="699"/>
      <c r="AV526" s="699"/>
      <c r="AW526" s="699"/>
      <c r="AX526" s="700"/>
      <c r="AY526" s="700"/>
      <c r="AZ526" s="701"/>
    </row>
    <row r="527" spans="1:52" ht="30.75" thickBot="1">
      <c r="A527" s="67">
        <f t="shared" si="259"/>
        <v>44874</v>
      </c>
      <c r="B527" s="138"/>
      <c r="C527" s="138"/>
      <c r="D527" s="138"/>
      <c r="E527" s="138"/>
      <c r="F527" s="138"/>
      <c r="G527" s="138"/>
      <c r="H527" s="138"/>
      <c r="I527" s="138"/>
      <c r="J527" s="138"/>
      <c r="K527" s="138"/>
      <c r="L527" s="138"/>
      <c r="M527" s="138"/>
      <c r="N527" s="138"/>
      <c r="O527" s="138"/>
      <c r="P527" s="138"/>
      <c r="Q527" s="138"/>
      <c r="R527" s="139"/>
      <c r="S527" s="139"/>
      <c r="T527" s="149"/>
      <c r="U527" s="149"/>
      <c r="V527" s="149"/>
      <c r="W527" s="149"/>
      <c r="X527" s="149"/>
      <c r="Y527" s="255">
        <f t="shared" si="257"/>
        <v>0</v>
      </c>
      <c r="Z527" s="309">
        <f t="shared" si="258"/>
        <v>0</v>
      </c>
      <c r="AA527" s="256">
        <f t="shared" si="255"/>
        <v>0</v>
      </c>
      <c r="AB527" s="309"/>
      <c r="AC527" s="309"/>
      <c r="AD527" s="320">
        <f t="shared" si="256"/>
        <v>0</v>
      </c>
      <c r="AF527" s="11"/>
      <c r="AG527" s="579"/>
      <c r="AH527" s="64">
        <f t="shared" si="260"/>
        <v>43382</v>
      </c>
      <c r="AI527" s="698"/>
      <c r="AJ527" s="699"/>
      <c r="AK527" s="699"/>
      <c r="AL527" s="699"/>
      <c r="AM527" s="699"/>
      <c r="AN527" s="699"/>
      <c r="AO527" s="699"/>
      <c r="AP527" s="699"/>
      <c r="AQ527" s="699"/>
      <c r="AR527" s="699"/>
      <c r="AS527" s="699"/>
      <c r="AT527" s="699"/>
      <c r="AU527" s="699"/>
      <c r="AV527" s="699"/>
      <c r="AW527" s="699"/>
      <c r="AX527" s="700"/>
      <c r="AY527" s="700"/>
      <c r="AZ527" s="701"/>
    </row>
    <row r="528" spans="1:52" ht="30.75" thickBot="1">
      <c r="A528" s="67">
        <f t="shared" si="259"/>
        <v>44875</v>
      </c>
      <c r="B528" s="138"/>
      <c r="C528" s="138"/>
      <c r="D528" s="138"/>
      <c r="E528" s="138"/>
      <c r="F528" s="138"/>
      <c r="G528" s="138"/>
      <c r="H528" s="138"/>
      <c r="I528" s="138"/>
      <c r="J528" s="138"/>
      <c r="K528" s="138"/>
      <c r="L528" s="138"/>
      <c r="M528" s="138"/>
      <c r="N528" s="138"/>
      <c r="O528" s="138"/>
      <c r="P528" s="138"/>
      <c r="Q528" s="138"/>
      <c r="R528" s="139"/>
      <c r="S528" s="139"/>
      <c r="T528" s="149"/>
      <c r="U528" s="149"/>
      <c r="V528" s="149"/>
      <c r="W528" s="149"/>
      <c r="X528" s="149"/>
      <c r="Y528" s="255">
        <f t="shared" si="257"/>
        <v>0</v>
      </c>
      <c r="Z528" s="309">
        <f t="shared" si="258"/>
        <v>0</v>
      </c>
      <c r="AA528" s="256">
        <f t="shared" si="255"/>
        <v>0</v>
      </c>
      <c r="AB528" s="309"/>
      <c r="AC528" s="309"/>
      <c r="AD528" s="320">
        <f t="shared" si="256"/>
        <v>0</v>
      </c>
      <c r="AF528" s="11"/>
      <c r="AG528" s="579"/>
      <c r="AH528" s="64">
        <f t="shared" si="260"/>
        <v>43383</v>
      </c>
      <c r="AI528" s="698"/>
      <c r="AJ528" s="699"/>
      <c r="AK528" s="699"/>
      <c r="AL528" s="699"/>
      <c r="AM528" s="699"/>
      <c r="AN528" s="699"/>
      <c r="AO528" s="699"/>
      <c r="AP528" s="699"/>
      <c r="AQ528" s="699"/>
      <c r="AR528" s="699"/>
      <c r="AS528" s="699"/>
      <c r="AT528" s="699"/>
      <c r="AU528" s="699"/>
      <c r="AV528" s="699"/>
      <c r="AW528" s="699"/>
      <c r="AX528" s="700"/>
      <c r="AY528" s="700"/>
      <c r="AZ528" s="701"/>
    </row>
    <row r="529" spans="1:52" ht="30.75" thickBot="1">
      <c r="A529" s="67">
        <f t="shared" si="259"/>
        <v>44876</v>
      </c>
      <c r="B529" s="138"/>
      <c r="C529" s="138"/>
      <c r="D529" s="138"/>
      <c r="E529" s="138"/>
      <c r="F529" s="138"/>
      <c r="G529" s="138"/>
      <c r="H529" s="138"/>
      <c r="I529" s="138"/>
      <c r="J529" s="138"/>
      <c r="K529" s="138"/>
      <c r="L529" s="138"/>
      <c r="M529" s="138"/>
      <c r="N529" s="138"/>
      <c r="O529" s="138"/>
      <c r="P529" s="138"/>
      <c r="Q529" s="138"/>
      <c r="R529" s="139"/>
      <c r="S529" s="139"/>
      <c r="T529" s="149"/>
      <c r="U529" s="149"/>
      <c r="V529" s="149"/>
      <c r="W529" s="149"/>
      <c r="X529" s="149"/>
      <c r="Y529" s="255">
        <f t="shared" si="257"/>
        <v>0</v>
      </c>
      <c r="Z529" s="309">
        <f t="shared" si="258"/>
        <v>0</v>
      </c>
      <c r="AA529" s="256">
        <f t="shared" si="255"/>
        <v>0</v>
      </c>
      <c r="AB529" s="309"/>
      <c r="AC529" s="309"/>
      <c r="AD529" s="320">
        <f t="shared" si="256"/>
        <v>0</v>
      </c>
      <c r="AF529" s="11"/>
      <c r="AG529" s="579"/>
      <c r="AH529" s="64">
        <f t="shared" si="260"/>
        <v>43384</v>
      </c>
      <c r="AI529" s="698"/>
      <c r="AJ529" s="699"/>
      <c r="AK529" s="699"/>
      <c r="AL529" s="699"/>
      <c r="AM529" s="699"/>
      <c r="AN529" s="699"/>
      <c r="AO529" s="699"/>
      <c r="AP529" s="699"/>
      <c r="AQ529" s="699"/>
      <c r="AR529" s="699"/>
      <c r="AS529" s="699"/>
      <c r="AT529" s="699"/>
      <c r="AU529" s="699"/>
      <c r="AV529" s="699"/>
      <c r="AW529" s="699"/>
      <c r="AX529" s="700"/>
      <c r="AY529" s="700"/>
      <c r="AZ529" s="701"/>
    </row>
    <row r="530" spans="1:52" ht="30.75" thickBot="1">
      <c r="A530" s="67">
        <f t="shared" si="259"/>
        <v>44877</v>
      </c>
      <c r="B530" s="138"/>
      <c r="C530" s="138"/>
      <c r="D530" s="138"/>
      <c r="E530" s="138"/>
      <c r="F530" s="138"/>
      <c r="G530" s="138"/>
      <c r="H530" s="138"/>
      <c r="I530" s="138"/>
      <c r="J530" s="138"/>
      <c r="K530" s="138"/>
      <c r="L530" s="138"/>
      <c r="M530" s="138"/>
      <c r="N530" s="138"/>
      <c r="O530" s="138"/>
      <c r="P530" s="138"/>
      <c r="Q530" s="138"/>
      <c r="R530" s="139"/>
      <c r="S530" s="139"/>
      <c r="T530" s="149"/>
      <c r="U530" s="149"/>
      <c r="V530" s="149"/>
      <c r="W530" s="149"/>
      <c r="X530" s="149"/>
      <c r="Y530" s="255">
        <f t="shared" si="257"/>
        <v>0</v>
      </c>
      <c r="Z530" s="309">
        <f t="shared" si="258"/>
        <v>0</v>
      </c>
      <c r="AA530" s="256">
        <f t="shared" si="255"/>
        <v>0</v>
      </c>
      <c r="AB530" s="309"/>
      <c r="AC530" s="309"/>
      <c r="AD530" s="320">
        <f t="shared" si="256"/>
        <v>0</v>
      </c>
      <c r="AF530" s="11"/>
      <c r="AG530" s="579"/>
      <c r="AH530" s="64">
        <f t="shared" si="260"/>
        <v>43385</v>
      </c>
      <c r="AI530" s="698"/>
      <c r="AJ530" s="699"/>
      <c r="AK530" s="699"/>
      <c r="AL530" s="699"/>
      <c r="AM530" s="699"/>
      <c r="AN530" s="699"/>
      <c r="AO530" s="699"/>
      <c r="AP530" s="699"/>
      <c r="AQ530" s="699"/>
      <c r="AR530" s="699"/>
      <c r="AS530" s="699"/>
      <c r="AT530" s="699"/>
      <c r="AU530" s="699"/>
      <c r="AV530" s="699"/>
      <c r="AW530" s="699"/>
      <c r="AX530" s="700"/>
      <c r="AY530" s="700"/>
      <c r="AZ530" s="701"/>
    </row>
    <row r="531" spans="1:52" ht="30.75" thickBot="1">
      <c r="A531" s="67">
        <f t="shared" si="259"/>
        <v>44878</v>
      </c>
      <c r="B531" s="138"/>
      <c r="C531" s="138"/>
      <c r="D531" s="138"/>
      <c r="E531" s="138"/>
      <c r="F531" s="138"/>
      <c r="G531" s="138"/>
      <c r="H531" s="138"/>
      <c r="I531" s="138"/>
      <c r="J531" s="138"/>
      <c r="K531" s="138"/>
      <c r="L531" s="138"/>
      <c r="M531" s="138"/>
      <c r="N531" s="138"/>
      <c r="O531" s="138"/>
      <c r="P531" s="138"/>
      <c r="Q531" s="138"/>
      <c r="R531" s="139"/>
      <c r="S531" s="139"/>
      <c r="T531" s="149"/>
      <c r="U531" s="149"/>
      <c r="V531" s="149"/>
      <c r="W531" s="149"/>
      <c r="X531" s="149"/>
      <c r="Y531" s="255">
        <f t="shared" si="257"/>
        <v>0</v>
      </c>
      <c r="Z531" s="309">
        <f t="shared" si="258"/>
        <v>0</v>
      </c>
      <c r="AA531" s="256">
        <f t="shared" si="255"/>
        <v>0</v>
      </c>
      <c r="AB531" s="309"/>
      <c r="AC531" s="309"/>
      <c r="AD531" s="320">
        <f t="shared" si="256"/>
        <v>0</v>
      </c>
      <c r="AF531" s="11"/>
      <c r="AG531" s="579"/>
      <c r="AH531" s="64">
        <f t="shared" si="260"/>
        <v>43386</v>
      </c>
      <c r="AI531" s="698"/>
      <c r="AJ531" s="699"/>
      <c r="AK531" s="699"/>
      <c r="AL531" s="699"/>
      <c r="AM531" s="699"/>
      <c r="AN531" s="699"/>
      <c r="AO531" s="699"/>
      <c r="AP531" s="699"/>
      <c r="AQ531" s="699"/>
      <c r="AR531" s="699"/>
      <c r="AS531" s="699"/>
      <c r="AT531" s="699"/>
      <c r="AU531" s="699"/>
      <c r="AV531" s="699"/>
      <c r="AW531" s="699"/>
      <c r="AX531" s="700"/>
      <c r="AY531" s="700"/>
      <c r="AZ531" s="701"/>
    </row>
    <row r="532" spans="1:52" ht="30.75" thickBot="1">
      <c r="A532" s="67">
        <f t="shared" si="259"/>
        <v>44879</v>
      </c>
      <c r="B532" s="138"/>
      <c r="C532" s="138"/>
      <c r="D532" s="138"/>
      <c r="E532" s="138"/>
      <c r="F532" s="138"/>
      <c r="G532" s="138"/>
      <c r="H532" s="138"/>
      <c r="I532" s="138"/>
      <c r="J532" s="138"/>
      <c r="K532" s="138"/>
      <c r="L532" s="138"/>
      <c r="M532" s="138"/>
      <c r="N532" s="138"/>
      <c r="O532" s="138"/>
      <c r="P532" s="138"/>
      <c r="Q532" s="138"/>
      <c r="R532" s="139"/>
      <c r="S532" s="139"/>
      <c r="T532" s="149"/>
      <c r="U532" s="149"/>
      <c r="V532" s="149"/>
      <c r="W532" s="149"/>
      <c r="X532" s="149"/>
      <c r="Y532" s="255">
        <f t="shared" si="257"/>
        <v>0</v>
      </c>
      <c r="Z532" s="309">
        <f t="shared" si="258"/>
        <v>0</v>
      </c>
      <c r="AA532" s="256">
        <f t="shared" si="255"/>
        <v>0</v>
      </c>
      <c r="AB532" s="309"/>
      <c r="AC532" s="309"/>
      <c r="AD532" s="320">
        <f t="shared" si="256"/>
        <v>0</v>
      </c>
      <c r="AF532" s="11"/>
      <c r="AG532" s="579"/>
      <c r="AH532" s="64">
        <f t="shared" si="260"/>
        <v>43387</v>
      </c>
      <c r="AI532" s="698"/>
      <c r="AJ532" s="699"/>
      <c r="AK532" s="699"/>
      <c r="AL532" s="699"/>
      <c r="AM532" s="699"/>
      <c r="AN532" s="699"/>
      <c r="AO532" s="699"/>
      <c r="AP532" s="699"/>
      <c r="AQ532" s="699"/>
      <c r="AR532" s="699"/>
      <c r="AS532" s="699"/>
      <c r="AT532" s="699"/>
      <c r="AU532" s="699"/>
      <c r="AV532" s="699"/>
      <c r="AW532" s="699"/>
      <c r="AX532" s="700"/>
      <c r="AY532" s="700"/>
      <c r="AZ532" s="701"/>
    </row>
    <row r="533" spans="1:52" ht="30.75" thickBot="1">
      <c r="A533" s="67">
        <f t="shared" si="259"/>
        <v>44880</v>
      </c>
      <c r="B533" s="138"/>
      <c r="C533" s="138"/>
      <c r="D533" s="138"/>
      <c r="E533" s="138"/>
      <c r="F533" s="138"/>
      <c r="G533" s="138"/>
      <c r="H533" s="138"/>
      <c r="I533" s="138"/>
      <c r="J533" s="138"/>
      <c r="K533" s="138"/>
      <c r="L533" s="138"/>
      <c r="M533" s="138"/>
      <c r="N533" s="138"/>
      <c r="O533" s="138"/>
      <c r="P533" s="138"/>
      <c r="Q533" s="138"/>
      <c r="R533" s="139"/>
      <c r="S533" s="139"/>
      <c r="T533" s="149"/>
      <c r="U533" s="149"/>
      <c r="V533" s="149"/>
      <c r="W533" s="149"/>
      <c r="X533" s="149"/>
      <c r="Y533" s="255">
        <f t="shared" si="257"/>
        <v>0</v>
      </c>
      <c r="Z533" s="309">
        <f t="shared" si="258"/>
        <v>0</v>
      </c>
      <c r="AA533" s="256">
        <f t="shared" si="255"/>
        <v>0</v>
      </c>
      <c r="AB533" s="309"/>
      <c r="AC533" s="309"/>
      <c r="AD533" s="320">
        <f t="shared" si="256"/>
        <v>0</v>
      </c>
      <c r="AF533" s="11"/>
      <c r="AG533" s="579"/>
      <c r="AH533" s="64">
        <f t="shared" si="260"/>
        <v>43388</v>
      </c>
      <c r="AI533" s="698"/>
      <c r="AJ533" s="699"/>
      <c r="AK533" s="699"/>
      <c r="AL533" s="699"/>
      <c r="AM533" s="699"/>
      <c r="AN533" s="699"/>
      <c r="AO533" s="699"/>
      <c r="AP533" s="699"/>
      <c r="AQ533" s="699"/>
      <c r="AR533" s="699"/>
      <c r="AS533" s="699"/>
      <c r="AT533" s="699"/>
      <c r="AU533" s="699"/>
      <c r="AV533" s="699"/>
      <c r="AW533" s="699"/>
      <c r="AX533" s="700"/>
      <c r="AY533" s="700"/>
      <c r="AZ533" s="701"/>
    </row>
    <row r="534" spans="1:52" ht="30.75" thickBot="1">
      <c r="A534" s="67">
        <f t="shared" si="259"/>
        <v>44881</v>
      </c>
      <c r="B534" s="138"/>
      <c r="C534" s="138"/>
      <c r="D534" s="138"/>
      <c r="E534" s="138"/>
      <c r="F534" s="138"/>
      <c r="G534" s="138"/>
      <c r="H534" s="138"/>
      <c r="I534" s="138"/>
      <c r="J534" s="138"/>
      <c r="K534" s="138"/>
      <c r="L534" s="138"/>
      <c r="M534" s="138"/>
      <c r="N534" s="138"/>
      <c r="O534" s="138"/>
      <c r="P534" s="138"/>
      <c r="Q534" s="138"/>
      <c r="R534" s="139"/>
      <c r="S534" s="139"/>
      <c r="T534" s="149"/>
      <c r="U534" s="149"/>
      <c r="V534" s="149"/>
      <c r="W534" s="149"/>
      <c r="X534" s="149"/>
      <c r="Y534" s="255">
        <f t="shared" si="257"/>
        <v>0</v>
      </c>
      <c r="Z534" s="309">
        <f t="shared" si="258"/>
        <v>0</v>
      </c>
      <c r="AA534" s="256">
        <f t="shared" si="255"/>
        <v>0</v>
      </c>
      <c r="AB534" s="309"/>
      <c r="AC534" s="309"/>
      <c r="AD534" s="320">
        <f t="shared" si="256"/>
        <v>0</v>
      </c>
      <c r="AF534" s="11"/>
      <c r="AG534" s="579"/>
      <c r="AH534" s="64">
        <f t="shared" si="260"/>
        <v>43389</v>
      </c>
      <c r="AI534" s="698"/>
      <c r="AJ534" s="699"/>
      <c r="AK534" s="699"/>
      <c r="AL534" s="699"/>
      <c r="AM534" s="699"/>
      <c r="AN534" s="699"/>
      <c r="AO534" s="699"/>
      <c r="AP534" s="699"/>
      <c r="AQ534" s="699"/>
      <c r="AR534" s="699"/>
      <c r="AS534" s="699"/>
      <c r="AT534" s="699"/>
      <c r="AU534" s="699"/>
      <c r="AV534" s="699"/>
      <c r="AW534" s="699"/>
      <c r="AX534" s="700"/>
      <c r="AY534" s="700"/>
      <c r="AZ534" s="701"/>
    </row>
    <row r="535" spans="1:52" ht="30.75" thickBot="1">
      <c r="A535" s="67">
        <f t="shared" si="259"/>
        <v>44882</v>
      </c>
      <c r="B535" s="138"/>
      <c r="C535" s="138"/>
      <c r="D535" s="138"/>
      <c r="E535" s="138"/>
      <c r="F535" s="138"/>
      <c r="G535" s="138"/>
      <c r="H535" s="138"/>
      <c r="I535" s="138"/>
      <c r="J535" s="138"/>
      <c r="K535" s="138"/>
      <c r="L535" s="138"/>
      <c r="M535" s="138"/>
      <c r="N535" s="138"/>
      <c r="O535" s="138"/>
      <c r="P535" s="138"/>
      <c r="Q535" s="138"/>
      <c r="R535" s="139"/>
      <c r="S535" s="139"/>
      <c r="T535" s="149"/>
      <c r="U535" s="149"/>
      <c r="V535" s="149"/>
      <c r="W535" s="149"/>
      <c r="X535" s="149"/>
      <c r="Y535" s="255">
        <f t="shared" si="257"/>
        <v>0</v>
      </c>
      <c r="Z535" s="309">
        <f t="shared" si="258"/>
        <v>0</v>
      </c>
      <c r="AA535" s="256">
        <f t="shared" si="255"/>
        <v>0</v>
      </c>
      <c r="AB535" s="309"/>
      <c r="AC535" s="309"/>
      <c r="AD535" s="320">
        <f t="shared" si="256"/>
        <v>0</v>
      </c>
      <c r="AF535" s="11"/>
      <c r="AG535" s="579"/>
      <c r="AH535" s="64">
        <f t="shared" si="260"/>
        <v>43390</v>
      </c>
      <c r="AI535" s="698"/>
      <c r="AJ535" s="699"/>
      <c r="AK535" s="699"/>
      <c r="AL535" s="699"/>
      <c r="AM535" s="699"/>
      <c r="AN535" s="699"/>
      <c r="AO535" s="699"/>
      <c r="AP535" s="699"/>
      <c r="AQ535" s="699"/>
      <c r="AR535" s="699"/>
      <c r="AS535" s="699"/>
      <c r="AT535" s="699"/>
      <c r="AU535" s="699"/>
      <c r="AV535" s="699"/>
      <c r="AW535" s="699"/>
      <c r="AX535" s="700"/>
      <c r="AY535" s="700"/>
      <c r="AZ535" s="701"/>
    </row>
    <row r="536" spans="1:52" ht="30.75" thickBot="1">
      <c r="A536" s="67">
        <f t="shared" si="259"/>
        <v>44883</v>
      </c>
      <c r="B536" s="138"/>
      <c r="C536" s="138"/>
      <c r="D536" s="138"/>
      <c r="E536" s="138"/>
      <c r="F536" s="138"/>
      <c r="G536" s="138"/>
      <c r="H536" s="138"/>
      <c r="I536" s="138"/>
      <c r="J536" s="138"/>
      <c r="K536" s="138"/>
      <c r="L536" s="138"/>
      <c r="M536" s="138"/>
      <c r="N536" s="138"/>
      <c r="O536" s="138"/>
      <c r="P536" s="138"/>
      <c r="Q536" s="138"/>
      <c r="R536" s="139"/>
      <c r="S536" s="139"/>
      <c r="T536" s="149"/>
      <c r="U536" s="149"/>
      <c r="V536" s="149"/>
      <c r="W536" s="149"/>
      <c r="X536" s="149"/>
      <c r="Y536" s="255">
        <f t="shared" si="257"/>
        <v>0</v>
      </c>
      <c r="Z536" s="309">
        <f t="shared" si="258"/>
        <v>0</v>
      </c>
      <c r="AA536" s="256">
        <f t="shared" si="255"/>
        <v>0</v>
      </c>
      <c r="AB536" s="309"/>
      <c r="AC536" s="309"/>
      <c r="AD536" s="320">
        <f t="shared" si="256"/>
        <v>0</v>
      </c>
      <c r="AF536" s="11"/>
      <c r="AG536" s="579"/>
      <c r="AH536" s="64">
        <f t="shared" si="260"/>
        <v>43391</v>
      </c>
      <c r="AI536" s="698"/>
      <c r="AJ536" s="699"/>
      <c r="AK536" s="699"/>
      <c r="AL536" s="699"/>
      <c r="AM536" s="699"/>
      <c r="AN536" s="699"/>
      <c r="AO536" s="699"/>
      <c r="AP536" s="699"/>
      <c r="AQ536" s="699"/>
      <c r="AR536" s="699"/>
      <c r="AS536" s="699"/>
      <c r="AT536" s="699"/>
      <c r="AU536" s="699"/>
      <c r="AV536" s="699"/>
      <c r="AW536" s="699"/>
      <c r="AX536" s="700"/>
      <c r="AY536" s="700"/>
      <c r="AZ536" s="701"/>
    </row>
    <row r="537" spans="1:52" ht="30.75" thickBot="1">
      <c r="A537" s="67">
        <f t="shared" si="259"/>
        <v>44884</v>
      </c>
      <c r="B537" s="138"/>
      <c r="C537" s="138"/>
      <c r="D537" s="138"/>
      <c r="E537" s="138"/>
      <c r="F537" s="138"/>
      <c r="G537" s="138"/>
      <c r="H537" s="138"/>
      <c r="I537" s="138"/>
      <c r="J537" s="138"/>
      <c r="K537" s="138"/>
      <c r="L537" s="138"/>
      <c r="M537" s="138"/>
      <c r="N537" s="138"/>
      <c r="O537" s="138"/>
      <c r="P537" s="138"/>
      <c r="Q537" s="138"/>
      <c r="R537" s="139"/>
      <c r="S537" s="139"/>
      <c r="T537" s="149"/>
      <c r="U537" s="149"/>
      <c r="V537" s="149"/>
      <c r="W537" s="149"/>
      <c r="X537" s="149"/>
      <c r="Y537" s="255">
        <f t="shared" si="257"/>
        <v>0</v>
      </c>
      <c r="Z537" s="309">
        <f t="shared" si="258"/>
        <v>0</v>
      </c>
      <c r="AA537" s="256">
        <f t="shared" si="255"/>
        <v>0</v>
      </c>
      <c r="AB537" s="309"/>
      <c r="AC537" s="309"/>
      <c r="AD537" s="320">
        <f t="shared" si="256"/>
        <v>0</v>
      </c>
      <c r="AF537" s="11"/>
      <c r="AG537" s="579"/>
      <c r="AH537" s="64">
        <f t="shared" si="260"/>
        <v>43392</v>
      </c>
      <c r="AI537" s="698"/>
      <c r="AJ537" s="699"/>
      <c r="AK537" s="699"/>
      <c r="AL537" s="699"/>
      <c r="AM537" s="699"/>
      <c r="AN537" s="699"/>
      <c r="AO537" s="699"/>
      <c r="AP537" s="699"/>
      <c r="AQ537" s="699"/>
      <c r="AR537" s="699"/>
      <c r="AS537" s="699"/>
      <c r="AT537" s="699"/>
      <c r="AU537" s="699"/>
      <c r="AV537" s="699"/>
      <c r="AW537" s="699"/>
      <c r="AX537" s="700"/>
      <c r="AY537" s="700"/>
      <c r="AZ537" s="701"/>
    </row>
    <row r="538" spans="1:52" ht="30.75" thickBot="1">
      <c r="A538" s="67">
        <f t="shared" si="259"/>
        <v>44885</v>
      </c>
      <c r="B538" s="138"/>
      <c r="C538" s="138"/>
      <c r="D538" s="138"/>
      <c r="E538" s="138"/>
      <c r="F538" s="138"/>
      <c r="G538" s="138"/>
      <c r="H538" s="138"/>
      <c r="I538" s="138"/>
      <c r="J538" s="138"/>
      <c r="K538" s="138"/>
      <c r="L538" s="138"/>
      <c r="M538" s="138"/>
      <c r="N538" s="138"/>
      <c r="O538" s="138"/>
      <c r="P538" s="138"/>
      <c r="Q538" s="138"/>
      <c r="R538" s="139"/>
      <c r="S538" s="139"/>
      <c r="T538" s="149"/>
      <c r="U538" s="149"/>
      <c r="V538" s="149"/>
      <c r="W538" s="149"/>
      <c r="X538" s="149"/>
      <c r="Y538" s="255">
        <f t="shared" si="257"/>
        <v>0</v>
      </c>
      <c r="Z538" s="309">
        <f t="shared" si="258"/>
        <v>0</v>
      </c>
      <c r="AA538" s="256">
        <f t="shared" si="255"/>
        <v>0</v>
      </c>
      <c r="AB538" s="309"/>
      <c r="AC538" s="309"/>
      <c r="AD538" s="320">
        <f t="shared" si="256"/>
        <v>0</v>
      </c>
      <c r="AF538" s="11"/>
      <c r="AG538" s="579"/>
      <c r="AH538" s="64">
        <f t="shared" si="260"/>
        <v>43393</v>
      </c>
      <c r="AI538" s="698"/>
      <c r="AJ538" s="699"/>
      <c r="AK538" s="699"/>
      <c r="AL538" s="699"/>
      <c r="AM538" s="699"/>
      <c r="AN538" s="699"/>
      <c r="AO538" s="699"/>
      <c r="AP538" s="699"/>
      <c r="AQ538" s="699"/>
      <c r="AR538" s="699"/>
      <c r="AS538" s="699"/>
      <c r="AT538" s="699"/>
      <c r="AU538" s="699"/>
      <c r="AV538" s="699"/>
      <c r="AW538" s="699"/>
      <c r="AX538" s="700"/>
      <c r="AY538" s="700"/>
      <c r="AZ538" s="701"/>
    </row>
    <row r="539" spans="1:52" ht="30.75" thickBot="1">
      <c r="A539" s="67">
        <f t="shared" si="259"/>
        <v>44886</v>
      </c>
      <c r="B539" s="138"/>
      <c r="C539" s="138"/>
      <c r="D539" s="138"/>
      <c r="E539" s="138"/>
      <c r="F539" s="138"/>
      <c r="G539" s="138"/>
      <c r="H539" s="138"/>
      <c r="I539" s="138"/>
      <c r="J539" s="138"/>
      <c r="K539" s="138"/>
      <c r="L539" s="138"/>
      <c r="M539" s="138"/>
      <c r="N539" s="138"/>
      <c r="O539" s="138"/>
      <c r="P539" s="138"/>
      <c r="Q539" s="138"/>
      <c r="R539" s="139"/>
      <c r="S539" s="139"/>
      <c r="T539" s="149"/>
      <c r="U539" s="149"/>
      <c r="V539" s="149"/>
      <c r="W539" s="149"/>
      <c r="X539" s="149"/>
      <c r="Y539" s="255">
        <f t="shared" si="257"/>
        <v>0</v>
      </c>
      <c r="Z539" s="309">
        <f t="shared" si="258"/>
        <v>0</v>
      </c>
      <c r="AA539" s="256">
        <f t="shared" si="255"/>
        <v>0</v>
      </c>
      <c r="AB539" s="309"/>
      <c r="AC539" s="309"/>
      <c r="AD539" s="320">
        <f t="shared" si="256"/>
        <v>0</v>
      </c>
      <c r="AF539" s="11"/>
      <c r="AG539" s="579"/>
      <c r="AH539" s="64">
        <f t="shared" si="260"/>
        <v>43394</v>
      </c>
      <c r="AI539" s="698"/>
      <c r="AJ539" s="699"/>
      <c r="AK539" s="699"/>
      <c r="AL539" s="699"/>
      <c r="AM539" s="699"/>
      <c r="AN539" s="699"/>
      <c r="AO539" s="699"/>
      <c r="AP539" s="699"/>
      <c r="AQ539" s="699"/>
      <c r="AR539" s="699"/>
      <c r="AS539" s="699"/>
      <c r="AT539" s="699"/>
      <c r="AU539" s="699"/>
      <c r="AV539" s="699"/>
      <c r="AW539" s="699"/>
      <c r="AX539" s="700"/>
      <c r="AY539" s="700"/>
      <c r="AZ539" s="701"/>
    </row>
    <row r="540" spans="1:52" ht="30.75" thickBot="1">
      <c r="A540" s="67">
        <f t="shared" si="259"/>
        <v>44887</v>
      </c>
      <c r="B540" s="138"/>
      <c r="C540" s="138"/>
      <c r="D540" s="138"/>
      <c r="E540" s="138"/>
      <c r="F540" s="138"/>
      <c r="G540" s="138"/>
      <c r="H540" s="138"/>
      <c r="I540" s="138"/>
      <c r="J540" s="138"/>
      <c r="K540" s="138"/>
      <c r="L540" s="138"/>
      <c r="M540" s="138"/>
      <c r="N540" s="138"/>
      <c r="O540" s="138"/>
      <c r="P540" s="138"/>
      <c r="Q540" s="138"/>
      <c r="R540" s="139"/>
      <c r="S540" s="139"/>
      <c r="T540" s="149"/>
      <c r="U540" s="149"/>
      <c r="V540" s="149"/>
      <c r="W540" s="149"/>
      <c r="X540" s="149"/>
      <c r="Y540" s="255">
        <f t="shared" si="257"/>
        <v>0</v>
      </c>
      <c r="Z540" s="309">
        <f t="shared" si="258"/>
        <v>0</v>
      </c>
      <c r="AA540" s="256">
        <f t="shared" si="255"/>
        <v>0</v>
      </c>
      <c r="AB540" s="309"/>
      <c r="AC540" s="309"/>
      <c r="AD540" s="320">
        <f t="shared" si="256"/>
        <v>0</v>
      </c>
      <c r="AF540" s="11"/>
      <c r="AG540" s="579"/>
      <c r="AH540" s="64">
        <f t="shared" si="260"/>
        <v>43395</v>
      </c>
      <c r="AI540" s="698"/>
      <c r="AJ540" s="699"/>
      <c r="AK540" s="699"/>
      <c r="AL540" s="699"/>
      <c r="AM540" s="699"/>
      <c r="AN540" s="699"/>
      <c r="AO540" s="699"/>
      <c r="AP540" s="699"/>
      <c r="AQ540" s="699"/>
      <c r="AR540" s="699"/>
      <c r="AS540" s="699"/>
      <c r="AT540" s="699"/>
      <c r="AU540" s="699"/>
      <c r="AV540" s="699"/>
      <c r="AW540" s="699"/>
      <c r="AX540" s="700"/>
      <c r="AY540" s="700"/>
      <c r="AZ540" s="701"/>
    </row>
    <row r="541" spans="1:52" ht="30.75" thickBot="1">
      <c r="A541" s="67">
        <f t="shared" si="259"/>
        <v>44888</v>
      </c>
      <c r="B541" s="138"/>
      <c r="C541" s="138"/>
      <c r="D541" s="138"/>
      <c r="E541" s="138"/>
      <c r="F541" s="138"/>
      <c r="G541" s="138"/>
      <c r="H541" s="138"/>
      <c r="I541" s="138"/>
      <c r="J541" s="138"/>
      <c r="K541" s="138"/>
      <c r="L541" s="138"/>
      <c r="M541" s="138"/>
      <c r="N541" s="138"/>
      <c r="O541" s="138"/>
      <c r="P541" s="138"/>
      <c r="Q541" s="138"/>
      <c r="R541" s="139"/>
      <c r="S541" s="139"/>
      <c r="T541" s="149"/>
      <c r="U541" s="149"/>
      <c r="V541" s="149"/>
      <c r="W541" s="149"/>
      <c r="X541" s="149"/>
      <c r="Y541" s="255">
        <f t="shared" si="257"/>
        <v>0</v>
      </c>
      <c r="Z541" s="309">
        <f t="shared" si="258"/>
        <v>0</v>
      </c>
      <c r="AA541" s="256">
        <f t="shared" si="255"/>
        <v>0</v>
      </c>
      <c r="AB541" s="309"/>
      <c r="AC541" s="309"/>
      <c r="AD541" s="320">
        <f t="shared" si="256"/>
        <v>0</v>
      </c>
      <c r="AF541" s="11"/>
      <c r="AG541" s="579"/>
      <c r="AH541" s="64">
        <f t="shared" si="260"/>
        <v>43396</v>
      </c>
      <c r="AI541" s="698"/>
      <c r="AJ541" s="699"/>
      <c r="AK541" s="699"/>
      <c r="AL541" s="699"/>
      <c r="AM541" s="699"/>
      <c r="AN541" s="699"/>
      <c r="AO541" s="699"/>
      <c r="AP541" s="699"/>
      <c r="AQ541" s="699"/>
      <c r="AR541" s="699"/>
      <c r="AS541" s="699"/>
      <c r="AT541" s="699"/>
      <c r="AU541" s="699"/>
      <c r="AV541" s="699"/>
      <c r="AW541" s="699"/>
      <c r="AX541" s="700"/>
      <c r="AY541" s="700"/>
      <c r="AZ541" s="701"/>
    </row>
    <row r="542" spans="1:52" ht="30.75" thickBot="1">
      <c r="A542" s="67">
        <f t="shared" si="259"/>
        <v>44889</v>
      </c>
      <c r="B542" s="138"/>
      <c r="C542" s="138"/>
      <c r="D542" s="138"/>
      <c r="E542" s="138"/>
      <c r="F542" s="138"/>
      <c r="G542" s="138"/>
      <c r="H542" s="138"/>
      <c r="I542" s="138"/>
      <c r="J542" s="138"/>
      <c r="K542" s="138"/>
      <c r="L542" s="138"/>
      <c r="M542" s="138"/>
      <c r="N542" s="138"/>
      <c r="O542" s="138"/>
      <c r="P542" s="138"/>
      <c r="Q542" s="138"/>
      <c r="R542" s="139"/>
      <c r="S542" s="139"/>
      <c r="T542" s="149"/>
      <c r="U542" s="149"/>
      <c r="V542" s="149"/>
      <c r="W542" s="149"/>
      <c r="X542" s="149"/>
      <c r="Y542" s="255">
        <f t="shared" si="257"/>
        <v>0</v>
      </c>
      <c r="Z542" s="309">
        <f t="shared" si="258"/>
        <v>0</v>
      </c>
      <c r="AA542" s="256">
        <f t="shared" si="255"/>
        <v>0</v>
      </c>
      <c r="AB542" s="309"/>
      <c r="AC542" s="309"/>
      <c r="AD542" s="320">
        <f t="shared" si="256"/>
        <v>0</v>
      </c>
      <c r="AF542" s="11"/>
      <c r="AG542" s="579"/>
      <c r="AH542" s="64">
        <f t="shared" si="260"/>
        <v>43397</v>
      </c>
      <c r="AI542" s="698"/>
      <c r="AJ542" s="699"/>
      <c r="AK542" s="699"/>
      <c r="AL542" s="699"/>
      <c r="AM542" s="699"/>
      <c r="AN542" s="699"/>
      <c r="AO542" s="699"/>
      <c r="AP542" s="699"/>
      <c r="AQ542" s="699"/>
      <c r="AR542" s="699"/>
      <c r="AS542" s="699"/>
      <c r="AT542" s="699"/>
      <c r="AU542" s="699"/>
      <c r="AV542" s="699"/>
      <c r="AW542" s="699"/>
      <c r="AX542" s="700"/>
      <c r="AY542" s="700"/>
      <c r="AZ542" s="701"/>
    </row>
    <row r="543" spans="1:52" ht="30.75" thickBot="1">
      <c r="A543" s="67">
        <f t="shared" si="259"/>
        <v>44890</v>
      </c>
      <c r="B543" s="138"/>
      <c r="C543" s="138"/>
      <c r="D543" s="138"/>
      <c r="E543" s="138"/>
      <c r="F543" s="138"/>
      <c r="G543" s="138"/>
      <c r="H543" s="138"/>
      <c r="I543" s="138"/>
      <c r="J543" s="138"/>
      <c r="K543" s="138"/>
      <c r="L543" s="138"/>
      <c r="M543" s="138"/>
      <c r="N543" s="138"/>
      <c r="O543" s="138"/>
      <c r="P543" s="138"/>
      <c r="Q543" s="138"/>
      <c r="R543" s="139"/>
      <c r="S543" s="139"/>
      <c r="T543" s="149"/>
      <c r="U543" s="149"/>
      <c r="V543" s="149"/>
      <c r="W543" s="149"/>
      <c r="X543" s="149"/>
      <c r="Y543" s="255">
        <f t="shared" si="257"/>
        <v>0</v>
      </c>
      <c r="Z543" s="309">
        <f t="shared" si="258"/>
        <v>0</v>
      </c>
      <c r="AA543" s="256">
        <f t="shared" si="255"/>
        <v>0</v>
      </c>
      <c r="AB543" s="309"/>
      <c r="AC543" s="309"/>
      <c r="AD543" s="320">
        <f t="shared" si="256"/>
        <v>0</v>
      </c>
      <c r="AF543" s="11"/>
      <c r="AG543" s="579"/>
      <c r="AH543" s="64">
        <f t="shared" si="260"/>
        <v>43398</v>
      </c>
      <c r="AI543" s="698"/>
      <c r="AJ543" s="699"/>
      <c r="AK543" s="699"/>
      <c r="AL543" s="699"/>
      <c r="AM543" s="699"/>
      <c r="AN543" s="699"/>
      <c r="AO543" s="699"/>
      <c r="AP543" s="699"/>
      <c r="AQ543" s="699"/>
      <c r="AR543" s="699"/>
      <c r="AS543" s="699"/>
      <c r="AT543" s="699"/>
      <c r="AU543" s="699"/>
      <c r="AV543" s="699"/>
      <c r="AW543" s="699"/>
      <c r="AX543" s="700"/>
      <c r="AY543" s="700"/>
      <c r="AZ543" s="701"/>
    </row>
    <row r="544" spans="1:52" ht="30.75" thickBot="1">
      <c r="A544" s="67">
        <f t="shared" si="259"/>
        <v>44891</v>
      </c>
      <c r="B544" s="138"/>
      <c r="C544" s="138"/>
      <c r="D544" s="138"/>
      <c r="E544" s="138"/>
      <c r="F544" s="138"/>
      <c r="G544" s="138"/>
      <c r="H544" s="138"/>
      <c r="I544" s="138"/>
      <c r="J544" s="138"/>
      <c r="K544" s="138"/>
      <c r="L544" s="138"/>
      <c r="M544" s="138"/>
      <c r="N544" s="138"/>
      <c r="O544" s="138"/>
      <c r="P544" s="138"/>
      <c r="Q544" s="138"/>
      <c r="R544" s="139"/>
      <c r="S544" s="139"/>
      <c r="T544" s="149"/>
      <c r="U544" s="149"/>
      <c r="V544" s="149"/>
      <c r="W544" s="149"/>
      <c r="X544" s="149"/>
      <c r="Y544" s="255">
        <f t="shared" si="257"/>
        <v>0</v>
      </c>
      <c r="Z544" s="309">
        <f t="shared" si="258"/>
        <v>0</v>
      </c>
      <c r="AA544" s="256">
        <f t="shared" si="255"/>
        <v>0</v>
      </c>
      <c r="AB544" s="309"/>
      <c r="AC544" s="309"/>
      <c r="AD544" s="320">
        <f t="shared" si="256"/>
        <v>0</v>
      </c>
      <c r="AF544" s="11"/>
      <c r="AG544" s="579"/>
      <c r="AH544" s="64">
        <f t="shared" si="260"/>
        <v>43399</v>
      </c>
      <c r="AI544" s="698"/>
      <c r="AJ544" s="699"/>
      <c r="AK544" s="699"/>
      <c r="AL544" s="699"/>
      <c r="AM544" s="699"/>
      <c r="AN544" s="699"/>
      <c r="AO544" s="699"/>
      <c r="AP544" s="699"/>
      <c r="AQ544" s="699"/>
      <c r="AR544" s="699"/>
      <c r="AS544" s="699"/>
      <c r="AT544" s="699"/>
      <c r="AU544" s="699"/>
      <c r="AV544" s="699"/>
      <c r="AW544" s="699"/>
      <c r="AX544" s="700"/>
      <c r="AY544" s="700"/>
      <c r="AZ544" s="701"/>
    </row>
    <row r="545" spans="1:52" ht="30.75" thickBot="1">
      <c r="A545" s="67">
        <f t="shared" si="259"/>
        <v>44892</v>
      </c>
      <c r="B545" s="138"/>
      <c r="C545" s="138"/>
      <c r="D545" s="138"/>
      <c r="E545" s="138"/>
      <c r="F545" s="138"/>
      <c r="G545" s="138"/>
      <c r="H545" s="138"/>
      <c r="I545" s="138"/>
      <c r="J545" s="138"/>
      <c r="K545" s="138"/>
      <c r="L545" s="138"/>
      <c r="M545" s="138"/>
      <c r="N545" s="138"/>
      <c r="O545" s="138"/>
      <c r="P545" s="138"/>
      <c r="Q545" s="138"/>
      <c r="R545" s="139"/>
      <c r="S545" s="139"/>
      <c r="T545" s="149"/>
      <c r="U545" s="149"/>
      <c r="V545" s="149"/>
      <c r="W545" s="149"/>
      <c r="X545" s="149"/>
      <c r="Y545" s="255">
        <f t="shared" si="257"/>
        <v>0</v>
      </c>
      <c r="Z545" s="309">
        <f t="shared" si="258"/>
        <v>0</v>
      </c>
      <c r="AA545" s="256">
        <f t="shared" si="255"/>
        <v>0</v>
      </c>
      <c r="AB545" s="309"/>
      <c r="AC545" s="309"/>
      <c r="AD545" s="320">
        <f t="shared" si="256"/>
        <v>0</v>
      </c>
      <c r="AF545" s="11"/>
      <c r="AG545" s="579"/>
      <c r="AH545" s="64">
        <f t="shared" si="260"/>
        <v>43400</v>
      </c>
      <c r="AI545" s="698"/>
      <c r="AJ545" s="699"/>
      <c r="AK545" s="699"/>
      <c r="AL545" s="699"/>
      <c r="AM545" s="699"/>
      <c r="AN545" s="699"/>
      <c r="AO545" s="699"/>
      <c r="AP545" s="699"/>
      <c r="AQ545" s="699"/>
      <c r="AR545" s="699"/>
      <c r="AS545" s="699"/>
      <c r="AT545" s="699"/>
      <c r="AU545" s="699"/>
      <c r="AV545" s="699"/>
      <c r="AW545" s="699"/>
      <c r="AX545" s="700"/>
      <c r="AY545" s="700"/>
      <c r="AZ545" s="701"/>
    </row>
    <row r="546" spans="1:52" ht="30.75" thickBot="1">
      <c r="A546" s="67">
        <f t="shared" si="259"/>
        <v>44893</v>
      </c>
      <c r="B546" s="138"/>
      <c r="C546" s="138"/>
      <c r="D546" s="138"/>
      <c r="E546" s="138"/>
      <c r="F546" s="138"/>
      <c r="G546" s="138"/>
      <c r="H546" s="138"/>
      <c r="I546" s="138"/>
      <c r="J546" s="138"/>
      <c r="K546" s="138"/>
      <c r="L546" s="138"/>
      <c r="M546" s="138"/>
      <c r="N546" s="138"/>
      <c r="O546" s="138"/>
      <c r="P546" s="138"/>
      <c r="Q546" s="138"/>
      <c r="R546" s="139"/>
      <c r="S546" s="139"/>
      <c r="T546" s="149"/>
      <c r="U546" s="149"/>
      <c r="V546" s="149"/>
      <c r="W546" s="149"/>
      <c r="X546" s="149"/>
      <c r="Y546" s="255">
        <f t="shared" si="257"/>
        <v>0</v>
      </c>
      <c r="Z546" s="309">
        <f t="shared" si="258"/>
        <v>0</v>
      </c>
      <c r="AA546" s="256">
        <f t="shared" si="255"/>
        <v>0</v>
      </c>
      <c r="AB546" s="309"/>
      <c r="AC546" s="309"/>
      <c r="AD546" s="320">
        <f t="shared" si="256"/>
        <v>0</v>
      </c>
      <c r="AF546" s="11"/>
      <c r="AG546" s="579"/>
      <c r="AH546" s="64">
        <f t="shared" si="260"/>
        <v>43401</v>
      </c>
      <c r="AI546" s="698"/>
      <c r="AJ546" s="699"/>
      <c r="AK546" s="699"/>
      <c r="AL546" s="699"/>
      <c r="AM546" s="699"/>
      <c r="AN546" s="699"/>
      <c r="AO546" s="699"/>
      <c r="AP546" s="699"/>
      <c r="AQ546" s="699"/>
      <c r="AR546" s="699"/>
      <c r="AS546" s="699"/>
      <c r="AT546" s="699"/>
      <c r="AU546" s="699"/>
      <c r="AV546" s="699"/>
      <c r="AW546" s="699"/>
      <c r="AX546" s="700"/>
      <c r="AY546" s="700"/>
      <c r="AZ546" s="701"/>
    </row>
    <row r="547" spans="1:52" ht="30.75" thickBot="1">
      <c r="A547" s="67">
        <f t="shared" si="259"/>
        <v>44894</v>
      </c>
      <c r="B547" s="138"/>
      <c r="C547" s="138"/>
      <c r="D547" s="138"/>
      <c r="E547" s="138"/>
      <c r="F547" s="138"/>
      <c r="G547" s="138"/>
      <c r="H547" s="138"/>
      <c r="I547" s="138"/>
      <c r="J547" s="138"/>
      <c r="K547" s="138"/>
      <c r="L547" s="138"/>
      <c r="M547" s="138"/>
      <c r="N547" s="138"/>
      <c r="O547" s="138"/>
      <c r="P547" s="138"/>
      <c r="Q547" s="138"/>
      <c r="R547" s="139"/>
      <c r="S547" s="139"/>
      <c r="T547" s="149"/>
      <c r="U547" s="149"/>
      <c r="V547" s="149"/>
      <c r="W547" s="149"/>
      <c r="X547" s="149"/>
      <c r="Y547" s="255">
        <f t="shared" si="257"/>
        <v>0</v>
      </c>
      <c r="Z547" s="309">
        <f t="shared" si="258"/>
        <v>0</v>
      </c>
      <c r="AA547" s="256">
        <f t="shared" si="255"/>
        <v>0</v>
      </c>
      <c r="AB547" s="309"/>
      <c r="AC547" s="309"/>
      <c r="AD547" s="320">
        <f t="shared" si="256"/>
        <v>0</v>
      </c>
      <c r="AF547" s="11"/>
      <c r="AG547" s="579"/>
      <c r="AH547" s="64">
        <f>AH546+1</f>
        <v>43402</v>
      </c>
      <c r="AI547" s="698"/>
      <c r="AJ547" s="699"/>
      <c r="AK547" s="699"/>
      <c r="AL547" s="699"/>
      <c r="AM547" s="699"/>
      <c r="AN547" s="699"/>
      <c r="AO547" s="699"/>
      <c r="AP547" s="699"/>
      <c r="AQ547" s="699"/>
      <c r="AR547" s="699"/>
      <c r="AS547" s="699"/>
      <c r="AT547" s="699"/>
      <c r="AU547" s="699"/>
      <c r="AV547" s="699"/>
      <c r="AW547" s="699"/>
      <c r="AX547" s="700"/>
      <c r="AY547" s="700"/>
      <c r="AZ547" s="701"/>
    </row>
    <row r="548" spans="1:52" ht="30.75" thickBot="1">
      <c r="A548" s="67">
        <f t="shared" si="259"/>
        <v>44895</v>
      </c>
      <c r="B548" s="138"/>
      <c r="C548" s="138"/>
      <c r="D548" s="138"/>
      <c r="E548" s="138"/>
      <c r="F548" s="138"/>
      <c r="G548" s="138"/>
      <c r="H548" s="138"/>
      <c r="I548" s="138"/>
      <c r="J548" s="138"/>
      <c r="K548" s="138"/>
      <c r="L548" s="138"/>
      <c r="M548" s="138"/>
      <c r="N548" s="138"/>
      <c r="O548" s="138"/>
      <c r="P548" s="138"/>
      <c r="Q548" s="138"/>
      <c r="R548" s="139"/>
      <c r="S548" s="139"/>
      <c r="T548" s="149"/>
      <c r="U548" s="149"/>
      <c r="V548" s="149"/>
      <c r="W548" s="149"/>
      <c r="X548" s="149"/>
      <c r="Y548" s="255">
        <f t="shared" si="257"/>
        <v>0</v>
      </c>
      <c r="Z548" s="309">
        <f t="shared" si="258"/>
        <v>0</v>
      </c>
      <c r="AA548" s="256">
        <f t="shared" si="255"/>
        <v>0</v>
      </c>
      <c r="AB548" s="309"/>
      <c r="AC548" s="309"/>
      <c r="AD548" s="320">
        <f t="shared" si="256"/>
        <v>0</v>
      </c>
      <c r="AF548" s="11"/>
      <c r="AG548" s="579"/>
      <c r="AH548" s="64">
        <f t="shared" si="260"/>
        <v>43403</v>
      </c>
      <c r="AI548" s="698"/>
      <c r="AJ548" s="699"/>
      <c r="AK548" s="699"/>
      <c r="AL548" s="699"/>
      <c r="AM548" s="699"/>
      <c r="AN548" s="699"/>
      <c r="AO548" s="699"/>
      <c r="AP548" s="699"/>
      <c r="AQ548" s="699"/>
      <c r="AR548" s="699"/>
      <c r="AS548" s="699"/>
      <c r="AT548" s="699"/>
      <c r="AU548" s="699"/>
      <c r="AV548" s="699"/>
      <c r="AW548" s="699"/>
      <c r="AX548" s="700"/>
      <c r="AY548" s="700"/>
      <c r="AZ548" s="701"/>
    </row>
    <row r="549" spans="1:52" ht="30.75" thickBot="1">
      <c r="A549" s="102">
        <f t="shared" si="259"/>
        <v>44896</v>
      </c>
      <c r="B549" s="146"/>
      <c r="C549" s="146"/>
      <c r="D549" s="146"/>
      <c r="E549" s="146"/>
      <c r="F549" s="146"/>
      <c r="G549" s="146"/>
      <c r="H549" s="146"/>
      <c r="I549" s="146"/>
      <c r="J549" s="146"/>
      <c r="K549" s="146"/>
      <c r="L549" s="146"/>
      <c r="M549" s="146"/>
      <c r="N549" s="146"/>
      <c r="O549" s="146"/>
      <c r="P549" s="146"/>
      <c r="Q549" s="146"/>
      <c r="R549" s="147"/>
      <c r="S549" s="147"/>
      <c r="T549" s="152"/>
      <c r="U549" s="152"/>
      <c r="V549" s="152"/>
      <c r="W549" s="152"/>
      <c r="X549" s="152"/>
      <c r="Y549" s="255">
        <f t="shared" si="257"/>
        <v>0</v>
      </c>
      <c r="Z549" s="309">
        <f t="shared" si="258"/>
        <v>0</v>
      </c>
      <c r="AA549" s="256">
        <f t="shared" si="255"/>
        <v>0</v>
      </c>
      <c r="AB549" s="309"/>
      <c r="AC549" s="309"/>
      <c r="AD549" s="320">
        <f t="shared" si="256"/>
        <v>0</v>
      </c>
      <c r="AF549" s="11"/>
      <c r="AG549" s="579"/>
      <c r="AH549" s="65">
        <f t="shared" si="260"/>
        <v>43404</v>
      </c>
      <c r="AI549" s="702"/>
      <c r="AJ549" s="703"/>
      <c r="AK549" s="703"/>
      <c r="AL549" s="703"/>
      <c r="AM549" s="703"/>
      <c r="AN549" s="703"/>
      <c r="AO549" s="703"/>
      <c r="AP549" s="703"/>
      <c r="AQ549" s="703"/>
      <c r="AR549" s="703"/>
      <c r="AS549" s="703"/>
      <c r="AT549" s="703"/>
      <c r="AU549" s="703"/>
      <c r="AV549" s="703"/>
      <c r="AW549" s="703"/>
      <c r="AX549" s="704"/>
      <c r="AY549" s="704"/>
      <c r="AZ549" s="705"/>
    </row>
    <row r="550" spans="1:52" ht="50.1" customHeight="1" thickTop="1" thickBot="1">
      <c r="A550" s="103" t="s">
        <v>74</v>
      </c>
      <c r="B550" s="104">
        <f>SUM(B519:B549)</f>
        <v>0</v>
      </c>
      <c r="C550" s="104">
        <f t="shared" ref="C550:Y550" si="261">SUM(C519:C549)</f>
        <v>0</v>
      </c>
      <c r="D550" s="104">
        <f t="shared" si="261"/>
        <v>0</v>
      </c>
      <c r="E550" s="104"/>
      <c r="F550" s="104">
        <f t="shared" si="261"/>
        <v>0</v>
      </c>
      <c r="G550" s="104">
        <f t="shared" si="261"/>
        <v>0</v>
      </c>
      <c r="H550" s="104">
        <f t="shared" si="261"/>
        <v>0</v>
      </c>
      <c r="I550" s="104">
        <f t="shared" si="261"/>
        <v>0</v>
      </c>
      <c r="J550" s="104">
        <f t="shared" si="261"/>
        <v>0</v>
      </c>
      <c r="K550" s="104">
        <f t="shared" si="261"/>
        <v>0</v>
      </c>
      <c r="L550" s="104">
        <f t="shared" si="261"/>
        <v>0</v>
      </c>
      <c r="M550" s="104">
        <f t="shared" si="261"/>
        <v>0</v>
      </c>
      <c r="N550" s="104">
        <f t="shared" si="261"/>
        <v>0</v>
      </c>
      <c r="O550" s="104">
        <f t="shared" si="261"/>
        <v>0</v>
      </c>
      <c r="P550" s="104">
        <f>SUM(P519:P549)</f>
        <v>0</v>
      </c>
      <c r="Q550" s="104">
        <f t="shared" si="261"/>
        <v>0</v>
      </c>
      <c r="R550" s="104">
        <f t="shared" si="261"/>
        <v>0</v>
      </c>
      <c r="S550" s="104">
        <f t="shared" si="261"/>
        <v>0</v>
      </c>
      <c r="T550" s="104"/>
      <c r="U550" s="104"/>
      <c r="V550" s="104"/>
      <c r="W550" s="104"/>
      <c r="X550" s="104"/>
      <c r="Y550" s="292">
        <f t="shared" si="261"/>
        <v>0</v>
      </c>
      <c r="Z550" s="259"/>
      <c r="AA550" s="259"/>
      <c r="AB550" s="316">
        <f>SUM(AB519:AB549)</f>
        <v>0</v>
      </c>
      <c r="AC550" s="316"/>
      <c r="AD550" s="260"/>
      <c r="AF550" s="9"/>
      <c r="AG550" s="10"/>
      <c r="AH550" s="706" t="s">
        <v>101</v>
      </c>
      <c r="AI550" s="707">
        <f>SUM(AI519:AI549)</f>
        <v>0</v>
      </c>
      <c r="AJ550" s="707">
        <f>SUM(AJ519:AJ549)</f>
        <v>0</v>
      </c>
      <c r="AK550" s="707">
        <f t="shared" ref="AK550:AZ550" si="262">SUM(AK519:AK549)</f>
        <v>0</v>
      </c>
      <c r="AL550" s="707">
        <f t="shared" si="262"/>
        <v>0</v>
      </c>
      <c r="AM550" s="707">
        <f t="shared" si="262"/>
        <v>0</v>
      </c>
      <c r="AN550" s="707">
        <f t="shared" si="262"/>
        <v>0</v>
      </c>
      <c r="AO550" s="707">
        <f t="shared" si="262"/>
        <v>0</v>
      </c>
      <c r="AP550" s="707">
        <f t="shared" si="262"/>
        <v>0</v>
      </c>
      <c r="AQ550" s="707">
        <f t="shared" si="262"/>
        <v>0</v>
      </c>
      <c r="AR550" s="707">
        <f t="shared" si="262"/>
        <v>0</v>
      </c>
      <c r="AS550" s="707">
        <f t="shared" si="262"/>
        <v>0</v>
      </c>
      <c r="AT550" s="707">
        <f t="shared" si="262"/>
        <v>0</v>
      </c>
      <c r="AU550" s="707">
        <f t="shared" si="262"/>
        <v>0</v>
      </c>
      <c r="AV550" s="707">
        <f t="shared" si="262"/>
        <v>0</v>
      </c>
      <c r="AW550" s="707">
        <f t="shared" si="262"/>
        <v>0</v>
      </c>
      <c r="AX550" s="707">
        <f t="shared" si="262"/>
        <v>0</v>
      </c>
      <c r="AY550" s="707">
        <f t="shared" si="262"/>
        <v>0</v>
      </c>
      <c r="AZ550" s="707">
        <f t="shared" si="262"/>
        <v>0</v>
      </c>
    </row>
    <row r="551" spans="1:52" ht="50.1" customHeight="1" thickTop="1" thickBot="1">
      <c r="A551" s="16"/>
      <c r="B551" s="712"/>
      <c r="C551" s="712"/>
      <c r="D551" s="712"/>
      <c r="E551" s="712"/>
      <c r="F551" s="712"/>
      <c r="G551" s="712"/>
      <c r="H551" s="712"/>
      <c r="I551" s="712"/>
      <c r="J551" s="712"/>
      <c r="K551" s="712"/>
      <c r="L551" s="712"/>
      <c r="M551" s="712"/>
      <c r="N551" s="712"/>
      <c r="O551" s="712"/>
      <c r="P551" s="712">
        <v>2.5</v>
      </c>
      <c r="Q551" s="712"/>
      <c r="R551" s="712"/>
      <c r="S551" s="712"/>
      <c r="T551" s="712"/>
      <c r="U551" s="712"/>
      <c r="V551" s="712"/>
      <c r="W551" s="712"/>
      <c r="X551" s="712"/>
      <c r="Y551" s="302"/>
      <c r="Z551" s="709"/>
      <c r="AA551" s="709"/>
      <c r="AB551" s="710"/>
      <c r="AC551" s="710"/>
      <c r="AD551" s="711"/>
      <c r="AF551" s="9"/>
      <c r="AG551" s="10"/>
      <c r="AH551" s="706" t="s">
        <v>45</v>
      </c>
      <c r="AI551" s="707">
        <v>220</v>
      </c>
      <c r="AJ551" s="707">
        <v>220</v>
      </c>
      <c r="AK551" s="707">
        <v>220</v>
      </c>
      <c r="AL551" s="707">
        <v>100</v>
      </c>
      <c r="AM551" s="707">
        <v>100</v>
      </c>
      <c r="AN551" s="707">
        <v>80</v>
      </c>
      <c r="AO551" s="707">
        <v>25</v>
      </c>
      <c r="AP551" s="707">
        <v>25</v>
      </c>
      <c r="AQ551" s="707">
        <v>25</v>
      </c>
      <c r="AR551" s="707">
        <v>400</v>
      </c>
      <c r="AS551" s="707">
        <v>400</v>
      </c>
      <c r="AT551" s="707">
        <v>400</v>
      </c>
      <c r="AU551" s="707">
        <v>0</v>
      </c>
      <c r="AV551" s="707">
        <v>0</v>
      </c>
      <c r="AW551" s="707">
        <v>200</v>
      </c>
      <c r="AX551" s="707">
        <v>200</v>
      </c>
      <c r="AY551" s="707">
        <v>0</v>
      </c>
      <c r="AZ551" s="707">
        <v>0</v>
      </c>
    </row>
    <row r="552" spans="1:52" ht="27.75" thickTop="1" thickBo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>
        <f>P550*P551</f>
        <v>0</v>
      </c>
      <c r="Q552" s="7"/>
      <c r="R552" s="7"/>
      <c r="S552" s="7"/>
      <c r="T552" s="7"/>
      <c r="U552" s="7"/>
      <c r="V552" s="7"/>
      <c r="W552" s="7"/>
      <c r="X552" s="7"/>
      <c r="Y552" s="7"/>
      <c r="Z552" s="8"/>
      <c r="AA552" s="8"/>
      <c r="AB552" s="8"/>
      <c r="AF552" s="2"/>
      <c r="AG552" s="2"/>
      <c r="AH552" s="706" t="s">
        <v>46</v>
      </c>
      <c r="AI552" s="707">
        <f>AI550*AI551</f>
        <v>0</v>
      </c>
      <c r="AJ552" s="707">
        <f t="shared" ref="AJ552" si="263">AJ550*AJ551</f>
        <v>0</v>
      </c>
      <c r="AK552" s="707">
        <f t="shared" ref="AK552" si="264">AK550*AK551</f>
        <v>0</v>
      </c>
      <c r="AL552" s="707">
        <f t="shared" ref="AL552" si="265">AL550*AL551</f>
        <v>0</v>
      </c>
      <c r="AM552" s="707">
        <f t="shared" ref="AM552" si="266">AM550*AM551</f>
        <v>0</v>
      </c>
      <c r="AN552" s="707">
        <f t="shared" ref="AN552" si="267">AN550*AN551</f>
        <v>0</v>
      </c>
      <c r="AO552" s="707">
        <f t="shared" ref="AO552" si="268">AO550*AO551</f>
        <v>0</v>
      </c>
      <c r="AP552" s="707">
        <f t="shared" ref="AP552" si="269">AP550*AP551</f>
        <v>0</v>
      </c>
      <c r="AQ552" s="707">
        <f t="shared" ref="AQ552" si="270">AQ550*AQ551</f>
        <v>0</v>
      </c>
      <c r="AR552" s="707">
        <f t="shared" ref="AR552" si="271">AR550*AR551</f>
        <v>0</v>
      </c>
      <c r="AS552" s="707">
        <f t="shared" ref="AS552" si="272">AS550*AS551</f>
        <v>0</v>
      </c>
      <c r="AT552" s="707">
        <f t="shared" ref="AT552" si="273">AT550*AT551</f>
        <v>0</v>
      </c>
      <c r="AU552" s="707">
        <f t="shared" ref="AU552" si="274">AU550*AU551</f>
        <v>0</v>
      </c>
      <c r="AV552" s="707">
        <f t="shared" ref="AV552" si="275">AV550*AV551</f>
        <v>0</v>
      </c>
      <c r="AW552" s="707">
        <f t="shared" ref="AW552" si="276">AW550*AW551</f>
        <v>0</v>
      </c>
      <c r="AX552" s="707">
        <f t="shared" ref="AX552" si="277">AX550*AX551</f>
        <v>0</v>
      </c>
      <c r="AY552" s="707">
        <f t="shared" ref="AY552" si="278">AY550*AY551</f>
        <v>0</v>
      </c>
      <c r="AZ552" s="707">
        <f t="shared" ref="AZ552" si="279">AZ550*AZ551</f>
        <v>0</v>
      </c>
    </row>
    <row r="553" spans="1:52" ht="24.75" thickTop="1" thickBo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8"/>
      <c r="AA553" s="8"/>
      <c r="AB553" s="8"/>
      <c r="AD553" t="s">
        <v>1</v>
      </c>
      <c r="AE553" t="s">
        <v>1</v>
      </c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714">
        <f>SUM(AI552:AZ552)</f>
        <v>0</v>
      </c>
    </row>
    <row r="554" spans="1:52" ht="39.950000000000003" customHeight="1" thickBot="1">
      <c r="A554" s="109">
        <f>A5</f>
        <v>2022</v>
      </c>
      <c r="B554" s="1481"/>
      <c r="C554" s="1482"/>
      <c r="D554" s="1482"/>
      <c r="E554" s="1482"/>
      <c r="F554" s="1482"/>
      <c r="G554" s="1482"/>
      <c r="H554" s="1482"/>
      <c r="I554" s="1482"/>
      <c r="J554" s="1482"/>
      <c r="K554" s="1482"/>
      <c r="L554" s="1482"/>
      <c r="M554" s="1482"/>
      <c r="N554" s="1482"/>
      <c r="O554" s="1482"/>
      <c r="P554" s="1482"/>
      <c r="Q554" s="1482"/>
      <c r="R554" s="1482"/>
      <c r="S554" s="1482"/>
      <c r="T554" s="1482"/>
      <c r="U554" s="1482"/>
      <c r="V554" s="1482"/>
      <c r="W554" s="1482"/>
      <c r="X554" s="1482"/>
      <c r="Y554" s="1483"/>
      <c r="Z554" s="21"/>
      <c r="AA554" s="21"/>
      <c r="AB554" s="21"/>
      <c r="AF554" s="10"/>
      <c r="AG554" s="21"/>
      <c r="AH554" s="109">
        <v>2018</v>
      </c>
      <c r="AI554" s="1424">
        <f>B554</f>
        <v>0</v>
      </c>
      <c r="AJ554" s="1425"/>
      <c r="AK554" s="1425"/>
      <c r="AL554" s="1425"/>
      <c r="AM554" s="1425"/>
      <c r="AN554" s="1425"/>
      <c r="AO554" s="1425"/>
      <c r="AP554" s="1425"/>
      <c r="AQ554" s="1425"/>
      <c r="AR554" s="1425"/>
      <c r="AS554" s="1425"/>
      <c r="AT554" s="1425"/>
      <c r="AU554" s="1425"/>
      <c r="AV554" s="1425"/>
      <c r="AW554" s="1425"/>
      <c r="AX554" s="1425"/>
      <c r="AY554" s="1425"/>
      <c r="AZ554" s="1425"/>
    </row>
    <row r="555" spans="1:52" ht="60" customHeight="1" thickTop="1" thickBot="1">
      <c r="A555" s="1468" t="s">
        <v>94</v>
      </c>
      <c r="B555" s="1402" t="s">
        <v>95</v>
      </c>
      <c r="C555" s="1403"/>
      <c r="D555" s="1403"/>
      <c r="E555" s="1404"/>
      <c r="F555" s="1402" t="s">
        <v>7</v>
      </c>
      <c r="G555" s="1403"/>
      <c r="H555" s="1404"/>
      <c r="I555" s="1402" t="s">
        <v>8</v>
      </c>
      <c r="J555" s="1404"/>
      <c r="K555" s="1402" t="s">
        <v>9</v>
      </c>
      <c r="L555" s="1403"/>
      <c r="M555" s="1403"/>
      <c r="N555" s="1403"/>
      <c r="O555" s="1403"/>
      <c r="P555" s="1403"/>
      <c r="Q555" s="1403"/>
      <c r="R555" s="1405" t="s">
        <v>10</v>
      </c>
      <c r="S555" s="1406"/>
      <c r="T555" s="1400" t="s">
        <v>289</v>
      </c>
      <c r="U555" s="1401"/>
      <c r="V555" s="842" t="s">
        <v>258</v>
      </c>
      <c r="W555" s="842"/>
      <c r="X555" s="842"/>
      <c r="Y555" s="211"/>
      <c r="Z555" s="21"/>
      <c r="AA555" s="21"/>
      <c r="AB555" s="21"/>
      <c r="AC555" s="21"/>
      <c r="AF555" s="10"/>
      <c r="AG555" s="34"/>
      <c r="AH555" s="1422" t="s">
        <v>94</v>
      </c>
      <c r="AI555" s="1402" t="s">
        <v>95</v>
      </c>
      <c r="AJ555" s="1403"/>
      <c r="AK555" s="1404"/>
      <c r="AL555" s="1402" t="s">
        <v>7</v>
      </c>
      <c r="AM555" s="1403"/>
      <c r="AN555" s="1404"/>
      <c r="AO555" s="1402" t="s">
        <v>8</v>
      </c>
      <c r="AP555" s="1403"/>
      <c r="AQ555" s="1404"/>
      <c r="AR555" s="1402" t="s">
        <v>9</v>
      </c>
      <c r="AS555" s="1403"/>
      <c r="AT555" s="1404"/>
      <c r="AU555" s="1403" t="s">
        <v>9</v>
      </c>
      <c r="AV555" s="1404"/>
      <c r="AW555" s="1429" t="s">
        <v>10</v>
      </c>
      <c r="AX555" s="1430"/>
      <c r="AY555" s="690"/>
      <c r="AZ555" s="404" t="s">
        <v>11</v>
      </c>
    </row>
    <row r="556" spans="1:52" ht="42" thickTop="1" thickBot="1">
      <c r="A556" s="1428"/>
      <c r="B556" s="482" t="s">
        <v>12</v>
      </c>
      <c r="C556" s="482" t="s">
        <v>13</v>
      </c>
      <c r="D556" s="482" t="s">
        <v>14</v>
      </c>
      <c r="E556" s="688" t="s">
        <v>198</v>
      </c>
      <c r="F556" s="482" t="s">
        <v>12</v>
      </c>
      <c r="G556" s="482" t="s">
        <v>13</v>
      </c>
      <c r="H556" s="482" t="s">
        <v>282</v>
      </c>
      <c r="I556" s="482" t="s">
        <v>12</v>
      </c>
      <c r="J556" s="482" t="s">
        <v>16</v>
      </c>
      <c r="K556" s="482" t="s">
        <v>17</v>
      </c>
      <c r="L556" s="482" t="s">
        <v>18</v>
      </c>
      <c r="M556" s="482" t="s">
        <v>19</v>
      </c>
      <c r="N556" s="484" t="s">
        <v>96</v>
      </c>
      <c r="O556" s="484" t="s">
        <v>257</v>
      </c>
      <c r="P556" s="484" t="s">
        <v>254</v>
      </c>
      <c r="Q556" s="484" t="s">
        <v>20</v>
      </c>
      <c r="R556" s="483" t="s">
        <v>14</v>
      </c>
      <c r="S556" s="482" t="s">
        <v>13</v>
      </c>
      <c r="T556" s="846" t="s">
        <v>284</v>
      </c>
      <c r="U556" s="846" t="s">
        <v>288</v>
      </c>
      <c r="V556" s="484" t="s">
        <v>259</v>
      </c>
      <c r="W556" s="484"/>
      <c r="X556" s="484"/>
      <c r="Y556" s="209" t="s">
        <v>90</v>
      </c>
      <c r="Z556" s="210" t="s">
        <v>97</v>
      </c>
      <c r="AA556" s="210" t="s">
        <v>74</v>
      </c>
      <c r="AB556" s="210" t="s">
        <v>98</v>
      </c>
      <c r="AC556" s="210" t="s">
        <v>99</v>
      </c>
      <c r="AD556" s="210" t="s">
        <v>100</v>
      </c>
      <c r="AF556" s="578" t="s">
        <v>1</v>
      </c>
      <c r="AG556" s="4"/>
      <c r="AH556" s="1428"/>
      <c r="AI556" s="482" t="s">
        <v>12</v>
      </c>
      <c r="AJ556" s="482" t="s">
        <v>13</v>
      </c>
      <c r="AK556" s="482" t="s">
        <v>14</v>
      </c>
      <c r="AL556" s="482" t="s">
        <v>12</v>
      </c>
      <c r="AM556" s="482" t="s">
        <v>13</v>
      </c>
      <c r="AN556" s="482" t="s">
        <v>15</v>
      </c>
      <c r="AO556" s="482" t="s">
        <v>12</v>
      </c>
      <c r="AP556" s="482" t="s">
        <v>205</v>
      </c>
      <c r="AQ556" s="482" t="s">
        <v>16</v>
      </c>
      <c r="AR556" s="482" t="s">
        <v>17</v>
      </c>
      <c r="AS556" s="482" t="s">
        <v>18</v>
      </c>
      <c r="AT556" s="482" t="s">
        <v>19</v>
      </c>
      <c r="AU556" s="482" t="s">
        <v>201</v>
      </c>
      <c r="AV556" s="482" t="s">
        <v>20</v>
      </c>
      <c r="AW556" s="482" t="s">
        <v>12</v>
      </c>
      <c r="AX556" s="483" t="s">
        <v>13</v>
      </c>
      <c r="AY556" s="688" t="s">
        <v>198</v>
      </c>
      <c r="AZ556" s="484" t="s">
        <v>96</v>
      </c>
    </row>
    <row r="557" spans="1:52" ht="30.75" thickBot="1">
      <c r="A557" s="67">
        <f>A519</f>
        <v>44866</v>
      </c>
      <c r="B557" s="135"/>
      <c r="C557" s="135"/>
      <c r="D557" s="135"/>
      <c r="E557" s="135"/>
      <c r="F557" s="135"/>
      <c r="G557" s="135"/>
      <c r="H557" s="135"/>
      <c r="I557" s="135"/>
      <c r="J557" s="135"/>
      <c r="K557" s="135"/>
      <c r="L557" s="135"/>
      <c r="M557" s="135"/>
      <c r="N557" s="135"/>
      <c r="O557" s="135"/>
      <c r="P557" s="135"/>
      <c r="Q557" s="135"/>
      <c r="R557" s="136"/>
      <c r="S557" s="136"/>
      <c r="T557" s="149"/>
      <c r="U557" s="149"/>
      <c r="V557" s="149"/>
      <c r="W557" s="149"/>
      <c r="X557" s="149"/>
      <c r="Y557" s="255">
        <f>B557*280+C557*280+D557*280+E557*280+F557*130+G557*130+H557*90+I557*35+J557*35+K557*400+L557*400+M557*400+N557*400+O557*42+P557*80+Q557*200+R557*260+S557*41+T557*30+U557*60</f>
        <v>0</v>
      </c>
      <c r="Z557" s="308"/>
      <c r="AA557" s="263">
        <f t="shared" ref="AA557:AA587" si="280">Y557+Z557</f>
        <v>0</v>
      </c>
      <c r="AB557" s="308"/>
      <c r="AC557" s="308"/>
      <c r="AD557" s="319">
        <f t="shared" ref="AD557:AD587" si="281">AA557-AB557-AC557</f>
        <v>0</v>
      </c>
      <c r="AF557" s="11"/>
      <c r="AG557" s="579"/>
      <c r="AH557" s="63">
        <f>AH519</f>
        <v>43374</v>
      </c>
      <c r="AI557" s="694"/>
      <c r="AJ557" s="695"/>
      <c r="AK557" s="695"/>
      <c r="AL557" s="695"/>
      <c r="AM557" s="695"/>
      <c r="AN557" s="695"/>
      <c r="AO557" s="695"/>
      <c r="AP557" s="695"/>
      <c r="AQ557" s="695"/>
      <c r="AR557" s="695"/>
      <c r="AS557" s="695"/>
      <c r="AT557" s="695"/>
      <c r="AU557" s="695"/>
      <c r="AV557" s="695"/>
      <c r="AW557" s="695"/>
      <c r="AX557" s="696"/>
      <c r="AY557" s="696"/>
      <c r="AZ557" s="697"/>
    </row>
    <row r="558" spans="1:52" ht="30.75" thickBot="1">
      <c r="A558" s="67">
        <f>A557+1</f>
        <v>44867</v>
      </c>
      <c r="B558" s="138"/>
      <c r="C558" s="138"/>
      <c r="D558" s="138"/>
      <c r="E558" s="138"/>
      <c r="F558" s="138"/>
      <c r="G558" s="138"/>
      <c r="H558" s="138"/>
      <c r="I558" s="138"/>
      <c r="J558" s="138"/>
      <c r="K558" s="138"/>
      <c r="L558" s="138"/>
      <c r="M558" s="138"/>
      <c r="N558" s="138"/>
      <c r="O558" s="138"/>
      <c r="P558" s="138"/>
      <c r="Q558" s="138"/>
      <c r="R558" s="139"/>
      <c r="S558" s="139"/>
      <c r="T558" s="150"/>
      <c r="U558" s="150"/>
      <c r="V558" s="150"/>
      <c r="W558" s="150"/>
      <c r="X558" s="150"/>
      <c r="Y558" s="255">
        <f t="shared" ref="Y558:Y587" si="282">B558*280+C558*280+D558*280+E558*280+F558*130+G558*130+H558*90+I558*35+J558*35+K558*400+L558*400+M558*400+N558*400+O558*42+P558*80+Q558*200+R558*260+S558*41+T558*30+U558*60</f>
        <v>0</v>
      </c>
      <c r="Z558" s="309">
        <f t="shared" ref="Z558:Z587" si="283">AD557</f>
        <v>0</v>
      </c>
      <c r="AA558" s="256">
        <f t="shared" si="280"/>
        <v>0</v>
      </c>
      <c r="AB558" s="309"/>
      <c r="AC558" s="309"/>
      <c r="AD558" s="320">
        <f t="shared" si="281"/>
        <v>0</v>
      </c>
      <c r="AF558" s="11"/>
      <c r="AG558" s="579"/>
      <c r="AH558" s="64">
        <f>AH557+1</f>
        <v>43375</v>
      </c>
      <c r="AI558" s="698"/>
      <c r="AJ558" s="699"/>
      <c r="AK558" s="699"/>
      <c r="AL558" s="699"/>
      <c r="AM558" s="699"/>
      <c r="AN558" s="699"/>
      <c r="AO558" s="699"/>
      <c r="AP558" s="699"/>
      <c r="AQ558" s="699"/>
      <c r="AR558" s="699"/>
      <c r="AS558" s="699"/>
      <c r="AT558" s="699"/>
      <c r="AU558" s="699"/>
      <c r="AV558" s="699"/>
      <c r="AW558" s="699"/>
      <c r="AX558" s="700"/>
      <c r="AY558" s="700"/>
      <c r="AZ558" s="701"/>
    </row>
    <row r="559" spans="1:52" ht="30.75" thickBot="1">
      <c r="A559" s="67">
        <f t="shared" ref="A559:A587" si="284">A558+1</f>
        <v>44868</v>
      </c>
      <c r="B559" s="138"/>
      <c r="C559" s="138"/>
      <c r="D559" s="138"/>
      <c r="E559" s="138"/>
      <c r="F559" s="138"/>
      <c r="G559" s="138"/>
      <c r="H559" s="138"/>
      <c r="I559" s="138"/>
      <c r="J559" s="138"/>
      <c r="K559" s="138"/>
      <c r="L559" s="138"/>
      <c r="M559" s="138"/>
      <c r="N559" s="138"/>
      <c r="O559" s="138"/>
      <c r="P559" s="138"/>
      <c r="Q559" s="138"/>
      <c r="R559" s="139"/>
      <c r="S559" s="139"/>
      <c r="T559" s="150"/>
      <c r="U559" s="150"/>
      <c r="V559" s="150"/>
      <c r="W559" s="150"/>
      <c r="X559" s="150"/>
      <c r="Y559" s="255">
        <f t="shared" si="282"/>
        <v>0</v>
      </c>
      <c r="Z559" s="309">
        <f t="shared" si="283"/>
        <v>0</v>
      </c>
      <c r="AA559" s="256">
        <f t="shared" si="280"/>
        <v>0</v>
      </c>
      <c r="AB559" s="309"/>
      <c r="AC559" s="309"/>
      <c r="AD559" s="320">
        <f t="shared" si="281"/>
        <v>0</v>
      </c>
      <c r="AF559" s="11"/>
      <c r="AG559" s="579"/>
      <c r="AH559" s="64">
        <f t="shared" ref="AH559:AH587" si="285">AH558+1</f>
        <v>43376</v>
      </c>
      <c r="AI559" s="698"/>
      <c r="AJ559" s="699"/>
      <c r="AK559" s="699"/>
      <c r="AL559" s="699"/>
      <c r="AM559" s="699"/>
      <c r="AN559" s="699"/>
      <c r="AO559" s="699"/>
      <c r="AP559" s="699"/>
      <c r="AQ559" s="699"/>
      <c r="AR559" s="699"/>
      <c r="AS559" s="699"/>
      <c r="AT559" s="699"/>
      <c r="AU559" s="699"/>
      <c r="AV559" s="699"/>
      <c r="AW559" s="699"/>
      <c r="AX559" s="700"/>
      <c r="AY559" s="700"/>
      <c r="AZ559" s="701"/>
    </row>
    <row r="560" spans="1:52" ht="30.75" thickBot="1">
      <c r="A560" s="67">
        <f t="shared" si="284"/>
        <v>44869</v>
      </c>
      <c r="B560" s="138"/>
      <c r="C560" s="138"/>
      <c r="D560" s="138"/>
      <c r="E560" s="138"/>
      <c r="F560" s="138"/>
      <c r="G560" s="138"/>
      <c r="H560" s="138"/>
      <c r="I560" s="138"/>
      <c r="J560" s="138"/>
      <c r="K560" s="138"/>
      <c r="L560" s="138"/>
      <c r="M560" s="138"/>
      <c r="N560" s="138"/>
      <c r="O560" s="138"/>
      <c r="P560" s="138"/>
      <c r="Q560" s="138"/>
      <c r="R560" s="139"/>
      <c r="S560" s="139"/>
      <c r="T560" s="150"/>
      <c r="U560" s="150"/>
      <c r="V560" s="150"/>
      <c r="W560" s="150"/>
      <c r="X560" s="150"/>
      <c r="Y560" s="255">
        <f t="shared" si="282"/>
        <v>0</v>
      </c>
      <c r="Z560" s="309">
        <f t="shared" si="283"/>
        <v>0</v>
      </c>
      <c r="AA560" s="256">
        <f t="shared" si="280"/>
        <v>0</v>
      </c>
      <c r="AB560" s="309"/>
      <c r="AC560" s="309"/>
      <c r="AD560" s="320">
        <f t="shared" si="281"/>
        <v>0</v>
      </c>
      <c r="AF560" s="11"/>
      <c r="AG560" s="579"/>
      <c r="AH560" s="64">
        <f t="shared" si="285"/>
        <v>43377</v>
      </c>
      <c r="AI560" s="698"/>
      <c r="AJ560" s="699"/>
      <c r="AK560" s="699"/>
      <c r="AL560" s="699"/>
      <c r="AM560" s="699"/>
      <c r="AN560" s="699"/>
      <c r="AO560" s="699"/>
      <c r="AP560" s="699"/>
      <c r="AQ560" s="699"/>
      <c r="AR560" s="699"/>
      <c r="AS560" s="699"/>
      <c r="AT560" s="699"/>
      <c r="AU560" s="699"/>
      <c r="AV560" s="699"/>
      <c r="AW560" s="699"/>
      <c r="AX560" s="700"/>
      <c r="AY560" s="700"/>
      <c r="AZ560" s="701"/>
    </row>
    <row r="561" spans="1:52" ht="30.75" thickBot="1">
      <c r="A561" s="67">
        <f t="shared" si="284"/>
        <v>44870</v>
      </c>
      <c r="B561" s="138"/>
      <c r="C561" s="138"/>
      <c r="D561" s="138"/>
      <c r="E561" s="138"/>
      <c r="F561" s="138"/>
      <c r="G561" s="138"/>
      <c r="H561" s="138"/>
      <c r="I561" s="138"/>
      <c r="J561" s="138"/>
      <c r="K561" s="138"/>
      <c r="L561" s="138"/>
      <c r="M561" s="138"/>
      <c r="N561" s="138"/>
      <c r="O561" s="138"/>
      <c r="P561" s="138"/>
      <c r="Q561" s="138"/>
      <c r="R561" s="139"/>
      <c r="S561" s="139"/>
      <c r="T561" s="150"/>
      <c r="U561" s="150"/>
      <c r="V561" s="150"/>
      <c r="W561" s="150"/>
      <c r="X561" s="150"/>
      <c r="Y561" s="255">
        <f t="shared" si="282"/>
        <v>0</v>
      </c>
      <c r="Z561" s="309">
        <f t="shared" si="283"/>
        <v>0</v>
      </c>
      <c r="AA561" s="256">
        <f t="shared" si="280"/>
        <v>0</v>
      </c>
      <c r="AB561" s="309"/>
      <c r="AC561" s="309"/>
      <c r="AD561" s="320">
        <f t="shared" si="281"/>
        <v>0</v>
      </c>
      <c r="AF561" s="11"/>
      <c r="AG561" s="579"/>
      <c r="AH561" s="64">
        <f t="shared" si="285"/>
        <v>43378</v>
      </c>
      <c r="AI561" s="698"/>
      <c r="AJ561" s="699"/>
      <c r="AK561" s="699"/>
      <c r="AL561" s="699"/>
      <c r="AM561" s="699"/>
      <c r="AN561" s="699"/>
      <c r="AO561" s="699"/>
      <c r="AP561" s="699"/>
      <c r="AQ561" s="699"/>
      <c r="AR561" s="699"/>
      <c r="AS561" s="699"/>
      <c r="AT561" s="699"/>
      <c r="AU561" s="699"/>
      <c r="AV561" s="699"/>
      <c r="AW561" s="699"/>
      <c r="AX561" s="700"/>
      <c r="AY561" s="700"/>
      <c r="AZ561" s="701"/>
    </row>
    <row r="562" spans="1:52" ht="30.75" thickBot="1">
      <c r="A562" s="67">
        <f t="shared" si="284"/>
        <v>44871</v>
      </c>
      <c r="B562" s="138"/>
      <c r="C562" s="138"/>
      <c r="D562" s="138"/>
      <c r="E562" s="138"/>
      <c r="F562" s="138"/>
      <c r="G562" s="138"/>
      <c r="H562" s="138"/>
      <c r="I562" s="138"/>
      <c r="J562" s="138"/>
      <c r="K562" s="138"/>
      <c r="L562" s="138"/>
      <c r="M562" s="138"/>
      <c r="N562" s="138"/>
      <c r="O562" s="138"/>
      <c r="P562" s="138"/>
      <c r="Q562" s="138"/>
      <c r="R562" s="139"/>
      <c r="S562" s="139"/>
      <c r="T562" s="150"/>
      <c r="U562" s="150"/>
      <c r="V562" s="150"/>
      <c r="W562" s="150"/>
      <c r="X562" s="150"/>
      <c r="Y562" s="255">
        <f t="shared" si="282"/>
        <v>0</v>
      </c>
      <c r="Z562" s="309">
        <f t="shared" si="283"/>
        <v>0</v>
      </c>
      <c r="AA562" s="256">
        <f t="shared" si="280"/>
        <v>0</v>
      </c>
      <c r="AB562" s="309"/>
      <c r="AC562" s="309"/>
      <c r="AD562" s="320">
        <f t="shared" si="281"/>
        <v>0</v>
      </c>
      <c r="AF562" s="11"/>
      <c r="AG562" s="579"/>
      <c r="AH562" s="64">
        <f t="shared" si="285"/>
        <v>43379</v>
      </c>
      <c r="AI562" s="698"/>
      <c r="AJ562" s="699"/>
      <c r="AK562" s="699"/>
      <c r="AL562" s="699"/>
      <c r="AM562" s="699"/>
      <c r="AN562" s="699"/>
      <c r="AO562" s="699"/>
      <c r="AP562" s="699"/>
      <c r="AQ562" s="699"/>
      <c r="AR562" s="699"/>
      <c r="AS562" s="699"/>
      <c r="AT562" s="699"/>
      <c r="AU562" s="699"/>
      <c r="AV562" s="699"/>
      <c r="AW562" s="699"/>
      <c r="AX562" s="700"/>
      <c r="AY562" s="700"/>
      <c r="AZ562" s="701"/>
    </row>
    <row r="563" spans="1:52" ht="30.75" thickBot="1">
      <c r="A563" s="67">
        <f t="shared" si="284"/>
        <v>44872</v>
      </c>
      <c r="B563" s="138"/>
      <c r="C563" s="138"/>
      <c r="D563" s="138"/>
      <c r="E563" s="138"/>
      <c r="F563" s="138"/>
      <c r="G563" s="138"/>
      <c r="H563" s="138"/>
      <c r="I563" s="138"/>
      <c r="J563" s="138"/>
      <c r="K563" s="138"/>
      <c r="L563" s="138"/>
      <c r="M563" s="138"/>
      <c r="N563" s="138"/>
      <c r="O563" s="138"/>
      <c r="P563" s="138"/>
      <c r="Q563" s="138"/>
      <c r="R563" s="139"/>
      <c r="S563" s="139"/>
      <c r="T563" s="150"/>
      <c r="U563" s="150"/>
      <c r="V563" s="150"/>
      <c r="W563" s="150"/>
      <c r="X563" s="150"/>
      <c r="Y563" s="255">
        <f t="shared" si="282"/>
        <v>0</v>
      </c>
      <c r="Z563" s="309">
        <f t="shared" si="283"/>
        <v>0</v>
      </c>
      <c r="AA563" s="256">
        <f t="shared" si="280"/>
        <v>0</v>
      </c>
      <c r="AB563" s="309"/>
      <c r="AC563" s="309"/>
      <c r="AD563" s="320">
        <f t="shared" si="281"/>
        <v>0</v>
      </c>
      <c r="AF563" s="11"/>
      <c r="AG563" s="579"/>
      <c r="AH563" s="64">
        <f t="shared" si="285"/>
        <v>43380</v>
      </c>
      <c r="AI563" s="698"/>
      <c r="AJ563" s="699"/>
      <c r="AK563" s="699"/>
      <c r="AL563" s="699"/>
      <c r="AM563" s="699"/>
      <c r="AN563" s="699"/>
      <c r="AO563" s="699"/>
      <c r="AP563" s="699"/>
      <c r="AQ563" s="699"/>
      <c r="AR563" s="699"/>
      <c r="AS563" s="699"/>
      <c r="AT563" s="699"/>
      <c r="AU563" s="699"/>
      <c r="AV563" s="699"/>
      <c r="AW563" s="699"/>
      <c r="AX563" s="700"/>
      <c r="AY563" s="700"/>
      <c r="AZ563" s="701"/>
    </row>
    <row r="564" spans="1:52" ht="30.75" thickBot="1">
      <c r="A564" s="67">
        <f t="shared" si="284"/>
        <v>44873</v>
      </c>
      <c r="B564" s="138"/>
      <c r="C564" s="138"/>
      <c r="D564" s="138"/>
      <c r="E564" s="138"/>
      <c r="F564" s="138"/>
      <c r="G564" s="138"/>
      <c r="H564" s="138"/>
      <c r="I564" s="138"/>
      <c r="J564" s="138"/>
      <c r="K564" s="138"/>
      <c r="L564" s="138"/>
      <c r="M564" s="138"/>
      <c r="N564" s="138"/>
      <c r="O564" s="138"/>
      <c r="P564" s="138"/>
      <c r="Q564" s="138"/>
      <c r="R564" s="139"/>
      <c r="S564" s="139"/>
      <c r="T564" s="150"/>
      <c r="U564" s="150"/>
      <c r="V564" s="150"/>
      <c r="W564" s="150"/>
      <c r="X564" s="150"/>
      <c r="Y564" s="255">
        <f t="shared" si="282"/>
        <v>0</v>
      </c>
      <c r="Z564" s="309">
        <f t="shared" si="283"/>
        <v>0</v>
      </c>
      <c r="AA564" s="256">
        <f t="shared" si="280"/>
        <v>0</v>
      </c>
      <c r="AB564" s="309"/>
      <c r="AC564" s="309"/>
      <c r="AD564" s="320">
        <f t="shared" si="281"/>
        <v>0</v>
      </c>
      <c r="AF564" s="11"/>
      <c r="AG564" s="579"/>
      <c r="AH564" s="64">
        <f t="shared" si="285"/>
        <v>43381</v>
      </c>
      <c r="AI564" s="698"/>
      <c r="AJ564" s="699"/>
      <c r="AK564" s="699"/>
      <c r="AL564" s="699"/>
      <c r="AM564" s="699"/>
      <c r="AN564" s="699"/>
      <c r="AO564" s="699"/>
      <c r="AP564" s="699"/>
      <c r="AQ564" s="699"/>
      <c r="AR564" s="699"/>
      <c r="AS564" s="699"/>
      <c r="AT564" s="699"/>
      <c r="AU564" s="699"/>
      <c r="AV564" s="699"/>
      <c r="AW564" s="699"/>
      <c r="AX564" s="700"/>
      <c r="AY564" s="700"/>
      <c r="AZ564" s="701"/>
    </row>
    <row r="565" spans="1:52" ht="30.75" thickBot="1">
      <c r="A565" s="67">
        <f t="shared" si="284"/>
        <v>44874</v>
      </c>
      <c r="B565" s="138"/>
      <c r="C565" s="138"/>
      <c r="D565" s="138"/>
      <c r="E565" s="138"/>
      <c r="F565" s="138"/>
      <c r="G565" s="138"/>
      <c r="H565" s="138"/>
      <c r="I565" s="138"/>
      <c r="J565" s="138"/>
      <c r="K565" s="138"/>
      <c r="L565" s="138"/>
      <c r="M565" s="138"/>
      <c r="N565" s="138"/>
      <c r="O565" s="138"/>
      <c r="P565" s="138"/>
      <c r="Q565" s="138"/>
      <c r="R565" s="139"/>
      <c r="S565" s="139"/>
      <c r="T565" s="150"/>
      <c r="U565" s="150"/>
      <c r="V565" s="150"/>
      <c r="W565" s="150"/>
      <c r="X565" s="150"/>
      <c r="Y565" s="255">
        <f t="shared" si="282"/>
        <v>0</v>
      </c>
      <c r="Z565" s="309">
        <f t="shared" si="283"/>
        <v>0</v>
      </c>
      <c r="AA565" s="256">
        <f t="shared" si="280"/>
        <v>0</v>
      </c>
      <c r="AB565" s="309"/>
      <c r="AC565" s="309"/>
      <c r="AD565" s="320">
        <f t="shared" si="281"/>
        <v>0</v>
      </c>
      <c r="AF565" s="11"/>
      <c r="AG565" s="579"/>
      <c r="AH565" s="64">
        <f t="shared" si="285"/>
        <v>43382</v>
      </c>
      <c r="AI565" s="698"/>
      <c r="AJ565" s="699"/>
      <c r="AK565" s="699"/>
      <c r="AL565" s="699"/>
      <c r="AM565" s="699"/>
      <c r="AN565" s="699"/>
      <c r="AO565" s="699"/>
      <c r="AP565" s="699"/>
      <c r="AQ565" s="699"/>
      <c r="AR565" s="699"/>
      <c r="AS565" s="699"/>
      <c r="AT565" s="699"/>
      <c r="AU565" s="699"/>
      <c r="AV565" s="699"/>
      <c r="AW565" s="699"/>
      <c r="AX565" s="700"/>
      <c r="AY565" s="700"/>
      <c r="AZ565" s="701"/>
    </row>
    <row r="566" spans="1:52" ht="30.75" thickBot="1">
      <c r="A566" s="67">
        <f t="shared" si="284"/>
        <v>44875</v>
      </c>
      <c r="B566" s="138"/>
      <c r="C566" s="138"/>
      <c r="D566" s="138"/>
      <c r="E566" s="138"/>
      <c r="F566" s="138"/>
      <c r="G566" s="138"/>
      <c r="H566" s="138"/>
      <c r="I566" s="138"/>
      <c r="J566" s="138"/>
      <c r="K566" s="138"/>
      <c r="L566" s="138"/>
      <c r="M566" s="138"/>
      <c r="N566" s="138"/>
      <c r="O566" s="138"/>
      <c r="P566" s="138"/>
      <c r="Q566" s="138"/>
      <c r="R566" s="139"/>
      <c r="S566" s="139"/>
      <c r="T566" s="150"/>
      <c r="U566" s="150"/>
      <c r="V566" s="150"/>
      <c r="W566" s="150"/>
      <c r="X566" s="150"/>
      <c r="Y566" s="255">
        <f t="shared" si="282"/>
        <v>0</v>
      </c>
      <c r="Z566" s="309">
        <f t="shared" si="283"/>
        <v>0</v>
      </c>
      <c r="AA566" s="256">
        <f t="shared" si="280"/>
        <v>0</v>
      </c>
      <c r="AB566" s="309"/>
      <c r="AC566" s="309"/>
      <c r="AD566" s="320">
        <f t="shared" si="281"/>
        <v>0</v>
      </c>
      <c r="AF566" s="11"/>
      <c r="AG566" s="579"/>
      <c r="AH566" s="64">
        <f t="shared" si="285"/>
        <v>43383</v>
      </c>
      <c r="AI566" s="698"/>
      <c r="AJ566" s="699"/>
      <c r="AK566" s="699"/>
      <c r="AL566" s="699"/>
      <c r="AM566" s="699"/>
      <c r="AN566" s="699"/>
      <c r="AO566" s="699"/>
      <c r="AP566" s="699"/>
      <c r="AQ566" s="699"/>
      <c r="AR566" s="699"/>
      <c r="AS566" s="699"/>
      <c r="AT566" s="699"/>
      <c r="AU566" s="699"/>
      <c r="AV566" s="699"/>
      <c r="AW566" s="699"/>
      <c r="AX566" s="700"/>
      <c r="AY566" s="700"/>
      <c r="AZ566" s="701"/>
    </row>
    <row r="567" spans="1:52" ht="30.75" thickBot="1">
      <c r="A567" s="67">
        <f t="shared" si="284"/>
        <v>44876</v>
      </c>
      <c r="B567" s="138"/>
      <c r="C567" s="138"/>
      <c r="D567" s="138"/>
      <c r="E567" s="138"/>
      <c r="F567" s="138"/>
      <c r="G567" s="138"/>
      <c r="H567" s="138"/>
      <c r="I567" s="138"/>
      <c r="J567" s="138"/>
      <c r="K567" s="138"/>
      <c r="L567" s="138"/>
      <c r="M567" s="138"/>
      <c r="N567" s="138"/>
      <c r="O567" s="138"/>
      <c r="P567" s="138"/>
      <c r="Q567" s="138"/>
      <c r="R567" s="139"/>
      <c r="S567" s="139"/>
      <c r="T567" s="150"/>
      <c r="U567" s="150"/>
      <c r="V567" s="150"/>
      <c r="W567" s="150"/>
      <c r="X567" s="150"/>
      <c r="Y567" s="255">
        <f t="shared" si="282"/>
        <v>0</v>
      </c>
      <c r="Z567" s="309">
        <f t="shared" si="283"/>
        <v>0</v>
      </c>
      <c r="AA567" s="256">
        <f t="shared" si="280"/>
        <v>0</v>
      </c>
      <c r="AB567" s="309"/>
      <c r="AC567" s="309"/>
      <c r="AD567" s="320">
        <f t="shared" si="281"/>
        <v>0</v>
      </c>
      <c r="AF567" s="11"/>
      <c r="AG567" s="579"/>
      <c r="AH567" s="64">
        <f t="shared" si="285"/>
        <v>43384</v>
      </c>
      <c r="AI567" s="698"/>
      <c r="AJ567" s="699"/>
      <c r="AK567" s="699"/>
      <c r="AL567" s="699"/>
      <c r="AM567" s="699"/>
      <c r="AN567" s="699"/>
      <c r="AO567" s="699"/>
      <c r="AP567" s="699"/>
      <c r="AQ567" s="699"/>
      <c r="AR567" s="699"/>
      <c r="AS567" s="699"/>
      <c r="AT567" s="699"/>
      <c r="AU567" s="699"/>
      <c r="AV567" s="699"/>
      <c r="AW567" s="699"/>
      <c r="AX567" s="700"/>
      <c r="AY567" s="700"/>
      <c r="AZ567" s="701"/>
    </row>
    <row r="568" spans="1:52" ht="30.75" thickBot="1">
      <c r="A568" s="67">
        <f t="shared" si="284"/>
        <v>44877</v>
      </c>
      <c r="B568" s="138"/>
      <c r="C568" s="138"/>
      <c r="D568" s="138"/>
      <c r="E568" s="138"/>
      <c r="F568" s="138"/>
      <c r="G568" s="138"/>
      <c r="H568" s="138"/>
      <c r="I568" s="138"/>
      <c r="J568" s="138"/>
      <c r="K568" s="138"/>
      <c r="L568" s="138"/>
      <c r="M568" s="138"/>
      <c r="N568" s="138"/>
      <c r="O568" s="138"/>
      <c r="P568" s="138"/>
      <c r="Q568" s="138"/>
      <c r="R568" s="139"/>
      <c r="S568" s="139"/>
      <c r="T568" s="150"/>
      <c r="U568" s="150"/>
      <c r="V568" s="150"/>
      <c r="W568" s="150"/>
      <c r="X568" s="150"/>
      <c r="Y568" s="255">
        <f t="shared" si="282"/>
        <v>0</v>
      </c>
      <c r="Z568" s="309">
        <f t="shared" si="283"/>
        <v>0</v>
      </c>
      <c r="AA568" s="256">
        <f t="shared" si="280"/>
        <v>0</v>
      </c>
      <c r="AB568" s="309"/>
      <c r="AC568" s="309"/>
      <c r="AD568" s="320">
        <f t="shared" si="281"/>
        <v>0</v>
      </c>
      <c r="AF568" s="11"/>
      <c r="AG568" s="579"/>
      <c r="AH568" s="64">
        <f t="shared" si="285"/>
        <v>43385</v>
      </c>
      <c r="AI568" s="698"/>
      <c r="AJ568" s="699"/>
      <c r="AK568" s="699"/>
      <c r="AL568" s="699"/>
      <c r="AM568" s="699"/>
      <c r="AN568" s="699"/>
      <c r="AO568" s="699"/>
      <c r="AP568" s="699"/>
      <c r="AQ568" s="699"/>
      <c r="AR568" s="699"/>
      <c r="AS568" s="699"/>
      <c r="AT568" s="699"/>
      <c r="AU568" s="699"/>
      <c r="AV568" s="699"/>
      <c r="AW568" s="699"/>
      <c r="AX568" s="700"/>
      <c r="AY568" s="700"/>
      <c r="AZ568" s="701"/>
    </row>
    <row r="569" spans="1:52" ht="30.75" thickBot="1">
      <c r="A569" s="67">
        <f t="shared" si="284"/>
        <v>44878</v>
      </c>
      <c r="B569" s="138"/>
      <c r="C569" s="138"/>
      <c r="D569" s="138"/>
      <c r="E569" s="138"/>
      <c r="F569" s="138"/>
      <c r="G569" s="138"/>
      <c r="H569" s="138"/>
      <c r="I569" s="138"/>
      <c r="J569" s="138"/>
      <c r="K569" s="138"/>
      <c r="L569" s="138"/>
      <c r="M569" s="138"/>
      <c r="N569" s="138"/>
      <c r="O569" s="138"/>
      <c r="P569" s="138"/>
      <c r="Q569" s="138"/>
      <c r="R569" s="139"/>
      <c r="S569" s="139"/>
      <c r="T569" s="150"/>
      <c r="U569" s="150"/>
      <c r="V569" s="150"/>
      <c r="W569" s="150"/>
      <c r="X569" s="150"/>
      <c r="Y569" s="255">
        <f t="shared" si="282"/>
        <v>0</v>
      </c>
      <c r="Z569" s="309">
        <f t="shared" si="283"/>
        <v>0</v>
      </c>
      <c r="AA569" s="256">
        <f t="shared" si="280"/>
        <v>0</v>
      </c>
      <c r="AB569" s="309"/>
      <c r="AC569" s="309"/>
      <c r="AD569" s="320">
        <f t="shared" si="281"/>
        <v>0</v>
      </c>
      <c r="AF569" s="11"/>
      <c r="AG569" s="579"/>
      <c r="AH569" s="64">
        <f t="shared" si="285"/>
        <v>43386</v>
      </c>
      <c r="AI569" s="698"/>
      <c r="AJ569" s="699"/>
      <c r="AK569" s="699"/>
      <c r="AL569" s="699"/>
      <c r="AM569" s="699"/>
      <c r="AN569" s="699"/>
      <c r="AO569" s="699"/>
      <c r="AP569" s="699"/>
      <c r="AQ569" s="699"/>
      <c r="AR569" s="699"/>
      <c r="AS569" s="699"/>
      <c r="AT569" s="699"/>
      <c r="AU569" s="699"/>
      <c r="AV569" s="699"/>
      <c r="AW569" s="699"/>
      <c r="AX569" s="700"/>
      <c r="AY569" s="700"/>
      <c r="AZ569" s="701"/>
    </row>
    <row r="570" spans="1:52" ht="30.75" thickBot="1">
      <c r="A570" s="67">
        <f t="shared" si="284"/>
        <v>44879</v>
      </c>
      <c r="B570" s="138"/>
      <c r="C570" s="138"/>
      <c r="D570" s="138"/>
      <c r="E570" s="138"/>
      <c r="F570" s="138"/>
      <c r="G570" s="138"/>
      <c r="H570" s="138"/>
      <c r="I570" s="138"/>
      <c r="J570" s="138"/>
      <c r="K570" s="138"/>
      <c r="L570" s="138"/>
      <c r="M570" s="138"/>
      <c r="N570" s="138"/>
      <c r="O570" s="138"/>
      <c r="P570" s="138"/>
      <c r="Q570" s="138"/>
      <c r="R570" s="139"/>
      <c r="S570" s="139"/>
      <c r="T570" s="150"/>
      <c r="U570" s="150"/>
      <c r="V570" s="150"/>
      <c r="W570" s="150"/>
      <c r="X570" s="150"/>
      <c r="Y570" s="255">
        <f t="shared" si="282"/>
        <v>0</v>
      </c>
      <c r="Z570" s="309">
        <f t="shared" si="283"/>
        <v>0</v>
      </c>
      <c r="AA570" s="256">
        <f t="shared" si="280"/>
        <v>0</v>
      </c>
      <c r="AB570" s="309"/>
      <c r="AC570" s="309"/>
      <c r="AD570" s="320">
        <f t="shared" si="281"/>
        <v>0</v>
      </c>
      <c r="AF570" s="11"/>
      <c r="AG570" s="579"/>
      <c r="AH570" s="64">
        <f t="shared" si="285"/>
        <v>43387</v>
      </c>
      <c r="AI570" s="698"/>
      <c r="AJ570" s="699"/>
      <c r="AK570" s="699"/>
      <c r="AL570" s="699"/>
      <c r="AM570" s="699"/>
      <c r="AN570" s="699"/>
      <c r="AO570" s="699"/>
      <c r="AP570" s="699"/>
      <c r="AQ570" s="699"/>
      <c r="AR570" s="699"/>
      <c r="AS570" s="699"/>
      <c r="AT570" s="699"/>
      <c r="AU570" s="699"/>
      <c r="AV570" s="699"/>
      <c r="AW570" s="699"/>
      <c r="AX570" s="700"/>
      <c r="AY570" s="700"/>
      <c r="AZ570" s="701"/>
    </row>
    <row r="571" spans="1:52" ht="30.75" thickBot="1">
      <c r="A571" s="67">
        <f t="shared" si="284"/>
        <v>44880</v>
      </c>
      <c r="B571" s="138"/>
      <c r="C571" s="138"/>
      <c r="D571" s="138"/>
      <c r="E571" s="138"/>
      <c r="F571" s="138"/>
      <c r="G571" s="138"/>
      <c r="H571" s="138"/>
      <c r="I571" s="138"/>
      <c r="J571" s="138"/>
      <c r="K571" s="138"/>
      <c r="L571" s="138"/>
      <c r="M571" s="138"/>
      <c r="N571" s="138"/>
      <c r="O571" s="138"/>
      <c r="P571" s="138"/>
      <c r="Q571" s="138"/>
      <c r="R571" s="139"/>
      <c r="S571" s="139"/>
      <c r="T571" s="150"/>
      <c r="U571" s="150"/>
      <c r="V571" s="150"/>
      <c r="W571" s="150"/>
      <c r="X571" s="150"/>
      <c r="Y571" s="255">
        <f t="shared" si="282"/>
        <v>0</v>
      </c>
      <c r="Z571" s="309">
        <f t="shared" si="283"/>
        <v>0</v>
      </c>
      <c r="AA571" s="256">
        <f t="shared" si="280"/>
        <v>0</v>
      </c>
      <c r="AB571" s="309"/>
      <c r="AC571" s="309"/>
      <c r="AD571" s="320">
        <f t="shared" si="281"/>
        <v>0</v>
      </c>
      <c r="AF571" s="11"/>
      <c r="AG571" s="579"/>
      <c r="AH571" s="64">
        <f t="shared" si="285"/>
        <v>43388</v>
      </c>
      <c r="AI571" s="698"/>
      <c r="AJ571" s="699"/>
      <c r="AK571" s="699"/>
      <c r="AL571" s="699"/>
      <c r="AM571" s="699"/>
      <c r="AN571" s="699"/>
      <c r="AO571" s="699"/>
      <c r="AP571" s="699"/>
      <c r="AQ571" s="699"/>
      <c r="AR571" s="699"/>
      <c r="AS571" s="699"/>
      <c r="AT571" s="699"/>
      <c r="AU571" s="699"/>
      <c r="AV571" s="699"/>
      <c r="AW571" s="699"/>
      <c r="AX571" s="700"/>
      <c r="AY571" s="700"/>
      <c r="AZ571" s="701"/>
    </row>
    <row r="572" spans="1:52" ht="30.75" thickBot="1">
      <c r="A572" s="67">
        <f t="shared" si="284"/>
        <v>44881</v>
      </c>
      <c r="B572" s="138"/>
      <c r="C572" s="138"/>
      <c r="D572" s="138"/>
      <c r="E572" s="138"/>
      <c r="F572" s="138"/>
      <c r="G572" s="138"/>
      <c r="H572" s="138"/>
      <c r="I572" s="138"/>
      <c r="J572" s="138"/>
      <c r="K572" s="138"/>
      <c r="L572" s="138"/>
      <c r="M572" s="138"/>
      <c r="N572" s="138"/>
      <c r="O572" s="138"/>
      <c r="P572" s="138"/>
      <c r="Q572" s="138"/>
      <c r="R572" s="139"/>
      <c r="S572" s="139"/>
      <c r="T572" s="150"/>
      <c r="U572" s="150"/>
      <c r="V572" s="150"/>
      <c r="W572" s="150"/>
      <c r="X572" s="150"/>
      <c r="Y572" s="255">
        <f t="shared" si="282"/>
        <v>0</v>
      </c>
      <c r="Z572" s="309">
        <f t="shared" si="283"/>
        <v>0</v>
      </c>
      <c r="AA572" s="256">
        <f t="shared" si="280"/>
        <v>0</v>
      </c>
      <c r="AB572" s="309"/>
      <c r="AC572" s="309"/>
      <c r="AD572" s="320">
        <f t="shared" si="281"/>
        <v>0</v>
      </c>
      <c r="AF572" s="11"/>
      <c r="AG572" s="579"/>
      <c r="AH572" s="64">
        <f t="shared" si="285"/>
        <v>43389</v>
      </c>
      <c r="AI572" s="698"/>
      <c r="AJ572" s="699"/>
      <c r="AK572" s="699"/>
      <c r="AL572" s="699"/>
      <c r="AM572" s="699"/>
      <c r="AN572" s="699"/>
      <c r="AO572" s="699"/>
      <c r="AP572" s="699"/>
      <c r="AQ572" s="699"/>
      <c r="AR572" s="699"/>
      <c r="AS572" s="699"/>
      <c r="AT572" s="699"/>
      <c r="AU572" s="699"/>
      <c r="AV572" s="699"/>
      <c r="AW572" s="699"/>
      <c r="AX572" s="700"/>
      <c r="AY572" s="700"/>
      <c r="AZ572" s="701"/>
    </row>
    <row r="573" spans="1:52" ht="30.75" thickBot="1">
      <c r="A573" s="67">
        <f t="shared" si="284"/>
        <v>44882</v>
      </c>
      <c r="B573" s="138"/>
      <c r="C573" s="138"/>
      <c r="D573" s="138"/>
      <c r="E573" s="138"/>
      <c r="F573" s="138"/>
      <c r="G573" s="138"/>
      <c r="H573" s="138"/>
      <c r="I573" s="138"/>
      <c r="J573" s="138"/>
      <c r="K573" s="138"/>
      <c r="L573" s="138"/>
      <c r="M573" s="138"/>
      <c r="N573" s="138"/>
      <c r="O573" s="138"/>
      <c r="P573" s="138"/>
      <c r="Q573" s="138"/>
      <c r="R573" s="139"/>
      <c r="S573" s="139"/>
      <c r="T573" s="150"/>
      <c r="U573" s="150"/>
      <c r="V573" s="150"/>
      <c r="W573" s="150"/>
      <c r="X573" s="150"/>
      <c r="Y573" s="255">
        <f t="shared" si="282"/>
        <v>0</v>
      </c>
      <c r="Z573" s="309">
        <f t="shared" si="283"/>
        <v>0</v>
      </c>
      <c r="AA573" s="256">
        <f t="shared" si="280"/>
        <v>0</v>
      </c>
      <c r="AB573" s="309"/>
      <c r="AC573" s="309"/>
      <c r="AD573" s="320">
        <f t="shared" si="281"/>
        <v>0</v>
      </c>
      <c r="AF573" s="11"/>
      <c r="AG573" s="579"/>
      <c r="AH573" s="64">
        <f t="shared" si="285"/>
        <v>43390</v>
      </c>
      <c r="AI573" s="698"/>
      <c r="AJ573" s="699"/>
      <c r="AK573" s="699"/>
      <c r="AL573" s="699"/>
      <c r="AM573" s="699"/>
      <c r="AN573" s="699"/>
      <c r="AO573" s="699"/>
      <c r="AP573" s="699"/>
      <c r="AQ573" s="699"/>
      <c r="AR573" s="699"/>
      <c r="AS573" s="699"/>
      <c r="AT573" s="699"/>
      <c r="AU573" s="699"/>
      <c r="AV573" s="699"/>
      <c r="AW573" s="699"/>
      <c r="AX573" s="700"/>
      <c r="AY573" s="700"/>
      <c r="AZ573" s="701"/>
    </row>
    <row r="574" spans="1:52" ht="30.75" thickBot="1">
      <c r="A574" s="67">
        <f t="shared" si="284"/>
        <v>44883</v>
      </c>
      <c r="B574" s="138"/>
      <c r="C574" s="138"/>
      <c r="D574" s="138"/>
      <c r="E574" s="138"/>
      <c r="F574" s="138"/>
      <c r="G574" s="138"/>
      <c r="H574" s="138"/>
      <c r="I574" s="138"/>
      <c r="J574" s="138"/>
      <c r="K574" s="138"/>
      <c r="L574" s="138"/>
      <c r="M574" s="138"/>
      <c r="N574" s="138"/>
      <c r="O574" s="138"/>
      <c r="P574" s="138"/>
      <c r="Q574" s="138"/>
      <c r="R574" s="139"/>
      <c r="S574" s="139"/>
      <c r="T574" s="150"/>
      <c r="U574" s="150"/>
      <c r="V574" s="150"/>
      <c r="W574" s="150"/>
      <c r="X574" s="150"/>
      <c r="Y574" s="255">
        <f t="shared" si="282"/>
        <v>0</v>
      </c>
      <c r="Z574" s="309">
        <f t="shared" si="283"/>
        <v>0</v>
      </c>
      <c r="AA574" s="256">
        <f t="shared" si="280"/>
        <v>0</v>
      </c>
      <c r="AB574" s="309"/>
      <c r="AC574" s="309"/>
      <c r="AD574" s="320">
        <f t="shared" si="281"/>
        <v>0</v>
      </c>
      <c r="AF574" s="11"/>
      <c r="AG574" s="579"/>
      <c r="AH574" s="64">
        <f t="shared" si="285"/>
        <v>43391</v>
      </c>
      <c r="AI574" s="698"/>
      <c r="AJ574" s="699"/>
      <c r="AK574" s="699"/>
      <c r="AL574" s="699"/>
      <c r="AM574" s="699"/>
      <c r="AN574" s="699"/>
      <c r="AO574" s="699"/>
      <c r="AP574" s="699"/>
      <c r="AQ574" s="699"/>
      <c r="AR574" s="699"/>
      <c r="AS574" s="699"/>
      <c r="AT574" s="699"/>
      <c r="AU574" s="699"/>
      <c r="AV574" s="699"/>
      <c r="AW574" s="699"/>
      <c r="AX574" s="700"/>
      <c r="AY574" s="700"/>
      <c r="AZ574" s="701"/>
    </row>
    <row r="575" spans="1:52" ht="30.75" thickBot="1">
      <c r="A575" s="67">
        <f t="shared" si="284"/>
        <v>44884</v>
      </c>
      <c r="B575" s="138"/>
      <c r="C575" s="138"/>
      <c r="D575" s="138"/>
      <c r="E575" s="138"/>
      <c r="F575" s="138"/>
      <c r="G575" s="138"/>
      <c r="H575" s="138"/>
      <c r="I575" s="138"/>
      <c r="J575" s="138"/>
      <c r="K575" s="138"/>
      <c r="L575" s="138"/>
      <c r="M575" s="138"/>
      <c r="N575" s="138"/>
      <c r="O575" s="138"/>
      <c r="P575" s="138"/>
      <c r="Q575" s="138"/>
      <c r="R575" s="139"/>
      <c r="S575" s="139"/>
      <c r="T575" s="150"/>
      <c r="U575" s="150"/>
      <c r="V575" s="150"/>
      <c r="W575" s="150"/>
      <c r="X575" s="150"/>
      <c r="Y575" s="255">
        <f t="shared" si="282"/>
        <v>0</v>
      </c>
      <c r="Z575" s="309">
        <f t="shared" si="283"/>
        <v>0</v>
      </c>
      <c r="AA575" s="256">
        <f t="shared" si="280"/>
        <v>0</v>
      </c>
      <c r="AB575" s="309"/>
      <c r="AC575" s="309"/>
      <c r="AD575" s="320">
        <f t="shared" si="281"/>
        <v>0</v>
      </c>
      <c r="AF575" s="11"/>
      <c r="AG575" s="579"/>
      <c r="AH575" s="64">
        <f t="shared" si="285"/>
        <v>43392</v>
      </c>
      <c r="AI575" s="698"/>
      <c r="AJ575" s="699"/>
      <c r="AK575" s="699"/>
      <c r="AL575" s="699"/>
      <c r="AM575" s="699"/>
      <c r="AN575" s="699"/>
      <c r="AO575" s="699"/>
      <c r="AP575" s="699"/>
      <c r="AQ575" s="699"/>
      <c r="AR575" s="699"/>
      <c r="AS575" s="699"/>
      <c r="AT575" s="699"/>
      <c r="AU575" s="699"/>
      <c r="AV575" s="699"/>
      <c r="AW575" s="699"/>
      <c r="AX575" s="700"/>
      <c r="AY575" s="700"/>
      <c r="AZ575" s="701"/>
    </row>
    <row r="576" spans="1:52" ht="30.75" thickBot="1">
      <c r="A576" s="67">
        <f t="shared" si="284"/>
        <v>44885</v>
      </c>
      <c r="B576" s="138"/>
      <c r="C576" s="138"/>
      <c r="D576" s="138"/>
      <c r="E576" s="138"/>
      <c r="F576" s="138"/>
      <c r="G576" s="138"/>
      <c r="H576" s="138"/>
      <c r="I576" s="138"/>
      <c r="J576" s="138"/>
      <c r="K576" s="138"/>
      <c r="L576" s="138"/>
      <c r="M576" s="138"/>
      <c r="N576" s="138"/>
      <c r="O576" s="138"/>
      <c r="P576" s="138"/>
      <c r="Q576" s="138"/>
      <c r="R576" s="139"/>
      <c r="S576" s="139"/>
      <c r="T576" s="150"/>
      <c r="U576" s="150"/>
      <c r="V576" s="150"/>
      <c r="W576" s="150"/>
      <c r="X576" s="150"/>
      <c r="Y576" s="255">
        <f t="shared" si="282"/>
        <v>0</v>
      </c>
      <c r="Z576" s="309">
        <f t="shared" si="283"/>
        <v>0</v>
      </c>
      <c r="AA576" s="256">
        <f t="shared" si="280"/>
        <v>0</v>
      </c>
      <c r="AB576" s="309"/>
      <c r="AC576" s="309"/>
      <c r="AD576" s="320">
        <f t="shared" si="281"/>
        <v>0</v>
      </c>
      <c r="AF576" s="11"/>
      <c r="AG576" s="579"/>
      <c r="AH576" s="64">
        <f t="shared" si="285"/>
        <v>43393</v>
      </c>
      <c r="AI576" s="698"/>
      <c r="AJ576" s="699"/>
      <c r="AK576" s="699"/>
      <c r="AL576" s="699"/>
      <c r="AM576" s="699"/>
      <c r="AN576" s="699"/>
      <c r="AO576" s="699"/>
      <c r="AP576" s="699"/>
      <c r="AQ576" s="699"/>
      <c r="AR576" s="699"/>
      <c r="AS576" s="699"/>
      <c r="AT576" s="699"/>
      <c r="AU576" s="699"/>
      <c r="AV576" s="699"/>
      <c r="AW576" s="699"/>
      <c r="AX576" s="700"/>
      <c r="AY576" s="700"/>
      <c r="AZ576" s="701"/>
    </row>
    <row r="577" spans="1:52" ht="30.75" thickBot="1">
      <c r="A577" s="67">
        <f t="shared" si="284"/>
        <v>44886</v>
      </c>
      <c r="B577" s="138"/>
      <c r="C577" s="138"/>
      <c r="D577" s="138"/>
      <c r="E577" s="138"/>
      <c r="F577" s="138"/>
      <c r="G577" s="138"/>
      <c r="H577" s="138"/>
      <c r="I577" s="138"/>
      <c r="J577" s="138"/>
      <c r="K577" s="138"/>
      <c r="L577" s="138"/>
      <c r="M577" s="138"/>
      <c r="N577" s="138"/>
      <c r="O577" s="138"/>
      <c r="P577" s="138"/>
      <c r="Q577" s="138"/>
      <c r="R577" s="139"/>
      <c r="S577" s="139"/>
      <c r="T577" s="150"/>
      <c r="U577" s="150"/>
      <c r="V577" s="150"/>
      <c r="W577" s="150"/>
      <c r="X577" s="150"/>
      <c r="Y577" s="255">
        <f t="shared" si="282"/>
        <v>0</v>
      </c>
      <c r="Z577" s="309">
        <f t="shared" si="283"/>
        <v>0</v>
      </c>
      <c r="AA577" s="256">
        <f t="shared" si="280"/>
        <v>0</v>
      </c>
      <c r="AB577" s="309"/>
      <c r="AC577" s="309"/>
      <c r="AD577" s="320">
        <f t="shared" si="281"/>
        <v>0</v>
      </c>
      <c r="AF577" s="11"/>
      <c r="AG577" s="579"/>
      <c r="AH577" s="64">
        <f t="shared" si="285"/>
        <v>43394</v>
      </c>
      <c r="AI577" s="698"/>
      <c r="AJ577" s="699"/>
      <c r="AK577" s="699"/>
      <c r="AL577" s="699"/>
      <c r="AM577" s="699"/>
      <c r="AN577" s="699"/>
      <c r="AO577" s="699"/>
      <c r="AP577" s="699"/>
      <c r="AQ577" s="699"/>
      <c r="AR577" s="699"/>
      <c r="AS577" s="699"/>
      <c r="AT577" s="699"/>
      <c r="AU577" s="699"/>
      <c r="AV577" s="699"/>
      <c r="AW577" s="699"/>
      <c r="AX577" s="700"/>
      <c r="AY577" s="700"/>
      <c r="AZ577" s="701"/>
    </row>
    <row r="578" spans="1:52" ht="30.75" thickBot="1">
      <c r="A578" s="67">
        <f t="shared" si="284"/>
        <v>44887</v>
      </c>
      <c r="B578" s="138"/>
      <c r="C578" s="138"/>
      <c r="D578" s="138"/>
      <c r="E578" s="138"/>
      <c r="F578" s="138"/>
      <c r="G578" s="138"/>
      <c r="H578" s="138"/>
      <c r="I578" s="138"/>
      <c r="J578" s="138"/>
      <c r="K578" s="138"/>
      <c r="L578" s="138"/>
      <c r="M578" s="138"/>
      <c r="N578" s="138"/>
      <c r="O578" s="138"/>
      <c r="P578" s="138"/>
      <c r="Q578" s="138"/>
      <c r="R578" s="139"/>
      <c r="S578" s="139"/>
      <c r="T578" s="150"/>
      <c r="U578" s="150"/>
      <c r="V578" s="150"/>
      <c r="W578" s="150"/>
      <c r="X578" s="150"/>
      <c r="Y578" s="255">
        <f t="shared" si="282"/>
        <v>0</v>
      </c>
      <c r="Z578" s="309">
        <f t="shared" si="283"/>
        <v>0</v>
      </c>
      <c r="AA578" s="256">
        <f t="shared" si="280"/>
        <v>0</v>
      </c>
      <c r="AB578" s="309"/>
      <c r="AC578" s="309"/>
      <c r="AD578" s="320">
        <f t="shared" si="281"/>
        <v>0</v>
      </c>
      <c r="AF578" s="11"/>
      <c r="AG578" s="579"/>
      <c r="AH578" s="64">
        <f t="shared" si="285"/>
        <v>43395</v>
      </c>
      <c r="AI578" s="698"/>
      <c r="AJ578" s="699"/>
      <c r="AK578" s="699"/>
      <c r="AL578" s="699"/>
      <c r="AM578" s="699"/>
      <c r="AN578" s="699"/>
      <c r="AO578" s="699"/>
      <c r="AP578" s="699"/>
      <c r="AQ578" s="699"/>
      <c r="AR578" s="699"/>
      <c r="AS578" s="699"/>
      <c r="AT578" s="699"/>
      <c r="AU578" s="699"/>
      <c r="AV578" s="699"/>
      <c r="AW578" s="699"/>
      <c r="AX578" s="700"/>
      <c r="AY578" s="700"/>
      <c r="AZ578" s="701"/>
    </row>
    <row r="579" spans="1:52" ht="30.75" thickBot="1">
      <c r="A579" s="67">
        <f t="shared" si="284"/>
        <v>44888</v>
      </c>
      <c r="B579" s="138"/>
      <c r="C579" s="138"/>
      <c r="D579" s="138"/>
      <c r="E579" s="138"/>
      <c r="F579" s="138"/>
      <c r="G579" s="138"/>
      <c r="H579" s="138"/>
      <c r="I579" s="138"/>
      <c r="J579" s="138"/>
      <c r="K579" s="138"/>
      <c r="L579" s="138"/>
      <c r="M579" s="138"/>
      <c r="N579" s="138"/>
      <c r="O579" s="138"/>
      <c r="P579" s="138"/>
      <c r="Q579" s="138"/>
      <c r="R579" s="139"/>
      <c r="S579" s="139"/>
      <c r="T579" s="150"/>
      <c r="U579" s="150"/>
      <c r="V579" s="150"/>
      <c r="W579" s="150"/>
      <c r="X579" s="150"/>
      <c r="Y579" s="255">
        <f t="shared" si="282"/>
        <v>0</v>
      </c>
      <c r="Z579" s="309">
        <f t="shared" si="283"/>
        <v>0</v>
      </c>
      <c r="AA579" s="256">
        <f t="shared" si="280"/>
        <v>0</v>
      </c>
      <c r="AB579" s="309"/>
      <c r="AC579" s="309"/>
      <c r="AD579" s="320">
        <f>AA579-AB579-AC579</f>
        <v>0</v>
      </c>
      <c r="AF579" s="11"/>
      <c r="AG579" s="579"/>
      <c r="AH579" s="64">
        <f t="shared" si="285"/>
        <v>43396</v>
      </c>
      <c r="AI579" s="698"/>
      <c r="AJ579" s="699"/>
      <c r="AK579" s="699"/>
      <c r="AL579" s="699"/>
      <c r="AM579" s="699"/>
      <c r="AN579" s="699"/>
      <c r="AO579" s="699"/>
      <c r="AP579" s="699"/>
      <c r="AQ579" s="699"/>
      <c r="AR579" s="699"/>
      <c r="AS579" s="699"/>
      <c r="AT579" s="699"/>
      <c r="AU579" s="699"/>
      <c r="AV579" s="699"/>
      <c r="AW579" s="699"/>
      <c r="AX579" s="700"/>
      <c r="AY579" s="700"/>
      <c r="AZ579" s="701"/>
    </row>
    <row r="580" spans="1:52" ht="30.75" thickBot="1">
      <c r="A580" s="67">
        <f t="shared" si="284"/>
        <v>44889</v>
      </c>
      <c r="B580" s="138"/>
      <c r="C580" s="138"/>
      <c r="D580" s="138"/>
      <c r="E580" s="138"/>
      <c r="F580" s="138"/>
      <c r="G580" s="138"/>
      <c r="H580" s="138"/>
      <c r="I580" s="138"/>
      <c r="J580" s="138"/>
      <c r="K580" s="138"/>
      <c r="L580" s="138"/>
      <c r="M580" s="138"/>
      <c r="N580" s="138"/>
      <c r="O580" s="138"/>
      <c r="P580" s="138"/>
      <c r="Q580" s="138"/>
      <c r="R580" s="139"/>
      <c r="S580" s="139"/>
      <c r="T580" s="150"/>
      <c r="U580" s="150"/>
      <c r="V580" s="150"/>
      <c r="W580" s="150"/>
      <c r="X580" s="150"/>
      <c r="Y580" s="255">
        <f t="shared" si="282"/>
        <v>0</v>
      </c>
      <c r="Z580" s="309">
        <f t="shared" si="283"/>
        <v>0</v>
      </c>
      <c r="AA580" s="256">
        <f t="shared" si="280"/>
        <v>0</v>
      </c>
      <c r="AB580" s="309"/>
      <c r="AC580" s="309"/>
      <c r="AD580" s="320">
        <f t="shared" si="281"/>
        <v>0</v>
      </c>
      <c r="AF580" s="11"/>
      <c r="AG580" s="579"/>
      <c r="AH580" s="64">
        <f t="shared" si="285"/>
        <v>43397</v>
      </c>
      <c r="AI580" s="698"/>
      <c r="AJ580" s="699"/>
      <c r="AK580" s="699"/>
      <c r="AL580" s="699"/>
      <c r="AM580" s="699"/>
      <c r="AN580" s="699"/>
      <c r="AO580" s="699"/>
      <c r="AP580" s="699"/>
      <c r="AQ580" s="699"/>
      <c r="AR580" s="699"/>
      <c r="AS580" s="699"/>
      <c r="AT580" s="699"/>
      <c r="AU580" s="699"/>
      <c r="AV580" s="699"/>
      <c r="AW580" s="699"/>
      <c r="AX580" s="700"/>
      <c r="AY580" s="700"/>
      <c r="AZ580" s="701"/>
    </row>
    <row r="581" spans="1:52" ht="30.75" thickBot="1">
      <c r="A581" s="67">
        <f t="shared" si="284"/>
        <v>44890</v>
      </c>
      <c r="B581" s="138"/>
      <c r="C581" s="138"/>
      <c r="D581" s="138"/>
      <c r="E581" s="138"/>
      <c r="F581" s="138"/>
      <c r="G581" s="138"/>
      <c r="H581" s="138"/>
      <c r="I581" s="138"/>
      <c r="J581" s="138"/>
      <c r="K581" s="138"/>
      <c r="L581" s="138"/>
      <c r="M581" s="138"/>
      <c r="N581" s="138"/>
      <c r="O581" s="138"/>
      <c r="P581" s="138"/>
      <c r="Q581" s="138"/>
      <c r="R581" s="139"/>
      <c r="S581" s="139"/>
      <c r="T581" s="150"/>
      <c r="U581" s="150"/>
      <c r="V581" s="150"/>
      <c r="W581" s="150"/>
      <c r="X581" s="150"/>
      <c r="Y581" s="255">
        <f t="shared" si="282"/>
        <v>0</v>
      </c>
      <c r="Z581" s="309">
        <f t="shared" si="283"/>
        <v>0</v>
      </c>
      <c r="AA581" s="256">
        <f t="shared" si="280"/>
        <v>0</v>
      </c>
      <c r="AB581" s="309"/>
      <c r="AC581" s="309"/>
      <c r="AD581" s="320">
        <f t="shared" si="281"/>
        <v>0</v>
      </c>
      <c r="AF581" s="11"/>
      <c r="AG581" s="579"/>
      <c r="AH581" s="64">
        <f t="shared" si="285"/>
        <v>43398</v>
      </c>
      <c r="AI581" s="698"/>
      <c r="AJ581" s="699"/>
      <c r="AK581" s="699"/>
      <c r="AL581" s="699"/>
      <c r="AM581" s="699"/>
      <c r="AN581" s="699"/>
      <c r="AO581" s="699"/>
      <c r="AP581" s="699"/>
      <c r="AQ581" s="699"/>
      <c r="AR581" s="699"/>
      <c r="AS581" s="699"/>
      <c r="AT581" s="699"/>
      <c r="AU581" s="699"/>
      <c r="AV581" s="699"/>
      <c r="AW581" s="699"/>
      <c r="AX581" s="700"/>
      <c r="AY581" s="700"/>
      <c r="AZ581" s="701"/>
    </row>
    <row r="582" spans="1:52" ht="30.75" thickBot="1">
      <c r="A582" s="67">
        <f t="shared" si="284"/>
        <v>44891</v>
      </c>
      <c r="B582" s="138"/>
      <c r="C582" s="138"/>
      <c r="D582" s="138"/>
      <c r="E582" s="138"/>
      <c r="F582" s="138"/>
      <c r="G582" s="138"/>
      <c r="H582" s="138"/>
      <c r="I582" s="138"/>
      <c r="J582" s="138"/>
      <c r="K582" s="138"/>
      <c r="L582" s="138"/>
      <c r="M582" s="138"/>
      <c r="N582" s="138"/>
      <c r="O582" s="138"/>
      <c r="P582" s="138"/>
      <c r="Q582" s="138"/>
      <c r="R582" s="139"/>
      <c r="S582" s="139"/>
      <c r="T582" s="150"/>
      <c r="U582" s="150"/>
      <c r="V582" s="150"/>
      <c r="W582" s="150"/>
      <c r="X582" s="150"/>
      <c r="Y582" s="255">
        <f t="shared" si="282"/>
        <v>0</v>
      </c>
      <c r="Z582" s="309">
        <f t="shared" si="283"/>
        <v>0</v>
      </c>
      <c r="AA582" s="256">
        <f t="shared" si="280"/>
        <v>0</v>
      </c>
      <c r="AB582" s="309"/>
      <c r="AC582" s="309"/>
      <c r="AD582" s="320">
        <f t="shared" si="281"/>
        <v>0</v>
      </c>
      <c r="AF582" s="11"/>
      <c r="AG582" s="579"/>
      <c r="AH582" s="64">
        <f t="shared" si="285"/>
        <v>43399</v>
      </c>
      <c r="AI582" s="698"/>
      <c r="AJ582" s="699"/>
      <c r="AK582" s="699"/>
      <c r="AL582" s="699"/>
      <c r="AM582" s="699"/>
      <c r="AN582" s="699"/>
      <c r="AO582" s="699"/>
      <c r="AP582" s="699"/>
      <c r="AQ582" s="699"/>
      <c r="AR582" s="699"/>
      <c r="AS582" s="699"/>
      <c r="AT582" s="699"/>
      <c r="AU582" s="699"/>
      <c r="AV582" s="699"/>
      <c r="AW582" s="699"/>
      <c r="AX582" s="700"/>
      <c r="AY582" s="700"/>
      <c r="AZ582" s="701"/>
    </row>
    <row r="583" spans="1:52" ht="30.75" thickBot="1">
      <c r="A583" s="67">
        <f t="shared" si="284"/>
        <v>44892</v>
      </c>
      <c r="B583" s="138"/>
      <c r="C583" s="138"/>
      <c r="D583" s="138"/>
      <c r="E583" s="138"/>
      <c r="F583" s="138"/>
      <c r="G583" s="138"/>
      <c r="H583" s="138"/>
      <c r="I583" s="138"/>
      <c r="J583" s="138"/>
      <c r="K583" s="138"/>
      <c r="L583" s="138"/>
      <c r="M583" s="138"/>
      <c r="N583" s="138"/>
      <c r="O583" s="138"/>
      <c r="P583" s="138"/>
      <c r="Q583" s="138"/>
      <c r="R583" s="139"/>
      <c r="S583" s="139"/>
      <c r="T583" s="150"/>
      <c r="U583" s="150"/>
      <c r="V583" s="150"/>
      <c r="W583" s="150"/>
      <c r="X583" s="150"/>
      <c r="Y583" s="255">
        <f t="shared" si="282"/>
        <v>0</v>
      </c>
      <c r="Z583" s="309">
        <f t="shared" si="283"/>
        <v>0</v>
      </c>
      <c r="AA583" s="256">
        <f t="shared" si="280"/>
        <v>0</v>
      </c>
      <c r="AB583" s="309"/>
      <c r="AC583" s="309"/>
      <c r="AD583" s="320">
        <f t="shared" si="281"/>
        <v>0</v>
      </c>
      <c r="AF583" s="11"/>
      <c r="AG583" s="579"/>
      <c r="AH583" s="64">
        <f t="shared" si="285"/>
        <v>43400</v>
      </c>
      <c r="AI583" s="698"/>
      <c r="AJ583" s="699"/>
      <c r="AK583" s="699"/>
      <c r="AL583" s="699"/>
      <c r="AM583" s="699"/>
      <c r="AN583" s="699"/>
      <c r="AO583" s="699"/>
      <c r="AP583" s="699"/>
      <c r="AQ583" s="699"/>
      <c r="AR583" s="699"/>
      <c r="AS583" s="699"/>
      <c r="AT583" s="699"/>
      <c r="AU583" s="699"/>
      <c r="AV583" s="699"/>
      <c r="AW583" s="699"/>
      <c r="AX583" s="700"/>
      <c r="AY583" s="700"/>
      <c r="AZ583" s="701"/>
    </row>
    <row r="584" spans="1:52" ht="30.75" thickBot="1">
      <c r="A584" s="67">
        <f t="shared" si="284"/>
        <v>44893</v>
      </c>
      <c r="B584" s="138"/>
      <c r="C584" s="138"/>
      <c r="D584" s="138"/>
      <c r="E584" s="138"/>
      <c r="F584" s="138"/>
      <c r="G584" s="138"/>
      <c r="H584" s="138"/>
      <c r="I584" s="138"/>
      <c r="J584" s="138"/>
      <c r="K584" s="138"/>
      <c r="L584" s="138"/>
      <c r="M584" s="138"/>
      <c r="N584" s="138"/>
      <c r="O584" s="138"/>
      <c r="P584" s="138"/>
      <c r="Q584" s="138"/>
      <c r="R584" s="139"/>
      <c r="S584" s="139"/>
      <c r="T584" s="150"/>
      <c r="U584" s="150"/>
      <c r="V584" s="150"/>
      <c r="W584" s="150"/>
      <c r="X584" s="150"/>
      <c r="Y584" s="255">
        <f t="shared" si="282"/>
        <v>0</v>
      </c>
      <c r="Z584" s="309">
        <f t="shared" si="283"/>
        <v>0</v>
      </c>
      <c r="AA584" s="256">
        <f t="shared" si="280"/>
        <v>0</v>
      </c>
      <c r="AB584" s="309"/>
      <c r="AC584" s="309"/>
      <c r="AD584" s="320">
        <f t="shared" si="281"/>
        <v>0</v>
      </c>
      <c r="AF584" s="11"/>
      <c r="AG584" s="579"/>
      <c r="AH584" s="64">
        <f t="shared" si="285"/>
        <v>43401</v>
      </c>
      <c r="AI584" s="698"/>
      <c r="AJ584" s="699"/>
      <c r="AK584" s="699"/>
      <c r="AL584" s="699"/>
      <c r="AM584" s="699"/>
      <c r="AN584" s="699"/>
      <c r="AO584" s="699"/>
      <c r="AP584" s="699"/>
      <c r="AQ584" s="699"/>
      <c r="AR584" s="699"/>
      <c r="AS584" s="699"/>
      <c r="AT584" s="699"/>
      <c r="AU584" s="699"/>
      <c r="AV584" s="699"/>
      <c r="AW584" s="699"/>
      <c r="AX584" s="700"/>
      <c r="AY584" s="700"/>
      <c r="AZ584" s="701"/>
    </row>
    <row r="585" spans="1:52" ht="30.75" thickBot="1">
      <c r="A585" s="67">
        <f t="shared" si="284"/>
        <v>44894</v>
      </c>
      <c r="B585" s="138"/>
      <c r="C585" s="138"/>
      <c r="D585" s="138"/>
      <c r="E585" s="138"/>
      <c r="F585" s="138"/>
      <c r="G585" s="138"/>
      <c r="H585" s="138"/>
      <c r="I585" s="138"/>
      <c r="J585" s="138"/>
      <c r="K585" s="138"/>
      <c r="L585" s="138"/>
      <c r="M585" s="138"/>
      <c r="N585" s="138"/>
      <c r="O585" s="138"/>
      <c r="P585" s="138"/>
      <c r="Q585" s="138"/>
      <c r="R585" s="139"/>
      <c r="S585" s="139"/>
      <c r="T585" s="150"/>
      <c r="U585" s="150"/>
      <c r="V585" s="150"/>
      <c r="W585" s="150"/>
      <c r="X585" s="150"/>
      <c r="Y585" s="255">
        <f t="shared" si="282"/>
        <v>0</v>
      </c>
      <c r="Z585" s="309">
        <f t="shared" si="283"/>
        <v>0</v>
      </c>
      <c r="AA585" s="256">
        <f t="shared" si="280"/>
        <v>0</v>
      </c>
      <c r="AB585" s="309"/>
      <c r="AC585" s="309"/>
      <c r="AD585" s="320">
        <f t="shared" si="281"/>
        <v>0</v>
      </c>
      <c r="AF585" s="11"/>
      <c r="AG585" s="579"/>
      <c r="AH585" s="64">
        <f>AH584+1</f>
        <v>43402</v>
      </c>
      <c r="AI585" s="698"/>
      <c r="AJ585" s="699"/>
      <c r="AK585" s="699"/>
      <c r="AL585" s="699"/>
      <c r="AM585" s="699"/>
      <c r="AN585" s="699"/>
      <c r="AO585" s="699"/>
      <c r="AP585" s="699"/>
      <c r="AQ585" s="699"/>
      <c r="AR585" s="699"/>
      <c r="AS585" s="699"/>
      <c r="AT585" s="699"/>
      <c r="AU585" s="699"/>
      <c r="AV585" s="699"/>
      <c r="AW585" s="699"/>
      <c r="AX585" s="700"/>
      <c r="AY585" s="700"/>
      <c r="AZ585" s="701"/>
    </row>
    <row r="586" spans="1:52" ht="30.75" thickBot="1">
      <c r="A586" s="67">
        <f t="shared" si="284"/>
        <v>44895</v>
      </c>
      <c r="B586" s="138"/>
      <c r="C586" s="138"/>
      <c r="D586" s="138"/>
      <c r="E586" s="138"/>
      <c r="F586" s="138"/>
      <c r="G586" s="138"/>
      <c r="H586" s="138"/>
      <c r="I586" s="138"/>
      <c r="J586" s="138"/>
      <c r="K586" s="138"/>
      <c r="L586" s="138"/>
      <c r="M586" s="138"/>
      <c r="N586" s="138"/>
      <c r="O586" s="138"/>
      <c r="P586" s="138"/>
      <c r="Q586" s="138"/>
      <c r="R586" s="139"/>
      <c r="S586" s="139"/>
      <c r="T586" s="150"/>
      <c r="U586" s="150"/>
      <c r="V586" s="150"/>
      <c r="W586" s="150"/>
      <c r="X586" s="150"/>
      <c r="Y586" s="255">
        <f t="shared" si="282"/>
        <v>0</v>
      </c>
      <c r="Z586" s="309">
        <f t="shared" si="283"/>
        <v>0</v>
      </c>
      <c r="AA586" s="256">
        <f t="shared" si="280"/>
        <v>0</v>
      </c>
      <c r="AB586" s="309"/>
      <c r="AC586" s="309"/>
      <c r="AD586" s="320">
        <f t="shared" si="281"/>
        <v>0</v>
      </c>
      <c r="AF586" s="11"/>
      <c r="AG586" s="579"/>
      <c r="AH586" s="64">
        <f t="shared" si="285"/>
        <v>43403</v>
      </c>
      <c r="AI586" s="698"/>
      <c r="AJ586" s="699"/>
      <c r="AK586" s="699"/>
      <c r="AL586" s="699"/>
      <c r="AM586" s="699"/>
      <c r="AN586" s="699"/>
      <c r="AO586" s="699"/>
      <c r="AP586" s="699"/>
      <c r="AQ586" s="699"/>
      <c r="AR586" s="699"/>
      <c r="AS586" s="699"/>
      <c r="AT586" s="699"/>
      <c r="AU586" s="699"/>
      <c r="AV586" s="699"/>
      <c r="AW586" s="699"/>
      <c r="AX586" s="700"/>
      <c r="AY586" s="700"/>
      <c r="AZ586" s="701"/>
    </row>
    <row r="587" spans="1:52" ht="30.75" thickBot="1">
      <c r="A587" s="102">
        <f t="shared" si="284"/>
        <v>44896</v>
      </c>
      <c r="B587" s="146"/>
      <c r="C587" s="146"/>
      <c r="D587" s="146"/>
      <c r="E587" s="146"/>
      <c r="F587" s="146"/>
      <c r="G587" s="146"/>
      <c r="H587" s="146"/>
      <c r="I587" s="146"/>
      <c r="J587" s="146"/>
      <c r="K587" s="146"/>
      <c r="L587" s="146"/>
      <c r="M587" s="146"/>
      <c r="N587" s="146"/>
      <c r="O587" s="146"/>
      <c r="P587" s="146"/>
      <c r="Q587" s="146"/>
      <c r="R587" s="147"/>
      <c r="S587" s="147"/>
      <c r="T587" s="152"/>
      <c r="U587" s="152"/>
      <c r="V587" s="152"/>
      <c r="W587" s="152"/>
      <c r="X587" s="152"/>
      <c r="Y587" s="255">
        <f t="shared" si="282"/>
        <v>0</v>
      </c>
      <c r="Z587" s="309">
        <f t="shared" si="283"/>
        <v>0</v>
      </c>
      <c r="AA587" s="256">
        <f t="shared" si="280"/>
        <v>0</v>
      </c>
      <c r="AB587" s="309"/>
      <c r="AC587" s="309"/>
      <c r="AD587" s="320">
        <f t="shared" si="281"/>
        <v>0</v>
      </c>
      <c r="AF587" s="11"/>
      <c r="AG587" s="579"/>
      <c r="AH587" s="65">
        <f t="shared" si="285"/>
        <v>43404</v>
      </c>
      <c r="AI587" s="702"/>
      <c r="AJ587" s="703"/>
      <c r="AK587" s="703"/>
      <c r="AL587" s="703"/>
      <c r="AM587" s="703"/>
      <c r="AN587" s="703"/>
      <c r="AO587" s="703"/>
      <c r="AP587" s="703"/>
      <c r="AQ587" s="703"/>
      <c r="AR587" s="703"/>
      <c r="AS587" s="703"/>
      <c r="AT587" s="703"/>
      <c r="AU587" s="703"/>
      <c r="AV587" s="703"/>
      <c r="AW587" s="703"/>
      <c r="AX587" s="704"/>
      <c r="AY587" s="704"/>
      <c r="AZ587" s="705"/>
    </row>
    <row r="588" spans="1:52" ht="50.1" customHeight="1" thickTop="1" thickBot="1">
      <c r="A588" s="96" t="s">
        <v>74</v>
      </c>
      <c r="B588" s="90">
        <f>SUM(B557:B587)</f>
        <v>0</v>
      </c>
      <c r="C588" s="90">
        <f t="shared" ref="C588:Y588" si="286">SUM(C557:C587)</f>
        <v>0</v>
      </c>
      <c r="D588" s="90">
        <f t="shared" si="286"/>
        <v>0</v>
      </c>
      <c r="E588" s="90"/>
      <c r="F588" s="90">
        <f t="shared" si="286"/>
        <v>0</v>
      </c>
      <c r="G588" s="90">
        <f t="shared" si="286"/>
        <v>0</v>
      </c>
      <c r="H588" s="90">
        <f t="shared" si="286"/>
        <v>0</v>
      </c>
      <c r="I588" s="90">
        <f t="shared" si="286"/>
        <v>0</v>
      </c>
      <c r="J588" s="90">
        <f t="shared" si="286"/>
        <v>0</v>
      </c>
      <c r="K588" s="90">
        <f t="shared" si="286"/>
        <v>0</v>
      </c>
      <c r="L588" s="90">
        <f t="shared" si="286"/>
        <v>0</v>
      </c>
      <c r="M588" s="90">
        <f t="shared" si="286"/>
        <v>0</v>
      </c>
      <c r="N588" s="90">
        <f t="shared" si="286"/>
        <v>0</v>
      </c>
      <c r="O588" s="90">
        <f t="shared" si="286"/>
        <v>0</v>
      </c>
      <c r="P588" s="90"/>
      <c r="Q588" s="90">
        <f t="shared" si="286"/>
        <v>0</v>
      </c>
      <c r="R588" s="90">
        <f t="shared" si="286"/>
        <v>0</v>
      </c>
      <c r="S588" s="90">
        <f t="shared" si="286"/>
        <v>0</v>
      </c>
      <c r="T588" s="90"/>
      <c r="U588" s="90"/>
      <c r="V588" s="90"/>
      <c r="W588" s="90"/>
      <c r="X588" s="90"/>
      <c r="Y588" s="292">
        <f t="shared" si="286"/>
        <v>0</v>
      </c>
      <c r="Z588" s="258"/>
      <c r="AA588" s="259"/>
      <c r="AB588" s="316"/>
      <c r="AC588" s="316"/>
      <c r="AD588" s="260"/>
      <c r="AF588" s="9"/>
      <c r="AG588" s="10"/>
      <c r="AH588" s="706" t="s">
        <v>101</v>
      </c>
      <c r="AI588" s="707">
        <f>SUM(AI557:AI587)</f>
        <v>0</v>
      </c>
      <c r="AJ588" s="707">
        <f>SUM(AJ557:AJ587)</f>
        <v>0</v>
      </c>
      <c r="AK588" s="707">
        <f t="shared" ref="AK588:AZ588" si="287">SUM(AK557:AK587)</f>
        <v>0</v>
      </c>
      <c r="AL588" s="707">
        <f t="shared" si="287"/>
        <v>0</v>
      </c>
      <c r="AM588" s="707">
        <f t="shared" si="287"/>
        <v>0</v>
      </c>
      <c r="AN588" s="707">
        <f t="shared" si="287"/>
        <v>0</v>
      </c>
      <c r="AO588" s="707">
        <f t="shared" si="287"/>
        <v>0</v>
      </c>
      <c r="AP588" s="707">
        <f t="shared" si="287"/>
        <v>0</v>
      </c>
      <c r="AQ588" s="707">
        <f t="shared" si="287"/>
        <v>0</v>
      </c>
      <c r="AR588" s="707">
        <f t="shared" si="287"/>
        <v>0</v>
      </c>
      <c r="AS588" s="707">
        <f t="shared" si="287"/>
        <v>0</v>
      </c>
      <c r="AT588" s="707">
        <f t="shared" si="287"/>
        <v>0</v>
      </c>
      <c r="AU588" s="707">
        <f t="shared" si="287"/>
        <v>0</v>
      </c>
      <c r="AV588" s="707">
        <f t="shared" si="287"/>
        <v>0</v>
      </c>
      <c r="AW588" s="707">
        <f t="shared" si="287"/>
        <v>0</v>
      </c>
      <c r="AX588" s="707">
        <f t="shared" si="287"/>
        <v>0</v>
      </c>
      <c r="AY588" s="707">
        <f t="shared" si="287"/>
        <v>0</v>
      </c>
      <c r="AZ588" s="707">
        <f t="shared" si="287"/>
        <v>0</v>
      </c>
    </row>
    <row r="589" spans="1:52" ht="27.75" thickTop="1" thickBo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297"/>
      <c r="Z589" s="8"/>
      <c r="AA589" s="8"/>
      <c r="AB589" s="8"/>
      <c r="AD589" t="s">
        <v>1</v>
      </c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714" t="e">
        <f>SUM(#REF!)</f>
        <v>#REF!</v>
      </c>
    </row>
    <row r="590" spans="1:52" ht="39.950000000000003" customHeight="1" thickTop="1" thickBot="1">
      <c r="A590" s="109">
        <f>A5</f>
        <v>2022</v>
      </c>
      <c r="B590" s="1476" t="s">
        <v>299</v>
      </c>
      <c r="C590" s="1477"/>
      <c r="D590" s="1477"/>
      <c r="E590" s="1477"/>
      <c r="F590" s="1477"/>
      <c r="G590" s="1477"/>
      <c r="H590" s="1477"/>
      <c r="I590" s="1477"/>
      <c r="J590" s="1477"/>
      <c r="K590" s="1477"/>
      <c r="L590" s="1477"/>
      <c r="M590" s="1477"/>
      <c r="N590" s="1477"/>
      <c r="O590" s="1477"/>
      <c r="P590" s="1477"/>
      <c r="Q590" s="1477"/>
      <c r="R590" s="1477"/>
      <c r="S590" s="1477"/>
      <c r="T590" s="1477"/>
      <c r="U590" s="1477"/>
      <c r="V590" s="1477"/>
      <c r="W590" s="1477"/>
      <c r="X590" s="1477"/>
      <c r="Y590" s="1478"/>
      <c r="Z590" s="21"/>
      <c r="AA590" s="21"/>
      <c r="AB590" s="21"/>
      <c r="AF590" s="10"/>
      <c r="AG590" s="21"/>
      <c r="AH590" s="109">
        <v>2018</v>
      </c>
      <c r="AI590" s="1424" t="str">
        <f>B590</f>
        <v>JAMSHAD BADEEN</v>
      </c>
      <c r="AJ590" s="1425"/>
      <c r="AK590" s="1425"/>
      <c r="AL590" s="1425"/>
      <c r="AM590" s="1425"/>
      <c r="AN590" s="1425"/>
      <c r="AO590" s="1425"/>
      <c r="AP590" s="1425"/>
      <c r="AQ590" s="1425"/>
      <c r="AR590" s="1425"/>
      <c r="AS590" s="1425"/>
      <c r="AT590" s="1425"/>
      <c r="AU590" s="1425"/>
      <c r="AV590" s="1425"/>
      <c r="AW590" s="1425"/>
      <c r="AX590" s="1425"/>
      <c r="AY590" s="1425"/>
      <c r="AZ590" s="1425"/>
    </row>
    <row r="591" spans="1:52" ht="60" customHeight="1" thickTop="1" thickBot="1">
      <c r="A591" s="1468" t="s">
        <v>94</v>
      </c>
      <c r="B591" s="1402" t="s">
        <v>95</v>
      </c>
      <c r="C591" s="1403"/>
      <c r="D591" s="1403"/>
      <c r="E591" s="1404"/>
      <c r="F591" s="1402" t="s">
        <v>7</v>
      </c>
      <c r="G591" s="1403"/>
      <c r="H591" s="1404"/>
      <c r="I591" s="1402" t="s">
        <v>8</v>
      </c>
      <c r="J591" s="1404"/>
      <c r="K591" s="1402" t="s">
        <v>9</v>
      </c>
      <c r="L591" s="1403"/>
      <c r="M591" s="1403"/>
      <c r="N591" s="1403"/>
      <c r="O591" s="1403"/>
      <c r="P591" s="1403"/>
      <c r="Q591" s="1403"/>
      <c r="R591" s="1405" t="s">
        <v>10</v>
      </c>
      <c r="S591" s="1406"/>
      <c r="T591" s="1400" t="s">
        <v>289</v>
      </c>
      <c r="U591" s="1401"/>
      <c r="V591" s="842" t="s">
        <v>258</v>
      </c>
      <c r="W591" s="842"/>
      <c r="X591" s="842"/>
      <c r="Y591" s="211"/>
      <c r="Z591" s="21"/>
      <c r="AA591" s="21"/>
      <c r="AB591" s="21"/>
      <c r="AC591" s="21"/>
      <c r="AF591" s="10"/>
      <c r="AG591" s="34"/>
      <c r="AH591" s="1422" t="s">
        <v>94</v>
      </c>
      <c r="AI591" s="1402" t="s">
        <v>95</v>
      </c>
      <c r="AJ591" s="1403"/>
      <c r="AK591" s="1404"/>
      <c r="AL591" s="1402" t="s">
        <v>7</v>
      </c>
      <c r="AM591" s="1403"/>
      <c r="AN591" s="1404"/>
      <c r="AO591" s="1402" t="s">
        <v>8</v>
      </c>
      <c r="AP591" s="1403"/>
      <c r="AQ591" s="1404"/>
      <c r="AR591" s="1402" t="s">
        <v>9</v>
      </c>
      <c r="AS591" s="1403"/>
      <c r="AT591" s="1404"/>
      <c r="AU591" s="1403" t="s">
        <v>9</v>
      </c>
      <c r="AV591" s="1404"/>
      <c r="AW591" s="1429" t="s">
        <v>10</v>
      </c>
      <c r="AX591" s="1430"/>
      <c r="AY591" s="690"/>
      <c r="AZ591" s="404" t="s">
        <v>11</v>
      </c>
    </row>
    <row r="592" spans="1:52" ht="42" thickTop="1" thickBot="1">
      <c r="A592" s="1428"/>
      <c r="B592" s="482" t="s">
        <v>12</v>
      </c>
      <c r="C592" s="482" t="s">
        <v>13</v>
      </c>
      <c r="D592" s="482" t="s">
        <v>14</v>
      </c>
      <c r="E592" s="688" t="s">
        <v>198</v>
      </c>
      <c r="F592" s="482" t="s">
        <v>12</v>
      </c>
      <c r="G592" s="482" t="s">
        <v>13</v>
      </c>
      <c r="H592" s="482" t="s">
        <v>282</v>
      </c>
      <c r="I592" s="482" t="s">
        <v>12</v>
      </c>
      <c r="J592" s="482" t="s">
        <v>16</v>
      </c>
      <c r="K592" s="482" t="s">
        <v>17</v>
      </c>
      <c r="L592" s="482" t="s">
        <v>18</v>
      </c>
      <c r="M592" s="482" t="s">
        <v>19</v>
      </c>
      <c r="N592" s="484" t="s">
        <v>96</v>
      </c>
      <c r="O592" s="484" t="s">
        <v>257</v>
      </c>
      <c r="P592" s="484" t="s">
        <v>254</v>
      </c>
      <c r="Q592" s="484" t="s">
        <v>20</v>
      </c>
      <c r="R592" s="483" t="s">
        <v>14</v>
      </c>
      <c r="S592" s="482" t="s">
        <v>13</v>
      </c>
      <c r="T592" s="846" t="s">
        <v>284</v>
      </c>
      <c r="U592" s="846" t="s">
        <v>288</v>
      </c>
      <c r="V592" s="484" t="s">
        <v>259</v>
      </c>
      <c r="W592" s="484"/>
      <c r="X592" s="484"/>
      <c r="Y592" s="209" t="s">
        <v>90</v>
      </c>
      <c r="Z592" s="210" t="s">
        <v>97</v>
      </c>
      <c r="AA592" s="210" t="s">
        <v>74</v>
      </c>
      <c r="AB592" s="210" t="s">
        <v>98</v>
      </c>
      <c r="AC592" s="210" t="s">
        <v>99</v>
      </c>
      <c r="AD592" s="210" t="s">
        <v>100</v>
      </c>
      <c r="AF592" s="578" t="s">
        <v>1</v>
      </c>
      <c r="AG592" s="4"/>
      <c r="AH592" s="1428"/>
      <c r="AI592" s="482" t="s">
        <v>12</v>
      </c>
      <c r="AJ592" s="482" t="s">
        <v>13</v>
      </c>
      <c r="AK592" s="482" t="s">
        <v>14</v>
      </c>
      <c r="AL592" s="482" t="s">
        <v>12</v>
      </c>
      <c r="AM592" s="482" t="s">
        <v>13</v>
      </c>
      <c r="AN592" s="482" t="s">
        <v>15</v>
      </c>
      <c r="AO592" s="482" t="s">
        <v>12</v>
      </c>
      <c r="AP592" s="482" t="s">
        <v>205</v>
      </c>
      <c r="AQ592" s="482" t="s">
        <v>16</v>
      </c>
      <c r="AR592" s="482" t="s">
        <v>17</v>
      </c>
      <c r="AS592" s="482" t="s">
        <v>18</v>
      </c>
      <c r="AT592" s="482" t="s">
        <v>19</v>
      </c>
      <c r="AU592" s="482" t="s">
        <v>201</v>
      </c>
      <c r="AV592" s="482" t="s">
        <v>20</v>
      </c>
      <c r="AW592" s="482" t="s">
        <v>12</v>
      </c>
      <c r="AX592" s="483" t="s">
        <v>13</v>
      </c>
      <c r="AY592" s="688" t="s">
        <v>198</v>
      </c>
      <c r="AZ592" s="484" t="s">
        <v>96</v>
      </c>
    </row>
    <row r="593" spans="1:52" ht="30.75" thickBot="1">
      <c r="A593" s="67">
        <f>A8</f>
        <v>44866</v>
      </c>
      <c r="B593" s="135"/>
      <c r="C593" s="135"/>
      <c r="D593" s="135"/>
      <c r="E593" s="135"/>
      <c r="F593" s="135"/>
      <c r="G593" s="135"/>
      <c r="H593" s="135"/>
      <c r="I593" s="135"/>
      <c r="J593" s="135"/>
      <c r="K593" s="135"/>
      <c r="L593" s="135"/>
      <c r="M593" s="135"/>
      <c r="N593" s="135"/>
      <c r="O593" s="135"/>
      <c r="P593" s="135"/>
      <c r="Q593" s="135"/>
      <c r="R593" s="136"/>
      <c r="S593" s="175"/>
      <c r="T593" s="830"/>
      <c r="U593" s="830"/>
      <c r="V593" s="830"/>
      <c r="W593" s="830"/>
      <c r="X593" s="830"/>
      <c r="Y593" s="255">
        <f>B593*280+C593*280+D593*280+E593*280+F593*130+G593*130+H593*90+I593*35+J593*35+K593*380+L593*380+M593*380+N593*380+O593*380+P593*80+Q593*200+R593*260+S593*41+T593*30+U593*60</f>
        <v>0</v>
      </c>
      <c r="Z593" s="308"/>
      <c r="AA593" s="263">
        <f t="shared" ref="AA593:AA623" si="288">Y593+Z593</f>
        <v>0</v>
      </c>
      <c r="AB593" s="308"/>
      <c r="AC593" s="308"/>
      <c r="AD593" s="319">
        <f t="shared" ref="AD593:AD623" si="289">AA593-AB593-AC593</f>
        <v>0</v>
      </c>
      <c r="AF593" s="11"/>
      <c r="AG593" s="579"/>
      <c r="AH593" s="63">
        <f>AH557</f>
        <v>43374</v>
      </c>
      <c r="AI593" s="694"/>
      <c r="AJ593" s="695"/>
      <c r="AK593" s="695"/>
      <c r="AL593" s="695"/>
      <c r="AM593" s="695"/>
      <c r="AN593" s="695"/>
      <c r="AO593" s="695"/>
      <c r="AP593" s="695"/>
      <c r="AQ593" s="695"/>
      <c r="AR593" s="695"/>
      <c r="AS593" s="695"/>
      <c r="AT593" s="695"/>
      <c r="AU593" s="695"/>
      <c r="AV593" s="695"/>
      <c r="AW593" s="695"/>
      <c r="AX593" s="696"/>
      <c r="AY593" s="696"/>
      <c r="AZ593" s="697"/>
    </row>
    <row r="594" spans="1:52" ht="30.75" thickBot="1">
      <c r="A594" s="67"/>
      <c r="B594" s="138"/>
      <c r="C594" s="138"/>
      <c r="D594" s="138"/>
      <c r="E594" s="138"/>
      <c r="F594" s="138"/>
      <c r="G594" s="138"/>
      <c r="H594" s="138"/>
      <c r="I594" s="138"/>
      <c r="J594" s="138"/>
      <c r="K594" s="138"/>
      <c r="L594" s="138"/>
      <c r="M594" s="138"/>
      <c r="N594" s="138"/>
      <c r="O594" s="138"/>
      <c r="P594" s="138"/>
      <c r="Q594" s="138"/>
      <c r="R594" s="139"/>
      <c r="S594" s="176"/>
      <c r="T594" s="835"/>
      <c r="U594" s="835"/>
      <c r="V594" s="835"/>
      <c r="W594" s="835"/>
      <c r="X594" s="835"/>
      <c r="Y594" s="255">
        <f t="shared" ref="Y594:Y623" si="290">B594*280+C594*280+D594*280+E594*280+F594*130+G594*130+H594*90+I594*35+J594*35+K594*380+L594*380+M594*380+N594*380+O594*380+P594*80+Q594*200+R594*260+S594*41+T594*30+U594*60</f>
        <v>0</v>
      </c>
      <c r="Z594" s="309">
        <f t="shared" ref="Z594:Z623" si="291">AD593</f>
        <v>0</v>
      </c>
      <c r="AA594" s="256">
        <f t="shared" si="288"/>
        <v>0</v>
      </c>
      <c r="AB594" s="309"/>
      <c r="AC594" s="309"/>
      <c r="AD594" s="320">
        <f t="shared" si="289"/>
        <v>0</v>
      </c>
      <c r="AF594" s="11"/>
      <c r="AG594" s="579"/>
      <c r="AH594" s="64">
        <f>AH593+1</f>
        <v>43375</v>
      </c>
      <c r="AI594" s="698"/>
      <c r="AJ594" s="699"/>
      <c r="AK594" s="699"/>
      <c r="AL594" s="699"/>
      <c r="AM594" s="699"/>
      <c r="AN594" s="699"/>
      <c r="AO594" s="699"/>
      <c r="AP594" s="699"/>
      <c r="AQ594" s="699"/>
      <c r="AR594" s="699"/>
      <c r="AS594" s="699"/>
      <c r="AT594" s="699"/>
      <c r="AU594" s="699"/>
      <c r="AV594" s="699"/>
      <c r="AW594" s="699"/>
      <c r="AX594" s="700"/>
      <c r="AY594" s="700"/>
      <c r="AZ594" s="701"/>
    </row>
    <row r="595" spans="1:52" ht="30.75" thickBot="1">
      <c r="A595" s="67"/>
      <c r="B595" s="138"/>
      <c r="C595" s="138"/>
      <c r="D595" s="138"/>
      <c r="E595" s="138"/>
      <c r="F595" s="138"/>
      <c r="G595" s="138"/>
      <c r="H595" s="138"/>
      <c r="I595" s="138"/>
      <c r="J595" s="138"/>
      <c r="K595" s="138"/>
      <c r="L595" s="138"/>
      <c r="M595" s="138"/>
      <c r="N595" s="138"/>
      <c r="O595" s="138"/>
      <c r="P595" s="138"/>
      <c r="Q595" s="138"/>
      <c r="R595" s="139"/>
      <c r="S595" s="176"/>
      <c r="T595" s="835"/>
      <c r="U595" s="835"/>
      <c r="V595" s="835"/>
      <c r="W595" s="835"/>
      <c r="X595" s="835"/>
      <c r="Y595" s="255">
        <f t="shared" si="290"/>
        <v>0</v>
      </c>
      <c r="Z595" s="309">
        <f t="shared" si="291"/>
        <v>0</v>
      </c>
      <c r="AA595" s="256">
        <f t="shared" si="288"/>
        <v>0</v>
      </c>
      <c r="AB595" s="309"/>
      <c r="AC595" s="309"/>
      <c r="AD595" s="320">
        <f t="shared" si="289"/>
        <v>0</v>
      </c>
      <c r="AF595" s="11"/>
      <c r="AG595" s="579"/>
      <c r="AH595" s="64">
        <f t="shared" ref="AH595:AH623" si="292">AH594+1</f>
        <v>43376</v>
      </c>
      <c r="AI595" s="698"/>
      <c r="AJ595" s="699"/>
      <c r="AK595" s="699"/>
      <c r="AL595" s="699"/>
      <c r="AM595" s="699"/>
      <c r="AN595" s="699"/>
      <c r="AO595" s="699"/>
      <c r="AP595" s="699"/>
      <c r="AQ595" s="699"/>
      <c r="AR595" s="699"/>
      <c r="AS595" s="699"/>
      <c r="AT595" s="699"/>
      <c r="AU595" s="699"/>
      <c r="AV595" s="699"/>
      <c r="AW595" s="699"/>
      <c r="AX595" s="700"/>
      <c r="AY595" s="700"/>
      <c r="AZ595" s="701"/>
    </row>
    <row r="596" spans="1:52" ht="30.75" thickBot="1">
      <c r="A596" s="67"/>
      <c r="B596" s="138"/>
      <c r="C596" s="138"/>
      <c r="D596" s="138"/>
      <c r="E596" s="138"/>
      <c r="F596" s="138"/>
      <c r="G596" s="138"/>
      <c r="H596" s="138"/>
      <c r="I596" s="138"/>
      <c r="J596" s="138"/>
      <c r="K596" s="138"/>
      <c r="L596" s="138"/>
      <c r="M596" s="138"/>
      <c r="N596" s="138"/>
      <c r="O596" s="138"/>
      <c r="P596" s="138"/>
      <c r="Q596" s="138"/>
      <c r="R596" s="139"/>
      <c r="S596" s="176"/>
      <c r="T596" s="835"/>
      <c r="U596" s="835"/>
      <c r="V596" s="835"/>
      <c r="W596" s="835"/>
      <c r="X596" s="835"/>
      <c r="Y596" s="255">
        <f t="shared" si="290"/>
        <v>0</v>
      </c>
      <c r="Z596" s="309">
        <f t="shared" si="291"/>
        <v>0</v>
      </c>
      <c r="AA596" s="256">
        <f t="shared" si="288"/>
        <v>0</v>
      </c>
      <c r="AB596" s="309"/>
      <c r="AC596" s="309"/>
      <c r="AD596" s="320">
        <f t="shared" si="289"/>
        <v>0</v>
      </c>
      <c r="AF596" s="11"/>
      <c r="AG596" s="579"/>
      <c r="AH596" s="64">
        <f t="shared" si="292"/>
        <v>43377</v>
      </c>
      <c r="AI596" s="698"/>
      <c r="AJ596" s="699"/>
      <c r="AK596" s="699"/>
      <c r="AL596" s="699"/>
      <c r="AM596" s="699"/>
      <c r="AN596" s="699"/>
      <c r="AO596" s="699"/>
      <c r="AP596" s="699"/>
      <c r="AQ596" s="699"/>
      <c r="AR596" s="699"/>
      <c r="AS596" s="699"/>
      <c r="AT596" s="699"/>
      <c r="AU596" s="699"/>
      <c r="AV596" s="699"/>
      <c r="AW596" s="699"/>
      <c r="AX596" s="700"/>
      <c r="AY596" s="700"/>
      <c r="AZ596" s="701"/>
    </row>
    <row r="597" spans="1:52" ht="30.75" thickBot="1">
      <c r="A597" s="67"/>
      <c r="B597" s="138"/>
      <c r="C597" s="138"/>
      <c r="D597" s="138"/>
      <c r="E597" s="138"/>
      <c r="F597" s="138"/>
      <c r="G597" s="138"/>
      <c r="H597" s="138"/>
      <c r="I597" s="138"/>
      <c r="J597" s="138"/>
      <c r="K597" s="138"/>
      <c r="L597" s="138"/>
      <c r="M597" s="138"/>
      <c r="N597" s="138"/>
      <c r="O597" s="138"/>
      <c r="P597" s="138"/>
      <c r="Q597" s="138"/>
      <c r="R597" s="139"/>
      <c r="S597" s="176"/>
      <c r="T597" s="835"/>
      <c r="U597" s="835"/>
      <c r="V597" s="835"/>
      <c r="W597" s="835"/>
      <c r="X597" s="835"/>
      <c r="Y597" s="255">
        <f t="shared" si="290"/>
        <v>0</v>
      </c>
      <c r="Z597" s="309">
        <f t="shared" si="291"/>
        <v>0</v>
      </c>
      <c r="AA597" s="256">
        <f t="shared" si="288"/>
        <v>0</v>
      </c>
      <c r="AB597" s="309"/>
      <c r="AC597" s="309"/>
      <c r="AD597" s="320">
        <f t="shared" si="289"/>
        <v>0</v>
      </c>
      <c r="AF597" s="11"/>
      <c r="AG597" s="579"/>
      <c r="AH597" s="64">
        <f t="shared" si="292"/>
        <v>43378</v>
      </c>
      <c r="AI597" s="698"/>
      <c r="AJ597" s="699"/>
      <c r="AK597" s="699"/>
      <c r="AL597" s="699"/>
      <c r="AM597" s="699"/>
      <c r="AN597" s="699"/>
      <c r="AO597" s="699"/>
      <c r="AP597" s="699"/>
      <c r="AQ597" s="699"/>
      <c r="AR597" s="699"/>
      <c r="AS597" s="699"/>
      <c r="AT597" s="699"/>
      <c r="AU597" s="699"/>
      <c r="AV597" s="699"/>
      <c r="AW597" s="699"/>
      <c r="AX597" s="700"/>
      <c r="AY597" s="700"/>
      <c r="AZ597" s="701"/>
    </row>
    <row r="598" spans="1:52" ht="30.75" thickBot="1">
      <c r="A598" s="67"/>
      <c r="B598" s="138"/>
      <c r="C598" s="138"/>
      <c r="D598" s="138"/>
      <c r="E598" s="138"/>
      <c r="F598" s="138"/>
      <c r="G598" s="138"/>
      <c r="H598" s="138"/>
      <c r="I598" s="138"/>
      <c r="J598" s="138"/>
      <c r="K598" s="138"/>
      <c r="L598" s="138"/>
      <c r="M598" s="138"/>
      <c r="N598" s="138"/>
      <c r="O598" s="138"/>
      <c r="P598" s="138"/>
      <c r="Q598" s="138"/>
      <c r="R598" s="139"/>
      <c r="S598" s="176"/>
      <c r="T598" s="835"/>
      <c r="U598" s="835"/>
      <c r="V598" s="835"/>
      <c r="W598" s="835"/>
      <c r="X598" s="835"/>
      <c r="Y598" s="255">
        <f t="shared" si="290"/>
        <v>0</v>
      </c>
      <c r="Z598" s="309">
        <f t="shared" si="291"/>
        <v>0</v>
      </c>
      <c r="AA598" s="256">
        <f t="shared" si="288"/>
        <v>0</v>
      </c>
      <c r="AB598" s="309"/>
      <c r="AC598" s="309"/>
      <c r="AD598" s="320">
        <f t="shared" si="289"/>
        <v>0</v>
      </c>
      <c r="AF598" s="11"/>
      <c r="AG598" s="579"/>
      <c r="AH598" s="64">
        <f t="shared" si="292"/>
        <v>43379</v>
      </c>
      <c r="AI598" s="698"/>
      <c r="AJ598" s="699"/>
      <c r="AK598" s="699"/>
      <c r="AL598" s="699"/>
      <c r="AM598" s="699"/>
      <c r="AN598" s="699"/>
      <c r="AO598" s="699"/>
      <c r="AP598" s="699"/>
      <c r="AQ598" s="699"/>
      <c r="AR598" s="699"/>
      <c r="AS598" s="699"/>
      <c r="AT598" s="699"/>
      <c r="AU598" s="699"/>
      <c r="AV598" s="699"/>
      <c r="AW598" s="699"/>
      <c r="AX598" s="700"/>
      <c r="AY598" s="700"/>
      <c r="AZ598" s="701"/>
    </row>
    <row r="599" spans="1:52" ht="30.75" thickBot="1">
      <c r="A599" s="67"/>
      <c r="B599" s="138"/>
      <c r="C599" s="138"/>
      <c r="D599" s="138"/>
      <c r="E599" s="138"/>
      <c r="F599" s="138"/>
      <c r="G599" s="138"/>
      <c r="H599" s="138"/>
      <c r="I599" s="138"/>
      <c r="J599" s="138"/>
      <c r="K599" s="138"/>
      <c r="L599" s="138"/>
      <c r="M599" s="138"/>
      <c r="N599" s="138"/>
      <c r="O599" s="138"/>
      <c r="P599" s="138"/>
      <c r="Q599" s="138"/>
      <c r="R599" s="139"/>
      <c r="S599" s="176"/>
      <c r="T599" s="835"/>
      <c r="U599" s="835"/>
      <c r="V599" s="835"/>
      <c r="W599" s="835"/>
      <c r="X599" s="835"/>
      <c r="Y599" s="255">
        <f t="shared" si="290"/>
        <v>0</v>
      </c>
      <c r="Z599" s="309">
        <f t="shared" si="291"/>
        <v>0</v>
      </c>
      <c r="AA599" s="256">
        <f t="shared" si="288"/>
        <v>0</v>
      </c>
      <c r="AB599" s="309"/>
      <c r="AC599" s="309"/>
      <c r="AD599" s="320">
        <f t="shared" si="289"/>
        <v>0</v>
      </c>
      <c r="AF599" s="11"/>
      <c r="AG599" s="579"/>
      <c r="AH599" s="64">
        <f t="shared" si="292"/>
        <v>43380</v>
      </c>
      <c r="AI599" s="698"/>
      <c r="AJ599" s="699"/>
      <c r="AK599" s="699"/>
      <c r="AL599" s="699"/>
      <c r="AM599" s="699"/>
      <c r="AN599" s="699"/>
      <c r="AO599" s="699"/>
      <c r="AP599" s="699"/>
      <c r="AQ599" s="699"/>
      <c r="AR599" s="699"/>
      <c r="AS599" s="699"/>
      <c r="AT599" s="699"/>
      <c r="AU599" s="699"/>
      <c r="AV599" s="699"/>
      <c r="AW599" s="699"/>
      <c r="AX599" s="700"/>
      <c r="AY599" s="700"/>
      <c r="AZ599" s="701"/>
    </row>
    <row r="600" spans="1:52" ht="30.75" thickBot="1">
      <c r="A600" s="67"/>
      <c r="B600" s="138"/>
      <c r="C600" s="138"/>
      <c r="D600" s="138"/>
      <c r="E600" s="138"/>
      <c r="F600" s="138"/>
      <c r="G600" s="138"/>
      <c r="H600" s="138"/>
      <c r="I600" s="138"/>
      <c r="J600" s="138"/>
      <c r="K600" s="138"/>
      <c r="L600" s="138"/>
      <c r="M600" s="138"/>
      <c r="N600" s="138"/>
      <c r="O600" s="138"/>
      <c r="P600" s="138"/>
      <c r="Q600" s="138"/>
      <c r="R600" s="139"/>
      <c r="S600" s="176"/>
      <c r="T600" s="835"/>
      <c r="U600" s="835"/>
      <c r="V600" s="835"/>
      <c r="W600" s="835"/>
      <c r="X600" s="835"/>
      <c r="Y600" s="255">
        <f t="shared" si="290"/>
        <v>0</v>
      </c>
      <c r="Z600" s="309">
        <f t="shared" si="291"/>
        <v>0</v>
      </c>
      <c r="AA600" s="256">
        <f t="shared" si="288"/>
        <v>0</v>
      </c>
      <c r="AB600" s="309"/>
      <c r="AC600" s="309"/>
      <c r="AD600" s="320">
        <f t="shared" si="289"/>
        <v>0</v>
      </c>
      <c r="AF600" s="11"/>
      <c r="AG600" s="579"/>
      <c r="AH600" s="64">
        <f t="shared" si="292"/>
        <v>43381</v>
      </c>
      <c r="AI600" s="698"/>
      <c r="AJ600" s="699"/>
      <c r="AK600" s="699"/>
      <c r="AL600" s="699"/>
      <c r="AM600" s="699"/>
      <c r="AN600" s="699"/>
      <c r="AO600" s="699"/>
      <c r="AP600" s="699"/>
      <c r="AQ600" s="699"/>
      <c r="AR600" s="699"/>
      <c r="AS600" s="699"/>
      <c r="AT600" s="699"/>
      <c r="AU600" s="699"/>
      <c r="AV600" s="699"/>
      <c r="AW600" s="699"/>
      <c r="AX600" s="700"/>
      <c r="AY600" s="700"/>
      <c r="AZ600" s="701"/>
    </row>
    <row r="601" spans="1:52" ht="30.75" thickBot="1">
      <c r="A601" s="67"/>
      <c r="B601" s="138"/>
      <c r="C601" s="138"/>
      <c r="D601" s="138"/>
      <c r="E601" s="138"/>
      <c r="F601" s="138"/>
      <c r="G601" s="138"/>
      <c r="H601" s="138"/>
      <c r="I601" s="138"/>
      <c r="J601" s="138"/>
      <c r="K601" s="138"/>
      <c r="L601" s="138"/>
      <c r="M601" s="138"/>
      <c r="N601" s="138"/>
      <c r="O601" s="138"/>
      <c r="P601" s="138"/>
      <c r="Q601" s="138"/>
      <c r="R601" s="139"/>
      <c r="S601" s="176"/>
      <c r="T601" s="835"/>
      <c r="U601" s="835"/>
      <c r="V601" s="835"/>
      <c r="W601" s="835"/>
      <c r="X601" s="835"/>
      <c r="Y601" s="255">
        <f t="shared" si="290"/>
        <v>0</v>
      </c>
      <c r="Z601" s="309">
        <f t="shared" si="291"/>
        <v>0</v>
      </c>
      <c r="AA601" s="256">
        <f t="shared" si="288"/>
        <v>0</v>
      </c>
      <c r="AB601" s="309"/>
      <c r="AC601" s="309"/>
      <c r="AD601" s="320">
        <f t="shared" si="289"/>
        <v>0</v>
      </c>
      <c r="AF601" s="11"/>
      <c r="AG601" s="579"/>
      <c r="AH601" s="64">
        <f t="shared" si="292"/>
        <v>43382</v>
      </c>
      <c r="AI601" s="698"/>
      <c r="AJ601" s="699"/>
      <c r="AK601" s="699"/>
      <c r="AL601" s="699"/>
      <c r="AM601" s="699"/>
      <c r="AN601" s="699"/>
      <c r="AO601" s="699"/>
      <c r="AP601" s="699"/>
      <c r="AQ601" s="699"/>
      <c r="AR601" s="699"/>
      <c r="AS601" s="699"/>
      <c r="AT601" s="699"/>
      <c r="AU601" s="699"/>
      <c r="AV601" s="699"/>
      <c r="AW601" s="699"/>
      <c r="AX601" s="700"/>
      <c r="AY601" s="700"/>
      <c r="AZ601" s="701"/>
    </row>
    <row r="602" spans="1:52" ht="30.75" thickBot="1">
      <c r="A602" s="67"/>
      <c r="B602" s="138"/>
      <c r="C602" s="138"/>
      <c r="D602" s="138"/>
      <c r="E602" s="138"/>
      <c r="F602" s="138"/>
      <c r="G602" s="138"/>
      <c r="H602" s="138"/>
      <c r="I602" s="138"/>
      <c r="J602" s="138"/>
      <c r="K602" s="138"/>
      <c r="L602" s="138"/>
      <c r="M602" s="138"/>
      <c r="N602" s="138"/>
      <c r="O602" s="138"/>
      <c r="P602" s="138"/>
      <c r="Q602" s="138"/>
      <c r="R602" s="139"/>
      <c r="S602" s="176"/>
      <c r="T602" s="835"/>
      <c r="U602" s="835"/>
      <c r="V602" s="835"/>
      <c r="W602" s="835"/>
      <c r="X602" s="835"/>
      <c r="Y602" s="255">
        <f t="shared" si="290"/>
        <v>0</v>
      </c>
      <c r="Z602" s="309">
        <f t="shared" si="291"/>
        <v>0</v>
      </c>
      <c r="AA602" s="256">
        <f t="shared" si="288"/>
        <v>0</v>
      </c>
      <c r="AB602" s="309"/>
      <c r="AC602" s="309"/>
      <c r="AD602" s="320">
        <f t="shared" si="289"/>
        <v>0</v>
      </c>
      <c r="AF602" s="11"/>
      <c r="AG602" s="579"/>
      <c r="AH602" s="64">
        <f t="shared" si="292"/>
        <v>43383</v>
      </c>
      <c r="AI602" s="698"/>
      <c r="AJ602" s="699"/>
      <c r="AK602" s="699"/>
      <c r="AL602" s="699"/>
      <c r="AM602" s="699"/>
      <c r="AN602" s="699"/>
      <c r="AO602" s="699"/>
      <c r="AP602" s="699"/>
      <c r="AQ602" s="699"/>
      <c r="AR602" s="699"/>
      <c r="AS602" s="699"/>
      <c r="AT602" s="699"/>
      <c r="AU602" s="699"/>
      <c r="AV602" s="699"/>
      <c r="AW602" s="699"/>
      <c r="AX602" s="700"/>
      <c r="AY602" s="700"/>
      <c r="AZ602" s="701"/>
    </row>
    <row r="603" spans="1:52" ht="30.75" thickBot="1">
      <c r="A603" s="67"/>
      <c r="B603" s="138"/>
      <c r="C603" s="138"/>
      <c r="D603" s="138"/>
      <c r="E603" s="138"/>
      <c r="F603" s="138"/>
      <c r="G603" s="138"/>
      <c r="H603" s="138"/>
      <c r="I603" s="138"/>
      <c r="J603" s="138"/>
      <c r="K603" s="138"/>
      <c r="L603" s="138"/>
      <c r="M603" s="138"/>
      <c r="N603" s="138"/>
      <c r="O603" s="138"/>
      <c r="P603" s="138"/>
      <c r="Q603" s="138"/>
      <c r="R603" s="139"/>
      <c r="S603" s="176"/>
      <c r="T603" s="835"/>
      <c r="U603" s="835"/>
      <c r="V603" s="835"/>
      <c r="W603" s="835"/>
      <c r="X603" s="835"/>
      <c r="Y603" s="255">
        <f t="shared" si="290"/>
        <v>0</v>
      </c>
      <c r="Z603" s="309">
        <f t="shared" si="291"/>
        <v>0</v>
      </c>
      <c r="AA603" s="256">
        <f t="shared" si="288"/>
        <v>0</v>
      </c>
      <c r="AB603" s="309"/>
      <c r="AC603" s="309"/>
      <c r="AD603" s="320">
        <f t="shared" si="289"/>
        <v>0</v>
      </c>
      <c r="AF603" s="11"/>
      <c r="AG603" s="579"/>
      <c r="AH603" s="64">
        <f t="shared" si="292"/>
        <v>43384</v>
      </c>
      <c r="AI603" s="698"/>
      <c r="AJ603" s="699"/>
      <c r="AK603" s="699"/>
      <c r="AL603" s="699"/>
      <c r="AM603" s="699"/>
      <c r="AN603" s="699"/>
      <c r="AO603" s="699"/>
      <c r="AP603" s="699"/>
      <c r="AQ603" s="699"/>
      <c r="AR603" s="699"/>
      <c r="AS603" s="699"/>
      <c r="AT603" s="699"/>
      <c r="AU603" s="699"/>
      <c r="AV603" s="699"/>
      <c r="AW603" s="699"/>
      <c r="AX603" s="700"/>
      <c r="AY603" s="700"/>
      <c r="AZ603" s="701"/>
    </row>
    <row r="604" spans="1:52" ht="30.75" thickBot="1">
      <c r="A604" s="67"/>
      <c r="B604" s="138"/>
      <c r="C604" s="138"/>
      <c r="D604" s="138"/>
      <c r="E604" s="138"/>
      <c r="F604" s="138"/>
      <c r="G604" s="138"/>
      <c r="H604" s="138"/>
      <c r="I604" s="138"/>
      <c r="J604" s="138"/>
      <c r="K604" s="138"/>
      <c r="L604" s="138"/>
      <c r="M604" s="138"/>
      <c r="N604" s="138"/>
      <c r="O604" s="138"/>
      <c r="P604" s="138"/>
      <c r="Q604" s="138"/>
      <c r="R604" s="139"/>
      <c r="S604" s="176"/>
      <c r="T604" s="835"/>
      <c r="U604" s="835"/>
      <c r="V604" s="835"/>
      <c r="W604" s="835"/>
      <c r="X604" s="835"/>
      <c r="Y604" s="255">
        <f t="shared" si="290"/>
        <v>0</v>
      </c>
      <c r="Z604" s="309">
        <f t="shared" si="291"/>
        <v>0</v>
      </c>
      <c r="AA604" s="256">
        <f t="shared" si="288"/>
        <v>0</v>
      </c>
      <c r="AB604" s="309"/>
      <c r="AC604" s="309"/>
      <c r="AD604" s="320">
        <f t="shared" si="289"/>
        <v>0</v>
      </c>
      <c r="AF604" s="11"/>
      <c r="AG604" s="579"/>
      <c r="AH604" s="64">
        <f t="shared" si="292"/>
        <v>43385</v>
      </c>
      <c r="AI604" s="698"/>
      <c r="AJ604" s="699"/>
      <c r="AK604" s="699"/>
      <c r="AL604" s="699"/>
      <c r="AM604" s="699"/>
      <c r="AN604" s="699"/>
      <c r="AO604" s="699"/>
      <c r="AP604" s="699"/>
      <c r="AQ604" s="699"/>
      <c r="AR604" s="699"/>
      <c r="AS604" s="699"/>
      <c r="AT604" s="699"/>
      <c r="AU604" s="699"/>
      <c r="AV604" s="699"/>
      <c r="AW604" s="699"/>
      <c r="AX604" s="700"/>
      <c r="AY604" s="700"/>
      <c r="AZ604" s="701"/>
    </row>
    <row r="605" spans="1:52" ht="30.75" thickBot="1">
      <c r="A605" s="67"/>
      <c r="B605" s="138"/>
      <c r="C605" s="138"/>
      <c r="D605" s="138"/>
      <c r="E605" s="138"/>
      <c r="F605" s="138"/>
      <c r="G605" s="138"/>
      <c r="H605" s="138"/>
      <c r="I605" s="138"/>
      <c r="J605" s="138"/>
      <c r="K605" s="138"/>
      <c r="L605" s="138"/>
      <c r="M605" s="138"/>
      <c r="N605" s="138"/>
      <c r="O605" s="138"/>
      <c r="P605" s="138"/>
      <c r="Q605" s="138"/>
      <c r="R605" s="139"/>
      <c r="S605" s="176"/>
      <c r="T605" s="835"/>
      <c r="U605" s="835"/>
      <c r="V605" s="835"/>
      <c r="W605" s="835"/>
      <c r="X605" s="835"/>
      <c r="Y605" s="255">
        <f t="shared" si="290"/>
        <v>0</v>
      </c>
      <c r="Z605" s="309">
        <f t="shared" si="291"/>
        <v>0</v>
      </c>
      <c r="AA605" s="256">
        <f t="shared" si="288"/>
        <v>0</v>
      </c>
      <c r="AB605" s="309"/>
      <c r="AC605" s="309"/>
      <c r="AD605" s="320">
        <f t="shared" si="289"/>
        <v>0</v>
      </c>
      <c r="AF605" s="11"/>
      <c r="AG605" s="579"/>
      <c r="AH605" s="64">
        <f t="shared" si="292"/>
        <v>43386</v>
      </c>
      <c r="AI605" s="698"/>
      <c r="AJ605" s="699"/>
      <c r="AK605" s="699"/>
      <c r="AL605" s="699"/>
      <c r="AM605" s="699"/>
      <c r="AN605" s="699"/>
      <c r="AO605" s="699"/>
      <c r="AP605" s="699"/>
      <c r="AQ605" s="699"/>
      <c r="AR605" s="699"/>
      <c r="AS605" s="699"/>
      <c r="AT605" s="699"/>
      <c r="AU605" s="699"/>
      <c r="AV605" s="699"/>
      <c r="AW605" s="699"/>
      <c r="AX605" s="700"/>
      <c r="AY605" s="700"/>
      <c r="AZ605" s="701"/>
    </row>
    <row r="606" spans="1:52" ht="30.75" thickBot="1">
      <c r="A606" s="67"/>
      <c r="B606" s="138"/>
      <c r="C606" s="138"/>
      <c r="D606" s="138"/>
      <c r="E606" s="138"/>
      <c r="F606" s="138"/>
      <c r="G606" s="138"/>
      <c r="H606" s="138"/>
      <c r="I606" s="138"/>
      <c r="J606" s="138"/>
      <c r="K606" s="138"/>
      <c r="L606" s="138"/>
      <c r="M606" s="138"/>
      <c r="N606" s="138"/>
      <c r="O606" s="138"/>
      <c r="P606" s="138"/>
      <c r="Q606" s="138"/>
      <c r="R606" s="139"/>
      <c r="S606" s="176"/>
      <c r="T606" s="835"/>
      <c r="U606" s="835"/>
      <c r="V606" s="835"/>
      <c r="W606" s="835"/>
      <c r="X606" s="835"/>
      <c r="Y606" s="255">
        <f t="shared" si="290"/>
        <v>0</v>
      </c>
      <c r="Z606" s="309">
        <f t="shared" si="291"/>
        <v>0</v>
      </c>
      <c r="AA606" s="256">
        <f t="shared" si="288"/>
        <v>0</v>
      </c>
      <c r="AB606" s="309"/>
      <c r="AC606" s="309"/>
      <c r="AD606" s="320">
        <f t="shared" si="289"/>
        <v>0</v>
      </c>
      <c r="AF606" s="11"/>
      <c r="AG606" s="579"/>
      <c r="AH606" s="64">
        <f t="shared" si="292"/>
        <v>43387</v>
      </c>
      <c r="AI606" s="698"/>
      <c r="AJ606" s="699"/>
      <c r="AK606" s="699"/>
      <c r="AL606" s="699"/>
      <c r="AM606" s="699"/>
      <c r="AN606" s="699"/>
      <c r="AO606" s="699"/>
      <c r="AP606" s="699"/>
      <c r="AQ606" s="699"/>
      <c r="AR606" s="699"/>
      <c r="AS606" s="699"/>
      <c r="AT606" s="699"/>
      <c r="AU606" s="699"/>
      <c r="AV606" s="699"/>
      <c r="AW606" s="699"/>
      <c r="AX606" s="700"/>
      <c r="AY606" s="700"/>
      <c r="AZ606" s="701"/>
    </row>
    <row r="607" spans="1:52" ht="30.75" thickBot="1">
      <c r="A607" s="67"/>
      <c r="B607" s="138"/>
      <c r="C607" s="138"/>
      <c r="D607" s="138"/>
      <c r="E607" s="138"/>
      <c r="F607" s="138"/>
      <c r="G607" s="138"/>
      <c r="H607" s="138"/>
      <c r="I607" s="138"/>
      <c r="J607" s="138"/>
      <c r="K607" s="138"/>
      <c r="L607" s="138"/>
      <c r="M607" s="138"/>
      <c r="N607" s="138"/>
      <c r="O607" s="138"/>
      <c r="P607" s="138"/>
      <c r="Q607" s="138"/>
      <c r="R607" s="139"/>
      <c r="S607" s="176"/>
      <c r="T607" s="835"/>
      <c r="U607" s="835"/>
      <c r="V607" s="835"/>
      <c r="W607" s="835"/>
      <c r="X607" s="835"/>
      <c r="Y607" s="255">
        <f t="shared" si="290"/>
        <v>0</v>
      </c>
      <c r="Z607" s="309">
        <f t="shared" si="291"/>
        <v>0</v>
      </c>
      <c r="AA607" s="256">
        <f t="shared" si="288"/>
        <v>0</v>
      </c>
      <c r="AB607" s="309"/>
      <c r="AC607" s="309"/>
      <c r="AD607" s="320">
        <f t="shared" si="289"/>
        <v>0</v>
      </c>
      <c r="AF607" s="11"/>
      <c r="AG607" s="579"/>
      <c r="AH607" s="64">
        <f t="shared" si="292"/>
        <v>43388</v>
      </c>
      <c r="AI607" s="698"/>
      <c r="AJ607" s="699"/>
      <c r="AK607" s="699"/>
      <c r="AL607" s="699"/>
      <c r="AM607" s="699"/>
      <c r="AN607" s="699"/>
      <c r="AO607" s="699"/>
      <c r="AP607" s="699"/>
      <c r="AQ607" s="699"/>
      <c r="AR607" s="699"/>
      <c r="AS607" s="699"/>
      <c r="AT607" s="699"/>
      <c r="AU607" s="699"/>
      <c r="AV607" s="699"/>
      <c r="AW607" s="699"/>
      <c r="AX607" s="700"/>
      <c r="AY607" s="700"/>
      <c r="AZ607" s="701"/>
    </row>
    <row r="608" spans="1:52" ht="30.75" thickBot="1">
      <c r="A608" s="67"/>
      <c r="B608" s="138"/>
      <c r="C608" s="138"/>
      <c r="D608" s="138"/>
      <c r="E608" s="138"/>
      <c r="F608" s="138"/>
      <c r="G608" s="138"/>
      <c r="H608" s="138"/>
      <c r="I608" s="138"/>
      <c r="J608" s="138"/>
      <c r="K608" s="138"/>
      <c r="L608" s="138"/>
      <c r="M608" s="138"/>
      <c r="N608" s="138"/>
      <c r="O608" s="138"/>
      <c r="P608" s="138"/>
      <c r="Q608" s="138"/>
      <c r="R608" s="139"/>
      <c r="S608" s="176"/>
      <c r="T608" s="835"/>
      <c r="U608" s="835"/>
      <c r="V608" s="835"/>
      <c r="W608" s="835"/>
      <c r="X608" s="835"/>
      <c r="Y608" s="255">
        <f t="shared" si="290"/>
        <v>0</v>
      </c>
      <c r="Z608" s="309">
        <f t="shared" si="291"/>
        <v>0</v>
      </c>
      <c r="AA608" s="256">
        <f t="shared" si="288"/>
        <v>0</v>
      </c>
      <c r="AB608" s="309"/>
      <c r="AC608" s="309"/>
      <c r="AD608" s="320">
        <f t="shared" si="289"/>
        <v>0</v>
      </c>
      <c r="AF608" s="11"/>
      <c r="AG608" s="579"/>
      <c r="AH608" s="64">
        <f t="shared" si="292"/>
        <v>43389</v>
      </c>
      <c r="AI608" s="698"/>
      <c r="AJ608" s="699"/>
      <c r="AK608" s="699"/>
      <c r="AL608" s="699"/>
      <c r="AM608" s="699"/>
      <c r="AN608" s="699"/>
      <c r="AO608" s="699"/>
      <c r="AP608" s="699"/>
      <c r="AQ608" s="699"/>
      <c r="AR608" s="699"/>
      <c r="AS608" s="699"/>
      <c r="AT608" s="699"/>
      <c r="AU608" s="699"/>
      <c r="AV608" s="699"/>
      <c r="AW608" s="699"/>
      <c r="AX608" s="700"/>
      <c r="AY608" s="700"/>
      <c r="AZ608" s="701"/>
    </row>
    <row r="609" spans="1:52" ht="30.75" thickBot="1">
      <c r="A609" s="67"/>
      <c r="B609" s="138"/>
      <c r="C609" s="138"/>
      <c r="D609" s="138"/>
      <c r="E609" s="138"/>
      <c r="F609" s="138"/>
      <c r="G609" s="138"/>
      <c r="H609" s="138"/>
      <c r="I609" s="138"/>
      <c r="J609" s="138"/>
      <c r="K609" s="138"/>
      <c r="L609" s="138"/>
      <c r="M609" s="138"/>
      <c r="N609" s="138"/>
      <c r="O609" s="138"/>
      <c r="P609" s="138"/>
      <c r="Q609" s="138"/>
      <c r="R609" s="139"/>
      <c r="S609" s="176"/>
      <c r="T609" s="835"/>
      <c r="U609" s="835"/>
      <c r="V609" s="835"/>
      <c r="W609" s="835"/>
      <c r="X609" s="835"/>
      <c r="Y609" s="255">
        <f t="shared" si="290"/>
        <v>0</v>
      </c>
      <c r="Z609" s="309">
        <f t="shared" si="291"/>
        <v>0</v>
      </c>
      <c r="AA609" s="256">
        <f t="shared" si="288"/>
        <v>0</v>
      </c>
      <c r="AB609" s="309"/>
      <c r="AC609" s="309"/>
      <c r="AD609" s="320">
        <f>AA609-AB609-AC609</f>
        <v>0</v>
      </c>
      <c r="AF609" s="11"/>
      <c r="AG609" s="579"/>
      <c r="AH609" s="64">
        <f t="shared" si="292"/>
        <v>43390</v>
      </c>
      <c r="AI609" s="698"/>
      <c r="AJ609" s="699"/>
      <c r="AK609" s="699"/>
      <c r="AL609" s="699"/>
      <c r="AM609" s="699"/>
      <c r="AN609" s="699"/>
      <c r="AO609" s="699"/>
      <c r="AP609" s="699"/>
      <c r="AQ609" s="699"/>
      <c r="AR609" s="699"/>
      <c r="AS609" s="699"/>
      <c r="AT609" s="699"/>
      <c r="AU609" s="699"/>
      <c r="AV609" s="699"/>
      <c r="AW609" s="699"/>
      <c r="AX609" s="700"/>
      <c r="AY609" s="700"/>
      <c r="AZ609" s="701"/>
    </row>
    <row r="610" spans="1:52" ht="30.75" thickBot="1">
      <c r="A610" s="67"/>
      <c r="B610" s="138"/>
      <c r="C610" s="138"/>
      <c r="D610" s="138"/>
      <c r="E610" s="138"/>
      <c r="F610" s="138"/>
      <c r="G610" s="138"/>
      <c r="H610" s="138"/>
      <c r="I610" s="138"/>
      <c r="J610" s="138"/>
      <c r="K610" s="138"/>
      <c r="L610" s="138"/>
      <c r="M610" s="138"/>
      <c r="N610" s="138"/>
      <c r="O610" s="138"/>
      <c r="P610" s="138"/>
      <c r="Q610" s="138"/>
      <c r="R610" s="139"/>
      <c r="S610" s="176"/>
      <c r="T610" s="835"/>
      <c r="U610" s="835"/>
      <c r="V610" s="835"/>
      <c r="W610" s="835"/>
      <c r="X610" s="835"/>
      <c r="Y610" s="255">
        <f t="shared" si="290"/>
        <v>0</v>
      </c>
      <c r="Z610" s="309">
        <f t="shared" si="291"/>
        <v>0</v>
      </c>
      <c r="AA610" s="256">
        <f t="shared" si="288"/>
        <v>0</v>
      </c>
      <c r="AB610" s="309"/>
      <c r="AC610" s="309"/>
      <c r="AD610" s="320">
        <f>AA610-AB610-AC610</f>
        <v>0</v>
      </c>
      <c r="AF610" s="11"/>
      <c r="AG610" s="579"/>
      <c r="AH610" s="64">
        <f t="shared" si="292"/>
        <v>43391</v>
      </c>
      <c r="AI610" s="698"/>
      <c r="AJ610" s="699"/>
      <c r="AK610" s="699"/>
      <c r="AL610" s="699"/>
      <c r="AM610" s="699"/>
      <c r="AN610" s="699"/>
      <c r="AO610" s="699"/>
      <c r="AP610" s="699"/>
      <c r="AQ610" s="699"/>
      <c r="AR610" s="699"/>
      <c r="AS610" s="699"/>
      <c r="AT610" s="699"/>
      <c r="AU610" s="699"/>
      <c r="AV610" s="699"/>
      <c r="AW610" s="699"/>
      <c r="AX610" s="700"/>
      <c r="AY610" s="700"/>
      <c r="AZ610" s="701"/>
    </row>
    <row r="611" spans="1:52" ht="30.75" thickBot="1">
      <c r="A611" s="67"/>
      <c r="B611" s="138"/>
      <c r="C611" s="138"/>
      <c r="D611" s="138"/>
      <c r="E611" s="138"/>
      <c r="F611" s="138"/>
      <c r="G611" s="138"/>
      <c r="H611" s="138"/>
      <c r="I611" s="138"/>
      <c r="J611" s="138"/>
      <c r="K611" s="138"/>
      <c r="L611" s="138"/>
      <c r="M611" s="138"/>
      <c r="N611" s="138"/>
      <c r="O611" s="138"/>
      <c r="P611" s="138"/>
      <c r="Q611" s="138"/>
      <c r="R611" s="139"/>
      <c r="S611" s="176"/>
      <c r="T611" s="835"/>
      <c r="U611" s="835"/>
      <c r="V611" s="835"/>
      <c r="W611" s="835"/>
      <c r="X611" s="835"/>
      <c r="Y611" s="255">
        <f t="shared" si="290"/>
        <v>0</v>
      </c>
      <c r="Z611" s="309">
        <f t="shared" si="291"/>
        <v>0</v>
      </c>
      <c r="AA611" s="256">
        <f t="shared" si="288"/>
        <v>0</v>
      </c>
      <c r="AB611" s="309"/>
      <c r="AC611" s="309"/>
      <c r="AD611" s="320">
        <f t="shared" si="289"/>
        <v>0</v>
      </c>
      <c r="AF611" s="11"/>
      <c r="AG611" s="579"/>
      <c r="AH611" s="64">
        <f t="shared" si="292"/>
        <v>43392</v>
      </c>
      <c r="AI611" s="698"/>
      <c r="AJ611" s="699"/>
      <c r="AK611" s="699"/>
      <c r="AL611" s="699"/>
      <c r="AM611" s="699"/>
      <c r="AN611" s="699"/>
      <c r="AO611" s="699"/>
      <c r="AP611" s="699"/>
      <c r="AQ611" s="699"/>
      <c r="AR611" s="699"/>
      <c r="AS611" s="699"/>
      <c r="AT611" s="699"/>
      <c r="AU611" s="699"/>
      <c r="AV611" s="699"/>
      <c r="AW611" s="699"/>
      <c r="AX611" s="700"/>
      <c r="AY611" s="700"/>
      <c r="AZ611" s="701"/>
    </row>
    <row r="612" spans="1:52" ht="30.75" thickBot="1">
      <c r="A612" s="67"/>
      <c r="B612" s="138"/>
      <c r="C612" s="138"/>
      <c r="D612" s="138"/>
      <c r="E612" s="138"/>
      <c r="F612" s="138"/>
      <c r="G612" s="138"/>
      <c r="H612" s="138"/>
      <c r="I612" s="138"/>
      <c r="J612" s="138"/>
      <c r="K612" s="138"/>
      <c r="L612" s="138"/>
      <c r="M612" s="138"/>
      <c r="N612" s="138"/>
      <c r="O612" s="138"/>
      <c r="P612" s="138"/>
      <c r="Q612" s="138"/>
      <c r="R612" s="139"/>
      <c r="S612" s="176"/>
      <c r="T612" s="835"/>
      <c r="U612" s="835"/>
      <c r="V612" s="835"/>
      <c r="W612" s="835"/>
      <c r="X612" s="835"/>
      <c r="Y612" s="255">
        <f t="shared" si="290"/>
        <v>0</v>
      </c>
      <c r="Z612" s="309">
        <f t="shared" si="291"/>
        <v>0</v>
      </c>
      <c r="AA612" s="256">
        <f t="shared" si="288"/>
        <v>0</v>
      </c>
      <c r="AB612" s="309"/>
      <c r="AC612" s="309"/>
      <c r="AD612" s="320">
        <f t="shared" si="289"/>
        <v>0</v>
      </c>
      <c r="AF612" s="11"/>
      <c r="AG612" s="579"/>
      <c r="AH612" s="64">
        <f t="shared" si="292"/>
        <v>43393</v>
      </c>
      <c r="AI612" s="698"/>
      <c r="AJ612" s="699"/>
      <c r="AK612" s="699"/>
      <c r="AL612" s="699"/>
      <c r="AM612" s="699"/>
      <c r="AN612" s="699"/>
      <c r="AO612" s="699"/>
      <c r="AP612" s="699"/>
      <c r="AQ612" s="699"/>
      <c r="AR612" s="699"/>
      <c r="AS612" s="699"/>
      <c r="AT612" s="699"/>
      <c r="AU612" s="699"/>
      <c r="AV612" s="699"/>
      <c r="AW612" s="699"/>
      <c r="AX612" s="700"/>
      <c r="AY612" s="700"/>
      <c r="AZ612" s="701"/>
    </row>
    <row r="613" spans="1:52" ht="30.75" thickBot="1">
      <c r="A613" s="67"/>
      <c r="B613" s="138"/>
      <c r="C613" s="138"/>
      <c r="D613" s="138"/>
      <c r="E613" s="138"/>
      <c r="F613" s="138"/>
      <c r="G613" s="138"/>
      <c r="H613" s="138"/>
      <c r="I613" s="138"/>
      <c r="J613" s="138"/>
      <c r="K613" s="138"/>
      <c r="L613" s="138"/>
      <c r="M613" s="138"/>
      <c r="N613" s="138"/>
      <c r="O613" s="138"/>
      <c r="P613" s="138"/>
      <c r="Q613" s="138"/>
      <c r="R613" s="139"/>
      <c r="S613" s="176"/>
      <c r="T613" s="835"/>
      <c r="U613" s="835"/>
      <c r="V613" s="835"/>
      <c r="W613" s="835"/>
      <c r="X613" s="835"/>
      <c r="Y613" s="255">
        <f t="shared" si="290"/>
        <v>0</v>
      </c>
      <c r="Z613" s="309">
        <f t="shared" si="291"/>
        <v>0</v>
      </c>
      <c r="AA613" s="256">
        <f t="shared" si="288"/>
        <v>0</v>
      </c>
      <c r="AB613" s="309"/>
      <c r="AC613" s="309"/>
      <c r="AD613" s="320">
        <f>AA613-AB613-AC613</f>
        <v>0</v>
      </c>
      <c r="AF613" s="11"/>
      <c r="AG613" s="579"/>
      <c r="AH613" s="64">
        <f t="shared" si="292"/>
        <v>43394</v>
      </c>
      <c r="AI613" s="698"/>
      <c r="AJ613" s="699"/>
      <c r="AK613" s="699"/>
      <c r="AL613" s="699"/>
      <c r="AM613" s="699"/>
      <c r="AN613" s="699"/>
      <c r="AO613" s="699"/>
      <c r="AP613" s="699"/>
      <c r="AQ613" s="699"/>
      <c r="AR613" s="699"/>
      <c r="AS613" s="699"/>
      <c r="AT613" s="699"/>
      <c r="AU613" s="699"/>
      <c r="AV613" s="699"/>
      <c r="AW613" s="699"/>
      <c r="AX613" s="700"/>
      <c r="AY613" s="700"/>
      <c r="AZ613" s="701"/>
    </row>
    <row r="614" spans="1:52" ht="30.75" thickBot="1">
      <c r="A614" s="67"/>
      <c r="B614" s="138"/>
      <c r="C614" s="138"/>
      <c r="D614" s="138"/>
      <c r="E614" s="138"/>
      <c r="F614" s="138"/>
      <c r="G614" s="138"/>
      <c r="H614" s="138"/>
      <c r="I614" s="138"/>
      <c r="J614" s="138"/>
      <c r="K614" s="138"/>
      <c r="L614" s="138"/>
      <c r="M614" s="138"/>
      <c r="N614" s="138"/>
      <c r="O614" s="138"/>
      <c r="P614" s="138"/>
      <c r="Q614" s="138"/>
      <c r="R614" s="139"/>
      <c r="S614" s="176"/>
      <c r="T614" s="835"/>
      <c r="U614" s="835"/>
      <c r="V614" s="835"/>
      <c r="W614" s="835"/>
      <c r="X614" s="835"/>
      <c r="Y614" s="255">
        <f t="shared" si="290"/>
        <v>0</v>
      </c>
      <c r="Z614" s="309">
        <f t="shared" si="291"/>
        <v>0</v>
      </c>
      <c r="AA614" s="256">
        <f t="shared" si="288"/>
        <v>0</v>
      </c>
      <c r="AB614" s="309"/>
      <c r="AC614" s="309"/>
      <c r="AD614" s="320">
        <f t="shared" si="289"/>
        <v>0</v>
      </c>
      <c r="AF614" s="11"/>
      <c r="AG614" s="579"/>
      <c r="AH614" s="64">
        <f t="shared" si="292"/>
        <v>43395</v>
      </c>
      <c r="AI614" s="698"/>
      <c r="AJ614" s="699"/>
      <c r="AK614" s="699"/>
      <c r="AL614" s="699"/>
      <c r="AM614" s="699"/>
      <c r="AN614" s="699"/>
      <c r="AO614" s="699"/>
      <c r="AP614" s="699"/>
      <c r="AQ614" s="699"/>
      <c r="AR614" s="699"/>
      <c r="AS614" s="699"/>
      <c r="AT614" s="699"/>
      <c r="AU614" s="699"/>
      <c r="AV614" s="699"/>
      <c r="AW614" s="699"/>
      <c r="AX614" s="700"/>
      <c r="AY614" s="700"/>
      <c r="AZ614" s="701"/>
    </row>
    <row r="615" spans="1:52" ht="30.75" thickBot="1">
      <c r="A615" s="67"/>
      <c r="B615" s="138"/>
      <c r="C615" s="138"/>
      <c r="D615" s="138"/>
      <c r="E615" s="138"/>
      <c r="F615" s="138"/>
      <c r="G615" s="138"/>
      <c r="H615" s="138"/>
      <c r="I615" s="138"/>
      <c r="J615" s="138"/>
      <c r="K615" s="138"/>
      <c r="L615" s="138"/>
      <c r="M615" s="138"/>
      <c r="N615" s="138"/>
      <c r="O615" s="138"/>
      <c r="P615" s="138"/>
      <c r="Q615" s="138"/>
      <c r="R615" s="139"/>
      <c r="S615" s="176"/>
      <c r="T615" s="835"/>
      <c r="U615" s="835"/>
      <c r="V615" s="835"/>
      <c r="W615" s="835"/>
      <c r="X615" s="835"/>
      <c r="Y615" s="255">
        <f t="shared" si="290"/>
        <v>0</v>
      </c>
      <c r="Z615" s="309">
        <f t="shared" si="291"/>
        <v>0</v>
      </c>
      <c r="AA615" s="256">
        <f t="shared" si="288"/>
        <v>0</v>
      </c>
      <c r="AB615" s="309"/>
      <c r="AC615" s="309"/>
      <c r="AD615" s="320">
        <f t="shared" si="289"/>
        <v>0</v>
      </c>
      <c r="AF615" s="11"/>
      <c r="AG615" s="579"/>
      <c r="AH615" s="64">
        <f t="shared" si="292"/>
        <v>43396</v>
      </c>
      <c r="AI615" s="698"/>
      <c r="AJ615" s="699"/>
      <c r="AK615" s="699"/>
      <c r="AL615" s="699"/>
      <c r="AM615" s="699"/>
      <c r="AN615" s="699"/>
      <c r="AO615" s="699"/>
      <c r="AP615" s="699"/>
      <c r="AQ615" s="699"/>
      <c r="AR615" s="699"/>
      <c r="AS615" s="699"/>
      <c r="AT615" s="699"/>
      <c r="AU615" s="699"/>
      <c r="AV615" s="699"/>
      <c r="AW615" s="699"/>
      <c r="AX615" s="700"/>
      <c r="AY615" s="700"/>
      <c r="AZ615" s="701"/>
    </row>
    <row r="616" spans="1:52" ht="30.75" thickBot="1">
      <c r="A616" s="67"/>
      <c r="B616" s="138"/>
      <c r="C616" s="138"/>
      <c r="D616" s="138"/>
      <c r="E616" s="138"/>
      <c r="F616" s="138"/>
      <c r="G616" s="138"/>
      <c r="H616" s="138"/>
      <c r="I616" s="138"/>
      <c r="J616" s="138"/>
      <c r="K616" s="138"/>
      <c r="L616" s="138"/>
      <c r="M616" s="138"/>
      <c r="N616" s="138"/>
      <c r="O616" s="138"/>
      <c r="P616" s="138"/>
      <c r="Q616" s="138"/>
      <c r="R616" s="139"/>
      <c r="S616" s="176"/>
      <c r="T616" s="835"/>
      <c r="U616" s="835"/>
      <c r="V616" s="835"/>
      <c r="W616" s="835"/>
      <c r="X616" s="835"/>
      <c r="Y616" s="255">
        <f t="shared" si="290"/>
        <v>0</v>
      </c>
      <c r="Z616" s="309">
        <f t="shared" si="291"/>
        <v>0</v>
      </c>
      <c r="AA616" s="256">
        <f t="shared" si="288"/>
        <v>0</v>
      </c>
      <c r="AB616" s="309"/>
      <c r="AC616" s="309"/>
      <c r="AD616" s="320">
        <f t="shared" si="289"/>
        <v>0</v>
      </c>
      <c r="AF616" s="11"/>
      <c r="AG616" s="579"/>
      <c r="AH616" s="64">
        <f t="shared" si="292"/>
        <v>43397</v>
      </c>
      <c r="AI616" s="698"/>
      <c r="AJ616" s="699"/>
      <c r="AK616" s="699"/>
      <c r="AL616" s="699"/>
      <c r="AM616" s="699"/>
      <c r="AN616" s="699"/>
      <c r="AO616" s="699"/>
      <c r="AP616" s="699"/>
      <c r="AQ616" s="699"/>
      <c r="AR616" s="699"/>
      <c r="AS616" s="699"/>
      <c r="AT616" s="699"/>
      <c r="AU616" s="699"/>
      <c r="AV616" s="699"/>
      <c r="AW616" s="699"/>
      <c r="AX616" s="700"/>
      <c r="AY616" s="700"/>
      <c r="AZ616" s="701"/>
    </row>
    <row r="617" spans="1:52" ht="30.75" thickBot="1">
      <c r="A617" s="67"/>
      <c r="B617" s="138"/>
      <c r="C617" s="138"/>
      <c r="D617" s="138"/>
      <c r="E617" s="138"/>
      <c r="F617" s="138"/>
      <c r="G617" s="138"/>
      <c r="H617" s="138"/>
      <c r="I617" s="138"/>
      <c r="J617" s="138"/>
      <c r="K617" s="138"/>
      <c r="L617" s="138"/>
      <c r="M617" s="138"/>
      <c r="N617" s="138"/>
      <c r="O617" s="138"/>
      <c r="P617" s="138"/>
      <c r="Q617" s="138"/>
      <c r="R617" s="139"/>
      <c r="S617" s="176"/>
      <c r="T617" s="835"/>
      <c r="U617" s="835"/>
      <c r="V617" s="835"/>
      <c r="W617" s="835"/>
      <c r="X617" s="835"/>
      <c r="Y617" s="255">
        <f t="shared" si="290"/>
        <v>0</v>
      </c>
      <c r="Z617" s="309">
        <f t="shared" si="291"/>
        <v>0</v>
      </c>
      <c r="AA617" s="256">
        <f t="shared" si="288"/>
        <v>0</v>
      </c>
      <c r="AB617" s="309"/>
      <c r="AC617" s="309"/>
      <c r="AD617" s="320">
        <f t="shared" si="289"/>
        <v>0</v>
      </c>
      <c r="AF617" s="11"/>
      <c r="AG617" s="579"/>
      <c r="AH617" s="64">
        <f t="shared" si="292"/>
        <v>43398</v>
      </c>
      <c r="AI617" s="698"/>
      <c r="AJ617" s="699"/>
      <c r="AK617" s="699"/>
      <c r="AL617" s="699"/>
      <c r="AM617" s="699"/>
      <c r="AN617" s="699"/>
      <c r="AO617" s="699"/>
      <c r="AP617" s="699"/>
      <c r="AQ617" s="699"/>
      <c r="AR617" s="699"/>
      <c r="AS617" s="699"/>
      <c r="AT617" s="699"/>
      <c r="AU617" s="699"/>
      <c r="AV617" s="699"/>
      <c r="AW617" s="699"/>
      <c r="AX617" s="700"/>
      <c r="AY617" s="700"/>
      <c r="AZ617" s="701"/>
    </row>
    <row r="618" spans="1:52" ht="30.75" thickBot="1">
      <c r="A618" s="67"/>
      <c r="B618" s="138"/>
      <c r="C618" s="138"/>
      <c r="D618" s="138"/>
      <c r="E618" s="138"/>
      <c r="F618" s="138"/>
      <c r="G618" s="138"/>
      <c r="H618" s="138"/>
      <c r="I618" s="138"/>
      <c r="J618" s="138"/>
      <c r="K618" s="138"/>
      <c r="L618" s="138"/>
      <c r="M618" s="138"/>
      <c r="N618" s="138"/>
      <c r="O618" s="138"/>
      <c r="P618" s="138"/>
      <c r="Q618" s="138"/>
      <c r="R618" s="139"/>
      <c r="S618" s="176"/>
      <c r="T618" s="835"/>
      <c r="U618" s="835"/>
      <c r="V618" s="835"/>
      <c r="W618" s="835"/>
      <c r="X618" s="835"/>
      <c r="Y618" s="255">
        <f t="shared" si="290"/>
        <v>0</v>
      </c>
      <c r="Z618" s="309">
        <f t="shared" si="291"/>
        <v>0</v>
      </c>
      <c r="AA618" s="256">
        <f t="shared" si="288"/>
        <v>0</v>
      </c>
      <c r="AB618" s="309"/>
      <c r="AC618" s="309"/>
      <c r="AD618" s="320">
        <f t="shared" si="289"/>
        <v>0</v>
      </c>
      <c r="AF618" s="11"/>
      <c r="AG618" s="579"/>
      <c r="AH618" s="64">
        <f t="shared" si="292"/>
        <v>43399</v>
      </c>
      <c r="AI618" s="698"/>
      <c r="AJ618" s="699"/>
      <c r="AK618" s="699"/>
      <c r="AL618" s="699"/>
      <c r="AM618" s="699"/>
      <c r="AN618" s="699"/>
      <c r="AO618" s="699"/>
      <c r="AP618" s="699"/>
      <c r="AQ618" s="699"/>
      <c r="AR618" s="699"/>
      <c r="AS618" s="699"/>
      <c r="AT618" s="699"/>
      <c r="AU618" s="699"/>
      <c r="AV618" s="699"/>
      <c r="AW618" s="699"/>
      <c r="AX618" s="700"/>
      <c r="AY618" s="700"/>
      <c r="AZ618" s="701"/>
    </row>
    <row r="619" spans="1:52" ht="30.75" thickBot="1">
      <c r="A619" s="67"/>
      <c r="B619" s="138"/>
      <c r="C619" s="138"/>
      <c r="D619" s="138"/>
      <c r="E619" s="138"/>
      <c r="F619" s="138"/>
      <c r="G619" s="138"/>
      <c r="H619" s="138"/>
      <c r="I619" s="138"/>
      <c r="J619" s="138"/>
      <c r="K619" s="138"/>
      <c r="L619" s="138"/>
      <c r="M619" s="138"/>
      <c r="N619" s="138"/>
      <c r="O619" s="138"/>
      <c r="P619" s="138"/>
      <c r="Q619" s="138"/>
      <c r="R619" s="139"/>
      <c r="S619" s="176"/>
      <c r="T619" s="835"/>
      <c r="U619" s="835"/>
      <c r="V619" s="835"/>
      <c r="W619" s="835"/>
      <c r="X619" s="835"/>
      <c r="Y619" s="255">
        <f t="shared" si="290"/>
        <v>0</v>
      </c>
      <c r="Z619" s="309">
        <f t="shared" si="291"/>
        <v>0</v>
      </c>
      <c r="AA619" s="256">
        <f t="shared" si="288"/>
        <v>0</v>
      </c>
      <c r="AB619" s="309"/>
      <c r="AC619" s="309"/>
      <c r="AD619" s="320">
        <f t="shared" si="289"/>
        <v>0</v>
      </c>
      <c r="AF619" s="11"/>
      <c r="AG619" s="579"/>
      <c r="AH619" s="64">
        <f t="shared" si="292"/>
        <v>43400</v>
      </c>
      <c r="AI619" s="698"/>
      <c r="AJ619" s="699"/>
      <c r="AK619" s="699"/>
      <c r="AL619" s="699"/>
      <c r="AM619" s="699"/>
      <c r="AN619" s="699"/>
      <c r="AO619" s="699"/>
      <c r="AP619" s="699"/>
      <c r="AQ619" s="699"/>
      <c r="AR619" s="699"/>
      <c r="AS619" s="699"/>
      <c r="AT619" s="699"/>
      <c r="AU619" s="699"/>
      <c r="AV619" s="699"/>
      <c r="AW619" s="699"/>
      <c r="AX619" s="700"/>
      <c r="AY619" s="700"/>
      <c r="AZ619" s="701"/>
    </row>
    <row r="620" spans="1:52" ht="30.75" thickBot="1">
      <c r="A620" s="67"/>
      <c r="B620" s="138"/>
      <c r="C620" s="138"/>
      <c r="D620" s="138"/>
      <c r="E620" s="138"/>
      <c r="F620" s="138"/>
      <c r="G620" s="138"/>
      <c r="H620" s="138"/>
      <c r="I620" s="138"/>
      <c r="J620" s="138"/>
      <c r="K620" s="138"/>
      <c r="L620" s="138"/>
      <c r="M620" s="138"/>
      <c r="N620" s="138"/>
      <c r="O620" s="138"/>
      <c r="P620" s="138"/>
      <c r="Q620" s="138"/>
      <c r="R620" s="139"/>
      <c r="S620" s="176"/>
      <c r="T620" s="835"/>
      <c r="U620" s="835"/>
      <c r="V620" s="835"/>
      <c r="W620" s="835"/>
      <c r="X620" s="835"/>
      <c r="Y620" s="255">
        <f t="shared" si="290"/>
        <v>0</v>
      </c>
      <c r="Z620" s="309">
        <f t="shared" si="291"/>
        <v>0</v>
      </c>
      <c r="AA620" s="256">
        <f t="shared" si="288"/>
        <v>0</v>
      </c>
      <c r="AB620" s="309"/>
      <c r="AC620" s="309"/>
      <c r="AD620" s="320">
        <f t="shared" si="289"/>
        <v>0</v>
      </c>
      <c r="AF620" s="11"/>
      <c r="AG620" s="579"/>
      <c r="AH620" s="64">
        <f t="shared" si="292"/>
        <v>43401</v>
      </c>
      <c r="AI620" s="698"/>
      <c r="AJ620" s="699"/>
      <c r="AK620" s="699"/>
      <c r="AL620" s="699"/>
      <c r="AM620" s="699"/>
      <c r="AN620" s="699"/>
      <c r="AO620" s="699"/>
      <c r="AP620" s="699"/>
      <c r="AQ620" s="699"/>
      <c r="AR620" s="699"/>
      <c r="AS620" s="699"/>
      <c r="AT620" s="699"/>
      <c r="AU620" s="699"/>
      <c r="AV620" s="699"/>
      <c r="AW620" s="699"/>
      <c r="AX620" s="700"/>
      <c r="AY620" s="700"/>
      <c r="AZ620" s="701"/>
    </row>
    <row r="621" spans="1:52" ht="30.75" thickBot="1">
      <c r="A621" s="67"/>
      <c r="B621" s="138"/>
      <c r="C621" s="138"/>
      <c r="D621" s="138"/>
      <c r="E621" s="138"/>
      <c r="F621" s="138"/>
      <c r="G621" s="138"/>
      <c r="H621" s="138"/>
      <c r="I621" s="138"/>
      <c r="J621" s="138"/>
      <c r="K621" s="138"/>
      <c r="L621" s="138"/>
      <c r="M621" s="138"/>
      <c r="N621" s="138"/>
      <c r="O621" s="138"/>
      <c r="P621" s="138"/>
      <c r="Q621" s="138"/>
      <c r="R621" s="139"/>
      <c r="S621" s="176"/>
      <c r="T621" s="835"/>
      <c r="U621" s="835"/>
      <c r="V621" s="835"/>
      <c r="W621" s="835"/>
      <c r="X621" s="835"/>
      <c r="Y621" s="255">
        <f t="shared" si="290"/>
        <v>0</v>
      </c>
      <c r="Z621" s="309">
        <f t="shared" si="291"/>
        <v>0</v>
      </c>
      <c r="AA621" s="256">
        <f t="shared" si="288"/>
        <v>0</v>
      </c>
      <c r="AB621" s="309"/>
      <c r="AC621" s="309"/>
      <c r="AD621" s="320">
        <f t="shared" si="289"/>
        <v>0</v>
      </c>
      <c r="AF621" s="11"/>
      <c r="AG621" s="579"/>
      <c r="AH621" s="64">
        <f>AH620+1</f>
        <v>43402</v>
      </c>
      <c r="AI621" s="698"/>
      <c r="AJ621" s="699"/>
      <c r="AK621" s="699"/>
      <c r="AL621" s="699"/>
      <c r="AM621" s="699"/>
      <c r="AN621" s="699"/>
      <c r="AO621" s="699"/>
      <c r="AP621" s="699"/>
      <c r="AQ621" s="699"/>
      <c r="AR621" s="699"/>
      <c r="AS621" s="699"/>
      <c r="AT621" s="699"/>
      <c r="AU621" s="699"/>
      <c r="AV621" s="699"/>
      <c r="AW621" s="699"/>
      <c r="AX621" s="700"/>
      <c r="AY621" s="700"/>
      <c r="AZ621" s="701"/>
    </row>
    <row r="622" spans="1:52" ht="30.75" thickBot="1">
      <c r="A622" s="67"/>
      <c r="B622" s="138"/>
      <c r="C622" s="138"/>
      <c r="D622" s="138"/>
      <c r="E622" s="138"/>
      <c r="F622" s="138"/>
      <c r="G622" s="138"/>
      <c r="H622" s="138"/>
      <c r="I622" s="138"/>
      <c r="J622" s="138"/>
      <c r="K622" s="138"/>
      <c r="L622" s="138"/>
      <c r="M622" s="138"/>
      <c r="N622" s="138"/>
      <c r="O622" s="138"/>
      <c r="P622" s="138"/>
      <c r="Q622" s="138"/>
      <c r="R622" s="139"/>
      <c r="S622" s="176"/>
      <c r="T622" s="835"/>
      <c r="U622" s="835"/>
      <c r="V622" s="835"/>
      <c r="W622" s="835"/>
      <c r="X622" s="835"/>
      <c r="Y622" s="255">
        <f t="shared" si="290"/>
        <v>0</v>
      </c>
      <c r="Z622" s="309">
        <f t="shared" si="291"/>
        <v>0</v>
      </c>
      <c r="AA622" s="256">
        <f t="shared" si="288"/>
        <v>0</v>
      </c>
      <c r="AB622" s="309"/>
      <c r="AC622" s="309"/>
      <c r="AD622" s="320">
        <f t="shared" si="289"/>
        <v>0</v>
      </c>
      <c r="AF622" s="11"/>
      <c r="AG622" s="579"/>
      <c r="AH622" s="64">
        <f t="shared" si="292"/>
        <v>43403</v>
      </c>
      <c r="AI622" s="698"/>
      <c r="AJ622" s="699"/>
      <c r="AK622" s="699"/>
      <c r="AL622" s="699"/>
      <c r="AM622" s="699"/>
      <c r="AN622" s="699"/>
      <c r="AO622" s="699"/>
      <c r="AP622" s="699"/>
      <c r="AQ622" s="699"/>
      <c r="AR622" s="699"/>
      <c r="AS622" s="699"/>
      <c r="AT622" s="699"/>
      <c r="AU622" s="699"/>
      <c r="AV622" s="699"/>
      <c r="AW622" s="699"/>
      <c r="AX622" s="700"/>
      <c r="AY622" s="700"/>
      <c r="AZ622" s="701"/>
    </row>
    <row r="623" spans="1:52" ht="30.75" thickBot="1">
      <c r="A623" s="102">
        <f t="shared" ref="A595:A623" si="293">A622+1</f>
        <v>1</v>
      </c>
      <c r="B623" s="146"/>
      <c r="C623" s="146"/>
      <c r="D623" s="146"/>
      <c r="E623" s="146"/>
      <c r="F623" s="146"/>
      <c r="G623" s="146"/>
      <c r="H623" s="146"/>
      <c r="I623" s="146"/>
      <c r="J623" s="146"/>
      <c r="K623" s="146"/>
      <c r="L623" s="146"/>
      <c r="M623" s="146"/>
      <c r="N623" s="146"/>
      <c r="O623" s="146"/>
      <c r="P623" s="146"/>
      <c r="Q623" s="146"/>
      <c r="R623" s="147"/>
      <c r="S623" s="178"/>
      <c r="T623" s="831"/>
      <c r="U623" s="831"/>
      <c r="V623" s="831"/>
      <c r="W623" s="831"/>
      <c r="X623" s="831"/>
      <c r="Y623" s="255">
        <f t="shared" si="290"/>
        <v>0</v>
      </c>
      <c r="Z623" s="309">
        <f t="shared" si="291"/>
        <v>0</v>
      </c>
      <c r="AA623" s="256">
        <f t="shared" si="288"/>
        <v>0</v>
      </c>
      <c r="AB623" s="309"/>
      <c r="AC623" s="309">
        <f>Y626</f>
        <v>0</v>
      </c>
      <c r="AD623" s="320">
        <f t="shared" si="289"/>
        <v>0</v>
      </c>
      <c r="AF623" s="11"/>
      <c r="AG623" s="579"/>
      <c r="AH623" s="65">
        <f t="shared" si="292"/>
        <v>43404</v>
      </c>
      <c r="AI623" s="702"/>
      <c r="AJ623" s="703"/>
      <c r="AK623" s="703"/>
      <c r="AL623" s="703"/>
      <c r="AM623" s="703"/>
      <c r="AN623" s="703"/>
      <c r="AO623" s="703"/>
      <c r="AP623" s="703"/>
      <c r="AQ623" s="703"/>
      <c r="AR623" s="703"/>
      <c r="AS623" s="703"/>
      <c r="AT623" s="703"/>
      <c r="AU623" s="703"/>
      <c r="AV623" s="703"/>
      <c r="AW623" s="703"/>
      <c r="AX623" s="704"/>
      <c r="AY623" s="704"/>
      <c r="AZ623" s="705"/>
    </row>
    <row r="624" spans="1:52" ht="50.1" customHeight="1" thickTop="1" thickBot="1">
      <c r="A624" s="96" t="s">
        <v>74</v>
      </c>
      <c r="B624" s="90">
        <f>SUM(B593:B623)</f>
        <v>0</v>
      </c>
      <c r="C624" s="90">
        <f t="shared" ref="C624:Y624" si="294">SUM(C593:C623)</f>
        <v>0</v>
      </c>
      <c r="D624" s="90">
        <f t="shared" si="294"/>
        <v>0</v>
      </c>
      <c r="E624" s="90"/>
      <c r="F624" s="90">
        <f t="shared" si="294"/>
        <v>0</v>
      </c>
      <c r="G624" s="90">
        <f t="shared" si="294"/>
        <v>0</v>
      </c>
      <c r="H624" s="90">
        <f t="shared" si="294"/>
        <v>0</v>
      </c>
      <c r="I624" s="90">
        <f t="shared" si="294"/>
        <v>0</v>
      </c>
      <c r="J624" s="90">
        <f t="shared" si="294"/>
        <v>0</v>
      </c>
      <c r="K624" s="90">
        <f t="shared" si="294"/>
        <v>0</v>
      </c>
      <c r="L624" s="90">
        <f t="shared" si="294"/>
        <v>0</v>
      </c>
      <c r="M624" s="90">
        <f t="shared" si="294"/>
        <v>0</v>
      </c>
      <c r="N624" s="90">
        <f t="shared" si="294"/>
        <v>0</v>
      </c>
      <c r="O624" s="90">
        <f t="shared" si="294"/>
        <v>0</v>
      </c>
      <c r="P624" s="90"/>
      <c r="Q624" s="90">
        <f t="shared" si="294"/>
        <v>0</v>
      </c>
      <c r="R624" s="90">
        <f t="shared" si="294"/>
        <v>0</v>
      </c>
      <c r="S624" s="90">
        <f t="shared" si="294"/>
        <v>0</v>
      </c>
      <c r="T624" s="90"/>
      <c r="U624" s="90"/>
      <c r="V624" s="90"/>
      <c r="W624" s="90"/>
      <c r="X624" s="90"/>
      <c r="Y624" s="292">
        <f t="shared" si="294"/>
        <v>0</v>
      </c>
      <c r="Z624" s="258"/>
      <c r="AA624" s="259"/>
      <c r="AB624" s="316">
        <f>SUM(AB593:AB623)</f>
        <v>0</v>
      </c>
      <c r="AC624" s="316"/>
      <c r="AD624" s="260"/>
      <c r="AF624" s="9"/>
      <c r="AG624" s="10"/>
      <c r="AH624" s="706" t="s">
        <v>101</v>
      </c>
      <c r="AI624" s="707">
        <f>SUM(AI593:AI623)</f>
        <v>0</v>
      </c>
      <c r="AJ624" s="707">
        <f>SUM(AJ593:AJ623)</f>
        <v>0</v>
      </c>
      <c r="AK624" s="707">
        <f t="shared" ref="AK624:AZ624" si="295">SUM(AK593:AK623)</f>
        <v>0</v>
      </c>
      <c r="AL624" s="707">
        <f t="shared" si="295"/>
        <v>0</v>
      </c>
      <c r="AM624" s="707">
        <f t="shared" si="295"/>
        <v>0</v>
      </c>
      <c r="AN624" s="707">
        <f t="shared" si="295"/>
        <v>0</v>
      </c>
      <c r="AO624" s="707">
        <f t="shared" si="295"/>
        <v>0</v>
      </c>
      <c r="AP624" s="707">
        <f t="shared" si="295"/>
        <v>0</v>
      </c>
      <c r="AQ624" s="707">
        <f t="shared" si="295"/>
        <v>0</v>
      </c>
      <c r="AR624" s="707">
        <f t="shared" si="295"/>
        <v>0</v>
      </c>
      <c r="AS624" s="707">
        <f t="shared" si="295"/>
        <v>0</v>
      </c>
      <c r="AT624" s="707">
        <f t="shared" si="295"/>
        <v>0</v>
      </c>
      <c r="AU624" s="707">
        <f t="shared" si="295"/>
        <v>0</v>
      </c>
      <c r="AV624" s="707">
        <f t="shared" si="295"/>
        <v>0</v>
      </c>
      <c r="AW624" s="707">
        <f t="shared" si="295"/>
        <v>0</v>
      </c>
      <c r="AX624" s="707">
        <f t="shared" si="295"/>
        <v>0</v>
      </c>
      <c r="AY624" s="707">
        <f t="shared" si="295"/>
        <v>0</v>
      </c>
      <c r="AZ624" s="707">
        <f t="shared" si="295"/>
        <v>0</v>
      </c>
    </row>
    <row r="625" spans="1:52" ht="50.1" customHeight="1" thickTop="1" thickBot="1">
      <c r="A625" s="148" t="s">
        <v>102</v>
      </c>
      <c r="B625" s="473"/>
      <c r="C625" s="473"/>
      <c r="D625" s="473"/>
      <c r="E625" s="473"/>
      <c r="F625" s="473"/>
      <c r="G625" s="473"/>
      <c r="H625" s="473"/>
      <c r="I625" s="473"/>
      <c r="J625" s="473"/>
      <c r="K625" s="473"/>
      <c r="L625" s="473"/>
      <c r="M625" s="473"/>
      <c r="N625" s="473"/>
      <c r="O625" s="473"/>
      <c r="P625" s="473"/>
      <c r="Q625" s="473"/>
      <c r="R625" s="473"/>
      <c r="S625" s="473"/>
      <c r="T625" s="473"/>
      <c r="U625" s="473"/>
      <c r="V625" s="473"/>
      <c r="W625" s="473"/>
      <c r="X625" s="473"/>
      <c r="Y625" s="279"/>
      <c r="Z625" s="288"/>
      <c r="AA625" s="288"/>
      <c r="AB625" s="268"/>
      <c r="AC625" s="270"/>
      <c r="AD625" s="270"/>
      <c r="AF625" s="8"/>
      <c r="AG625" s="8"/>
      <c r="AH625" s="706" t="s">
        <v>45</v>
      </c>
      <c r="AI625" s="707">
        <v>220</v>
      </c>
      <c r="AJ625" s="707">
        <v>220</v>
      </c>
      <c r="AK625" s="707">
        <v>220</v>
      </c>
      <c r="AL625" s="707">
        <v>100</v>
      </c>
      <c r="AM625" s="707">
        <v>100</v>
      </c>
      <c r="AN625" s="707">
        <v>80</v>
      </c>
      <c r="AO625" s="707">
        <v>25</v>
      </c>
      <c r="AP625" s="707">
        <v>25</v>
      </c>
      <c r="AQ625" s="707">
        <v>25</v>
      </c>
      <c r="AR625" s="707">
        <v>400</v>
      </c>
      <c r="AS625" s="707">
        <v>400</v>
      </c>
      <c r="AT625" s="707">
        <v>400</v>
      </c>
      <c r="AU625" s="707">
        <v>0</v>
      </c>
      <c r="AV625" s="707">
        <v>0</v>
      </c>
      <c r="AW625" s="707">
        <v>200</v>
      </c>
      <c r="AX625" s="707">
        <v>200</v>
      </c>
      <c r="AY625" s="707">
        <v>0</v>
      </c>
      <c r="AZ625" s="707">
        <v>0</v>
      </c>
    </row>
    <row r="626" spans="1:52" ht="50.1" customHeight="1" thickTop="1" thickBot="1">
      <c r="A626" s="101"/>
      <c r="B626" s="90">
        <f>B624*B625</f>
        <v>0</v>
      </c>
      <c r="C626" s="90">
        <f>C624*C625</f>
        <v>0</v>
      </c>
      <c r="D626" s="90">
        <f t="shared" ref="D626:K626" si="296">D624*D625</f>
        <v>0</v>
      </c>
      <c r="E626" s="90"/>
      <c r="F626" s="90">
        <f t="shared" si="296"/>
        <v>0</v>
      </c>
      <c r="G626" s="90">
        <f t="shared" si="296"/>
        <v>0</v>
      </c>
      <c r="H626" s="90">
        <f t="shared" si="296"/>
        <v>0</v>
      </c>
      <c r="I626" s="90">
        <f t="shared" si="296"/>
        <v>0</v>
      </c>
      <c r="J626" s="90">
        <f t="shared" si="296"/>
        <v>0</v>
      </c>
      <c r="K626" s="90">
        <f t="shared" si="296"/>
        <v>0</v>
      </c>
      <c r="L626" s="90">
        <f>L624*L625</f>
        <v>0</v>
      </c>
      <c r="M626" s="90">
        <f t="shared" ref="M626:S626" si="297">M624*M625</f>
        <v>0</v>
      </c>
      <c r="N626" s="90">
        <f t="shared" si="297"/>
        <v>0</v>
      </c>
      <c r="O626" s="90">
        <f t="shared" si="297"/>
        <v>0</v>
      </c>
      <c r="P626" s="90"/>
      <c r="Q626" s="90">
        <f t="shared" si="297"/>
        <v>0</v>
      </c>
      <c r="R626" s="90">
        <f t="shared" si="297"/>
        <v>0</v>
      </c>
      <c r="S626" s="90">
        <f t="shared" si="297"/>
        <v>0</v>
      </c>
      <c r="T626" s="90"/>
      <c r="U626" s="90"/>
      <c r="V626" s="90"/>
      <c r="W626" s="90"/>
      <c r="X626" s="90"/>
      <c r="Y626" s="279">
        <f>SUM(B626:S626)</f>
        <v>0</v>
      </c>
      <c r="Z626" s="288" t="s">
        <v>1</v>
      </c>
      <c r="AA626" s="288"/>
      <c r="AB626" s="268"/>
      <c r="AC626" s="270"/>
      <c r="AD626" s="270"/>
      <c r="AF626" s="8"/>
      <c r="AG626" s="8"/>
      <c r="AH626" s="706" t="s">
        <v>46</v>
      </c>
      <c r="AI626" s="707">
        <f>AI624*AI625</f>
        <v>0</v>
      </c>
      <c r="AJ626" s="707">
        <f t="shared" ref="AJ626" si="298">AJ624*AJ625</f>
        <v>0</v>
      </c>
      <c r="AK626" s="707">
        <f t="shared" ref="AK626" si="299">AK624*AK625</f>
        <v>0</v>
      </c>
      <c r="AL626" s="707">
        <f t="shared" ref="AL626" si="300">AL624*AL625</f>
        <v>0</v>
      </c>
      <c r="AM626" s="707">
        <f t="shared" ref="AM626" si="301">AM624*AM625</f>
        <v>0</v>
      </c>
      <c r="AN626" s="707">
        <f t="shared" ref="AN626" si="302">AN624*AN625</f>
        <v>0</v>
      </c>
      <c r="AO626" s="707">
        <f t="shared" ref="AO626" si="303">AO624*AO625</f>
        <v>0</v>
      </c>
      <c r="AP626" s="707">
        <f t="shared" ref="AP626" si="304">AP624*AP625</f>
        <v>0</v>
      </c>
      <c r="AQ626" s="707">
        <f t="shared" ref="AQ626" si="305">AQ624*AQ625</f>
        <v>0</v>
      </c>
      <c r="AR626" s="707">
        <f t="shared" ref="AR626" si="306">AR624*AR625</f>
        <v>0</v>
      </c>
      <c r="AS626" s="707">
        <f t="shared" ref="AS626" si="307">AS624*AS625</f>
        <v>0</v>
      </c>
      <c r="AT626" s="707">
        <f t="shared" ref="AT626" si="308">AT624*AT625</f>
        <v>0</v>
      </c>
      <c r="AU626" s="707">
        <f t="shared" ref="AU626" si="309">AU624*AU625</f>
        <v>0</v>
      </c>
      <c r="AV626" s="707">
        <f t="shared" ref="AV626" si="310">AV624*AV625</f>
        <v>0</v>
      </c>
      <c r="AW626" s="707">
        <f t="shared" ref="AW626" si="311">AW624*AW625</f>
        <v>0</v>
      </c>
      <c r="AX626" s="707">
        <f t="shared" ref="AX626" si="312">AX624*AX625</f>
        <v>0</v>
      </c>
      <c r="AY626" s="707">
        <f t="shared" ref="AY626" si="313">AY624*AY625</f>
        <v>0</v>
      </c>
      <c r="AZ626" s="707">
        <f t="shared" ref="AZ626" si="314">AZ624*AZ625</f>
        <v>0</v>
      </c>
    </row>
    <row r="627" spans="1:52" ht="27.75" thickTop="1" thickBo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297">
        <f>Y624-Y626</f>
        <v>0</v>
      </c>
      <c r="Z627" s="288"/>
      <c r="AA627" s="288"/>
      <c r="AB627" s="288"/>
      <c r="AC627" s="270"/>
      <c r="AD627" s="270" t="s">
        <v>1</v>
      </c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714">
        <f>SUM(AI626:AZ626)</f>
        <v>0</v>
      </c>
    </row>
    <row r="628" spans="1:52" ht="39.950000000000003" customHeight="1" thickBot="1">
      <c r="A628" s="109">
        <f>A5</f>
        <v>2022</v>
      </c>
      <c r="B628" s="1473"/>
      <c r="C628" s="1474"/>
      <c r="D628" s="1474"/>
      <c r="E628" s="1474"/>
      <c r="F628" s="1474"/>
      <c r="G628" s="1474"/>
      <c r="H628" s="1474"/>
      <c r="I628" s="1474"/>
      <c r="J628" s="1474"/>
      <c r="K628" s="1474"/>
      <c r="L628" s="1474"/>
      <c r="M628" s="1474"/>
      <c r="N628" s="1474"/>
      <c r="O628" s="1474"/>
      <c r="P628" s="1474"/>
      <c r="Q628" s="1474"/>
      <c r="R628" s="1474"/>
      <c r="S628" s="1474"/>
      <c r="T628" s="1474"/>
      <c r="U628" s="1474"/>
      <c r="V628" s="1474"/>
      <c r="W628" s="1474"/>
      <c r="X628" s="1474"/>
      <c r="Y628" s="1475"/>
      <c r="Z628" s="21" t="s">
        <v>1</v>
      </c>
      <c r="AA628" s="21"/>
      <c r="AB628" s="21"/>
      <c r="AF628" s="10"/>
      <c r="AG628" s="21"/>
      <c r="AH628" s="109">
        <v>2018</v>
      </c>
      <c r="AI628" s="1424">
        <f>B628</f>
        <v>0</v>
      </c>
      <c r="AJ628" s="1425"/>
      <c r="AK628" s="1425"/>
      <c r="AL628" s="1425"/>
      <c r="AM628" s="1425"/>
      <c r="AN628" s="1425"/>
      <c r="AO628" s="1425"/>
      <c r="AP628" s="1425"/>
      <c r="AQ628" s="1425"/>
      <c r="AR628" s="1425"/>
      <c r="AS628" s="1425"/>
      <c r="AT628" s="1425"/>
      <c r="AU628" s="1425"/>
      <c r="AV628" s="1425"/>
      <c r="AW628" s="1425"/>
      <c r="AX628" s="1425"/>
      <c r="AY628" s="1425"/>
      <c r="AZ628" s="1425"/>
    </row>
    <row r="629" spans="1:52" ht="60" customHeight="1" thickTop="1" thickBot="1">
      <c r="A629" s="1468" t="s">
        <v>94</v>
      </c>
      <c r="B629" s="1402" t="s">
        <v>95</v>
      </c>
      <c r="C629" s="1403"/>
      <c r="D629" s="1403"/>
      <c r="E629" s="1404"/>
      <c r="F629" s="1402" t="s">
        <v>7</v>
      </c>
      <c r="G629" s="1403"/>
      <c r="H629" s="1404"/>
      <c r="I629" s="1402" t="s">
        <v>8</v>
      </c>
      <c r="J629" s="1404"/>
      <c r="K629" s="1402" t="s">
        <v>9</v>
      </c>
      <c r="L629" s="1403"/>
      <c r="M629" s="1403"/>
      <c r="N629" s="1403"/>
      <c r="O629" s="1403"/>
      <c r="P629" s="1403"/>
      <c r="Q629" s="1403"/>
      <c r="R629" s="1405" t="s">
        <v>10</v>
      </c>
      <c r="S629" s="1406"/>
      <c r="T629" s="1400" t="s">
        <v>289</v>
      </c>
      <c r="U629" s="1401"/>
      <c r="V629" s="842" t="s">
        <v>258</v>
      </c>
      <c r="W629" s="842"/>
      <c r="X629" s="842"/>
      <c r="Y629" s="211"/>
      <c r="Z629" s="21"/>
      <c r="AA629" s="21"/>
      <c r="AB629" s="21"/>
      <c r="AC629" s="21"/>
      <c r="AF629" s="10"/>
      <c r="AG629" s="34"/>
      <c r="AH629" s="1422" t="s">
        <v>94</v>
      </c>
      <c r="AI629" s="1402" t="s">
        <v>95</v>
      </c>
      <c r="AJ629" s="1403"/>
      <c r="AK629" s="1404"/>
      <c r="AL629" s="1402" t="s">
        <v>7</v>
      </c>
      <c r="AM629" s="1403"/>
      <c r="AN629" s="1404"/>
      <c r="AO629" s="1402" t="s">
        <v>8</v>
      </c>
      <c r="AP629" s="1403"/>
      <c r="AQ629" s="1404"/>
      <c r="AR629" s="1402" t="s">
        <v>9</v>
      </c>
      <c r="AS629" s="1403"/>
      <c r="AT629" s="1404"/>
      <c r="AU629" s="1403" t="s">
        <v>9</v>
      </c>
      <c r="AV629" s="1404"/>
      <c r="AW629" s="1429" t="s">
        <v>10</v>
      </c>
      <c r="AX629" s="1430"/>
      <c r="AY629" s="690"/>
      <c r="AZ629" s="404" t="s">
        <v>11</v>
      </c>
    </row>
    <row r="630" spans="1:52" ht="42" thickTop="1" thickBot="1">
      <c r="A630" s="1428"/>
      <c r="B630" s="482" t="s">
        <v>12</v>
      </c>
      <c r="C630" s="482" t="s">
        <v>13</v>
      </c>
      <c r="D630" s="482" t="s">
        <v>14</v>
      </c>
      <c r="E630" s="688" t="s">
        <v>198</v>
      </c>
      <c r="F630" s="482" t="s">
        <v>12</v>
      </c>
      <c r="G630" s="482" t="s">
        <v>13</v>
      </c>
      <c r="H630" s="482" t="s">
        <v>282</v>
      </c>
      <c r="I630" s="482" t="s">
        <v>12</v>
      </c>
      <c r="J630" s="482" t="s">
        <v>16</v>
      </c>
      <c r="K630" s="482" t="s">
        <v>17</v>
      </c>
      <c r="L630" s="482" t="s">
        <v>18</v>
      </c>
      <c r="M630" s="482" t="s">
        <v>19</v>
      </c>
      <c r="N630" s="484" t="s">
        <v>96</v>
      </c>
      <c r="O630" s="484" t="s">
        <v>257</v>
      </c>
      <c r="P630" s="484" t="s">
        <v>254</v>
      </c>
      <c r="Q630" s="484" t="s">
        <v>20</v>
      </c>
      <c r="R630" s="483" t="s">
        <v>14</v>
      </c>
      <c r="S630" s="482" t="s">
        <v>13</v>
      </c>
      <c r="T630" s="846" t="s">
        <v>284</v>
      </c>
      <c r="U630" s="846" t="s">
        <v>288</v>
      </c>
      <c r="V630" s="484" t="s">
        <v>259</v>
      </c>
      <c r="W630" s="484"/>
      <c r="X630" s="484"/>
      <c r="Y630" s="209" t="s">
        <v>90</v>
      </c>
      <c r="Z630" s="210" t="s">
        <v>97</v>
      </c>
      <c r="AA630" s="210" t="s">
        <v>74</v>
      </c>
      <c r="AB630" s="210" t="s">
        <v>98</v>
      </c>
      <c r="AC630" s="210" t="s">
        <v>99</v>
      </c>
      <c r="AD630" s="210" t="s">
        <v>100</v>
      </c>
      <c r="AF630" s="578" t="s">
        <v>1</v>
      </c>
      <c r="AG630" s="4"/>
      <c r="AH630" s="1428"/>
      <c r="AI630" s="482" t="s">
        <v>12</v>
      </c>
      <c r="AJ630" s="482" t="s">
        <v>13</v>
      </c>
      <c r="AK630" s="482" t="s">
        <v>14</v>
      </c>
      <c r="AL630" s="482" t="s">
        <v>12</v>
      </c>
      <c r="AM630" s="482" t="s">
        <v>13</v>
      </c>
      <c r="AN630" s="482" t="s">
        <v>15</v>
      </c>
      <c r="AO630" s="482" t="s">
        <v>12</v>
      </c>
      <c r="AP630" s="482" t="s">
        <v>205</v>
      </c>
      <c r="AQ630" s="482" t="s">
        <v>16</v>
      </c>
      <c r="AR630" s="482" t="s">
        <v>17</v>
      </c>
      <c r="AS630" s="482" t="s">
        <v>18</v>
      </c>
      <c r="AT630" s="482" t="s">
        <v>19</v>
      </c>
      <c r="AU630" s="482" t="s">
        <v>201</v>
      </c>
      <c r="AV630" s="482" t="s">
        <v>20</v>
      </c>
      <c r="AW630" s="482" t="s">
        <v>12</v>
      </c>
      <c r="AX630" s="483" t="s">
        <v>13</v>
      </c>
      <c r="AY630" s="688" t="s">
        <v>198</v>
      </c>
      <c r="AZ630" s="484" t="s">
        <v>96</v>
      </c>
    </row>
    <row r="631" spans="1:52" ht="30.75" thickBot="1">
      <c r="A631" s="67">
        <f>A8</f>
        <v>44866</v>
      </c>
      <c r="B631" s="135"/>
      <c r="C631" s="135"/>
      <c r="D631" s="135"/>
      <c r="E631" s="135"/>
      <c r="F631" s="135"/>
      <c r="G631" s="135"/>
      <c r="H631" s="135"/>
      <c r="I631" s="135"/>
      <c r="J631" s="135"/>
      <c r="K631" s="135"/>
      <c r="L631" s="135"/>
      <c r="M631" s="135"/>
      <c r="N631" s="135"/>
      <c r="O631" s="135"/>
      <c r="P631" s="135"/>
      <c r="Q631" s="135"/>
      <c r="R631" s="136"/>
      <c r="S631" s="175"/>
      <c r="T631" s="830"/>
      <c r="U631" s="830"/>
      <c r="V631" s="830"/>
      <c r="W631" s="830"/>
      <c r="X631" s="830"/>
      <c r="Y631" s="255">
        <f>B631*280+C631*280+D631*280+E631*280+F631*130+G631*130+H631*90+I631*40+J631*35+K631*385+L631*400+M631*400+N631*380+O631*42+P631*80+Q631*200+R631*350+S631*41+T631*30+U631*60</f>
        <v>0</v>
      </c>
      <c r="Z631" s="308"/>
      <c r="AA631" s="263">
        <f t="shared" ref="AA631:AA661" si="315">Y631+Z631</f>
        <v>0</v>
      </c>
      <c r="AB631" s="308"/>
      <c r="AC631" s="308"/>
      <c r="AD631" s="319">
        <f t="shared" ref="AD631:AD661" si="316">AA631-AB631-AC631</f>
        <v>0</v>
      </c>
      <c r="AF631" s="11"/>
      <c r="AG631" s="579"/>
      <c r="AH631" s="63">
        <f>AH593</f>
        <v>43374</v>
      </c>
      <c r="AI631" s="694"/>
      <c r="AJ631" s="695"/>
      <c r="AK631" s="695"/>
      <c r="AL631" s="695"/>
      <c r="AM631" s="695"/>
      <c r="AN631" s="695"/>
      <c r="AO631" s="695"/>
      <c r="AP631" s="695"/>
      <c r="AQ631" s="695"/>
      <c r="AR631" s="695"/>
      <c r="AS631" s="695"/>
      <c r="AT631" s="695"/>
      <c r="AU631" s="695"/>
      <c r="AV631" s="695"/>
      <c r="AW631" s="695"/>
      <c r="AX631" s="696"/>
      <c r="AY631" s="696"/>
      <c r="AZ631" s="697"/>
    </row>
    <row r="632" spans="1:52" ht="30.75" thickBot="1">
      <c r="A632" s="67">
        <f>A631+1</f>
        <v>44867</v>
      </c>
      <c r="B632" s="138"/>
      <c r="C632" s="138"/>
      <c r="D632" s="138"/>
      <c r="E632" s="138"/>
      <c r="F632" s="138"/>
      <c r="G632" s="138"/>
      <c r="H632" s="138"/>
      <c r="I632" s="138"/>
      <c r="J632" s="138"/>
      <c r="K632" s="138"/>
      <c r="L632" s="138"/>
      <c r="M632" s="138"/>
      <c r="N632" s="138"/>
      <c r="O632" s="138"/>
      <c r="P632" s="138"/>
      <c r="Q632" s="138"/>
      <c r="R632" s="139"/>
      <c r="S632" s="176"/>
      <c r="T632" s="835"/>
      <c r="U632" s="835"/>
      <c r="V632" s="835"/>
      <c r="W632" s="835"/>
      <c r="X632" s="835"/>
      <c r="Y632" s="255">
        <f t="shared" ref="Y632:Y661" si="317">B632*280+C632*280+D632*280+E632*280+F632*130+G632*130+H632*90+I632*40+J632*35+K632*385+L632*400+M632*400+N632*380+O632*42+P632*80+Q632*200+R632*350+S632*41+T632*30+U632*60</f>
        <v>0</v>
      </c>
      <c r="Z632" s="309">
        <f t="shared" ref="Z632:Z661" si="318">AD631</f>
        <v>0</v>
      </c>
      <c r="AA632" s="256">
        <f t="shared" si="315"/>
        <v>0</v>
      </c>
      <c r="AB632" s="309"/>
      <c r="AC632" s="309"/>
      <c r="AD632" s="320">
        <f t="shared" si="316"/>
        <v>0</v>
      </c>
      <c r="AF632" s="11"/>
      <c r="AG632" s="579"/>
      <c r="AH632" s="64">
        <f>AH631+1</f>
        <v>43375</v>
      </c>
      <c r="AI632" s="698"/>
      <c r="AJ632" s="699"/>
      <c r="AK632" s="699"/>
      <c r="AL632" s="699"/>
      <c r="AM632" s="699"/>
      <c r="AN632" s="699"/>
      <c r="AO632" s="699"/>
      <c r="AP632" s="699"/>
      <c r="AQ632" s="699"/>
      <c r="AR632" s="699"/>
      <c r="AS632" s="699"/>
      <c r="AT632" s="699"/>
      <c r="AU632" s="699"/>
      <c r="AV632" s="699"/>
      <c r="AW632" s="699"/>
      <c r="AX632" s="700"/>
      <c r="AY632" s="700"/>
      <c r="AZ632" s="701"/>
    </row>
    <row r="633" spans="1:52" ht="30.75" thickBot="1">
      <c r="A633" s="67">
        <f t="shared" ref="A633:A661" si="319">A632+1</f>
        <v>44868</v>
      </c>
      <c r="B633" s="138"/>
      <c r="C633" s="138"/>
      <c r="D633" s="138"/>
      <c r="E633" s="138"/>
      <c r="F633" s="138"/>
      <c r="G633" s="138"/>
      <c r="H633" s="138"/>
      <c r="I633" s="138"/>
      <c r="J633" s="138"/>
      <c r="K633" s="138"/>
      <c r="L633" s="138"/>
      <c r="M633" s="138"/>
      <c r="N633" s="138"/>
      <c r="O633" s="138"/>
      <c r="P633" s="138"/>
      <c r="Q633" s="138"/>
      <c r="R633" s="139"/>
      <c r="S633" s="176"/>
      <c r="T633" s="835"/>
      <c r="U633" s="835"/>
      <c r="V633" s="835"/>
      <c r="W633" s="835"/>
      <c r="X633" s="835"/>
      <c r="Y633" s="255">
        <f t="shared" si="317"/>
        <v>0</v>
      </c>
      <c r="Z633" s="309">
        <f t="shared" si="318"/>
        <v>0</v>
      </c>
      <c r="AA633" s="256">
        <f t="shared" si="315"/>
        <v>0</v>
      </c>
      <c r="AB633" s="309"/>
      <c r="AC633" s="309"/>
      <c r="AD633" s="320">
        <f t="shared" si="316"/>
        <v>0</v>
      </c>
      <c r="AF633" s="11"/>
      <c r="AG633" s="579"/>
      <c r="AH633" s="64">
        <f t="shared" ref="AH633:AH661" si="320">AH632+1</f>
        <v>43376</v>
      </c>
      <c r="AI633" s="698"/>
      <c r="AJ633" s="699"/>
      <c r="AK633" s="699"/>
      <c r="AL633" s="699"/>
      <c r="AM633" s="699"/>
      <c r="AN633" s="699"/>
      <c r="AO633" s="699"/>
      <c r="AP633" s="699"/>
      <c r="AQ633" s="699"/>
      <c r="AR633" s="699"/>
      <c r="AS633" s="699"/>
      <c r="AT633" s="699"/>
      <c r="AU633" s="699"/>
      <c r="AV633" s="699"/>
      <c r="AW633" s="699"/>
      <c r="AX633" s="700"/>
      <c r="AY633" s="700"/>
      <c r="AZ633" s="701"/>
    </row>
    <row r="634" spans="1:52" ht="30.75" thickBot="1">
      <c r="A634" s="67">
        <f t="shared" si="319"/>
        <v>44869</v>
      </c>
      <c r="B634" s="138"/>
      <c r="C634" s="138"/>
      <c r="D634" s="138"/>
      <c r="E634" s="138"/>
      <c r="F634" s="138"/>
      <c r="G634" s="138"/>
      <c r="H634" s="138"/>
      <c r="I634" s="138"/>
      <c r="J634" s="138"/>
      <c r="K634" s="138"/>
      <c r="L634" s="138"/>
      <c r="M634" s="138"/>
      <c r="N634" s="138"/>
      <c r="O634" s="138"/>
      <c r="P634" s="138"/>
      <c r="Q634" s="138"/>
      <c r="R634" s="139"/>
      <c r="S634" s="176"/>
      <c r="T634" s="835"/>
      <c r="U634" s="835"/>
      <c r="V634" s="835"/>
      <c r="W634" s="835"/>
      <c r="X634" s="835"/>
      <c r="Y634" s="255">
        <f t="shared" si="317"/>
        <v>0</v>
      </c>
      <c r="Z634" s="309">
        <f t="shared" si="318"/>
        <v>0</v>
      </c>
      <c r="AA634" s="256">
        <f t="shared" si="315"/>
        <v>0</v>
      </c>
      <c r="AB634" s="309"/>
      <c r="AC634" s="309"/>
      <c r="AD634" s="320">
        <f t="shared" si="316"/>
        <v>0</v>
      </c>
      <c r="AF634" s="11"/>
      <c r="AG634" s="579"/>
      <c r="AH634" s="64">
        <f t="shared" si="320"/>
        <v>43377</v>
      </c>
      <c r="AI634" s="698"/>
      <c r="AJ634" s="699"/>
      <c r="AK634" s="699"/>
      <c r="AL634" s="699"/>
      <c r="AM634" s="699"/>
      <c r="AN634" s="699"/>
      <c r="AO634" s="699"/>
      <c r="AP634" s="699"/>
      <c r="AQ634" s="699"/>
      <c r="AR634" s="699"/>
      <c r="AS634" s="699"/>
      <c r="AT634" s="699"/>
      <c r="AU634" s="699"/>
      <c r="AV634" s="699"/>
      <c r="AW634" s="699"/>
      <c r="AX634" s="700"/>
      <c r="AY634" s="700"/>
      <c r="AZ634" s="701"/>
    </row>
    <row r="635" spans="1:52" ht="30.75" thickBot="1">
      <c r="A635" s="67">
        <f t="shared" si="319"/>
        <v>44870</v>
      </c>
      <c r="B635" s="138"/>
      <c r="C635" s="138"/>
      <c r="D635" s="138"/>
      <c r="E635" s="138"/>
      <c r="F635" s="138"/>
      <c r="G635" s="138"/>
      <c r="H635" s="138"/>
      <c r="I635" s="138"/>
      <c r="J635" s="138"/>
      <c r="K635" s="138"/>
      <c r="L635" s="138"/>
      <c r="M635" s="138"/>
      <c r="N635" s="138"/>
      <c r="O635" s="138"/>
      <c r="P635" s="138"/>
      <c r="Q635" s="138"/>
      <c r="R635" s="139"/>
      <c r="S635" s="176"/>
      <c r="T635" s="835"/>
      <c r="U635" s="835"/>
      <c r="V635" s="835"/>
      <c r="W635" s="835"/>
      <c r="X635" s="835"/>
      <c r="Y635" s="255">
        <f t="shared" si="317"/>
        <v>0</v>
      </c>
      <c r="Z635" s="309">
        <f t="shared" si="318"/>
        <v>0</v>
      </c>
      <c r="AA635" s="256">
        <f t="shared" si="315"/>
        <v>0</v>
      </c>
      <c r="AB635" s="309"/>
      <c r="AC635" s="309"/>
      <c r="AD635" s="320">
        <f t="shared" si="316"/>
        <v>0</v>
      </c>
      <c r="AF635" s="11"/>
      <c r="AG635" s="579"/>
      <c r="AH635" s="64">
        <f t="shared" si="320"/>
        <v>43378</v>
      </c>
      <c r="AI635" s="698"/>
      <c r="AJ635" s="699"/>
      <c r="AK635" s="699"/>
      <c r="AL635" s="699"/>
      <c r="AM635" s="699"/>
      <c r="AN635" s="699"/>
      <c r="AO635" s="699"/>
      <c r="AP635" s="699"/>
      <c r="AQ635" s="699"/>
      <c r="AR635" s="699"/>
      <c r="AS635" s="699"/>
      <c r="AT635" s="699"/>
      <c r="AU635" s="699"/>
      <c r="AV635" s="699"/>
      <c r="AW635" s="699"/>
      <c r="AX635" s="700"/>
      <c r="AY635" s="700"/>
      <c r="AZ635" s="701"/>
    </row>
    <row r="636" spans="1:52" ht="30.75" thickBot="1">
      <c r="A636" s="67">
        <f t="shared" si="319"/>
        <v>44871</v>
      </c>
      <c r="B636" s="138"/>
      <c r="C636" s="138"/>
      <c r="D636" s="138"/>
      <c r="E636" s="138"/>
      <c r="F636" s="138"/>
      <c r="G636" s="138"/>
      <c r="H636" s="138"/>
      <c r="I636" s="138"/>
      <c r="J636" s="138"/>
      <c r="K636" s="138"/>
      <c r="L636" s="138"/>
      <c r="M636" s="138"/>
      <c r="N636" s="138"/>
      <c r="O636" s="138"/>
      <c r="P636" s="138"/>
      <c r="Q636" s="138"/>
      <c r="R636" s="139"/>
      <c r="S636" s="176"/>
      <c r="T636" s="835"/>
      <c r="U636" s="835"/>
      <c r="V636" s="835"/>
      <c r="W636" s="835"/>
      <c r="X636" s="835"/>
      <c r="Y636" s="255">
        <f t="shared" si="317"/>
        <v>0</v>
      </c>
      <c r="Z636" s="309">
        <f t="shared" si="318"/>
        <v>0</v>
      </c>
      <c r="AA636" s="256">
        <f t="shared" si="315"/>
        <v>0</v>
      </c>
      <c r="AB636" s="309"/>
      <c r="AC636" s="309"/>
      <c r="AD636" s="320">
        <f t="shared" si="316"/>
        <v>0</v>
      </c>
      <c r="AF636" s="11"/>
      <c r="AG636" s="579"/>
      <c r="AH636" s="64">
        <f t="shared" si="320"/>
        <v>43379</v>
      </c>
      <c r="AI636" s="698"/>
      <c r="AJ636" s="699"/>
      <c r="AK636" s="699"/>
      <c r="AL636" s="699"/>
      <c r="AM636" s="699"/>
      <c r="AN636" s="699"/>
      <c r="AO636" s="699"/>
      <c r="AP636" s="699"/>
      <c r="AQ636" s="699"/>
      <c r="AR636" s="699"/>
      <c r="AS636" s="699"/>
      <c r="AT636" s="699"/>
      <c r="AU636" s="699"/>
      <c r="AV636" s="699"/>
      <c r="AW636" s="699"/>
      <c r="AX636" s="700"/>
      <c r="AY636" s="700"/>
      <c r="AZ636" s="701"/>
    </row>
    <row r="637" spans="1:52" ht="30.75" thickBot="1">
      <c r="A637" s="67">
        <f t="shared" si="319"/>
        <v>44872</v>
      </c>
      <c r="B637" s="138"/>
      <c r="C637" s="138"/>
      <c r="D637" s="138"/>
      <c r="E637" s="138"/>
      <c r="F637" s="138"/>
      <c r="G637" s="138"/>
      <c r="H637" s="138"/>
      <c r="I637" s="138"/>
      <c r="J637" s="138"/>
      <c r="K637" s="138"/>
      <c r="L637" s="138"/>
      <c r="M637" s="138"/>
      <c r="N637" s="138"/>
      <c r="O637" s="138"/>
      <c r="P637" s="138"/>
      <c r="Q637" s="138"/>
      <c r="R637" s="139"/>
      <c r="S637" s="176"/>
      <c r="T637" s="835"/>
      <c r="U637" s="835"/>
      <c r="V637" s="835"/>
      <c r="W637" s="835"/>
      <c r="X637" s="835"/>
      <c r="Y637" s="255">
        <f t="shared" si="317"/>
        <v>0</v>
      </c>
      <c r="Z637" s="309">
        <f t="shared" si="318"/>
        <v>0</v>
      </c>
      <c r="AA637" s="256">
        <f t="shared" si="315"/>
        <v>0</v>
      </c>
      <c r="AB637" s="309"/>
      <c r="AC637" s="309"/>
      <c r="AD637" s="320">
        <f t="shared" si="316"/>
        <v>0</v>
      </c>
      <c r="AF637" s="11"/>
      <c r="AG637" s="579"/>
      <c r="AH637" s="64">
        <f t="shared" si="320"/>
        <v>43380</v>
      </c>
      <c r="AI637" s="698"/>
      <c r="AJ637" s="699"/>
      <c r="AK637" s="699"/>
      <c r="AL637" s="699"/>
      <c r="AM637" s="699"/>
      <c r="AN637" s="699"/>
      <c r="AO637" s="699"/>
      <c r="AP637" s="699"/>
      <c r="AQ637" s="699"/>
      <c r="AR637" s="699"/>
      <c r="AS637" s="699"/>
      <c r="AT637" s="699"/>
      <c r="AU637" s="699"/>
      <c r="AV637" s="699"/>
      <c r="AW637" s="699"/>
      <c r="AX637" s="700"/>
      <c r="AY637" s="700"/>
      <c r="AZ637" s="701"/>
    </row>
    <row r="638" spans="1:52" ht="30.75" thickBot="1">
      <c r="A638" s="67">
        <f t="shared" si="319"/>
        <v>44873</v>
      </c>
      <c r="B638" s="138"/>
      <c r="C638" s="138"/>
      <c r="D638" s="138"/>
      <c r="E638" s="138"/>
      <c r="F638" s="138"/>
      <c r="G638" s="138"/>
      <c r="H638" s="138"/>
      <c r="I638" s="138"/>
      <c r="J638" s="138"/>
      <c r="K638" s="138"/>
      <c r="L638" s="138"/>
      <c r="M638" s="138"/>
      <c r="N638" s="138"/>
      <c r="O638" s="138"/>
      <c r="P638" s="138"/>
      <c r="Q638" s="138"/>
      <c r="R638" s="139"/>
      <c r="S638" s="176"/>
      <c r="T638" s="835"/>
      <c r="U638" s="835"/>
      <c r="V638" s="835"/>
      <c r="W638" s="835"/>
      <c r="X638" s="835"/>
      <c r="Y638" s="255">
        <f t="shared" si="317"/>
        <v>0</v>
      </c>
      <c r="Z638" s="309">
        <f t="shared" si="318"/>
        <v>0</v>
      </c>
      <c r="AA638" s="256">
        <f t="shared" si="315"/>
        <v>0</v>
      </c>
      <c r="AB638" s="309"/>
      <c r="AC638" s="309"/>
      <c r="AD638" s="320">
        <f t="shared" si="316"/>
        <v>0</v>
      </c>
      <c r="AF638" s="11"/>
      <c r="AG638" s="579"/>
      <c r="AH638" s="64">
        <f t="shared" si="320"/>
        <v>43381</v>
      </c>
      <c r="AI638" s="698"/>
      <c r="AJ638" s="699"/>
      <c r="AK638" s="699"/>
      <c r="AL638" s="699"/>
      <c r="AM638" s="699"/>
      <c r="AN638" s="699"/>
      <c r="AO638" s="699"/>
      <c r="AP638" s="699"/>
      <c r="AQ638" s="699"/>
      <c r="AR638" s="699"/>
      <c r="AS638" s="699"/>
      <c r="AT638" s="699"/>
      <c r="AU638" s="699"/>
      <c r="AV638" s="699"/>
      <c r="AW638" s="699"/>
      <c r="AX638" s="700"/>
      <c r="AY638" s="700"/>
      <c r="AZ638" s="701"/>
    </row>
    <row r="639" spans="1:52" ht="30.75" thickBot="1">
      <c r="A639" s="67">
        <f t="shared" si="319"/>
        <v>44874</v>
      </c>
      <c r="B639" s="138"/>
      <c r="C639" s="138"/>
      <c r="D639" s="138"/>
      <c r="E639" s="138"/>
      <c r="F639" s="138"/>
      <c r="G639" s="138"/>
      <c r="H639" s="138"/>
      <c r="I639" s="138"/>
      <c r="J639" s="138"/>
      <c r="K639" s="138"/>
      <c r="L639" s="138"/>
      <c r="M639" s="138"/>
      <c r="N639" s="138"/>
      <c r="O639" s="138"/>
      <c r="P639" s="138"/>
      <c r="Q639" s="138"/>
      <c r="R639" s="139"/>
      <c r="S639" s="176"/>
      <c r="T639" s="835"/>
      <c r="U639" s="835"/>
      <c r="V639" s="835"/>
      <c r="W639" s="835"/>
      <c r="X639" s="835"/>
      <c r="Y639" s="255">
        <f t="shared" si="317"/>
        <v>0</v>
      </c>
      <c r="Z639" s="309">
        <f t="shared" si="318"/>
        <v>0</v>
      </c>
      <c r="AA639" s="256">
        <f t="shared" si="315"/>
        <v>0</v>
      </c>
      <c r="AB639" s="309"/>
      <c r="AC639" s="309"/>
      <c r="AD639" s="320">
        <f t="shared" si="316"/>
        <v>0</v>
      </c>
      <c r="AF639" s="11"/>
      <c r="AG639" s="579"/>
      <c r="AH639" s="64">
        <f t="shared" si="320"/>
        <v>43382</v>
      </c>
      <c r="AI639" s="698"/>
      <c r="AJ639" s="699"/>
      <c r="AK639" s="699"/>
      <c r="AL639" s="699"/>
      <c r="AM639" s="699"/>
      <c r="AN639" s="699"/>
      <c r="AO639" s="699"/>
      <c r="AP639" s="699"/>
      <c r="AQ639" s="699"/>
      <c r="AR639" s="699"/>
      <c r="AS639" s="699"/>
      <c r="AT639" s="699"/>
      <c r="AU639" s="699"/>
      <c r="AV639" s="699"/>
      <c r="AW639" s="699"/>
      <c r="AX639" s="700"/>
      <c r="AY639" s="700"/>
      <c r="AZ639" s="701"/>
    </row>
    <row r="640" spans="1:52" ht="30.75" thickBot="1">
      <c r="A640" s="67">
        <f t="shared" si="319"/>
        <v>44875</v>
      </c>
      <c r="B640" s="138"/>
      <c r="C640" s="138"/>
      <c r="D640" s="138"/>
      <c r="E640" s="138"/>
      <c r="F640" s="138"/>
      <c r="G640" s="138"/>
      <c r="H640" s="138"/>
      <c r="I640" s="138"/>
      <c r="J640" s="138"/>
      <c r="K640" s="138"/>
      <c r="L640" s="138"/>
      <c r="M640" s="138"/>
      <c r="N640" s="138"/>
      <c r="O640" s="138"/>
      <c r="P640" s="138"/>
      <c r="Q640" s="138"/>
      <c r="R640" s="139"/>
      <c r="S640" s="176"/>
      <c r="T640" s="835"/>
      <c r="U640" s="835"/>
      <c r="V640" s="835"/>
      <c r="W640" s="835"/>
      <c r="X640" s="835"/>
      <c r="Y640" s="255">
        <f t="shared" si="317"/>
        <v>0</v>
      </c>
      <c r="Z640" s="309">
        <f t="shared" si="318"/>
        <v>0</v>
      </c>
      <c r="AA640" s="256">
        <f t="shared" si="315"/>
        <v>0</v>
      </c>
      <c r="AB640" s="309"/>
      <c r="AC640" s="309"/>
      <c r="AD640" s="320">
        <f t="shared" si="316"/>
        <v>0</v>
      </c>
      <c r="AF640" s="11"/>
      <c r="AG640" s="579"/>
      <c r="AH640" s="64">
        <f t="shared" si="320"/>
        <v>43383</v>
      </c>
      <c r="AI640" s="698"/>
      <c r="AJ640" s="699"/>
      <c r="AK640" s="699"/>
      <c r="AL640" s="699"/>
      <c r="AM640" s="699"/>
      <c r="AN640" s="699"/>
      <c r="AO640" s="699"/>
      <c r="AP640" s="699"/>
      <c r="AQ640" s="699"/>
      <c r="AR640" s="699"/>
      <c r="AS640" s="699"/>
      <c r="AT640" s="699"/>
      <c r="AU640" s="699"/>
      <c r="AV640" s="699"/>
      <c r="AW640" s="699"/>
      <c r="AX640" s="700"/>
      <c r="AY640" s="700"/>
      <c r="AZ640" s="701"/>
    </row>
    <row r="641" spans="1:52" ht="30.75" thickBot="1">
      <c r="A641" s="67">
        <f t="shared" si="319"/>
        <v>44876</v>
      </c>
      <c r="B641" s="138"/>
      <c r="C641" s="138"/>
      <c r="D641" s="138"/>
      <c r="E641" s="138"/>
      <c r="F641" s="138"/>
      <c r="G641" s="138"/>
      <c r="H641" s="138"/>
      <c r="I641" s="138"/>
      <c r="J641" s="138"/>
      <c r="K641" s="138"/>
      <c r="L641" s="138"/>
      <c r="M641" s="138"/>
      <c r="N641" s="138"/>
      <c r="O641" s="138"/>
      <c r="P641" s="138"/>
      <c r="Q641" s="138"/>
      <c r="R641" s="139"/>
      <c r="S641" s="176"/>
      <c r="T641" s="835"/>
      <c r="U641" s="835"/>
      <c r="V641" s="835"/>
      <c r="W641" s="835"/>
      <c r="X641" s="835"/>
      <c r="Y641" s="255">
        <f t="shared" si="317"/>
        <v>0</v>
      </c>
      <c r="Z641" s="309">
        <f t="shared" si="318"/>
        <v>0</v>
      </c>
      <c r="AA641" s="256">
        <f t="shared" si="315"/>
        <v>0</v>
      </c>
      <c r="AB641" s="309"/>
      <c r="AC641" s="309"/>
      <c r="AD641" s="320">
        <f t="shared" si="316"/>
        <v>0</v>
      </c>
      <c r="AF641" s="11"/>
      <c r="AG641" s="579"/>
      <c r="AH641" s="64">
        <f t="shared" si="320"/>
        <v>43384</v>
      </c>
      <c r="AI641" s="698"/>
      <c r="AJ641" s="699"/>
      <c r="AK641" s="699"/>
      <c r="AL641" s="699"/>
      <c r="AM641" s="699"/>
      <c r="AN641" s="699"/>
      <c r="AO641" s="699"/>
      <c r="AP641" s="699"/>
      <c r="AQ641" s="699"/>
      <c r="AR641" s="699"/>
      <c r="AS641" s="699"/>
      <c r="AT641" s="699"/>
      <c r="AU641" s="699"/>
      <c r="AV641" s="699"/>
      <c r="AW641" s="699"/>
      <c r="AX641" s="700"/>
      <c r="AY641" s="700"/>
      <c r="AZ641" s="701"/>
    </row>
    <row r="642" spans="1:52" ht="30.75" thickBot="1">
      <c r="A642" s="67">
        <f t="shared" si="319"/>
        <v>44877</v>
      </c>
      <c r="B642" s="138"/>
      <c r="C642" s="138"/>
      <c r="D642" s="138"/>
      <c r="E642" s="138"/>
      <c r="F642" s="138"/>
      <c r="G642" s="138"/>
      <c r="H642" s="138"/>
      <c r="I642" s="138"/>
      <c r="J642" s="138"/>
      <c r="K642" s="138"/>
      <c r="L642" s="138"/>
      <c r="M642" s="138"/>
      <c r="N642" s="138"/>
      <c r="O642" s="138"/>
      <c r="P642" s="138"/>
      <c r="Q642" s="138"/>
      <c r="R642" s="139"/>
      <c r="S642" s="176"/>
      <c r="T642" s="835"/>
      <c r="U642" s="835"/>
      <c r="V642" s="835"/>
      <c r="W642" s="835"/>
      <c r="X642" s="835"/>
      <c r="Y642" s="255">
        <f t="shared" si="317"/>
        <v>0</v>
      </c>
      <c r="Z642" s="309">
        <f t="shared" si="318"/>
        <v>0</v>
      </c>
      <c r="AA642" s="256">
        <f t="shared" si="315"/>
        <v>0</v>
      </c>
      <c r="AB642" s="309"/>
      <c r="AC642" s="309"/>
      <c r="AD642" s="320">
        <f t="shared" si="316"/>
        <v>0</v>
      </c>
      <c r="AF642" s="11"/>
      <c r="AG642" s="579"/>
      <c r="AH642" s="64">
        <f t="shared" si="320"/>
        <v>43385</v>
      </c>
      <c r="AI642" s="698"/>
      <c r="AJ642" s="699"/>
      <c r="AK642" s="699"/>
      <c r="AL642" s="699"/>
      <c r="AM642" s="699"/>
      <c r="AN642" s="699"/>
      <c r="AO642" s="699"/>
      <c r="AP642" s="699"/>
      <c r="AQ642" s="699"/>
      <c r="AR642" s="699"/>
      <c r="AS642" s="699"/>
      <c r="AT642" s="699"/>
      <c r="AU642" s="699"/>
      <c r="AV642" s="699"/>
      <c r="AW642" s="699"/>
      <c r="AX642" s="700"/>
      <c r="AY642" s="700"/>
      <c r="AZ642" s="701"/>
    </row>
    <row r="643" spans="1:52" ht="30.75" thickBot="1">
      <c r="A643" s="67">
        <f t="shared" si="319"/>
        <v>44878</v>
      </c>
      <c r="B643" s="138"/>
      <c r="C643" s="138"/>
      <c r="D643" s="138"/>
      <c r="E643" s="138"/>
      <c r="F643" s="138"/>
      <c r="G643" s="138"/>
      <c r="H643" s="138"/>
      <c r="I643" s="138"/>
      <c r="J643" s="138"/>
      <c r="K643" s="138"/>
      <c r="L643" s="138"/>
      <c r="M643" s="138"/>
      <c r="N643" s="138"/>
      <c r="O643" s="138"/>
      <c r="P643" s="138"/>
      <c r="Q643" s="138"/>
      <c r="R643" s="139"/>
      <c r="S643" s="176"/>
      <c r="T643" s="835"/>
      <c r="U643" s="835"/>
      <c r="V643" s="835"/>
      <c r="W643" s="835"/>
      <c r="X643" s="835"/>
      <c r="Y643" s="255">
        <f t="shared" si="317"/>
        <v>0</v>
      </c>
      <c r="Z643" s="309">
        <f t="shared" si="318"/>
        <v>0</v>
      </c>
      <c r="AA643" s="256">
        <f t="shared" si="315"/>
        <v>0</v>
      </c>
      <c r="AB643" s="309"/>
      <c r="AC643" s="309"/>
      <c r="AD643" s="320">
        <f t="shared" si="316"/>
        <v>0</v>
      </c>
      <c r="AF643" s="11"/>
      <c r="AG643" s="579"/>
      <c r="AH643" s="64">
        <f t="shared" si="320"/>
        <v>43386</v>
      </c>
      <c r="AI643" s="698"/>
      <c r="AJ643" s="699"/>
      <c r="AK643" s="699"/>
      <c r="AL643" s="699"/>
      <c r="AM643" s="699"/>
      <c r="AN643" s="699"/>
      <c r="AO643" s="699"/>
      <c r="AP643" s="699"/>
      <c r="AQ643" s="699"/>
      <c r="AR643" s="699"/>
      <c r="AS643" s="699"/>
      <c r="AT643" s="699"/>
      <c r="AU643" s="699"/>
      <c r="AV643" s="699"/>
      <c r="AW643" s="699"/>
      <c r="AX643" s="700"/>
      <c r="AY643" s="700"/>
      <c r="AZ643" s="701"/>
    </row>
    <row r="644" spans="1:52" ht="30.75" thickBot="1">
      <c r="A644" s="67">
        <f t="shared" si="319"/>
        <v>44879</v>
      </c>
      <c r="B644" s="138"/>
      <c r="C644" s="138"/>
      <c r="D644" s="138"/>
      <c r="E644" s="138"/>
      <c r="F644" s="138"/>
      <c r="G644" s="138"/>
      <c r="H644" s="138"/>
      <c r="I644" s="138"/>
      <c r="J644" s="138"/>
      <c r="K644" s="138"/>
      <c r="L644" s="138"/>
      <c r="M644" s="138"/>
      <c r="N644" s="138"/>
      <c r="O644" s="138"/>
      <c r="P644" s="138"/>
      <c r="Q644" s="138"/>
      <c r="R644" s="139"/>
      <c r="S644" s="176"/>
      <c r="T644" s="835"/>
      <c r="U644" s="835"/>
      <c r="V644" s="835"/>
      <c r="W644" s="835"/>
      <c r="X644" s="835"/>
      <c r="Y644" s="255">
        <f t="shared" si="317"/>
        <v>0</v>
      </c>
      <c r="Z644" s="309">
        <f t="shared" si="318"/>
        <v>0</v>
      </c>
      <c r="AA644" s="256">
        <f t="shared" si="315"/>
        <v>0</v>
      </c>
      <c r="AB644" s="309"/>
      <c r="AC644" s="309"/>
      <c r="AD644" s="320">
        <f t="shared" si="316"/>
        <v>0</v>
      </c>
      <c r="AF644" s="11"/>
      <c r="AG644" s="579"/>
      <c r="AH644" s="64">
        <f t="shared" si="320"/>
        <v>43387</v>
      </c>
      <c r="AI644" s="698"/>
      <c r="AJ644" s="699"/>
      <c r="AK644" s="699"/>
      <c r="AL644" s="699"/>
      <c r="AM644" s="699"/>
      <c r="AN644" s="699"/>
      <c r="AO644" s="699"/>
      <c r="AP644" s="699"/>
      <c r="AQ644" s="699"/>
      <c r="AR644" s="699"/>
      <c r="AS644" s="699"/>
      <c r="AT644" s="699"/>
      <c r="AU644" s="699"/>
      <c r="AV644" s="699"/>
      <c r="AW644" s="699"/>
      <c r="AX644" s="700"/>
      <c r="AY644" s="700"/>
      <c r="AZ644" s="701"/>
    </row>
    <row r="645" spans="1:52" ht="30.75" thickBot="1">
      <c r="A645" s="67">
        <f t="shared" si="319"/>
        <v>44880</v>
      </c>
      <c r="B645" s="138"/>
      <c r="C645" s="138"/>
      <c r="D645" s="138"/>
      <c r="E645" s="138"/>
      <c r="F645" s="138"/>
      <c r="G645" s="138"/>
      <c r="H645" s="138"/>
      <c r="I645" s="138"/>
      <c r="J645" s="138"/>
      <c r="K645" s="138"/>
      <c r="L645" s="138"/>
      <c r="M645" s="138"/>
      <c r="N645" s="138"/>
      <c r="O645" s="138"/>
      <c r="P645" s="138"/>
      <c r="Q645" s="138"/>
      <c r="R645" s="139"/>
      <c r="S645" s="176"/>
      <c r="T645" s="835"/>
      <c r="U645" s="835"/>
      <c r="V645" s="835"/>
      <c r="W645" s="835"/>
      <c r="X645" s="835"/>
      <c r="Y645" s="255">
        <f t="shared" si="317"/>
        <v>0</v>
      </c>
      <c r="Z645" s="309">
        <f t="shared" si="318"/>
        <v>0</v>
      </c>
      <c r="AA645" s="256">
        <f t="shared" si="315"/>
        <v>0</v>
      </c>
      <c r="AB645" s="309"/>
      <c r="AC645" s="309"/>
      <c r="AD645" s="320">
        <f t="shared" si="316"/>
        <v>0</v>
      </c>
      <c r="AF645" s="11"/>
      <c r="AG645" s="579"/>
      <c r="AH645" s="64">
        <f t="shared" si="320"/>
        <v>43388</v>
      </c>
      <c r="AI645" s="698"/>
      <c r="AJ645" s="699"/>
      <c r="AK645" s="699"/>
      <c r="AL645" s="699"/>
      <c r="AM645" s="699"/>
      <c r="AN645" s="699"/>
      <c r="AO645" s="699"/>
      <c r="AP645" s="699"/>
      <c r="AQ645" s="699"/>
      <c r="AR645" s="699"/>
      <c r="AS645" s="699"/>
      <c r="AT645" s="699"/>
      <c r="AU645" s="699"/>
      <c r="AV645" s="699"/>
      <c r="AW645" s="699"/>
      <c r="AX645" s="700"/>
      <c r="AY645" s="700"/>
      <c r="AZ645" s="701"/>
    </row>
    <row r="646" spans="1:52" ht="30.75" thickBot="1">
      <c r="A646" s="67">
        <f t="shared" si="319"/>
        <v>44881</v>
      </c>
      <c r="B646" s="138"/>
      <c r="C646" s="138"/>
      <c r="D646" s="138"/>
      <c r="E646" s="138"/>
      <c r="F646" s="138"/>
      <c r="G646" s="138"/>
      <c r="H646" s="138"/>
      <c r="I646" s="138"/>
      <c r="J646" s="138"/>
      <c r="K646" s="138"/>
      <c r="L646" s="138"/>
      <c r="M646" s="138"/>
      <c r="N646" s="138"/>
      <c r="O646" s="138"/>
      <c r="P646" s="138"/>
      <c r="Q646" s="138"/>
      <c r="R646" s="139"/>
      <c r="S646" s="176"/>
      <c r="T646" s="835"/>
      <c r="U646" s="835"/>
      <c r="V646" s="835"/>
      <c r="W646" s="835"/>
      <c r="X646" s="835"/>
      <c r="Y646" s="255">
        <f t="shared" si="317"/>
        <v>0</v>
      </c>
      <c r="Z646" s="309">
        <f t="shared" si="318"/>
        <v>0</v>
      </c>
      <c r="AA646" s="256">
        <f t="shared" si="315"/>
        <v>0</v>
      </c>
      <c r="AB646" s="309"/>
      <c r="AC646" s="309"/>
      <c r="AD646" s="320">
        <f t="shared" si="316"/>
        <v>0</v>
      </c>
      <c r="AF646" s="11"/>
      <c r="AG646" s="579"/>
      <c r="AH646" s="64">
        <f t="shared" si="320"/>
        <v>43389</v>
      </c>
      <c r="AI646" s="698"/>
      <c r="AJ646" s="699"/>
      <c r="AK646" s="699"/>
      <c r="AL646" s="699"/>
      <c r="AM646" s="699"/>
      <c r="AN646" s="699"/>
      <c r="AO646" s="699"/>
      <c r="AP646" s="699"/>
      <c r="AQ646" s="699"/>
      <c r="AR646" s="699"/>
      <c r="AS646" s="699"/>
      <c r="AT646" s="699"/>
      <c r="AU646" s="699"/>
      <c r="AV646" s="699"/>
      <c r="AW646" s="699"/>
      <c r="AX646" s="700"/>
      <c r="AY646" s="700"/>
      <c r="AZ646" s="701"/>
    </row>
    <row r="647" spans="1:52" ht="30.75" thickBot="1">
      <c r="A647" s="67">
        <f t="shared" si="319"/>
        <v>44882</v>
      </c>
      <c r="B647" s="138"/>
      <c r="C647" s="138"/>
      <c r="D647" s="138"/>
      <c r="E647" s="138"/>
      <c r="F647" s="138"/>
      <c r="G647" s="138"/>
      <c r="H647" s="138"/>
      <c r="I647" s="138"/>
      <c r="J647" s="138"/>
      <c r="K647" s="138"/>
      <c r="L647" s="138"/>
      <c r="M647" s="138"/>
      <c r="N647" s="138"/>
      <c r="O647" s="138"/>
      <c r="P647" s="138"/>
      <c r="Q647" s="138"/>
      <c r="R647" s="139"/>
      <c r="S647" s="176"/>
      <c r="T647" s="835"/>
      <c r="U647" s="835"/>
      <c r="V647" s="835"/>
      <c r="W647" s="835"/>
      <c r="X647" s="835"/>
      <c r="Y647" s="255">
        <f t="shared" si="317"/>
        <v>0</v>
      </c>
      <c r="Z647" s="309">
        <f t="shared" si="318"/>
        <v>0</v>
      </c>
      <c r="AA647" s="256">
        <f t="shared" si="315"/>
        <v>0</v>
      </c>
      <c r="AB647" s="309"/>
      <c r="AC647" s="309"/>
      <c r="AD647" s="320">
        <f t="shared" si="316"/>
        <v>0</v>
      </c>
      <c r="AF647" s="11"/>
      <c r="AG647" s="579"/>
      <c r="AH647" s="64">
        <f t="shared" si="320"/>
        <v>43390</v>
      </c>
      <c r="AI647" s="698"/>
      <c r="AJ647" s="699"/>
      <c r="AK647" s="699"/>
      <c r="AL647" s="699"/>
      <c r="AM647" s="699"/>
      <c r="AN647" s="699"/>
      <c r="AO647" s="699"/>
      <c r="AP647" s="699"/>
      <c r="AQ647" s="699"/>
      <c r="AR647" s="699"/>
      <c r="AS647" s="699"/>
      <c r="AT647" s="699"/>
      <c r="AU647" s="699"/>
      <c r="AV647" s="699"/>
      <c r="AW647" s="699"/>
      <c r="AX647" s="700"/>
      <c r="AY647" s="700"/>
      <c r="AZ647" s="701"/>
    </row>
    <row r="648" spans="1:52" ht="30.75" thickBot="1">
      <c r="A648" s="67">
        <f t="shared" si="319"/>
        <v>44883</v>
      </c>
      <c r="B648" s="138"/>
      <c r="C648" s="138"/>
      <c r="D648" s="138"/>
      <c r="E648" s="138"/>
      <c r="F648" s="138"/>
      <c r="G648" s="138"/>
      <c r="H648" s="138"/>
      <c r="I648" s="138"/>
      <c r="J648" s="138"/>
      <c r="K648" s="138"/>
      <c r="L648" s="138"/>
      <c r="M648" s="138"/>
      <c r="N648" s="138"/>
      <c r="O648" s="138"/>
      <c r="P648" s="138"/>
      <c r="Q648" s="138"/>
      <c r="R648" s="139"/>
      <c r="S648" s="176"/>
      <c r="T648" s="835"/>
      <c r="U648" s="835"/>
      <c r="V648" s="835"/>
      <c r="W648" s="835"/>
      <c r="X648" s="835"/>
      <c r="Y648" s="255">
        <f t="shared" si="317"/>
        <v>0</v>
      </c>
      <c r="Z648" s="309">
        <f t="shared" si="318"/>
        <v>0</v>
      </c>
      <c r="AA648" s="256">
        <f t="shared" si="315"/>
        <v>0</v>
      </c>
      <c r="AB648" s="309"/>
      <c r="AC648" s="309"/>
      <c r="AD648" s="320">
        <f t="shared" si="316"/>
        <v>0</v>
      </c>
      <c r="AF648" s="11"/>
      <c r="AG648" s="579"/>
      <c r="AH648" s="64">
        <f t="shared" si="320"/>
        <v>43391</v>
      </c>
      <c r="AI648" s="698"/>
      <c r="AJ648" s="699"/>
      <c r="AK648" s="699"/>
      <c r="AL648" s="699"/>
      <c r="AM648" s="699"/>
      <c r="AN648" s="699"/>
      <c r="AO648" s="699"/>
      <c r="AP648" s="699"/>
      <c r="AQ648" s="699"/>
      <c r="AR648" s="699"/>
      <c r="AS648" s="699"/>
      <c r="AT648" s="699"/>
      <c r="AU648" s="699"/>
      <c r="AV648" s="699"/>
      <c r="AW648" s="699"/>
      <c r="AX648" s="700"/>
      <c r="AY648" s="700"/>
      <c r="AZ648" s="701"/>
    </row>
    <row r="649" spans="1:52" ht="30.75" thickBot="1">
      <c r="A649" s="67">
        <f t="shared" si="319"/>
        <v>44884</v>
      </c>
      <c r="B649" s="138"/>
      <c r="C649" s="138"/>
      <c r="D649" s="138"/>
      <c r="E649" s="138"/>
      <c r="F649" s="138"/>
      <c r="G649" s="138"/>
      <c r="H649" s="138"/>
      <c r="I649" s="138"/>
      <c r="J649" s="138"/>
      <c r="K649" s="138"/>
      <c r="L649" s="138"/>
      <c r="M649" s="138"/>
      <c r="N649" s="138"/>
      <c r="O649" s="138"/>
      <c r="P649" s="138"/>
      <c r="Q649" s="138"/>
      <c r="R649" s="139"/>
      <c r="S649" s="176"/>
      <c r="T649" s="835"/>
      <c r="U649" s="835"/>
      <c r="V649" s="835"/>
      <c r="W649" s="835"/>
      <c r="X649" s="835"/>
      <c r="Y649" s="255">
        <f t="shared" si="317"/>
        <v>0</v>
      </c>
      <c r="Z649" s="309">
        <f t="shared" si="318"/>
        <v>0</v>
      </c>
      <c r="AA649" s="256">
        <f t="shared" si="315"/>
        <v>0</v>
      </c>
      <c r="AB649" s="309"/>
      <c r="AC649" s="309"/>
      <c r="AD649" s="320">
        <f t="shared" si="316"/>
        <v>0</v>
      </c>
      <c r="AF649" s="11"/>
      <c r="AG649" s="579"/>
      <c r="AH649" s="64">
        <f t="shared" si="320"/>
        <v>43392</v>
      </c>
      <c r="AI649" s="698"/>
      <c r="AJ649" s="699"/>
      <c r="AK649" s="699"/>
      <c r="AL649" s="699"/>
      <c r="AM649" s="699"/>
      <c r="AN649" s="699"/>
      <c r="AO649" s="699"/>
      <c r="AP649" s="699"/>
      <c r="AQ649" s="699"/>
      <c r="AR649" s="699"/>
      <c r="AS649" s="699"/>
      <c r="AT649" s="699"/>
      <c r="AU649" s="699"/>
      <c r="AV649" s="699"/>
      <c r="AW649" s="699"/>
      <c r="AX649" s="700"/>
      <c r="AY649" s="700"/>
      <c r="AZ649" s="701"/>
    </row>
    <row r="650" spans="1:52" ht="30.75" thickBot="1">
      <c r="A650" s="67">
        <f t="shared" si="319"/>
        <v>44885</v>
      </c>
      <c r="B650" s="138"/>
      <c r="C650" s="138"/>
      <c r="D650" s="138"/>
      <c r="E650" s="138"/>
      <c r="F650" s="138"/>
      <c r="G650" s="138"/>
      <c r="H650" s="138"/>
      <c r="I650" s="138"/>
      <c r="J650" s="138"/>
      <c r="K650" s="138"/>
      <c r="L650" s="138"/>
      <c r="M650" s="138"/>
      <c r="N650" s="138"/>
      <c r="O650" s="138"/>
      <c r="P650" s="138"/>
      <c r="Q650" s="138"/>
      <c r="R650" s="139"/>
      <c r="S650" s="176"/>
      <c r="T650" s="835"/>
      <c r="U650" s="835"/>
      <c r="V650" s="835"/>
      <c r="W650" s="835"/>
      <c r="X650" s="835"/>
      <c r="Y650" s="255">
        <f t="shared" si="317"/>
        <v>0</v>
      </c>
      <c r="Z650" s="309">
        <f t="shared" si="318"/>
        <v>0</v>
      </c>
      <c r="AA650" s="256">
        <f t="shared" si="315"/>
        <v>0</v>
      </c>
      <c r="AB650" s="309"/>
      <c r="AC650" s="309"/>
      <c r="AD650" s="320">
        <f t="shared" si="316"/>
        <v>0</v>
      </c>
      <c r="AF650" s="11"/>
      <c r="AG650" s="579"/>
      <c r="AH650" s="64">
        <f t="shared" si="320"/>
        <v>43393</v>
      </c>
      <c r="AI650" s="698"/>
      <c r="AJ650" s="699"/>
      <c r="AK650" s="699"/>
      <c r="AL650" s="699"/>
      <c r="AM650" s="699"/>
      <c r="AN650" s="699"/>
      <c r="AO650" s="699"/>
      <c r="AP650" s="699"/>
      <c r="AQ650" s="699"/>
      <c r="AR650" s="699"/>
      <c r="AS650" s="699"/>
      <c r="AT650" s="699"/>
      <c r="AU650" s="699"/>
      <c r="AV650" s="699"/>
      <c r="AW650" s="699"/>
      <c r="AX650" s="700"/>
      <c r="AY650" s="700"/>
      <c r="AZ650" s="701"/>
    </row>
    <row r="651" spans="1:52" ht="30.75" thickBot="1">
      <c r="A651" s="67">
        <f t="shared" si="319"/>
        <v>44886</v>
      </c>
      <c r="B651" s="138"/>
      <c r="C651" s="138"/>
      <c r="D651" s="138"/>
      <c r="E651" s="138"/>
      <c r="F651" s="138"/>
      <c r="G651" s="138"/>
      <c r="H651" s="138"/>
      <c r="I651" s="138"/>
      <c r="J651" s="138"/>
      <c r="K651" s="138"/>
      <c r="L651" s="138"/>
      <c r="M651" s="138"/>
      <c r="N651" s="138"/>
      <c r="O651" s="138"/>
      <c r="P651" s="138"/>
      <c r="Q651" s="138"/>
      <c r="R651" s="139"/>
      <c r="S651" s="176"/>
      <c r="T651" s="835"/>
      <c r="U651" s="835"/>
      <c r="V651" s="835"/>
      <c r="W651" s="835"/>
      <c r="X651" s="835"/>
      <c r="Y651" s="255">
        <f t="shared" si="317"/>
        <v>0</v>
      </c>
      <c r="Z651" s="309">
        <f t="shared" si="318"/>
        <v>0</v>
      </c>
      <c r="AA651" s="256">
        <f t="shared" si="315"/>
        <v>0</v>
      </c>
      <c r="AB651" s="309"/>
      <c r="AC651" s="309"/>
      <c r="AD651" s="320">
        <f t="shared" si="316"/>
        <v>0</v>
      </c>
      <c r="AF651" s="11"/>
      <c r="AG651" s="579"/>
      <c r="AH651" s="64">
        <f t="shared" si="320"/>
        <v>43394</v>
      </c>
      <c r="AI651" s="698"/>
      <c r="AJ651" s="699"/>
      <c r="AK651" s="699"/>
      <c r="AL651" s="699"/>
      <c r="AM651" s="699"/>
      <c r="AN651" s="699"/>
      <c r="AO651" s="699"/>
      <c r="AP651" s="699"/>
      <c r="AQ651" s="699"/>
      <c r="AR651" s="699"/>
      <c r="AS651" s="699"/>
      <c r="AT651" s="699"/>
      <c r="AU651" s="699"/>
      <c r="AV651" s="699"/>
      <c r="AW651" s="699"/>
      <c r="AX651" s="700"/>
      <c r="AY651" s="700"/>
      <c r="AZ651" s="701"/>
    </row>
    <row r="652" spans="1:52" ht="30.75" thickBot="1">
      <c r="A652" s="67">
        <f t="shared" si="319"/>
        <v>44887</v>
      </c>
      <c r="B652" s="138"/>
      <c r="C652" s="138"/>
      <c r="D652" s="138"/>
      <c r="E652" s="138"/>
      <c r="F652" s="138"/>
      <c r="G652" s="138"/>
      <c r="H652" s="138"/>
      <c r="I652" s="138"/>
      <c r="J652" s="138"/>
      <c r="K652" s="138"/>
      <c r="L652" s="138"/>
      <c r="M652" s="138"/>
      <c r="N652" s="138"/>
      <c r="O652" s="138"/>
      <c r="P652" s="138"/>
      <c r="Q652" s="138"/>
      <c r="R652" s="139"/>
      <c r="S652" s="176"/>
      <c r="T652" s="835"/>
      <c r="U652" s="835"/>
      <c r="V652" s="835"/>
      <c r="W652" s="835"/>
      <c r="X652" s="835"/>
      <c r="Y652" s="255">
        <f t="shared" si="317"/>
        <v>0</v>
      </c>
      <c r="Z652" s="309">
        <f t="shared" si="318"/>
        <v>0</v>
      </c>
      <c r="AA652" s="256">
        <f t="shared" si="315"/>
        <v>0</v>
      </c>
      <c r="AB652" s="309"/>
      <c r="AC652" s="309"/>
      <c r="AD652" s="320">
        <f t="shared" si="316"/>
        <v>0</v>
      </c>
      <c r="AF652" s="11"/>
      <c r="AG652" s="579"/>
      <c r="AH652" s="64">
        <f t="shared" si="320"/>
        <v>43395</v>
      </c>
      <c r="AI652" s="698"/>
      <c r="AJ652" s="699"/>
      <c r="AK652" s="699"/>
      <c r="AL652" s="699"/>
      <c r="AM652" s="699"/>
      <c r="AN652" s="699"/>
      <c r="AO652" s="699"/>
      <c r="AP652" s="699"/>
      <c r="AQ652" s="699"/>
      <c r="AR652" s="699"/>
      <c r="AS652" s="699"/>
      <c r="AT652" s="699"/>
      <c r="AU652" s="699"/>
      <c r="AV652" s="699"/>
      <c r="AW652" s="699"/>
      <c r="AX652" s="700"/>
      <c r="AY652" s="700"/>
      <c r="AZ652" s="701"/>
    </row>
    <row r="653" spans="1:52" ht="30.75" thickBot="1">
      <c r="A653" s="67">
        <f t="shared" si="319"/>
        <v>44888</v>
      </c>
      <c r="B653" s="138"/>
      <c r="C653" s="138"/>
      <c r="D653" s="138"/>
      <c r="E653" s="138"/>
      <c r="F653" s="138"/>
      <c r="G653" s="138"/>
      <c r="H653" s="138"/>
      <c r="I653" s="138"/>
      <c r="J653" s="138"/>
      <c r="K653" s="138"/>
      <c r="L653" s="138"/>
      <c r="M653" s="138"/>
      <c r="N653" s="138"/>
      <c r="O653" s="138"/>
      <c r="P653" s="138"/>
      <c r="Q653" s="138"/>
      <c r="R653" s="139"/>
      <c r="S653" s="176"/>
      <c r="T653" s="835"/>
      <c r="U653" s="835"/>
      <c r="V653" s="835"/>
      <c r="W653" s="835"/>
      <c r="X653" s="835"/>
      <c r="Y653" s="255">
        <f t="shared" si="317"/>
        <v>0</v>
      </c>
      <c r="Z653" s="309">
        <f t="shared" si="318"/>
        <v>0</v>
      </c>
      <c r="AA653" s="256">
        <f t="shared" si="315"/>
        <v>0</v>
      </c>
      <c r="AB653" s="309"/>
      <c r="AC653" s="309"/>
      <c r="AD653" s="320">
        <f t="shared" si="316"/>
        <v>0</v>
      </c>
      <c r="AF653" s="11"/>
      <c r="AG653" s="579"/>
      <c r="AH653" s="64">
        <f t="shared" si="320"/>
        <v>43396</v>
      </c>
      <c r="AI653" s="698"/>
      <c r="AJ653" s="699"/>
      <c r="AK653" s="699"/>
      <c r="AL653" s="699"/>
      <c r="AM653" s="699"/>
      <c r="AN653" s="699"/>
      <c r="AO653" s="699"/>
      <c r="AP653" s="699"/>
      <c r="AQ653" s="699"/>
      <c r="AR653" s="699"/>
      <c r="AS653" s="699"/>
      <c r="AT653" s="699"/>
      <c r="AU653" s="699"/>
      <c r="AV653" s="699"/>
      <c r="AW653" s="699"/>
      <c r="AX653" s="700"/>
      <c r="AY653" s="700"/>
      <c r="AZ653" s="701"/>
    </row>
    <row r="654" spans="1:52" ht="30.75" thickBot="1">
      <c r="A654" s="67">
        <f t="shared" si="319"/>
        <v>44889</v>
      </c>
      <c r="B654" s="138"/>
      <c r="C654" s="138"/>
      <c r="D654" s="138"/>
      <c r="E654" s="138"/>
      <c r="F654" s="138"/>
      <c r="G654" s="138"/>
      <c r="H654" s="138"/>
      <c r="I654" s="138"/>
      <c r="J654" s="138"/>
      <c r="K654" s="138"/>
      <c r="L654" s="138"/>
      <c r="M654" s="138"/>
      <c r="N654" s="138"/>
      <c r="O654" s="138"/>
      <c r="P654" s="138"/>
      <c r="Q654" s="138"/>
      <c r="R654" s="139"/>
      <c r="S654" s="176"/>
      <c r="T654" s="835"/>
      <c r="U654" s="835"/>
      <c r="V654" s="835"/>
      <c r="W654" s="835"/>
      <c r="X654" s="835"/>
      <c r="Y654" s="255">
        <f t="shared" si="317"/>
        <v>0</v>
      </c>
      <c r="Z654" s="309">
        <f t="shared" si="318"/>
        <v>0</v>
      </c>
      <c r="AA654" s="256">
        <f t="shared" si="315"/>
        <v>0</v>
      </c>
      <c r="AB654" s="309"/>
      <c r="AC654" s="309"/>
      <c r="AD654" s="320">
        <f t="shared" si="316"/>
        <v>0</v>
      </c>
      <c r="AF654" s="11"/>
      <c r="AG654" s="579"/>
      <c r="AH654" s="64">
        <f t="shared" si="320"/>
        <v>43397</v>
      </c>
      <c r="AI654" s="698"/>
      <c r="AJ654" s="699"/>
      <c r="AK654" s="699"/>
      <c r="AL654" s="699"/>
      <c r="AM654" s="699"/>
      <c r="AN654" s="699"/>
      <c r="AO654" s="699"/>
      <c r="AP654" s="699"/>
      <c r="AQ654" s="699"/>
      <c r="AR654" s="699"/>
      <c r="AS654" s="699"/>
      <c r="AT654" s="699"/>
      <c r="AU654" s="699"/>
      <c r="AV654" s="699"/>
      <c r="AW654" s="699"/>
      <c r="AX654" s="700"/>
      <c r="AY654" s="700"/>
      <c r="AZ654" s="701"/>
    </row>
    <row r="655" spans="1:52" ht="30.75" thickBot="1">
      <c r="A655" s="67">
        <f t="shared" si="319"/>
        <v>44890</v>
      </c>
      <c r="B655" s="138"/>
      <c r="C655" s="138"/>
      <c r="D655" s="138"/>
      <c r="E655" s="138"/>
      <c r="F655" s="138"/>
      <c r="G655" s="138"/>
      <c r="H655" s="138"/>
      <c r="I655" s="138"/>
      <c r="J655" s="138"/>
      <c r="K655" s="138"/>
      <c r="L655" s="138"/>
      <c r="M655" s="138"/>
      <c r="N655" s="138"/>
      <c r="O655" s="138"/>
      <c r="P655" s="138"/>
      <c r="Q655" s="138"/>
      <c r="R655" s="139"/>
      <c r="S655" s="176"/>
      <c r="T655" s="835"/>
      <c r="U655" s="835"/>
      <c r="V655" s="835"/>
      <c r="W655" s="835"/>
      <c r="X655" s="835"/>
      <c r="Y655" s="255">
        <f t="shared" si="317"/>
        <v>0</v>
      </c>
      <c r="Z655" s="309">
        <f t="shared" si="318"/>
        <v>0</v>
      </c>
      <c r="AA655" s="256">
        <f t="shared" si="315"/>
        <v>0</v>
      </c>
      <c r="AB655" s="309"/>
      <c r="AC655" s="309"/>
      <c r="AD655" s="320">
        <f t="shared" si="316"/>
        <v>0</v>
      </c>
      <c r="AF655" s="11"/>
      <c r="AG655" s="579"/>
      <c r="AH655" s="64">
        <f t="shared" si="320"/>
        <v>43398</v>
      </c>
      <c r="AI655" s="698"/>
      <c r="AJ655" s="699"/>
      <c r="AK655" s="699"/>
      <c r="AL655" s="699"/>
      <c r="AM655" s="699"/>
      <c r="AN655" s="699"/>
      <c r="AO655" s="699"/>
      <c r="AP655" s="699"/>
      <c r="AQ655" s="699"/>
      <c r="AR655" s="699"/>
      <c r="AS655" s="699"/>
      <c r="AT655" s="699"/>
      <c r="AU655" s="699"/>
      <c r="AV655" s="699"/>
      <c r="AW655" s="699"/>
      <c r="AX655" s="700"/>
      <c r="AY655" s="700"/>
      <c r="AZ655" s="701"/>
    </row>
    <row r="656" spans="1:52" ht="30.75" thickBot="1">
      <c r="A656" s="67">
        <f t="shared" si="319"/>
        <v>44891</v>
      </c>
      <c r="B656" s="138"/>
      <c r="C656" s="138"/>
      <c r="D656" s="138"/>
      <c r="E656" s="138"/>
      <c r="F656" s="138"/>
      <c r="G656" s="138"/>
      <c r="H656" s="138"/>
      <c r="I656" s="138"/>
      <c r="J656" s="138"/>
      <c r="K656" s="138"/>
      <c r="L656" s="138"/>
      <c r="M656" s="138"/>
      <c r="N656" s="138"/>
      <c r="O656" s="138"/>
      <c r="P656" s="138"/>
      <c r="Q656" s="138"/>
      <c r="R656" s="139"/>
      <c r="S656" s="176"/>
      <c r="T656" s="835"/>
      <c r="U656" s="835"/>
      <c r="V656" s="835"/>
      <c r="W656" s="835"/>
      <c r="X656" s="835"/>
      <c r="Y656" s="255">
        <f t="shared" si="317"/>
        <v>0</v>
      </c>
      <c r="Z656" s="309">
        <f t="shared" si="318"/>
        <v>0</v>
      </c>
      <c r="AA656" s="256">
        <f t="shared" si="315"/>
        <v>0</v>
      </c>
      <c r="AB656" s="309"/>
      <c r="AC656" s="309"/>
      <c r="AD656" s="320">
        <f t="shared" si="316"/>
        <v>0</v>
      </c>
      <c r="AF656" s="11"/>
      <c r="AG656" s="579"/>
      <c r="AH656" s="64">
        <f t="shared" si="320"/>
        <v>43399</v>
      </c>
      <c r="AI656" s="698"/>
      <c r="AJ656" s="699"/>
      <c r="AK656" s="699"/>
      <c r="AL656" s="699"/>
      <c r="AM656" s="699"/>
      <c r="AN656" s="699"/>
      <c r="AO656" s="699"/>
      <c r="AP656" s="699"/>
      <c r="AQ656" s="699"/>
      <c r="AR656" s="699"/>
      <c r="AS656" s="699"/>
      <c r="AT656" s="699"/>
      <c r="AU656" s="699"/>
      <c r="AV656" s="699"/>
      <c r="AW656" s="699"/>
      <c r="AX656" s="700"/>
      <c r="AY656" s="700"/>
      <c r="AZ656" s="701"/>
    </row>
    <row r="657" spans="1:52" ht="30.75" thickBot="1">
      <c r="A657" s="67">
        <f t="shared" si="319"/>
        <v>44892</v>
      </c>
      <c r="B657" s="138"/>
      <c r="C657" s="138"/>
      <c r="D657" s="138"/>
      <c r="E657" s="138"/>
      <c r="F657" s="138"/>
      <c r="G657" s="138"/>
      <c r="H657" s="138"/>
      <c r="I657" s="138"/>
      <c r="J657" s="138"/>
      <c r="K657" s="138"/>
      <c r="L657" s="138"/>
      <c r="M657" s="138"/>
      <c r="N657" s="138"/>
      <c r="O657" s="138"/>
      <c r="P657" s="138"/>
      <c r="Q657" s="138"/>
      <c r="R657" s="139"/>
      <c r="S657" s="176"/>
      <c r="T657" s="835"/>
      <c r="U657" s="835"/>
      <c r="V657" s="835"/>
      <c r="W657" s="835"/>
      <c r="X657" s="835"/>
      <c r="Y657" s="255">
        <f t="shared" si="317"/>
        <v>0</v>
      </c>
      <c r="Z657" s="309">
        <f t="shared" si="318"/>
        <v>0</v>
      </c>
      <c r="AA657" s="256">
        <f t="shared" si="315"/>
        <v>0</v>
      </c>
      <c r="AB657" s="309"/>
      <c r="AC657" s="309"/>
      <c r="AD657" s="320">
        <f t="shared" si="316"/>
        <v>0</v>
      </c>
      <c r="AF657" s="11"/>
      <c r="AG657" s="579"/>
      <c r="AH657" s="64">
        <f t="shared" si="320"/>
        <v>43400</v>
      </c>
      <c r="AI657" s="698"/>
      <c r="AJ657" s="699"/>
      <c r="AK657" s="699"/>
      <c r="AL657" s="699"/>
      <c r="AM657" s="699"/>
      <c r="AN657" s="699"/>
      <c r="AO657" s="699"/>
      <c r="AP657" s="699"/>
      <c r="AQ657" s="699"/>
      <c r="AR657" s="699"/>
      <c r="AS657" s="699"/>
      <c r="AT657" s="699"/>
      <c r="AU657" s="699"/>
      <c r="AV657" s="699"/>
      <c r="AW657" s="699"/>
      <c r="AX657" s="700"/>
      <c r="AY657" s="700"/>
      <c r="AZ657" s="701"/>
    </row>
    <row r="658" spans="1:52" ht="30.75" thickBot="1">
      <c r="A658" s="67">
        <f t="shared" si="319"/>
        <v>44893</v>
      </c>
      <c r="B658" s="138"/>
      <c r="C658" s="138"/>
      <c r="D658" s="138"/>
      <c r="E658" s="138"/>
      <c r="F658" s="138"/>
      <c r="G658" s="138"/>
      <c r="H658" s="138"/>
      <c r="I658" s="138"/>
      <c r="J658" s="138"/>
      <c r="K658" s="138"/>
      <c r="L658" s="138"/>
      <c r="M658" s="138"/>
      <c r="N658" s="138"/>
      <c r="O658" s="138"/>
      <c r="P658" s="138"/>
      <c r="Q658" s="138"/>
      <c r="R658" s="139"/>
      <c r="S658" s="176"/>
      <c r="T658" s="835"/>
      <c r="U658" s="835"/>
      <c r="V658" s="835"/>
      <c r="W658" s="835"/>
      <c r="X658" s="835"/>
      <c r="Y658" s="255">
        <f t="shared" si="317"/>
        <v>0</v>
      </c>
      <c r="Z658" s="309">
        <f t="shared" si="318"/>
        <v>0</v>
      </c>
      <c r="AA658" s="256">
        <f t="shared" si="315"/>
        <v>0</v>
      </c>
      <c r="AB658" s="309"/>
      <c r="AC658" s="309"/>
      <c r="AD658" s="320">
        <f t="shared" si="316"/>
        <v>0</v>
      </c>
      <c r="AF658" s="11"/>
      <c r="AG658" s="579"/>
      <c r="AH658" s="64">
        <f t="shared" si="320"/>
        <v>43401</v>
      </c>
      <c r="AI658" s="698"/>
      <c r="AJ658" s="699"/>
      <c r="AK658" s="699"/>
      <c r="AL658" s="699"/>
      <c r="AM658" s="699"/>
      <c r="AN658" s="699"/>
      <c r="AO658" s="699"/>
      <c r="AP658" s="699"/>
      <c r="AQ658" s="699"/>
      <c r="AR658" s="699"/>
      <c r="AS658" s="699"/>
      <c r="AT658" s="699"/>
      <c r="AU658" s="699"/>
      <c r="AV658" s="699"/>
      <c r="AW658" s="699"/>
      <c r="AX658" s="700"/>
      <c r="AY658" s="700"/>
      <c r="AZ658" s="701"/>
    </row>
    <row r="659" spans="1:52" ht="30.75" thickBot="1">
      <c r="A659" s="67">
        <f t="shared" si="319"/>
        <v>44894</v>
      </c>
      <c r="B659" s="138"/>
      <c r="C659" s="138"/>
      <c r="D659" s="138"/>
      <c r="E659" s="138"/>
      <c r="F659" s="138"/>
      <c r="G659" s="138"/>
      <c r="H659" s="138"/>
      <c r="I659" s="138"/>
      <c r="J659" s="138"/>
      <c r="K659" s="138"/>
      <c r="L659" s="138"/>
      <c r="M659" s="138"/>
      <c r="N659" s="138"/>
      <c r="O659" s="138"/>
      <c r="P659" s="138"/>
      <c r="Q659" s="138"/>
      <c r="R659" s="139"/>
      <c r="S659" s="176"/>
      <c r="T659" s="835"/>
      <c r="U659" s="835"/>
      <c r="V659" s="835"/>
      <c r="W659" s="835"/>
      <c r="X659" s="835"/>
      <c r="Y659" s="255">
        <f t="shared" si="317"/>
        <v>0</v>
      </c>
      <c r="Z659" s="309">
        <f t="shared" si="318"/>
        <v>0</v>
      </c>
      <c r="AA659" s="256">
        <f t="shared" si="315"/>
        <v>0</v>
      </c>
      <c r="AB659" s="309"/>
      <c r="AC659" s="309"/>
      <c r="AD659" s="320">
        <f t="shared" si="316"/>
        <v>0</v>
      </c>
      <c r="AF659" s="11"/>
      <c r="AG659" s="579"/>
      <c r="AH659" s="64">
        <f>AH658+1</f>
        <v>43402</v>
      </c>
      <c r="AI659" s="698"/>
      <c r="AJ659" s="699"/>
      <c r="AK659" s="699"/>
      <c r="AL659" s="699"/>
      <c r="AM659" s="699"/>
      <c r="AN659" s="699"/>
      <c r="AO659" s="699"/>
      <c r="AP659" s="699"/>
      <c r="AQ659" s="699"/>
      <c r="AR659" s="699"/>
      <c r="AS659" s="699"/>
      <c r="AT659" s="699"/>
      <c r="AU659" s="699"/>
      <c r="AV659" s="699"/>
      <c r="AW659" s="699"/>
      <c r="AX659" s="700"/>
      <c r="AY659" s="700"/>
      <c r="AZ659" s="701"/>
    </row>
    <row r="660" spans="1:52" ht="30.75" thickBot="1">
      <c r="A660" s="67">
        <f t="shared" si="319"/>
        <v>44895</v>
      </c>
      <c r="B660" s="138"/>
      <c r="C660" s="138"/>
      <c r="D660" s="138"/>
      <c r="E660" s="138"/>
      <c r="F660" s="138"/>
      <c r="G660" s="138"/>
      <c r="H660" s="138"/>
      <c r="I660" s="138"/>
      <c r="J660" s="138"/>
      <c r="K660" s="138"/>
      <c r="L660" s="138"/>
      <c r="M660" s="138"/>
      <c r="N660" s="138"/>
      <c r="O660" s="138"/>
      <c r="P660" s="138"/>
      <c r="Q660" s="138"/>
      <c r="R660" s="139"/>
      <c r="S660" s="176"/>
      <c r="T660" s="835"/>
      <c r="U660" s="835"/>
      <c r="V660" s="835"/>
      <c r="W660" s="835"/>
      <c r="X660" s="835"/>
      <c r="Y660" s="255">
        <f t="shared" si="317"/>
        <v>0</v>
      </c>
      <c r="Z660" s="309">
        <f t="shared" si="318"/>
        <v>0</v>
      </c>
      <c r="AA660" s="256">
        <f t="shared" si="315"/>
        <v>0</v>
      </c>
      <c r="AB660" s="309"/>
      <c r="AC660" s="309"/>
      <c r="AD660" s="320">
        <f t="shared" si="316"/>
        <v>0</v>
      </c>
      <c r="AF660" s="11"/>
      <c r="AG660" s="579"/>
      <c r="AH660" s="64">
        <f t="shared" si="320"/>
        <v>43403</v>
      </c>
      <c r="AI660" s="698"/>
      <c r="AJ660" s="699"/>
      <c r="AK660" s="699"/>
      <c r="AL660" s="699"/>
      <c r="AM660" s="699"/>
      <c r="AN660" s="699"/>
      <c r="AO660" s="699"/>
      <c r="AP660" s="699"/>
      <c r="AQ660" s="699"/>
      <c r="AR660" s="699"/>
      <c r="AS660" s="699"/>
      <c r="AT660" s="699"/>
      <c r="AU660" s="699"/>
      <c r="AV660" s="699"/>
      <c r="AW660" s="699"/>
      <c r="AX660" s="700"/>
      <c r="AY660" s="700"/>
      <c r="AZ660" s="701"/>
    </row>
    <row r="661" spans="1:52" ht="30.75" thickBot="1">
      <c r="A661" s="102">
        <f t="shared" si="319"/>
        <v>44896</v>
      </c>
      <c r="B661" s="146"/>
      <c r="C661" s="146"/>
      <c r="D661" s="146"/>
      <c r="E661" s="146"/>
      <c r="F661" s="146"/>
      <c r="G661" s="146"/>
      <c r="H661" s="146"/>
      <c r="I661" s="146"/>
      <c r="J661" s="146"/>
      <c r="K661" s="146"/>
      <c r="L661" s="146"/>
      <c r="M661" s="146"/>
      <c r="N661" s="146"/>
      <c r="O661" s="146"/>
      <c r="P661" s="146"/>
      <c r="Q661" s="146"/>
      <c r="R661" s="147"/>
      <c r="S661" s="178"/>
      <c r="T661" s="831"/>
      <c r="U661" s="831"/>
      <c r="V661" s="831"/>
      <c r="W661" s="831"/>
      <c r="X661" s="831"/>
      <c r="Y661" s="255">
        <f t="shared" si="317"/>
        <v>0</v>
      </c>
      <c r="Z661" s="309">
        <f t="shared" si="318"/>
        <v>0</v>
      </c>
      <c r="AA661" s="256">
        <f t="shared" si="315"/>
        <v>0</v>
      </c>
      <c r="AB661" s="309"/>
      <c r="AC661" s="309"/>
      <c r="AD661" s="320">
        <f t="shared" si="316"/>
        <v>0</v>
      </c>
      <c r="AF661" s="11"/>
      <c r="AG661" s="579"/>
      <c r="AH661" s="65">
        <f t="shared" si="320"/>
        <v>43404</v>
      </c>
      <c r="AI661" s="702"/>
      <c r="AJ661" s="703"/>
      <c r="AK661" s="703"/>
      <c r="AL661" s="703"/>
      <c r="AM661" s="703"/>
      <c r="AN661" s="703"/>
      <c r="AO661" s="703"/>
      <c r="AP661" s="703"/>
      <c r="AQ661" s="703"/>
      <c r="AR661" s="703"/>
      <c r="AS661" s="703"/>
      <c r="AT661" s="703"/>
      <c r="AU661" s="703"/>
      <c r="AV661" s="703"/>
      <c r="AW661" s="703"/>
      <c r="AX661" s="704"/>
      <c r="AY661" s="704"/>
      <c r="AZ661" s="705"/>
    </row>
    <row r="662" spans="1:52" ht="50.1" customHeight="1" thickTop="1" thickBot="1">
      <c r="A662" s="96" t="s">
        <v>74</v>
      </c>
      <c r="B662" s="90">
        <f>SUM(B631:B661)</f>
        <v>0</v>
      </c>
      <c r="C662" s="90">
        <f t="shared" ref="C662:Y662" si="321">SUM(C631:C661)</f>
        <v>0</v>
      </c>
      <c r="D662" s="90">
        <f t="shared" si="321"/>
        <v>0</v>
      </c>
      <c r="E662" s="90"/>
      <c r="F662" s="90">
        <f t="shared" si="321"/>
        <v>0</v>
      </c>
      <c r="G662" s="90">
        <f t="shared" si="321"/>
        <v>0</v>
      </c>
      <c r="H662" s="90">
        <f t="shared" si="321"/>
        <v>0</v>
      </c>
      <c r="I662" s="90">
        <f t="shared" si="321"/>
        <v>0</v>
      </c>
      <c r="J662" s="90">
        <f t="shared" si="321"/>
        <v>0</v>
      </c>
      <c r="K662" s="90">
        <f t="shared" si="321"/>
        <v>0</v>
      </c>
      <c r="L662" s="90">
        <f t="shared" si="321"/>
        <v>0</v>
      </c>
      <c r="M662" s="90">
        <f t="shared" si="321"/>
        <v>0</v>
      </c>
      <c r="N662" s="90">
        <f t="shared" si="321"/>
        <v>0</v>
      </c>
      <c r="O662" s="90">
        <f t="shared" si="321"/>
        <v>0</v>
      </c>
      <c r="P662" s="90"/>
      <c r="Q662" s="90">
        <f t="shared" si="321"/>
        <v>0</v>
      </c>
      <c r="R662" s="90">
        <f t="shared" si="321"/>
        <v>0</v>
      </c>
      <c r="S662" s="90">
        <f t="shared" si="321"/>
        <v>0</v>
      </c>
      <c r="T662" s="90"/>
      <c r="U662" s="90"/>
      <c r="V662" s="90"/>
      <c r="W662" s="90"/>
      <c r="X662" s="90"/>
      <c r="Y662" s="292">
        <f t="shared" si="321"/>
        <v>0</v>
      </c>
      <c r="Z662" s="258"/>
      <c r="AA662" s="259"/>
      <c r="AB662" s="316">
        <f>SUM(AB631:AB661)</f>
        <v>0</v>
      </c>
      <c r="AC662" s="316">
        <f>SUM(AC631:AC661)</f>
        <v>0</v>
      </c>
      <c r="AD662" s="260"/>
      <c r="AF662" s="9"/>
      <c r="AG662" s="10"/>
      <c r="AH662" s="706" t="s">
        <v>101</v>
      </c>
      <c r="AI662" s="707">
        <f>SUM(AI631:AI661)</f>
        <v>0</v>
      </c>
      <c r="AJ662" s="707">
        <f>SUM(AJ631:AJ661)</f>
        <v>0</v>
      </c>
      <c r="AK662" s="707">
        <f t="shared" ref="AK662:AZ662" si="322">SUM(AK631:AK661)</f>
        <v>0</v>
      </c>
      <c r="AL662" s="707">
        <f t="shared" si="322"/>
        <v>0</v>
      </c>
      <c r="AM662" s="707">
        <f t="shared" si="322"/>
        <v>0</v>
      </c>
      <c r="AN662" s="707">
        <f t="shared" si="322"/>
        <v>0</v>
      </c>
      <c r="AO662" s="707">
        <f t="shared" si="322"/>
        <v>0</v>
      </c>
      <c r="AP662" s="707">
        <f t="shared" si="322"/>
        <v>0</v>
      </c>
      <c r="AQ662" s="707">
        <f t="shared" si="322"/>
        <v>0</v>
      </c>
      <c r="AR662" s="707">
        <f t="shared" si="322"/>
        <v>0</v>
      </c>
      <c r="AS662" s="707">
        <f t="shared" si="322"/>
        <v>0</v>
      </c>
      <c r="AT662" s="707">
        <f t="shared" si="322"/>
        <v>0</v>
      </c>
      <c r="AU662" s="707">
        <f t="shared" si="322"/>
        <v>0</v>
      </c>
      <c r="AV662" s="707">
        <f t="shared" si="322"/>
        <v>0</v>
      </c>
      <c r="AW662" s="707">
        <f t="shared" si="322"/>
        <v>0</v>
      </c>
      <c r="AX662" s="707">
        <f t="shared" si="322"/>
        <v>0</v>
      </c>
      <c r="AY662" s="707">
        <f t="shared" si="322"/>
        <v>0</v>
      </c>
      <c r="AZ662" s="707">
        <f t="shared" si="322"/>
        <v>0</v>
      </c>
    </row>
    <row r="663" spans="1:52" ht="50.1" customHeight="1" thickTop="1" thickBot="1">
      <c r="A663" s="148" t="s">
        <v>102</v>
      </c>
      <c r="B663" s="473"/>
      <c r="C663" s="473"/>
      <c r="D663" s="473"/>
      <c r="E663" s="473"/>
      <c r="F663" s="473"/>
      <c r="G663" s="473"/>
      <c r="H663" s="473"/>
      <c r="I663" s="473"/>
      <c r="J663" s="473"/>
      <c r="K663" s="473"/>
      <c r="L663" s="473"/>
      <c r="M663" s="473"/>
      <c r="N663" s="473"/>
      <c r="O663" s="473"/>
      <c r="P663" s="473"/>
      <c r="Q663" s="473"/>
      <c r="R663" s="473"/>
      <c r="S663" s="473"/>
      <c r="T663" s="473"/>
      <c r="U663" s="473"/>
      <c r="V663" s="473"/>
      <c r="W663" s="473"/>
      <c r="X663" s="473"/>
      <c r="Y663" s="279"/>
      <c r="Z663" s="288"/>
      <c r="AA663" s="288"/>
      <c r="AB663" s="268"/>
      <c r="AC663" s="270"/>
      <c r="AD663" s="270"/>
      <c r="AF663" s="8"/>
      <c r="AG663" s="8"/>
      <c r="AH663" s="706" t="s">
        <v>45</v>
      </c>
      <c r="AI663" s="707">
        <v>220</v>
      </c>
      <c r="AJ663" s="707">
        <v>220</v>
      </c>
      <c r="AK663" s="707">
        <v>220</v>
      </c>
      <c r="AL663" s="707">
        <v>100</v>
      </c>
      <c r="AM663" s="707">
        <v>100</v>
      </c>
      <c r="AN663" s="707">
        <v>80</v>
      </c>
      <c r="AO663" s="707">
        <v>25</v>
      </c>
      <c r="AP663" s="707">
        <v>25</v>
      </c>
      <c r="AQ663" s="707">
        <v>25</v>
      </c>
      <c r="AR663" s="707">
        <v>400</v>
      </c>
      <c r="AS663" s="707">
        <v>400</v>
      </c>
      <c r="AT663" s="707">
        <v>400</v>
      </c>
      <c r="AU663" s="707">
        <v>0</v>
      </c>
      <c r="AV663" s="707">
        <v>0</v>
      </c>
      <c r="AW663" s="707">
        <v>200</v>
      </c>
      <c r="AX663" s="707">
        <v>200</v>
      </c>
      <c r="AY663" s="707">
        <v>0</v>
      </c>
      <c r="AZ663" s="707">
        <v>0</v>
      </c>
    </row>
    <row r="664" spans="1:52" ht="50.1" customHeight="1" thickTop="1" thickBot="1">
      <c r="A664" s="101"/>
      <c r="B664" s="90">
        <f>B662*B663</f>
        <v>0</v>
      </c>
      <c r="C664" s="90">
        <f>C662*C663</f>
        <v>0</v>
      </c>
      <c r="D664" s="90">
        <f t="shared" ref="D664:K664" si="323">D662*D663</f>
        <v>0</v>
      </c>
      <c r="E664" s="90"/>
      <c r="F664" s="90">
        <f t="shared" si="323"/>
        <v>0</v>
      </c>
      <c r="G664" s="90">
        <f t="shared" si="323"/>
        <v>0</v>
      </c>
      <c r="H664" s="90">
        <f t="shared" si="323"/>
        <v>0</v>
      </c>
      <c r="I664" s="90">
        <f t="shared" si="323"/>
        <v>0</v>
      </c>
      <c r="J664" s="90">
        <f t="shared" si="323"/>
        <v>0</v>
      </c>
      <c r="K664" s="90">
        <f t="shared" si="323"/>
        <v>0</v>
      </c>
      <c r="L664" s="90">
        <f>L662*L663</f>
        <v>0</v>
      </c>
      <c r="M664" s="90">
        <f t="shared" ref="M664:S664" si="324">M662*M663</f>
        <v>0</v>
      </c>
      <c r="N664" s="90">
        <f t="shared" si="324"/>
        <v>0</v>
      </c>
      <c r="O664" s="90">
        <f t="shared" si="324"/>
        <v>0</v>
      </c>
      <c r="P664" s="90"/>
      <c r="Q664" s="90">
        <f t="shared" si="324"/>
        <v>0</v>
      </c>
      <c r="R664" s="90">
        <f t="shared" si="324"/>
        <v>0</v>
      </c>
      <c r="S664" s="90">
        <f t="shared" si="324"/>
        <v>0</v>
      </c>
      <c r="T664" s="90"/>
      <c r="U664" s="90"/>
      <c r="V664" s="90"/>
      <c r="W664" s="90"/>
      <c r="X664" s="90"/>
      <c r="Y664" s="279">
        <f>SUM(B664:S664)</f>
        <v>0</v>
      </c>
      <c r="Z664" s="288" t="s">
        <v>1</v>
      </c>
      <c r="AA664" s="288"/>
      <c r="AB664" s="268"/>
      <c r="AC664" s="270"/>
      <c r="AD664" s="270"/>
      <c r="AF664" s="8"/>
      <c r="AG664" s="8"/>
      <c r="AH664" s="706" t="s">
        <v>46</v>
      </c>
      <c r="AI664" s="707">
        <f>AI662*AI663</f>
        <v>0</v>
      </c>
      <c r="AJ664" s="707">
        <f t="shared" ref="AJ664" si="325">AJ662*AJ663</f>
        <v>0</v>
      </c>
      <c r="AK664" s="707">
        <f t="shared" ref="AK664" si="326">AK662*AK663</f>
        <v>0</v>
      </c>
      <c r="AL664" s="707">
        <f t="shared" ref="AL664" si="327">AL662*AL663</f>
        <v>0</v>
      </c>
      <c r="AM664" s="707">
        <f t="shared" ref="AM664" si="328">AM662*AM663</f>
        <v>0</v>
      </c>
      <c r="AN664" s="707">
        <f t="shared" ref="AN664" si="329">AN662*AN663</f>
        <v>0</v>
      </c>
      <c r="AO664" s="707">
        <f t="shared" ref="AO664" si="330">AO662*AO663</f>
        <v>0</v>
      </c>
      <c r="AP664" s="707">
        <f t="shared" ref="AP664" si="331">AP662*AP663</f>
        <v>0</v>
      </c>
      <c r="AQ664" s="707">
        <f t="shared" ref="AQ664" si="332">AQ662*AQ663</f>
        <v>0</v>
      </c>
      <c r="AR664" s="707">
        <f t="shared" ref="AR664" si="333">AR662*AR663</f>
        <v>0</v>
      </c>
      <c r="AS664" s="707">
        <f t="shared" ref="AS664" si="334">AS662*AS663</f>
        <v>0</v>
      </c>
      <c r="AT664" s="707">
        <f t="shared" ref="AT664" si="335">AT662*AT663</f>
        <v>0</v>
      </c>
      <c r="AU664" s="707">
        <f t="shared" ref="AU664" si="336">AU662*AU663</f>
        <v>0</v>
      </c>
      <c r="AV664" s="707">
        <f t="shared" ref="AV664" si="337">AV662*AV663</f>
        <v>0</v>
      </c>
      <c r="AW664" s="707">
        <f t="shared" ref="AW664" si="338">AW662*AW663</f>
        <v>0</v>
      </c>
      <c r="AX664" s="707">
        <f t="shared" ref="AX664" si="339">AX662*AX663</f>
        <v>0</v>
      </c>
      <c r="AY664" s="707">
        <f t="shared" ref="AY664" si="340">AY662*AY663</f>
        <v>0</v>
      </c>
      <c r="AZ664" s="707">
        <f t="shared" ref="AZ664" si="341">AZ662*AZ663</f>
        <v>0</v>
      </c>
    </row>
    <row r="665" spans="1:52" ht="27.75" thickTop="1" thickBo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274">
        <f>Y662-Y664</f>
        <v>0</v>
      </c>
      <c r="Z665" s="288"/>
      <c r="AA665" s="288"/>
      <c r="AB665" s="288"/>
      <c r="AC665" s="270"/>
      <c r="AD665" s="270" t="s">
        <v>1</v>
      </c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714">
        <f>SUM(AI664:AZ664)</f>
        <v>0</v>
      </c>
    </row>
    <row r="666" spans="1:52" ht="39.950000000000003" customHeight="1" thickTop="1" thickBot="1">
      <c r="A666" s="109">
        <f>A5</f>
        <v>2022</v>
      </c>
      <c r="B666" s="1470"/>
      <c r="C666" s="1471"/>
      <c r="D666" s="1471"/>
      <c r="E666" s="1471"/>
      <c r="F666" s="1471"/>
      <c r="G666" s="1471"/>
      <c r="H666" s="1471"/>
      <c r="I666" s="1471"/>
      <c r="J666" s="1471"/>
      <c r="K666" s="1471"/>
      <c r="L666" s="1471"/>
      <c r="M666" s="1471"/>
      <c r="N666" s="1471"/>
      <c r="O666" s="1471"/>
      <c r="P666" s="1471"/>
      <c r="Q666" s="1471"/>
      <c r="R666" s="1471"/>
      <c r="S666" s="1471"/>
      <c r="T666" s="1471"/>
      <c r="U666" s="1471"/>
      <c r="V666" s="1471"/>
      <c r="W666" s="1471"/>
      <c r="X666" s="1471"/>
      <c r="Y666" s="1472"/>
      <c r="Z666" s="21"/>
      <c r="AA666" s="21" t="s">
        <v>1</v>
      </c>
      <c r="AB666" s="21"/>
      <c r="AC666" s="2"/>
      <c r="AD666" t="s">
        <v>1</v>
      </c>
      <c r="AE666" t="s">
        <v>1</v>
      </c>
      <c r="AF666" s="10"/>
      <c r="AG666" s="34"/>
      <c r="AH666" s="109">
        <v>2018</v>
      </c>
      <c r="AI666" s="1424">
        <f>B666</f>
        <v>0</v>
      </c>
      <c r="AJ666" s="1425"/>
      <c r="AK666" s="1425"/>
      <c r="AL666" s="1425"/>
      <c r="AM666" s="1425"/>
      <c r="AN666" s="1425"/>
      <c r="AO666" s="1425"/>
      <c r="AP666" s="1425"/>
      <c r="AQ666" s="1425"/>
      <c r="AR666" s="1425"/>
      <c r="AS666" s="1425"/>
      <c r="AT666" s="1425"/>
      <c r="AU666" s="1425"/>
      <c r="AV666" s="1425"/>
      <c r="AW666" s="1425"/>
      <c r="AX666" s="1425"/>
      <c r="AY666" s="1425"/>
      <c r="AZ666" s="1425"/>
    </row>
    <row r="667" spans="1:52" ht="60" customHeight="1" thickTop="1" thickBot="1">
      <c r="A667" s="1468" t="s">
        <v>94</v>
      </c>
      <c r="B667" s="1402" t="s">
        <v>95</v>
      </c>
      <c r="C667" s="1403"/>
      <c r="D667" s="1403"/>
      <c r="E667" s="1404"/>
      <c r="F667" s="1402" t="s">
        <v>7</v>
      </c>
      <c r="G667" s="1403"/>
      <c r="H667" s="1404"/>
      <c r="I667" s="1402" t="s">
        <v>8</v>
      </c>
      <c r="J667" s="1404"/>
      <c r="K667" s="1402" t="s">
        <v>9</v>
      </c>
      <c r="L667" s="1403"/>
      <c r="M667" s="1403"/>
      <c r="N667" s="1403"/>
      <c r="O667" s="1403"/>
      <c r="P667" s="1403"/>
      <c r="Q667" s="1403"/>
      <c r="R667" s="1405" t="s">
        <v>10</v>
      </c>
      <c r="S667" s="1406"/>
      <c r="T667" s="1400" t="s">
        <v>289</v>
      </c>
      <c r="U667" s="1401"/>
      <c r="V667" s="842" t="s">
        <v>258</v>
      </c>
      <c r="W667" s="842"/>
      <c r="X667" s="842"/>
      <c r="Y667" s="211"/>
      <c r="Z667" s="21"/>
      <c r="AA667" s="21"/>
      <c r="AB667" s="21"/>
      <c r="AC667" s="21"/>
      <c r="AF667" s="10"/>
      <c r="AG667" s="34"/>
      <c r="AH667" s="1422" t="s">
        <v>94</v>
      </c>
      <c r="AI667" s="1402" t="s">
        <v>95</v>
      </c>
      <c r="AJ667" s="1403"/>
      <c r="AK667" s="1404"/>
      <c r="AL667" s="1402" t="s">
        <v>7</v>
      </c>
      <c r="AM667" s="1403"/>
      <c r="AN667" s="1404"/>
      <c r="AO667" s="1402" t="s">
        <v>8</v>
      </c>
      <c r="AP667" s="1403"/>
      <c r="AQ667" s="1404"/>
      <c r="AR667" s="1402" t="s">
        <v>9</v>
      </c>
      <c r="AS667" s="1403"/>
      <c r="AT667" s="1404"/>
      <c r="AU667" s="1403" t="s">
        <v>9</v>
      </c>
      <c r="AV667" s="1404"/>
      <c r="AW667" s="1429" t="s">
        <v>10</v>
      </c>
      <c r="AX667" s="1430"/>
      <c r="AY667" s="690"/>
      <c r="AZ667" s="404" t="s">
        <v>11</v>
      </c>
    </row>
    <row r="668" spans="1:52" ht="42" thickTop="1" thickBot="1">
      <c r="A668" s="1428"/>
      <c r="B668" s="482" t="s">
        <v>12</v>
      </c>
      <c r="C668" s="482" t="s">
        <v>13</v>
      </c>
      <c r="D668" s="482" t="s">
        <v>14</v>
      </c>
      <c r="E668" s="688" t="s">
        <v>198</v>
      </c>
      <c r="F668" s="482" t="s">
        <v>12</v>
      </c>
      <c r="G668" s="482" t="s">
        <v>13</v>
      </c>
      <c r="H668" s="482" t="s">
        <v>282</v>
      </c>
      <c r="I668" s="482" t="s">
        <v>12</v>
      </c>
      <c r="J668" s="482" t="s">
        <v>16</v>
      </c>
      <c r="K668" s="482" t="s">
        <v>17</v>
      </c>
      <c r="L668" s="482" t="s">
        <v>18</v>
      </c>
      <c r="M668" s="482" t="s">
        <v>19</v>
      </c>
      <c r="N668" s="484" t="s">
        <v>96</v>
      </c>
      <c r="O668" s="484" t="s">
        <v>257</v>
      </c>
      <c r="P668" s="484" t="s">
        <v>254</v>
      </c>
      <c r="Q668" s="484" t="s">
        <v>20</v>
      </c>
      <c r="R668" s="483" t="s">
        <v>14</v>
      </c>
      <c r="S668" s="482" t="s">
        <v>13</v>
      </c>
      <c r="T668" s="846" t="s">
        <v>284</v>
      </c>
      <c r="U668" s="846" t="s">
        <v>288</v>
      </c>
      <c r="V668" s="484" t="s">
        <v>259</v>
      </c>
      <c r="W668" s="484"/>
      <c r="X668" s="484"/>
      <c r="Y668" s="209" t="s">
        <v>90</v>
      </c>
      <c r="Z668" s="210" t="s">
        <v>97</v>
      </c>
      <c r="AA668" s="210" t="s">
        <v>74</v>
      </c>
      <c r="AB668" s="210" t="s">
        <v>98</v>
      </c>
      <c r="AC668" s="210" t="s">
        <v>99</v>
      </c>
      <c r="AD668" s="210" t="s">
        <v>100</v>
      </c>
      <c r="AF668" s="578" t="s">
        <v>1</v>
      </c>
      <c r="AG668" s="4"/>
      <c r="AH668" s="1428"/>
      <c r="AI668" s="482" t="s">
        <v>12</v>
      </c>
      <c r="AJ668" s="482" t="s">
        <v>13</v>
      </c>
      <c r="AK668" s="482" t="s">
        <v>14</v>
      </c>
      <c r="AL668" s="482" t="s">
        <v>12</v>
      </c>
      <c r="AM668" s="482" t="s">
        <v>13</v>
      </c>
      <c r="AN668" s="482" t="s">
        <v>15</v>
      </c>
      <c r="AO668" s="482" t="s">
        <v>12</v>
      </c>
      <c r="AP668" s="482" t="s">
        <v>205</v>
      </c>
      <c r="AQ668" s="482" t="s">
        <v>16</v>
      </c>
      <c r="AR668" s="482" t="s">
        <v>17</v>
      </c>
      <c r="AS668" s="482" t="s">
        <v>18</v>
      </c>
      <c r="AT668" s="482" t="s">
        <v>19</v>
      </c>
      <c r="AU668" s="482" t="s">
        <v>201</v>
      </c>
      <c r="AV668" s="482" t="s">
        <v>20</v>
      </c>
      <c r="AW668" s="482" t="s">
        <v>12</v>
      </c>
      <c r="AX668" s="483" t="s">
        <v>13</v>
      </c>
      <c r="AY668" s="688" t="s">
        <v>198</v>
      </c>
      <c r="AZ668" s="484" t="s">
        <v>96</v>
      </c>
    </row>
    <row r="669" spans="1:52" ht="30.75" thickBot="1">
      <c r="A669" s="67">
        <f>A557</f>
        <v>44866</v>
      </c>
      <c r="B669" s="135"/>
      <c r="C669" s="135"/>
      <c r="D669" s="135"/>
      <c r="E669" s="135"/>
      <c r="F669" s="135"/>
      <c r="G669" s="135"/>
      <c r="H669" s="135"/>
      <c r="I669" s="135"/>
      <c r="J669" s="135"/>
      <c r="K669" s="135"/>
      <c r="L669" s="135"/>
      <c r="M669" s="135"/>
      <c r="N669" s="135"/>
      <c r="O669" s="135"/>
      <c r="P669" s="135"/>
      <c r="Q669" s="135"/>
      <c r="R669" s="136"/>
      <c r="S669" s="175"/>
      <c r="T669" s="830"/>
      <c r="U669" s="830"/>
      <c r="V669" s="830"/>
      <c r="W669" s="830"/>
      <c r="X669" s="830"/>
      <c r="Y669" s="255">
        <f>B669*280+C669*280+D669*280+E669*280+F669*130+G669*130+H669*90+I669*35+J669*35+K669*400+L669*400+M669*400+N669*22+O669*42+P669*80+Q669*200+R669*260+S669*41+T669*30+U669*60</f>
        <v>0</v>
      </c>
      <c r="Z669" s="308"/>
      <c r="AA669" s="263">
        <f t="shared" ref="AA669:AA699" si="342">Y669+Z669</f>
        <v>0</v>
      </c>
      <c r="AB669" s="308"/>
      <c r="AC669" s="308"/>
      <c r="AD669" s="319">
        <f t="shared" ref="AD669:AD699" si="343">AA669-AB669-AC669</f>
        <v>0</v>
      </c>
      <c r="AF669" s="11"/>
      <c r="AG669" s="24"/>
      <c r="AH669" s="63">
        <f>AH631</f>
        <v>43374</v>
      </c>
      <c r="AI669" s="694"/>
      <c r="AJ669" s="695"/>
      <c r="AK669" s="695"/>
      <c r="AL669" s="695"/>
      <c r="AM669" s="695"/>
      <c r="AN669" s="695"/>
      <c r="AO669" s="695"/>
      <c r="AP669" s="695"/>
      <c r="AQ669" s="695"/>
      <c r="AR669" s="695"/>
      <c r="AS669" s="695"/>
      <c r="AT669" s="695"/>
      <c r="AU669" s="695"/>
      <c r="AV669" s="695"/>
      <c r="AW669" s="695"/>
      <c r="AX669" s="696"/>
      <c r="AY669" s="696"/>
      <c r="AZ669" s="697"/>
    </row>
    <row r="670" spans="1:52" ht="30.75" thickBot="1">
      <c r="A670" s="67">
        <f>A669+1</f>
        <v>44867</v>
      </c>
      <c r="B670" s="138"/>
      <c r="C670" s="138"/>
      <c r="D670" s="138"/>
      <c r="E670" s="138"/>
      <c r="F670" s="138"/>
      <c r="G670" s="138"/>
      <c r="H670" s="138"/>
      <c r="I670" s="138"/>
      <c r="J670" s="138"/>
      <c r="K670" s="138"/>
      <c r="L670" s="138"/>
      <c r="M670" s="138"/>
      <c r="N670" s="138"/>
      <c r="O670" s="138"/>
      <c r="P670" s="138"/>
      <c r="Q670" s="138"/>
      <c r="R670" s="139"/>
      <c r="S670" s="176"/>
      <c r="T670" s="835"/>
      <c r="U670" s="835"/>
      <c r="V670" s="835"/>
      <c r="W670" s="835"/>
      <c r="X670" s="835"/>
      <c r="Y670" s="255">
        <f t="shared" ref="Y670:Y699" si="344">B670*280+C670*280+D670*280+E670*280+F670*130+G670*130+H670*90+I670*35+J670*35+K670*400+L670*400+M670*400+N670*22+O670*42+P670*80+Q670*200+R670*260+S670*41+T670*30+U670*60</f>
        <v>0</v>
      </c>
      <c r="Z670" s="309">
        <f t="shared" ref="Z670:Z699" si="345">AD669</f>
        <v>0</v>
      </c>
      <c r="AA670" s="256">
        <f t="shared" si="342"/>
        <v>0</v>
      </c>
      <c r="AB670" s="309"/>
      <c r="AC670" s="309"/>
      <c r="AD670" s="320">
        <f t="shared" si="343"/>
        <v>0</v>
      </c>
      <c r="AF670" s="11"/>
      <c r="AG670" s="24"/>
      <c r="AH670" s="64">
        <f>AH669+1</f>
        <v>43375</v>
      </c>
      <c r="AI670" s="698"/>
      <c r="AJ670" s="699"/>
      <c r="AK670" s="699"/>
      <c r="AL670" s="699"/>
      <c r="AM670" s="699"/>
      <c r="AN670" s="699"/>
      <c r="AO670" s="699"/>
      <c r="AP670" s="699"/>
      <c r="AQ670" s="699"/>
      <c r="AR670" s="699"/>
      <c r="AS670" s="699"/>
      <c r="AT670" s="699"/>
      <c r="AU670" s="699"/>
      <c r="AV670" s="699"/>
      <c r="AW670" s="699"/>
      <c r="AX670" s="700"/>
      <c r="AY670" s="700"/>
      <c r="AZ670" s="701"/>
    </row>
    <row r="671" spans="1:52" ht="30.75" thickBot="1">
      <c r="A671" s="67">
        <f t="shared" ref="A671:A699" si="346">A670+1</f>
        <v>44868</v>
      </c>
      <c r="B671" s="138"/>
      <c r="C671" s="138"/>
      <c r="D671" s="138"/>
      <c r="E671" s="138"/>
      <c r="F671" s="138"/>
      <c r="G671" s="138"/>
      <c r="H671" s="138"/>
      <c r="I671" s="138"/>
      <c r="J671" s="138"/>
      <c r="K671" s="138"/>
      <c r="L671" s="138"/>
      <c r="M671" s="138"/>
      <c r="N671" s="138"/>
      <c r="O671" s="138"/>
      <c r="P671" s="138"/>
      <c r="Q671" s="138"/>
      <c r="R671" s="139"/>
      <c r="S671" s="176"/>
      <c r="T671" s="835"/>
      <c r="U671" s="835"/>
      <c r="V671" s="835"/>
      <c r="W671" s="835"/>
      <c r="X671" s="835"/>
      <c r="Y671" s="255">
        <f t="shared" si="344"/>
        <v>0</v>
      </c>
      <c r="Z671" s="309">
        <f t="shared" si="345"/>
        <v>0</v>
      </c>
      <c r="AA671" s="256">
        <f t="shared" si="342"/>
        <v>0</v>
      </c>
      <c r="AB671" s="309"/>
      <c r="AC671" s="309"/>
      <c r="AD671" s="320">
        <f t="shared" si="343"/>
        <v>0</v>
      </c>
      <c r="AF671" s="11" t="s">
        <v>1</v>
      </c>
      <c r="AG671" s="24"/>
      <c r="AH671" s="64">
        <f t="shared" ref="AH671:AH699" si="347">AH670+1</f>
        <v>43376</v>
      </c>
      <c r="AI671" s="698"/>
      <c r="AJ671" s="699"/>
      <c r="AK671" s="699"/>
      <c r="AL671" s="699"/>
      <c r="AM671" s="699"/>
      <c r="AN671" s="699"/>
      <c r="AO671" s="699"/>
      <c r="AP671" s="699"/>
      <c r="AQ671" s="699"/>
      <c r="AR671" s="699"/>
      <c r="AS671" s="699"/>
      <c r="AT671" s="699"/>
      <c r="AU671" s="699"/>
      <c r="AV671" s="699"/>
      <c r="AW671" s="699"/>
      <c r="AX671" s="700"/>
      <c r="AY671" s="700"/>
      <c r="AZ671" s="701"/>
    </row>
    <row r="672" spans="1:52" ht="30.75" thickBot="1">
      <c r="A672" s="67">
        <f t="shared" si="346"/>
        <v>44869</v>
      </c>
      <c r="B672" s="138"/>
      <c r="C672" s="138"/>
      <c r="D672" s="138"/>
      <c r="E672" s="138"/>
      <c r="F672" s="138"/>
      <c r="G672" s="138"/>
      <c r="H672" s="138"/>
      <c r="I672" s="138"/>
      <c r="J672" s="138"/>
      <c r="K672" s="138"/>
      <c r="L672" s="138"/>
      <c r="M672" s="138"/>
      <c r="N672" s="138"/>
      <c r="O672" s="138"/>
      <c r="P672" s="138"/>
      <c r="Q672" s="138"/>
      <c r="R672" s="139"/>
      <c r="S672" s="176"/>
      <c r="T672" s="835"/>
      <c r="U672" s="835"/>
      <c r="V672" s="835"/>
      <c r="W672" s="835"/>
      <c r="X672" s="835"/>
      <c r="Y672" s="255">
        <f t="shared" si="344"/>
        <v>0</v>
      </c>
      <c r="Z672" s="309">
        <f t="shared" si="345"/>
        <v>0</v>
      </c>
      <c r="AA672" s="256">
        <f t="shared" si="342"/>
        <v>0</v>
      </c>
      <c r="AB672" s="309"/>
      <c r="AC672" s="309"/>
      <c r="AD672" s="320">
        <f t="shared" si="343"/>
        <v>0</v>
      </c>
      <c r="AF672" s="11"/>
      <c r="AG672" s="24"/>
      <c r="AH672" s="64">
        <f t="shared" si="347"/>
        <v>43377</v>
      </c>
      <c r="AI672" s="698"/>
      <c r="AJ672" s="699"/>
      <c r="AK672" s="699"/>
      <c r="AL672" s="699"/>
      <c r="AM672" s="699"/>
      <c r="AN672" s="699"/>
      <c r="AO672" s="699"/>
      <c r="AP672" s="699"/>
      <c r="AQ672" s="699"/>
      <c r="AR672" s="699"/>
      <c r="AS672" s="699"/>
      <c r="AT672" s="699"/>
      <c r="AU672" s="699"/>
      <c r="AV672" s="699"/>
      <c r="AW672" s="699"/>
      <c r="AX672" s="700"/>
      <c r="AY672" s="700"/>
      <c r="AZ672" s="701"/>
    </row>
    <row r="673" spans="1:52" ht="30.75" thickBot="1">
      <c r="A673" s="67">
        <f t="shared" si="346"/>
        <v>44870</v>
      </c>
      <c r="B673" s="138"/>
      <c r="C673" s="138"/>
      <c r="D673" s="138"/>
      <c r="E673" s="138"/>
      <c r="F673" s="138"/>
      <c r="G673" s="138"/>
      <c r="H673" s="138"/>
      <c r="I673" s="138"/>
      <c r="J673" s="138"/>
      <c r="K673" s="138"/>
      <c r="L673" s="138"/>
      <c r="M673" s="138"/>
      <c r="N673" s="138"/>
      <c r="O673" s="138"/>
      <c r="P673" s="138"/>
      <c r="Q673" s="138"/>
      <c r="R673" s="139"/>
      <c r="S673" s="176"/>
      <c r="T673" s="835"/>
      <c r="U673" s="835"/>
      <c r="V673" s="835"/>
      <c r="W673" s="835"/>
      <c r="X673" s="835"/>
      <c r="Y673" s="255">
        <f t="shared" si="344"/>
        <v>0</v>
      </c>
      <c r="Z673" s="309">
        <f t="shared" si="345"/>
        <v>0</v>
      </c>
      <c r="AA673" s="256">
        <f t="shared" si="342"/>
        <v>0</v>
      </c>
      <c r="AB673" s="309"/>
      <c r="AC673" s="309"/>
      <c r="AD673" s="320">
        <f t="shared" si="343"/>
        <v>0</v>
      </c>
      <c r="AF673" s="11"/>
      <c r="AG673" s="24"/>
      <c r="AH673" s="64">
        <f t="shared" si="347"/>
        <v>43378</v>
      </c>
      <c r="AI673" s="698"/>
      <c r="AJ673" s="699"/>
      <c r="AK673" s="699"/>
      <c r="AL673" s="699"/>
      <c r="AM673" s="699"/>
      <c r="AN673" s="699"/>
      <c r="AO673" s="699"/>
      <c r="AP673" s="699"/>
      <c r="AQ673" s="699"/>
      <c r="AR673" s="699"/>
      <c r="AS673" s="699"/>
      <c r="AT673" s="699"/>
      <c r="AU673" s="699"/>
      <c r="AV673" s="699"/>
      <c r="AW673" s="699"/>
      <c r="AX673" s="700"/>
      <c r="AY673" s="700"/>
      <c r="AZ673" s="701"/>
    </row>
    <row r="674" spans="1:52" ht="30.75" thickBot="1">
      <c r="A674" s="67">
        <f t="shared" si="346"/>
        <v>44871</v>
      </c>
      <c r="B674" s="138"/>
      <c r="C674" s="138"/>
      <c r="D674" s="138"/>
      <c r="E674" s="138"/>
      <c r="F674" s="138"/>
      <c r="G674" s="138"/>
      <c r="H674" s="138"/>
      <c r="I674" s="138"/>
      <c r="J674" s="138"/>
      <c r="K674" s="138"/>
      <c r="L674" s="138"/>
      <c r="M674" s="138"/>
      <c r="N674" s="138"/>
      <c r="O674" s="138"/>
      <c r="P674" s="138"/>
      <c r="Q674" s="138"/>
      <c r="R674" s="139"/>
      <c r="S674" s="176"/>
      <c r="T674" s="835"/>
      <c r="U674" s="835"/>
      <c r="V674" s="835"/>
      <c r="W674" s="835"/>
      <c r="X674" s="835"/>
      <c r="Y674" s="255">
        <f t="shared" si="344"/>
        <v>0</v>
      </c>
      <c r="Z674" s="309">
        <f t="shared" si="345"/>
        <v>0</v>
      </c>
      <c r="AA674" s="256">
        <f t="shared" si="342"/>
        <v>0</v>
      </c>
      <c r="AB674" s="309"/>
      <c r="AC674" s="309"/>
      <c r="AD674" s="320">
        <f t="shared" si="343"/>
        <v>0</v>
      </c>
      <c r="AF674" s="11"/>
      <c r="AG674" s="24"/>
      <c r="AH674" s="64">
        <f t="shared" si="347"/>
        <v>43379</v>
      </c>
      <c r="AI674" s="698"/>
      <c r="AJ674" s="699"/>
      <c r="AK674" s="699"/>
      <c r="AL674" s="699"/>
      <c r="AM674" s="699"/>
      <c r="AN674" s="699"/>
      <c r="AO674" s="699"/>
      <c r="AP674" s="699"/>
      <c r="AQ674" s="699"/>
      <c r="AR674" s="699"/>
      <c r="AS674" s="699"/>
      <c r="AT674" s="699"/>
      <c r="AU674" s="699"/>
      <c r="AV674" s="699"/>
      <c r="AW674" s="699"/>
      <c r="AX674" s="700"/>
      <c r="AY674" s="700"/>
      <c r="AZ674" s="701"/>
    </row>
    <row r="675" spans="1:52" ht="30.75" thickBot="1">
      <c r="A675" s="67">
        <f t="shared" si="346"/>
        <v>44872</v>
      </c>
      <c r="B675" s="138"/>
      <c r="C675" s="138"/>
      <c r="D675" s="138"/>
      <c r="E675" s="138"/>
      <c r="F675" s="138"/>
      <c r="G675" s="138"/>
      <c r="H675" s="138"/>
      <c r="I675" s="138"/>
      <c r="J675" s="138"/>
      <c r="K675" s="138"/>
      <c r="L675" s="138"/>
      <c r="M675" s="138"/>
      <c r="N675" s="138"/>
      <c r="O675" s="138"/>
      <c r="P675" s="138"/>
      <c r="Q675" s="138"/>
      <c r="R675" s="139"/>
      <c r="S675" s="176"/>
      <c r="T675" s="835"/>
      <c r="U675" s="835"/>
      <c r="V675" s="835"/>
      <c r="W675" s="835"/>
      <c r="X675" s="835"/>
      <c r="Y675" s="255">
        <f t="shared" si="344"/>
        <v>0</v>
      </c>
      <c r="Z675" s="309">
        <f t="shared" si="345"/>
        <v>0</v>
      </c>
      <c r="AA675" s="256">
        <f t="shared" si="342"/>
        <v>0</v>
      </c>
      <c r="AB675" s="309"/>
      <c r="AC675" s="309"/>
      <c r="AD675" s="320">
        <f t="shared" si="343"/>
        <v>0</v>
      </c>
      <c r="AF675" s="11"/>
      <c r="AG675" s="24"/>
      <c r="AH675" s="64">
        <f t="shared" si="347"/>
        <v>43380</v>
      </c>
      <c r="AI675" s="698"/>
      <c r="AJ675" s="699"/>
      <c r="AK675" s="699"/>
      <c r="AL675" s="699"/>
      <c r="AM675" s="699"/>
      <c r="AN675" s="699"/>
      <c r="AO675" s="699"/>
      <c r="AP675" s="699"/>
      <c r="AQ675" s="699"/>
      <c r="AR675" s="699"/>
      <c r="AS675" s="699"/>
      <c r="AT675" s="699"/>
      <c r="AU675" s="699"/>
      <c r="AV675" s="699"/>
      <c r="AW675" s="699"/>
      <c r="AX675" s="700"/>
      <c r="AY675" s="700"/>
      <c r="AZ675" s="701"/>
    </row>
    <row r="676" spans="1:52" ht="30.75" thickBot="1">
      <c r="A676" s="67">
        <f t="shared" si="346"/>
        <v>44873</v>
      </c>
      <c r="B676" s="138"/>
      <c r="C676" s="138"/>
      <c r="D676" s="138"/>
      <c r="E676" s="138"/>
      <c r="F676" s="138"/>
      <c r="G676" s="138"/>
      <c r="H676" s="138"/>
      <c r="I676" s="138"/>
      <c r="J676" s="138"/>
      <c r="K676" s="138"/>
      <c r="L676" s="138"/>
      <c r="M676" s="138"/>
      <c r="N676" s="138"/>
      <c r="O676" s="138"/>
      <c r="P676" s="138"/>
      <c r="Q676" s="138"/>
      <c r="R676" s="139"/>
      <c r="S676" s="176"/>
      <c r="T676" s="835"/>
      <c r="U676" s="835"/>
      <c r="V676" s="835"/>
      <c r="W676" s="835"/>
      <c r="X676" s="835"/>
      <c r="Y676" s="255">
        <f t="shared" si="344"/>
        <v>0</v>
      </c>
      <c r="Z676" s="309">
        <f t="shared" si="345"/>
        <v>0</v>
      </c>
      <c r="AA676" s="256">
        <f t="shared" si="342"/>
        <v>0</v>
      </c>
      <c r="AB676" s="309"/>
      <c r="AC676" s="309"/>
      <c r="AD676" s="320">
        <f t="shared" si="343"/>
        <v>0</v>
      </c>
      <c r="AF676" s="11"/>
      <c r="AG676" s="24"/>
      <c r="AH676" s="64">
        <f t="shared" si="347"/>
        <v>43381</v>
      </c>
      <c r="AI676" s="698"/>
      <c r="AJ676" s="699"/>
      <c r="AK676" s="699"/>
      <c r="AL676" s="699"/>
      <c r="AM676" s="699"/>
      <c r="AN676" s="699"/>
      <c r="AO676" s="699"/>
      <c r="AP676" s="699"/>
      <c r="AQ676" s="699"/>
      <c r="AR676" s="699"/>
      <c r="AS676" s="699"/>
      <c r="AT676" s="699"/>
      <c r="AU676" s="699"/>
      <c r="AV676" s="699"/>
      <c r="AW676" s="699"/>
      <c r="AX676" s="700"/>
      <c r="AY676" s="700"/>
      <c r="AZ676" s="701"/>
    </row>
    <row r="677" spans="1:52" ht="30.75" thickBot="1">
      <c r="A677" s="67">
        <f t="shared" si="346"/>
        <v>44874</v>
      </c>
      <c r="B677" s="138"/>
      <c r="C677" s="138"/>
      <c r="D677" s="138"/>
      <c r="E677" s="138"/>
      <c r="F677" s="138"/>
      <c r="G677" s="138"/>
      <c r="H677" s="138"/>
      <c r="I677" s="138"/>
      <c r="J677" s="138"/>
      <c r="K677" s="138"/>
      <c r="L677" s="138"/>
      <c r="M677" s="138"/>
      <c r="N677" s="138"/>
      <c r="O677" s="138"/>
      <c r="P677" s="138"/>
      <c r="Q677" s="138"/>
      <c r="R677" s="139"/>
      <c r="S677" s="176"/>
      <c r="T677" s="835"/>
      <c r="U677" s="835"/>
      <c r="V677" s="835"/>
      <c r="W677" s="835"/>
      <c r="X677" s="835"/>
      <c r="Y677" s="255">
        <f t="shared" si="344"/>
        <v>0</v>
      </c>
      <c r="Z677" s="309">
        <f t="shared" si="345"/>
        <v>0</v>
      </c>
      <c r="AA677" s="256">
        <f t="shared" si="342"/>
        <v>0</v>
      </c>
      <c r="AB677" s="309"/>
      <c r="AC677" s="309"/>
      <c r="AD677" s="320">
        <f t="shared" si="343"/>
        <v>0</v>
      </c>
      <c r="AF677" s="11"/>
      <c r="AG677" s="24"/>
      <c r="AH677" s="64">
        <f t="shared" si="347"/>
        <v>43382</v>
      </c>
      <c r="AI677" s="698"/>
      <c r="AJ677" s="699"/>
      <c r="AK677" s="699"/>
      <c r="AL677" s="699"/>
      <c r="AM677" s="699"/>
      <c r="AN677" s="699"/>
      <c r="AO677" s="699"/>
      <c r="AP677" s="699"/>
      <c r="AQ677" s="699"/>
      <c r="AR677" s="699"/>
      <c r="AS677" s="699"/>
      <c r="AT677" s="699"/>
      <c r="AU677" s="699"/>
      <c r="AV677" s="699"/>
      <c r="AW677" s="699"/>
      <c r="AX677" s="700"/>
      <c r="AY677" s="700"/>
      <c r="AZ677" s="701"/>
    </row>
    <row r="678" spans="1:52" ht="30.75" thickBot="1">
      <c r="A678" s="67">
        <f t="shared" si="346"/>
        <v>44875</v>
      </c>
      <c r="B678" s="138"/>
      <c r="C678" s="138"/>
      <c r="D678" s="138"/>
      <c r="E678" s="138"/>
      <c r="F678" s="138"/>
      <c r="G678" s="138"/>
      <c r="H678" s="138"/>
      <c r="I678" s="138"/>
      <c r="J678" s="138"/>
      <c r="K678" s="138"/>
      <c r="L678" s="138"/>
      <c r="M678" s="138"/>
      <c r="N678" s="138"/>
      <c r="O678" s="138"/>
      <c r="P678" s="138"/>
      <c r="Q678" s="138"/>
      <c r="R678" s="139"/>
      <c r="S678" s="176"/>
      <c r="T678" s="835"/>
      <c r="U678" s="835"/>
      <c r="V678" s="835"/>
      <c r="W678" s="835"/>
      <c r="X678" s="835"/>
      <c r="Y678" s="255">
        <f t="shared" si="344"/>
        <v>0</v>
      </c>
      <c r="Z678" s="309">
        <f t="shared" si="345"/>
        <v>0</v>
      </c>
      <c r="AA678" s="256">
        <f t="shared" si="342"/>
        <v>0</v>
      </c>
      <c r="AB678" s="309"/>
      <c r="AC678" s="309"/>
      <c r="AD678" s="320">
        <f t="shared" si="343"/>
        <v>0</v>
      </c>
      <c r="AF678" s="11"/>
      <c r="AG678" s="24"/>
      <c r="AH678" s="64">
        <f t="shared" si="347"/>
        <v>43383</v>
      </c>
      <c r="AI678" s="698"/>
      <c r="AJ678" s="699"/>
      <c r="AK678" s="699"/>
      <c r="AL678" s="699"/>
      <c r="AM678" s="699"/>
      <c r="AN678" s="699"/>
      <c r="AO678" s="699"/>
      <c r="AP678" s="699"/>
      <c r="AQ678" s="699"/>
      <c r="AR678" s="699"/>
      <c r="AS678" s="699"/>
      <c r="AT678" s="699"/>
      <c r="AU678" s="699"/>
      <c r="AV678" s="699"/>
      <c r="AW678" s="699"/>
      <c r="AX678" s="700"/>
      <c r="AY678" s="700"/>
      <c r="AZ678" s="701"/>
    </row>
    <row r="679" spans="1:52" ht="30.75" thickBot="1">
      <c r="A679" s="67">
        <f t="shared" si="346"/>
        <v>44876</v>
      </c>
      <c r="B679" s="138"/>
      <c r="C679" s="138"/>
      <c r="D679" s="138"/>
      <c r="E679" s="138"/>
      <c r="F679" s="138"/>
      <c r="G679" s="138"/>
      <c r="H679" s="138"/>
      <c r="I679" s="138"/>
      <c r="J679" s="138"/>
      <c r="K679" s="138"/>
      <c r="L679" s="138"/>
      <c r="M679" s="138"/>
      <c r="N679" s="138"/>
      <c r="O679" s="138"/>
      <c r="P679" s="138"/>
      <c r="Q679" s="138"/>
      <c r="R679" s="139"/>
      <c r="S679" s="176"/>
      <c r="T679" s="835"/>
      <c r="U679" s="835"/>
      <c r="V679" s="835"/>
      <c r="W679" s="835"/>
      <c r="X679" s="835"/>
      <c r="Y679" s="255">
        <f t="shared" si="344"/>
        <v>0</v>
      </c>
      <c r="Z679" s="309">
        <f t="shared" si="345"/>
        <v>0</v>
      </c>
      <c r="AA679" s="256">
        <f t="shared" si="342"/>
        <v>0</v>
      </c>
      <c r="AB679" s="309"/>
      <c r="AC679" s="309"/>
      <c r="AD679" s="320">
        <f t="shared" si="343"/>
        <v>0</v>
      </c>
      <c r="AF679" s="11"/>
      <c r="AG679" s="24"/>
      <c r="AH679" s="64">
        <f t="shared" si="347"/>
        <v>43384</v>
      </c>
      <c r="AI679" s="698"/>
      <c r="AJ679" s="699"/>
      <c r="AK679" s="699"/>
      <c r="AL679" s="699"/>
      <c r="AM679" s="699"/>
      <c r="AN679" s="699"/>
      <c r="AO679" s="699"/>
      <c r="AP679" s="699"/>
      <c r="AQ679" s="699"/>
      <c r="AR679" s="699"/>
      <c r="AS679" s="699"/>
      <c r="AT679" s="699"/>
      <c r="AU679" s="699"/>
      <c r="AV679" s="699"/>
      <c r="AW679" s="699"/>
      <c r="AX679" s="700"/>
      <c r="AY679" s="700"/>
      <c r="AZ679" s="701"/>
    </row>
    <row r="680" spans="1:52" ht="30.75" thickBot="1">
      <c r="A680" s="67">
        <f t="shared" si="346"/>
        <v>44877</v>
      </c>
      <c r="B680" s="138"/>
      <c r="C680" s="138"/>
      <c r="D680" s="138"/>
      <c r="E680" s="138"/>
      <c r="F680" s="138"/>
      <c r="G680" s="138"/>
      <c r="H680" s="138"/>
      <c r="I680" s="138"/>
      <c r="J680" s="138"/>
      <c r="K680" s="138"/>
      <c r="L680" s="138"/>
      <c r="M680" s="138"/>
      <c r="N680" s="138"/>
      <c r="O680" s="138"/>
      <c r="P680" s="138"/>
      <c r="Q680" s="138"/>
      <c r="R680" s="139"/>
      <c r="S680" s="176"/>
      <c r="T680" s="835"/>
      <c r="U680" s="835"/>
      <c r="V680" s="835"/>
      <c r="W680" s="835"/>
      <c r="X680" s="835"/>
      <c r="Y680" s="255">
        <f t="shared" si="344"/>
        <v>0</v>
      </c>
      <c r="Z680" s="309">
        <f t="shared" si="345"/>
        <v>0</v>
      </c>
      <c r="AA680" s="256">
        <f t="shared" si="342"/>
        <v>0</v>
      </c>
      <c r="AB680" s="309"/>
      <c r="AC680" s="309"/>
      <c r="AD680" s="320">
        <f t="shared" si="343"/>
        <v>0</v>
      </c>
      <c r="AF680" s="11"/>
      <c r="AG680" s="24"/>
      <c r="AH680" s="64">
        <f t="shared" si="347"/>
        <v>43385</v>
      </c>
      <c r="AI680" s="698"/>
      <c r="AJ680" s="699"/>
      <c r="AK680" s="699"/>
      <c r="AL680" s="699"/>
      <c r="AM680" s="699"/>
      <c r="AN680" s="699"/>
      <c r="AO680" s="699"/>
      <c r="AP680" s="699"/>
      <c r="AQ680" s="699"/>
      <c r="AR680" s="699"/>
      <c r="AS680" s="699"/>
      <c r="AT680" s="699"/>
      <c r="AU680" s="699"/>
      <c r="AV680" s="699"/>
      <c r="AW680" s="699"/>
      <c r="AX680" s="700"/>
      <c r="AY680" s="700"/>
      <c r="AZ680" s="701"/>
    </row>
    <row r="681" spans="1:52" ht="30.75" thickBot="1">
      <c r="A681" s="67">
        <f t="shared" si="346"/>
        <v>44878</v>
      </c>
      <c r="B681" s="138"/>
      <c r="C681" s="138"/>
      <c r="D681" s="138"/>
      <c r="E681" s="138"/>
      <c r="F681" s="138"/>
      <c r="G681" s="138"/>
      <c r="H681" s="138"/>
      <c r="I681" s="138"/>
      <c r="J681" s="138"/>
      <c r="K681" s="138"/>
      <c r="L681" s="138"/>
      <c r="M681" s="138"/>
      <c r="N681" s="138"/>
      <c r="O681" s="138"/>
      <c r="P681" s="138"/>
      <c r="Q681" s="138"/>
      <c r="R681" s="139"/>
      <c r="S681" s="176"/>
      <c r="T681" s="835"/>
      <c r="U681" s="835"/>
      <c r="V681" s="835"/>
      <c r="W681" s="835"/>
      <c r="X681" s="835"/>
      <c r="Y681" s="255">
        <f t="shared" si="344"/>
        <v>0</v>
      </c>
      <c r="Z681" s="309">
        <f t="shared" si="345"/>
        <v>0</v>
      </c>
      <c r="AA681" s="256">
        <f t="shared" si="342"/>
        <v>0</v>
      </c>
      <c r="AB681" s="309"/>
      <c r="AC681" s="309"/>
      <c r="AD681" s="320">
        <f t="shared" si="343"/>
        <v>0</v>
      </c>
      <c r="AF681" s="11"/>
      <c r="AG681" s="24"/>
      <c r="AH681" s="64">
        <f t="shared" si="347"/>
        <v>43386</v>
      </c>
      <c r="AI681" s="698"/>
      <c r="AJ681" s="699"/>
      <c r="AK681" s="699"/>
      <c r="AL681" s="699"/>
      <c r="AM681" s="699"/>
      <c r="AN681" s="699"/>
      <c r="AO681" s="699"/>
      <c r="AP681" s="699"/>
      <c r="AQ681" s="699"/>
      <c r="AR681" s="699"/>
      <c r="AS681" s="699"/>
      <c r="AT681" s="699"/>
      <c r="AU681" s="699"/>
      <c r="AV681" s="699"/>
      <c r="AW681" s="699"/>
      <c r="AX681" s="700"/>
      <c r="AY681" s="700"/>
      <c r="AZ681" s="701"/>
    </row>
    <row r="682" spans="1:52" ht="30.75" thickBot="1">
      <c r="A682" s="67">
        <f t="shared" si="346"/>
        <v>44879</v>
      </c>
      <c r="B682" s="138"/>
      <c r="C682" s="138"/>
      <c r="D682" s="138"/>
      <c r="E682" s="138"/>
      <c r="F682" s="138"/>
      <c r="G682" s="138"/>
      <c r="H682" s="138"/>
      <c r="I682" s="138"/>
      <c r="J682" s="138"/>
      <c r="K682" s="138"/>
      <c r="L682" s="138"/>
      <c r="M682" s="138"/>
      <c r="N682" s="138"/>
      <c r="O682" s="138"/>
      <c r="P682" s="138"/>
      <c r="Q682" s="138"/>
      <c r="R682" s="139"/>
      <c r="S682" s="176"/>
      <c r="T682" s="835"/>
      <c r="U682" s="835"/>
      <c r="V682" s="835"/>
      <c r="W682" s="835"/>
      <c r="X682" s="835"/>
      <c r="Y682" s="255">
        <f t="shared" si="344"/>
        <v>0</v>
      </c>
      <c r="Z682" s="309">
        <f t="shared" si="345"/>
        <v>0</v>
      </c>
      <c r="AA682" s="256">
        <f t="shared" si="342"/>
        <v>0</v>
      </c>
      <c r="AB682" s="309"/>
      <c r="AC682" s="309"/>
      <c r="AD682" s="320">
        <f t="shared" si="343"/>
        <v>0</v>
      </c>
      <c r="AF682" s="11"/>
      <c r="AG682" s="24"/>
      <c r="AH682" s="64">
        <f t="shared" si="347"/>
        <v>43387</v>
      </c>
      <c r="AI682" s="698"/>
      <c r="AJ682" s="699"/>
      <c r="AK682" s="699"/>
      <c r="AL682" s="699"/>
      <c r="AM682" s="699"/>
      <c r="AN682" s="699"/>
      <c r="AO682" s="699"/>
      <c r="AP682" s="699"/>
      <c r="AQ682" s="699"/>
      <c r="AR682" s="699"/>
      <c r="AS682" s="699"/>
      <c r="AT682" s="699"/>
      <c r="AU682" s="699"/>
      <c r="AV682" s="699"/>
      <c r="AW682" s="699"/>
      <c r="AX682" s="700"/>
      <c r="AY682" s="700"/>
      <c r="AZ682" s="701"/>
    </row>
    <row r="683" spans="1:52" ht="30.75" thickBot="1">
      <c r="A683" s="67">
        <f t="shared" si="346"/>
        <v>44880</v>
      </c>
      <c r="B683" s="138"/>
      <c r="C683" s="138"/>
      <c r="D683" s="138"/>
      <c r="E683" s="138"/>
      <c r="F683" s="138"/>
      <c r="G683" s="138"/>
      <c r="H683" s="138"/>
      <c r="I683" s="138"/>
      <c r="J683" s="138"/>
      <c r="K683" s="138"/>
      <c r="L683" s="138"/>
      <c r="M683" s="138"/>
      <c r="N683" s="138"/>
      <c r="O683" s="138"/>
      <c r="P683" s="138"/>
      <c r="Q683" s="138"/>
      <c r="R683" s="139"/>
      <c r="S683" s="176"/>
      <c r="T683" s="835"/>
      <c r="U683" s="835"/>
      <c r="V683" s="835"/>
      <c r="W683" s="835"/>
      <c r="X683" s="835"/>
      <c r="Y683" s="255">
        <f t="shared" si="344"/>
        <v>0</v>
      </c>
      <c r="Z683" s="309">
        <f t="shared" si="345"/>
        <v>0</v>
      </c>
      <c r="AA683" s="256">
        <f t="shared" si="342"/>
        <v>0</v>
      </c>
      <c r="AB683" s="309"/>
      <c r="AC683" s="309"/>
      <c r="AD683" s="320">
        <f t="shared" si="343"/>
        <v>0</v>
      </c>
      <c r="AF683" s="11"/>
      <c r="AG683" s="24"/>
      <c r="AH683" s="64">
        <f t="shared" si="347"/>
        <v>43388</v>
      </c>
      <c r="AI683" s="698"/>
      <c r="AJ683" s="699"/>
      <c r="AK683" s="699"/>
      <c r="AL683" s="699"/>
      <c r="AM683" s="699"/>
      <c r="AN683" s="699"/>
      <c r="AO683" s="699"/>
      <c r="AP683" s="699"/>
      <c r="AQ683" s="699"/>
      <c r="AR683" s="699"/>
      <c r="AS683" s="699"/>
      <c r="AT683" s="699"/>
      <c r="AU683" s="699"/>
      <c r="AV683" s="699"/>
      <c r="AW683" s="699"/>
      <c r="AX683" s="700"/>
      <c r="AY683" s="700"/>
      <c r="AZ683" s="701"/>
    </row>
    <row r="684" spans="1:52" ht="30.75" thickBot="1">
      <c r="A684" s="67">
        <f t="shared" si="346"/>
        <v>44881</v>
      </c>
      <c r="B684" s="138"/>
      <c r="C684" s="138"/>
      <c r="D684" s="138"/>
      <c r="E684" s="138"/>
      <c r="F684" s="138"/>
      <c r="G684" s="138"/>
      <c r="H684" s="138"/>
      <c r="I684" s="138"/>
      <c r="J684" s="138"/>
      <c r="K684" s="138"/>
      <c r="L684" s="138"/>
      <c r="M684" s="138"/>
      <c r="N684" s="138"/>
      <c r="O684" s="138"/>
      <c r="P684" s="138"/>
      <c r="Q684" s="138"/>
      <c r="R684" s="139"/>
      <c r="S684" s="176"/>
      <c r="T684" s="835"/>
      <c r="U684" s="835"/>
      <c r="V684" s="835"/>
      <c r="W684" s="835"/>
      <c r="X684" s="835"/>
      <c r="Y684" s="255">
        <f t="shared" si="344"/>
        <v>0</v>
      </c>
      <c r="Z684" s="309">
        <f t="shared" si="345"/>
        <v>0</v>
      </c>
      <c r="AA684" s="256">
        <f t="shared" si="342"/>
        <v>0</v>
      </c>
      <c r="AB684" s="309"/>
      <c r="AC684" s="309"/>
      <c r="AD684" s="320">
        <f t="shared" si="343"/>
        <v>0</v>
      </c>
      <c r="AF684" s="11"/>
      <c r="AG684" s="24"/>
      <c r="AH684" s="64">
        <f t="shared" si="347"/>
        <v>43389</v>
      </c>
      <c r="AI684" s="698"/>
      <c r="AJ684" s="699"/>
      <c r="AK684" s="699"/>
      <c r="AL684" s="699"/>
      <c r="AM684" s="699"/>
      <c r="AN684" s="699"/>
      <c r="AO684" s="699"/>
      <c r="AP684" s="699"/>
      <c r="AQ684" s="699"/>
      <c r="AR684" s="699"/>
      <c r="AS684" s="699"/>
      <c r="AT684" s="699"/>
      <c r="AU684" s="699"/>
      <c r="AV684" s="699"/>
      <c r="AW684" s="699"/>
      <c r="AX684" s="700"/>
      <c r="AY684" s="700"/>
      <c r="AZ684" s="701"/>
    </row>
    <row r="685" spans="1:52" ht="30.75" thickBot="1">
      <c r="A685" s="67">
        <f t="shared" si="346"/>
        <v>44882</v>
      </c>
      <c r="B685" s="138"/>
      <c r="C685" s="138"/>
      <c r="D685" s="138"/>
      <c r="E685" s="138"/>
      <c r="F685" s="138"/>
      <c r="G685" s="138"/>
      <c r="H685" s="138"/>
      <c r="I685" s="138"/>
      <c r="J685" s="138"/>
      <c r="K685" s="138"/>
      <c r="L685" s="138"/>
      <c r="M685" s="138"/>
      <c r="N685" s="138"/>
      <c r="O685" s="138"/>
      <c r="P685" s="138"/>
      <c r="Q685" s="138"/>
      <c r="R685" s="139"/>
      <c r="S685" s="176"/>
      <c r="T685" s="835"/>
      <c r="U685" s="835"/>
      <c r="V685" s="835"/>
      <c r="W685" s="835"/>
      <c r="X685" s="835"/>
      <c r="Y685" s="255">
        <f t="shared" si="344"/>
        <v>0</v>
      </c>
      <c r="Z685" s="309">
        <f t="shared" si="345"/>
        <v>0</v>
      </c>
      <c r="AA685" s="256">
        <f t="shared" si="342"/>
        <v>0</v>
      </c>
      <c r="AB685" s="309"/>
      <c r="AC685" s="309"/>
      <c r="AD685" s="320">
        <f t="shared" si="343"/>
        <v>0</v>
      </c>
      <c r="AF685" s="11"/>
      <c r="AG685" s="24"/>
      <c r="AH685" s="64">
        <f t="shared" si="347"/>
        <v>43390</v>
      </c>
      <c r="AI685" s="698"/>
      <c r="AJ685" s="699"/>
      <c r="AK685" s="699"/>
      <c r="AL685" s="699"/>
      <c r="AM685" s="699"/>
      <c r="AN685" s="699"/>
      <c r="AO685" s="699"/>
      <c r="AP685" s="699"/>
      <c r="AQ685" s="699"/>
      <c r="AR685" s="699"/>
      <c r="AS685" s="699"/>
      <c r="AT685" s="699"/>
      <c r="AU685" s="699"/>
      <c r="AV685" s="699"/>
      <c r="AW685" s="699"/>
      <c r="AX685" s="700"/>
      <c r="AY685" s="700"/>
      <c r="AZ685" s="701"/>
    </row>
    <row r="686" spans="1:52" ht="30.75" thickBot="1">
      <c r="A686" s="67">
        <f t="shared" si="346"/>
        <v>44883</v>
      </c>
      <c r="B686" s="138"/>
      <c r="C686" s="138"/>
      <c r="D686" s="138"/>
      <c r="E686" s="138"/>
      <c r="F686" s="138"/>
      <c r="G686" s="138"/>
      <c r="H686" s="138"/>
      <c r="I686" s="138"/>
      <c r="J686" s="138"/>
      <c r="K686" s="138"/>
      <c r="L686" s="138"/>
      <c r="M686" s="138"/>
      <c r="N686" s="138"/>
      <c r="O686" s="138"/>
      <c r="P686" s="138"/>
      <c r="Q686" s="138"/>
      <c r="R686" s="139"/>
      <c r="S686" s="176"/>
      <c r="T686" s="835"/>
      <c r="U686" s="835"/>
      <c r="V686" s="835"/>
      <c r="W686" s="835"/>
      <c r="X686" s="835"/>
      <c r="Y686" s="255">
        <f t="shared" si="344"/>
        <v>0</v>
      </c>
      <c r="Z686" s="309">
        <f t="shared" si="345"/>
        <v>0</v>
      </c>
      <c r="AA686" s="256">
        <f t="shared" si="342"/>
        <v>0</v>
      </c>
      <c r="AB686" s="309"/>
      <c r="AC686" s="309"/>
      <c r="AD686" s="320">
        <f t="shared" si="343"/>
        <v>0</v>
      </c>
      <c r="AF686" s="11"/>
      <c r="AG686" s="24"/>
      <c r="AH686" s="64">
        <f t="shared" si="347"/>
        <v>43391</v>
      </c>
      <c r="AI686" s="698"/>
      <c r="AJ686" s="699"/>
      <c r="AK686" s="699"/>
      <c r="AL686" s="699"/>
      <c r="AM686" s="699"/>
      <c r="AN686" s="699"/>
      <c r="AO686" s="699"/>
      <c r="AP686" s="699"/>
      <c r="AQ686" s="699"/>
      <c r="AR686" s="699"/>
      <c r="AS686" s="699"/>
      <c r="AT686" s="699"/>
      <c r="AU686" s="699"/>
      <c r="AV686" s="699"/>
      <c r="AW686" s="699"/>
      <c r="AX686" s="700"/>
      <c r="AY686" s="700"/>
      <c r="AZ686" s="701"/>
    </row>
    <row r="687" spans="1:52" ht="30.75" thickBot="1">
      <c r="A687" s="67">
        <f t="shared" si="346"/>
        <v>44884</v>
      </c>
      <c r="B687" s="138"/>
      <c r="C687" s="138"/>
      <c r="D687" s="138"/>
      <c r="E687" s="138"/>
      <c r="F687" s="138"/>
      <c r="G687" s="138"/>
      <c r="H687" s="138"/>
      <c r="I687" s="138"/>
      <c r="J687" s="138"/>
      <c r="K687" s="138"/>
      <c r="L687" s="138"/>
      <c r="M687" s="138"/>
      <c r="N687" s="138"/>
      <c r="O687" s="138"/>
      <c r="P687" s="138"/>
      <c r="Q687" s="138"/>
      <c r="R687" s="139"/>
      <c r="S687" s="176"/>
      <c r="T687" s="835"/>
      <c r="U687" s="835"/>
      <c r="V687" s="835"/>
      <c r="W687" s="835"/>
      <c r="X687" s="835"/>
      <c r="Y687" s="255">
        <f t="shared" si="344"/>
        <v>0</v>
      </c>
      <c r="Z687" s="309">
        <f t="shared" si="345"/>
        <v>0</v>
      </c>
      <c r="AA687" s="256">
        <f t="shared" si="342"/>
        <v>0</v>
      </c>
      <c r="AB687" s="309"/>
      <c r="AC687" s="309"/>
      <c r="AD687" s="320">
        <f t="shared" si="343"/>
        <v>0</v>
      </c>
      <c r="AF687" s="11"/>
      <c r="AG687" s="24"/>
      <c r="AH687" s="64">
        <f t="shared" si="347"/>
        <v>43392</v>
      </c>
      <c r="AI687" s="698"/>
      <c r="AJ687" s="699"/>
      <c r="AK687" s="699"/>
      <c r="AL687" s="699"/>
      <c r="AM687" s="699"/>
      <c r="AN687" s="699"/>
      <c r="AO687" s="699"/>
      <c r="AP687" s="699"/>
      <c r="AQ687" s="699"/>
      <c r="AR687" s="699"/>
      <c r="AS687" s="699"/>
      <c r="AT687" s="699"/>
      <c r="AU687" s="699"/>
      <c r="AV687" s="699"/>
      <c r="AW687" s="699"/>
      <c r="AX687" s="700"/>
      <c r="AY687" s="700"/>
      <c r="AZ687" s="701"/>
    </row>
    <row r="688" spans="1:52" ht="30.75" thickBot="1">
      <c r="A688" s="67">
        <f t="shared" si="346"/>
        <v>44885</v>
      </c>
      <c r="B688" s="138"/>
      <c r="C688" s="138"/>
      <c r="D688" s="138"/>
      <c r="E688" s="138"/>
      <c r="F688" s="138"/>
      <c r="G688" s="138"/>
      <c r="H688" s="138"/>
      <c r="I688" s="138"/>
      <c r="J688" s="138"/>
      <c r="K688" s="138"/>
      <c r="L688" s="138"/>
      <c r="M688" s="138"/>
      <c r="N688" s="138"/>
      <c r="O688" s="138"/>
      <c r="P688" s="138"/>
      <c r="Q688" s="138"/>
      <c r="R688" s="139"/>
      <c r="S688" s="176"/>
      <c r="T688" s="835"/>
      <c r="U688" s="835"/>
      <c r="V688" s="835"/>
      <c r="W688" s="835"/>
      <c r="X688" s="835"/>
      <c r="Y688" s="255">
        <f t="shared" si="344"/>
        <v>0</v>
      </c>
      <c r="Z688" s="309">
        <f t="shared" si="345"/>
        <v>0</v>
      </c>
      <c r="AA688" s="256">
        <f t="shared" si="342"/>
        <v>0</v>
      </c>
      <c r="AB688" s="309"/>
      <c r="AC688" s="309"/>
      <c r="AD688" s="320">
        <f t="shared" si="343"/>
        <v>0</v>
      </c>
      <c r="AF688" s="11"/>
      <c r="AG688" s="24"/>
      <c r="AH688" s="64">
        <f t="shared" si="347"/>
        <v>43393</v>
      </c>
      <c r="AI688" s="698"/>
      <c r="AJ688" s="699"/>
      <c r="AK688" s="699"/>
      <c r="AL688" s="699"/>
      <c r="AM688" s="699"/>
      <c r="AN688" s="699"/>
      <c r="AO688" s="699"/>
      <c r="AP688" s="699"/>
      <c r="AQ688" s="699"/>
      <c r="AR688" s="699"/>
      <c r="AS688" s="699"/>
      <c r="AT688" s="699"/>
      <c r="AU688" s="699"/>
      <c r="AV688" s="699"/>
      <c r="AW688" s="699"/>
      <c r="AX688" s="700"/>
      <c r="AY688" s="700"/>
      <c r="AZ688" s="701"/>
    </row>
    <row r="689" spans="1:52" ht="30.75" thickBot="1">
      <c r="A689" s="67">
        <f t="shared" si="346"/>
        <v>44886</v>
      </c>
      <c r="B689" s="138"/>
      <c r="C689" s="138"/>
      <c r="D689" s="138"/>
      <c r="E689" s="138"/>
      <c r="F689" s="138"/>
      <c r="G689" s="138"/>
      <c r="H689" s="138"/>
      <c r="I689" s="138"/>
      <c r="J689" s="138"/>
      <c r="K689" s="138"/>
      <c r="L689" s="138"/>
      <c r="M689" s="138"/>
      <c r="N689" s="138"/>
      <c r="O689" s="138"/>
      <c r="P689" s="138"/>
      <c r="Q689" s="138"/>
      <c r="R689" s="139"/>
      <c r="S689" s="176"/>
      <c r="T689" s="835"/>
      <c r="U689" s="835"/>
      <c r="V689" s="835"/>
      <c r="W689" s="835"/>
      <c r="X689" s="835"/>
      <c r="Y689" s="255">
        <f t="shared" si="344"/>
        <v>0</v>
      </c>
      <c r="Z689" s="309">
        <f t="shared" si="345"/>
        <v>0</v>
      </c>
      <c r="AA689" s="256">
        <f t="shared" si="342"/>
        <v>0</v>
      </c>
      <c r="AB689" s="309"/>
      <c r="AC689" s="309"/>
      <c r="AD689" s="320">
        <f t="shared" si="343"/>
        <v>0</v>
      </c>
      <c r="AF689" s="11"/>
      <c r="AG689" s="24"/>
      <c r="AH689" s="64">
        <f t="shared" si="347"/>
        <v>43394</v>
      </c>
      <c r="AI689" s="698"/>
      <c r="AJ689" s="699"/>
      <c r="AK689" s="699"/>
      <c r="AL689" s="699"/>
      <c r="AM689" s="699"/>
      <c r="AN689" s="699"/>
      <c r="AO689" s="699"/>
      <c r="AP689" s="699"/>
      <c r="AQ689" s="699"/>
      <c r="AR689" s="699"/>
      <c r="AS689" s="699"/>
      <c r="AT689" s="699"/>
      <c r="AU689" s="699"/>
      <c r="AV689" s="699"/>
      <c r="AW689" s="699"/>
      <c r="AX689" s="700"/>
      <c r="AY689" s="700"/>
      <c r="AZ689" s="701"/>
    </row>
    <row r="690" spans="1:52" ht="30.75" thickBot="1">
      <c r="A690" s="67">
        <f t="shared" si="346"/>
        <v>44887</v>
      </c>
      <c r="B690" s="138"/>
      <c r="C690" s="138"/>
      <c r="D690" s="138"/>
      <c r="E690" s="138"/>
      <c r="F690" s="138"/>
      <c r="G690" s="138"/>
      <c r="H690" s="138"/>
      <c r="I690" s="138"/>
      <c r="J690" s="138"/>
      <c r="K690" s="138"/>
      <c r="L690" s="138"/>
      <c r="M690" s="138"/>
      <c r="N690" s="138"/>
      <c r="O690" s="138"/>
      <c r="P690" s="138"/>
      <c r="Q690" s="138"/>
      <c r="R690" s="139"/>
      <c r="S690" s="176"/>
      <c r="T690" s="835"/>
      <c r="U690" s="835"/>
      <c r="V690" s="835"/>
      <c r="W690" s="835"/>
      <c r="X690" s="835"/>
      <c r="Y690" s="255">
        <f t="shared" si="344"/>
        <v>0</v>
      </c>
      <c r="Z690" s="309">
        <f t="shared" si="345"/>
        <v>0</v>
      </c>
      <c r="AA690" s="256">
        <f t="shared" si="342"/>
        <v>0</v>
      </c>
      <c r="AB690" s="309"/>
      <c r="AC690" s="309"/>
      <c r="AD690" s="320">
        <f t="shared" si="343"/>
        <v>0</v>
      </c>
      <c r="AF690" s="11"/>
      <c r="AG690" s="24"/>
      <c r="AH690" s="64">
        <f t="shared" si="347"/>
        <v>43395</v>
      </c>
      <c r="AI690" s="698"/>
      <c r="AJ690" s="699"/>
      <c r="AK690" s="699"/>
      <c r="AL690" s="699"/>
      <c r="AM690" s="699"/>
      <c r="AN690" s="699"/>
      <c r="AO690" s="699"/>
      <c r="AP690" s="699"/>
      <c r="AQ690" s="699"/>
      <c r="AR690" s="699"/>
      <c r="AS690" s="699"/>
      <c r="AT690" s="699"/>
      <c r="AU690" s="699"/>
      <c r="AV690" s="699"/>
      <c r="AW690" s="699"/>
      <c r="AX690" s="700"/>
      <c r="AY690" s="700"/>
      <c r="AZ690" s="701"/>
    </row>
    <row r="691" spans="1:52" ht="30.75" thickBot="1">
      <c r="A691" s="67">
        <f t="shared" si="346"/>
        <v>44888</v>
      </c>
      <c r="B691" s="138"/>
      <c r="C691" s="138"/>
      <c r="D691" s="138"/>
      <c r="E691" s="138"/>
      <c r="F691" s="138"/>
      <c r="G691" s="138"/>
      <c r="H691" s="138"/>
      <c r="I691" s="138"/>
      <c r="J691" s="138"/>
      <c r="K691" s="138"/>
      <c r="L691" s="138"/>
      <c r="M691" s="138"/>
      <c r="N691" s="138"/>
      <c r="O691" s="138"/>
      <c r="P691" s="138"/>
      <c r="Q691" s="138"/>
      <c r="R691" s="139"/>
      <c r="S691" s="176"/>
      <c r="T691" s="835"/>
      <c r="U691" s="835"/>
      <c r="V691" s="835"/>
      <c r="W691" s="835"/>
      <c r="X691" s="835"/>
      <c r="Y691" s="255">
        <f t="shared" si="344"/>
        <v>0</v>
      </c>
      <c r="Z691" s="309">
        <f t="shared" si="345"/>
        <v>0</v>
      </c>
      <c r="AA691" s="256">
        <f t="shared" si="342"/>
        <v>0</v>
      </c>
      <c r="AB691" s="309"/>
      <c r="AC691" s="309"/>
      <c r="AD691" s="320">
        <f t="shared" si="343"/>
        <v>0</v>
      </c>
      <c r="AF691" s="11"/>
      <c r="AG691" s="24"/>
      <c r="AH691" s="64">
        <f t="shared" si="347"/>
        <v>43396</v>
      </c>
      <c r="AI691" s="698"/>
      <c r="AJ691" s="699"/>
      <c r="AK691" s="699"/>
      <c r="AL691" s="699"/>
      <c r="AM691" s="699"/>
      <c r="AN691" s="699"/>
      <c r="AO691" s="699"/>
      <c r="AP691" s="699"/>
      <c r="AQ691" s="699"/>
      <c r="AR691" s="699"/>
      <c r="AS691" s="699"/>
      <c r="AT691" s="699"/>
      <c r="AU691" s="699"/>
      <c r="AV691" s="699"/>
      <c r="AW691" s="699"/>
      <c r="AX691" s="700"/>
      <c r="AY691" s="700"/>
      <c r="AZ691" s="701"/>
    </row>
    <row r="692" spans="1:52" ht="30.75" thickBot="1">
      <c r="A692" s="67">
        <f t="shared" si="346"/>
        <v>44889</v>
      </c>
      <c r="B692" s="138"/>
      <c r="C692" s="138"/>
      <c r="D692" s="138"/>
      <c r="E692" s="138"/>
      <c r="F692" s="138"/>
      <c r="G692" s="138"/>
      <c r="H692" s="138"/>
      <c r="I692" s="138"/>
      <c r="J692" s="138"/>
      <c r="K692" s="138"/>
      <c r="L692" s="138"/>
      <c r="M692" s="138"/>
      <c r="N692" s="138"/>
      <c r="O692" s="138"/>
      <c r="P692" s="138"/>
      <c r="Q692" s="138"/>
      <c r="R692" s="139"/>
      <c r="S692" s="176"/>
      <c r="T692" s="835"/>
      <c r="U692" s="835"/>
      <c r="V692" s="835"/>
      <c r="W692" s="835"/>
      <c r="X692" s="835"/>
      <c r="Y692" s="255">
        <f t="shared" si="344"/>
        <v>0</v>
      </c>
      <c r="Z692" s="309">
        <f t="shared" si="345"/>
        <v>0</v>
      </c>
      <c r="AA692" s="256">
        <f t="shared" si="342"/>
        <v>0</v>
      </c>
      <c r="AB692" s="309"/>
      <c r="AC692" s="309"/>
      <c r="AD692" s="320">
        <f t="shared" si="343"/>
        <v>0</v>
      </c>
      <c r="AF692" s="11"/>
      <c r="AG692" s="24"/>
      <c r="AH692" s="64">
        <f t="shared" si="347"/>
        <v>43397</v>
      </c>
      <c r="AI692" s="698"/>
      <c r="AJ692" s="699"/>
      <c r="AK692" s="699"/>
      <c r="AL692" s="699"/>
      <c r="AM692" s="699"/>
      <c r="AN692" s="699"/>
      <c r="AO692" s="699"/>
      <c r="AP692" s="699"/>
      <c r="AQ692" s="699"/>
      <c r="AR692" s="699"/>
      <c r="AS692" s="699"/>
      <c r="AT692" s="699"/>
      <c r="AU692" s="699"/>
      <c r="AV692" s="699"/>
      <c r="AW692" s="699"/>
      <c r="AX692" s="700"/>
      <c r="AY692" s="700"/>
      <c r="AZ692" s="701"/>
    </row>
    <row r="693" spans="1:52" ht="30.75" thickBot="1">
      <c r="A693" s="67">
        <f t="shared" si="346"/>
        <v>44890</v>
      </c>
      <c r="B693" s="138"/>
      <c r="C693" s="138"/>
      <c r="D693" s="138"/>
      <c r="E693" s="138"/>
      <c r="F693" s="138"/>
      <c r="G693" s="138"/>
      <c r="H693" s="138"/>
      <c r="I693" s="138"/>
      <c r="J693" s="138"/>
      <c r="K693" s="138"/>
      <c r="L693" s="138"/>
      <c r="M693" s="138"/>
      <c r="N693" s="138"/>
      <c r="O693" s="138"/>
      <c r="P693" s="138"/>
      <c r="Q693" s="138"/>
      <c r="R693" s="139"/>
      <c r="S693" s="176"/>
      <c r="T693" s="835"/>
      <c r="U693" s="835"/>
      <c r="V693" s="835"/>
      <c r="W693" s="835"/>
      <c r="X693" s="835"/>
      <c r="Y693" s="255">
        <f t="shared" si="344"/>
        <v>0</v>
      </c>
      <c r="Z693" s="309">
        <f t="shared" si="345"/>
        <v>0</v>
      </c>
      <c r="AA693" s="256">
        <f t="shared" si="342"/>
        <v>0</v>
      </c>
      <c r="AB693" s="309"/>
      <c r="AC693" s="309"/>
      <c r="AD693" s="320">
        <f t="shared" si="343"/>
        <v>0</v>
      </c>
      <c r="AF693" s="11"/>
      <c r="AG693" s="24"/>
      <c r="AH693" s="64">
        <f t="shared" si="347"/>
        <v>43398</v>
      </c>
      <c r="AI693" s="698"/>
      <c r="AJ693" s="699"/>
      <c r="AK693" s="699"/>
      <c r="AL693" s="699"/>
      <c r="AM693" s="699"/>
      <c r="AN693" s="699"/>
      <c r="AO693" s="699"/>
      <c r="AP693" s="699"/>
      <c r="AQ693" s="699"/>
      <c r="AR693" s="699"/>
      <c r="AS693" s="699"/>
      <c r="AT693" s="699"/>
      <c r="AU693" s="699"/>
      <c r="AV693" s="699"/>
      <c r="AW693" s="699"/>
      <c r="AX693" s="700"/>
      <c r="AY693" s="700"/>
      <c r="AZ693" s="701"/>
    </row>
    <row r="694" spans="1:52" ht="30.75" thickBot="1">
      <c r="A694" s="67">
        <f t="shared" si="346"/>
        <v>44891</v>
      </c>
      <c r="B694" s="138"/>
      <c r="C694" s="138"/>
      <c r="D694" s="138"/>
      <c r="E694" s="138"/>
      <c r="F694" s="138"/>
      <c r="G694" s="138"/>
      <c r="H694" s="138"/>
      <c r="I694" s="138"/>
      <c r="J694" s="138"/>
      <c r="K694" s="138"/>
      <c r="L694" s="138"/>
      <c r="M694" s="138"/>
      <c r="N694" s="138"/>
      <c r="O694" s="138"/>
      <c r="P694" s="138"/>
      <c r="Q694" s="138"/>
      <c r="R694" s="139"/>
      <c r="S694" s="176"/>
      <c r="T694" s="835"/>
      <c r="U694" s="835"/>
      <c r="V694" s="835"/>
      <c r="W694" s="835"/>
      <c r="X694" s="835"/>
      <c r="Y694" s="255">
        <f t="shared" si="344"/>
        <v>0</v>
      </c>
      <c r="Z694" s="309">
        <f t="shared" si="345"/>
        <v>0</v>
      </c>
      <c r="AA694" s="256">
        <f t="shared" si="342"/>
        <v>0</v>
      </c>
      <c r="AB694" s="309"/>
      <c r="AC694" s="309"/>
      <c r="AD694" s="320">
        <f t="shared" si="343"/>
        <v>0</v>
      </c>
      <c r="AF694" s="11"/>
      <c r="AG694" s="24"/>
      <c r="AH694" s="64">
        <f t="shared" si="347"/>
        <v>43399</v>
      </c>
      <c r="AI694" s="698"/>
      <c r="AJ694" s="699"/>
      <c r="AK694" s="699"/>
      <c r="AL694" s="699"/>
      <c r="AM694" s="699"/>
      <c r="AN694" s="699"/>
      <c r="AO694" s="699"/>
      <c r="AP694" s="699"/>
      <c r="AQ694" s="699"/>
      <c r="AR694" s="699"/>
      <c r="AS694" s="699"/>
      <c r="AT694" s="699"/>
      <c r="AU694" s="699"/>
      <c r="AV694" s="699"/>
      <c r="AW694" s="699"/>
      <c r="AX694" s="700"/>
      <c r="AY694" s="700"/>
      <c r="AZ694" s="701"/>
    </row>
    <row r="695" spans="1:52" ht="30.75" thickBot="1">
      <c r="A695" s="67">
        <f t="shared" si="346"/>
        <v>44892</v>
      </c>
      <c r="B695" s="138"/>
      <c r="C695" s="138"/>
      <c r="D695" s="138"/>
      <c r="E695" s="138"/>
      <c r="F695" s="138"/>
      <c r="G695" s="138"/>
      <c r="H695" s="138"/>
      <c r="I695" s="138"/>
      <c r="J695" s="138"/>
      <c r="K695" s="138"/>
      <c r="L695" s="138"/>
      <c r="M695" s="138"/>
      <c r="N695" s="138"/>
      <c r="O695" s="138"/>
      <c r="P695" s="138"/>
      <c r="Q695" s="138"/>
      <c r="R695" s="139"/>
      <c r="S695" s="176"/>
      <c r="T695" s="835"/>
      <c r="U695" s="835"/>
      <c r="V695" s="835"/>
      <c r="W695" s="835"/>
      <c r="X695" s="835"/>
      <c r="Y695" s="255">
        <f t="shared" si="344"/>
        <v>0</v>
      </c>
      <c r="Z695" s="309">
        <f t="shared" si="345"/>
        <v>0</v>
      </c>
      <c r="AA695" s="256">
        <f t="shared" si="342"/>
        <v>0</v>
      </c>
      <c r="AB695" s="309"/>
      <c r="AC695" s="309"/>
      <c r="AD695" s="320">
        <f t="shared" si="343"/>
        <v>0</v>
      </c>
      <c r="AF695" s="11"/>
      <c r="AG695" s="24"/>
      <c r="AH695" s="64">
        <f t="shared" si="347"/>
        <v>43400</v>
      </c>
      <c r="AI695" s="698"/>
      <c r="AJ695" s="699"/>
      <c r="AK695" s="699"/>
      <c r="AL695" s="699"/>
      <c r="AM695" s="699"/>
      <c r="AN695" s="699"/>
      <c r="AO695" s="699"/>
      <c r="AP695" s="699"/>
      <c r="AQ695" s="699"/>
      <c r="AR695" s="699"/>
      <c r="AS695" s="699"/>
      <c r="AT695" s="699"/>
      <c r="AU695" s="699"/>
      <c r="AV695" s="699"/>
      <c r="AW695" s="699"/>
      <c r="AX695" s="700"/>
      <c r="AY695" s="700"/>
      <c r="AZ695" s="701"/>
    </row>
    <row r="696" spans="1:52" ht="30.75" thickBot="1">
      <c r="A696" s="67">
        <f t="shared" si="346"/>
        <v>44893</v>
      </c>
      <c r="B696" s="138"/>
      <c r="C696" s="138"/>
      <c r="D696" s="138"/>
      <c r="E696" s="138"/>
      <c r="F696" s="138"/>
      <c r="G696" s="138"/>
      <c r="H696" s="138"/>
      <c r="I696" s="138"/>
      <c r="J696" s="138"/>
      <c r="K696" s="138"/>
      <c r="L696" s="138"/>
      <c r="M696" s="138"/>
      <c r="N696" s="138"/>
      <c r="O696" s="138"/>
      <c r="P696" s="138"/>
      <c r="Q696" s="138"/>
      <c r="R696" s="139"/>
      <c r="S696" s="176"/>
      <c r="T696" s="835"/>
      <c r="U696" s="835"/>
      <c r="V696" s="835"/>
      <c r="W696" s="835"/>
      <c r="X696" s="835"/>
      <c r="Y696" s="255">
        <f t="shared" si="344"/>
        <v>0</v>
      </c>
      <c r="Z696" s="309">
        <f t="shared" si="345"/>
        <v>0</v>
      </c>
      <c r="AA696" s="256">
        <f t="shared" si="342"/>
        <v>0</v>
      </c>
      <c r="AB696" s="309"/>
      <c r="AC696" s="309"/>
      <c r="AD696" s="320">
        <f t="shared" si="343"/>
        <v>0</v>
      </c>
      <c r="AF696" s="11"/>
      <c r="AG696" s="24"/>
      <c r="AH696" s="64">
        <f t="shared" si="347"/>
        <v>43401</v>
      </c>
      <c r="AI696" s="698"/>
      <c r="AJ696" s="699"/>
      <c r="AK696" s="699"/>
      <c r="AL696" s="699"/>
      <c r="AM696" s="699"/>
      <c r="AN696" s="699"/>
      <c r="AO696" s="699"/>
      <c r="AP696" s="699"/>
      <c r="AQ696" s="699"/>
      <c r="AR696" s="699"/>
      <c r="AS696" s="699"/>
      <c r="AT696" s="699"/>
      <c r="AU696" s="699"/>
      <c r="AV696" s="699"/>
      <c r="AW696" s="699"/>
      <c r="AX696" s="700"/>
      <c r="AY696" s="700"/>
      <c r="AZ696" s="701"/>
    </row>
    <row r="697" spans="1:52" ht="30.75" thickBot="1">
      <c r="A697" s="67">
        <f t="shared" si="346"/>
        <v>44894</v>
      </c>
      <c r="B697" s="138"/>
      <c r="C697" s="138"/>
      <c r="D697" s="138"/>
      <c r="E697" s="138"/>
      <c r="F697" s="138"/>
      <c r="G697" s="138"/>
      <c r="H697" s="138"/>
      <c r="I697" s="138"/>
      <c r="J697" s="138"/>
      <c r="K697" s="138"/>
      <c r="L697" s="138"/>
      <c r="M697" s="138"/>
      <c r="N697" s="138"/>
      <c r="O697" s="138"/>
      <c r="P697" s="138"/>
      <c r="Q697" s="138"/>
      <c r="R697" s="139"/>
      <c r="S697" s="176"/>
      <c r="T697" s="835"/>
      <c r="U697" s="835"/>
      <c r="V697" s="835"/>
      <c r="W697" s="835"/>
      <c r="X697" s="835"/>
      <c r="Y697" s="255">
        <f t="shared" si="344"/>
        <v>0</v>
      </c>
      <c r="Z697" s="309">
        <f t="shared" si="345"/>
        <v>0</v>
      </c>
      <c r="AA697" s="256">
        <f t="shared" si="342"/>
        <v>0</v>
      </c>
      <c r="AB697" s="309"/>
      <c r="AC697" s="309"/>
      <c r="AD697" s="320">
        <f t="shared" si="343"/>
        <v>0</v>
      </c>
      <c r="AF697" s="11" t="s">
        <v>1</v>
      </c>
      <c r="AG697" s="24"/>
      <c r="AH697" s="64">
        <f>AH696+1</f>
        <v>43402</v>
      </c>
      <c r="AI697" s="698"/>
      <c r="AJ697" s="699"/>
      <c r="AK697" s="699"/>
      <c r="AL697" s="699"/>
      <c r="AM697" s="699"/>
      <c r="AN697" s="699"/>
      <c r="AO697" s="699"/>
      <c r="AP697" s="699"/>
      <c r="AQ697" s="699"/>
      <c r="AR697" s="699"/>
      <c r="AS697" s="699"/>
      <c r="AT697" s="699"/>
      <c r="AU697" s="699"/>
      <c r="AV697" s="699"/>
      <c r="AW697" s="699"/>
      <c r="AX697" s="700"/>
      <c r="AY697" s="700"/>
      <c r="AZ697" s="701"/>
    </row>
    <row r="698" spans="1:52" ht="30.75" thickBot="1">
      <c r="A698" s="67">
        <f t="shared" si="346"/>
        <v>44895</v>
      </c>
      <c r="B698" s="138"/>
      <c r="C698" s="138"/>
      <c r="D698" s="138"/>
      <c r="E698" s="138"/>
      <c r="F698" s="138"/>
      <c r="G698" s="138"/>
      <c r="H698" s="138"/>
      <c r="I698" s="138"/>
      <c r="J698" s="138"/>
      <c r="K698" s="138"/>
      <c r="L698" s="138"/>
      <c r="M698" s="138"/>
      <c r="N698" s="138"/>
      <c r="O698" s="138"/>
      <c r="P698" s="138"/>
      <c r="Q698" s="138"/>
      <c r="R698" s="139"/>
      <c r="S698" s="176"/>
      <c r="T698" s="835"/>
      <c r="U698" s="835"/>
      <c r="V698" s="835"/>
      <c r="W698" s="835"/>
      <c r="X698" s="835"/>
      <c r="Y698" s="255">
        <f t="shared" si="344"/>
        <v>0</v>
      </c>
      <c r="Z698" s="309">
        <f t="shared" si="345"/>
        <v>0</v>
      </c>
      <c r="AA698" s="256">
        <f t="shared" si="342"/>
        <v>0</v>
      </c>
      <c r="AB698" s="309"/>
      <c r="AC698" s="309"/>
      <c r="AD698" s="320">
        <f t="shared" si="343"/>
        <v>0</v>
      </c>
      <c r="AF698" s="11"/>
      <c r="AG698" s="24"/>
      <c r="AH698" s="64">
        <f t="shared" si="347"/>
        <v>43403</v>
      </c>
      <c r="AI698" s="698"/>
      <c r="AJ698" s="699"/>
      <c r="AK698" s="699"/>
      <c r="AL698" s="699"/>
      <c r="AM698" s="699"/>
      <c r="AN698" s="699"/>
      <c r="AO698" s="699"/>
      <c r="AP698" s="699"/>
      <c r="AQ698" s="699"/>
      <c r="AR698" s="699"/>
      <c r="AS698" s="699"/>
      <c r="AT698" s="699"/>
      <c r="AU698" s="699"/>
      <c r="AV698" s="699"/>
      <c r="AW698" s="699"/>
      <c r="AX698" s="700"/>
      <c r="AY698" s="700"/>
      <c r="AZ698" s="701"/>
    </row>
    <row r="699" spans="1:52" ht="30.75" thickBot="1">
      <c r="A699" s="102">
        <f t="shared" si="346"/>
        <v>44896</v>
      </c>
      <c r="B699" s="152"/>
      <c r="C699" s="152"/>
      <c r="D699" s="152"/>
      <c r="E699" s="152"/>
      <c r="F699" s="152"/>
      <c r="G699" s="152"/>
      <c r="H699" s="152"/>
      <c r="I699" s="152"/>
      <c r="J699" s="152"/>
      <c r="K699" s="152"/>
      <c r="L699" s="152"/>
      <c r="M699" s="152"/>
      <c r="N699" s="152"/>
      <c r="O699" s="152"/>
      <c r="P699" s="152"/>
      <c r="Q699" s="152"/>
      <c r="R699" s="152"/>
      <c r="S699" s="178"/>
      <c r="T699" s="831"/>
      <c r="U699" s="831"/>
      <c r="V699" s="831"/>
      <c r="W699" s="831"/>
      <c r="X699" s="831"/>
      <c r="Y699" s="255">
        <f t="shared" si="344"/>
        <v>0</v>
      </c>
      <c r="Z699" s="309">
        <f t="shared" si="345"/>
        <v>0</v>
      </c>
      <c r="AA699" s="256">
        <f t="shared" si="342"/>
        <v>0</v>
      </c>
      <c r="AB699" s="309"/>
      <c r="AC699" s="309"/>
      <c r="AD699" s="320">
        <f t="shared" si="343"/>
        <v>0</v>
      </c>
      <c r="AF699" s="11"/>
      <c r="AG699" s="24"/>
      <c r="AH699" s="65">
        <f t="shared" si="347"/>
        <v>43404</v>
      </c>
      <c r="AI699" s="702"/>
      <c r="AJ699" s="703"/>
      <c r="AK699" s="703"/>
      <c r="AL699" s="703"/>
      <c r="AM699" s="703"/>
      <c r="AN699" s="703"/>
      <c r="AO699" s="703"/>
      <c r="AP699" s="703"/>
      <c r="AQ699" s="703"/>
      <c r="AR699" s="703"/>
      <c r="AS699" s="703"/>
      <c r="AT699" s="703"/>
      <c r="AU699" s="703"/>
      <c r="AV699" s="703"/>
      <c r="AW699" s="703"/>
      <c r="AX699" s="704"/>
      <c r="AY699" s="704"/>
      <c r="AZ699" s="705"/>
    </row>
    <row r="700" spans="1:52" ht="50.1" customHeight="1" thickTop="1" thickBot="1">
      <c r="A700" s="96" t="s">
        <v>74</v>
      </c>
      <c r="B700" s="104">
        <f>SUM(B669:B699)</f>
        <v>0</v>
      </c>
      <c r="C700" s="104">
        <f t="shared" ref="C700:Y700" si="348">SUM(C669:C699)</f>
        <v>0</v>
      </c>
      <c r="D700" s="104">
        <f t="shared" si="348"/>
        <v>0</v>
      </c>
      <c r="E700" s="104"/>
      <c r="F700" s="104">
        <f t="shared" si="348"/>
        <v>0</v>
      </c>
      <c r="G700" s="104">
        <f t="shared" si="348"/>
        <v>0</v>
      </c>
      <c r="H700" s="104">
        <f t="shared" si="348"/>
        <v>0</v>
      </c>
      <c r="I700" s="104">
        <f t="shared" si="348"/>
        <v>0</v>
      </c>
      <c r="J700" s="104">
        <f t="shared" si="348"/>
        <v>0</v>
      </c>
      <c r="K700" s="104">
        <f t="shared" si="348"/>
        <v>0</v>
      </c>
      <c r="L700" s="104">
        <f t="shared" si="348"/>
        <v>0</v>
      </c>
      <c r="M700" s="104">
        <f t="shared" si="348"/>
        <v>0</v>
      </c>
      <c r="N700" s="104">
        <f t="shared" si="348"/>
        <v>0</v>
      </c>
      <c r="O700" s="104">
        <f t="shared" si="348"/>
        <v>0</v>
      </c>
      <c r="P700" s="104"/>
      <c r="Q700" s="104">
        <f t="shared" si="348"/>
        <v>0</v>
      </c>
      <c r="R700" s="104">
        <f t="shared" si="348"/>
        <v>0</v>
      </c>
      <c r="S700" s="104">
        <f t="shared" si="348"/>
        <v>0</v>
      </c>
      <c r="T700" s="104"/>
      <c r="U700" s="104"/>
      <c r="V700" s="104"/>
      <c r="W700" s="104"/>
      <c r="X700" s="104"/>
      <c r="Y700" s="292">
        <f t="shared" si="348"/>
        <v>0</v>
      </c>
      <c r="Z700" s="259"/>
      <c r="AA700" s="259"/>
      <c r="AB700" s="316">
        <f>SUM(AB669:AB699)</f>
        <v>0</v>
      </c>
      <c r="AC700" s="316"/>
      <c r="AD700" s="260"/>
      <c r="AF700" s="9"/>
      <c r="AG700" s="16"/>
      <c r="AH700" s="706" t="s">
        <v>101</v>
      </c>
      <c r="AI700" s="707">
        <f>SUM(AI669:AI699)</f>
        <v>0</v>
      </c>
      <c r="AJ700" s="707">
        <f>SUM(AJ669:AJ699)</f>
        <v>0</v>
      </c>
      <c r="AK700" s="707">
        <f t="shared" ref="AK700:AZ700" si="349">SUM(AK669:AK699)</f>
        <v>0</v>
      </c>
      <c r="AL700" s="707">
        <f t="shared" si="349"/>
        <v>0</v>
      </c>
      <c r="AM700" s="707">
        <f t="shared" si="349"/>
        <v>0</v>
      </c>
      <c r="AN700" s="707">
        <f t="shared" si="349"/>
        <v>0</v>
      </c>
      <c r="AO700" s="707">
        <f t="shared" si="349"/>
        <v>0</v>
      </c>
      <c r="AP700" s="707">
        <f t="shared" si="349"/>
        <v>0</v>
      </c>
      <c r="AQ700" s="707">
        <f t="shared" si="349"/>
        <v>0</v>
      </c>
      <c r="AR700" s="707">
        <f t="shared" si="349"/>
        <v>0</v>
      </c>
      <c r="AS700" s="707">
        <f t="shared" si="349"/>
        <v>0</v>
      </c>
      <c r="AT700" s="707">
        <f t="shared" si="349"/>
        <v>0</v>
      </c>
      <c r="AU700" s="707">
        <f t="shared" si="349"/>
        <v>0</v>
      </c>
      <c r="AV700" s="707">
        <f t="shared" si="349"/>
        <v>0</v>
      </c>
      <c r="AW700" s="707">
        <f t="shared" si="349"/>
        <v>0</v>
      </c>
      <c r="AX700" s="707">
        <f t="shared" si="349"/>
        <v>0</v>
      </c>
      <c r="AY700" s="707">
        <f t="shared" si="349"/>
        <v>0</v>
      </c>
      <c r="AZ700" s="707">
        <f t="shared" si="349"/>
        <v>0</v>
      </c>
    </row>
    <row r="701" spans="1:52" ht="27.75" thickTop="1" thickBo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8"/>
      <c r="AA701" s="8"/>
      <c r="AB701" s="8"/>
      <c r="AC701" s="2"/>
      <c r="AF701" s="2"/>
      <c r="AG701" s="2"/>
      <c r="AH701" s="706" t="s">
        <v>45</v>
      </c>
      <c r="AI701" s="707">
        <v>220</v>
      </c>
      <c r="AJ701" s="707">
        <v>220</v>
      </c>
      <c r="AK701" s="707">
        <v>220</v>
      </c>
      <c r="AL701" s="707">
        <v>100</v>
      </c>
      <c r="AM701" s="707">
        <v>100</v>
      </c>
      <c r="AN701" s="707">
        <v>80</v>
      </c>
      <c r="AO701" s="707">
        <v>25</v>
      </c>
      <c r="AP701" s="707">
        <v>25</v>
      </c>
      <c r="AQ701" s="707">
        <v>25</v>
      </c>
      <c r="AR701" s="707">
        <v>400</v>
      </c>
      <c r="AS701" s="707">
        <v>400</v>
      </c>
      <c r="AT701" s="707">
        <v>400</v>
      </c>
      <c r="AU701" s="707">
        <v>0</v>
      </c>
      <c r="AV701" s="707">
        <v>0</v>
      </c>
      <c r="AW701" s="707">
        <v>200</v>
      </c>
      <c r="AX701" s="707">
        <v>200</v>
      </c>
      <c r="AY701" s="707">
        <v>0</v>
      </c>
      <c r="AZ701" s="707">
        <v>0</v>
      </c>
    </row>
    <row r="702" spans="1:52" ht="27.75" thickTop="1" thickBo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8"/>
      <c r="AA702" s="8"/>
      <c r="AB702" s="8"/>
      <c r="AC702" s="2"/>
      <c r="AF702" s="2"/>
      <c r="AG702" s="2"/>
      <c r="AH702" s="706" t="s">
        <v>46</v>
      </c>
      <c r="AI702" s="707">
        <f>AI700*AI701</f>
        <v>0</v>
      </c>
      <c r="AJ702" s="707">
        <f t="shared" ref="AJ702" si="350">AJ700*AJ701</f>
        <v>0</v>
      </c>
      <c r="AK702" s="707">
        <f t="shared" ref="AK702" si="351">AK700*AK701</f>
        <v>0</v>
      </c>
      <c r="AL702" s="707">
        <f t="shared" ref="AL702" si="352">AL700*AL701</f>
        <v>0</v>
      </c>
      <c r="AM702" s="707">
        <f t="shared" ref="AM702" si="353">AM700*AM701</f>
        <v>0</v>
      </c>
      <c r="AN702" s="707">
        <f t="shared" ref="AN702" si="354">AN700*AN701</f>
        <v>0</v>
      </c>
      <c r="AO702" s="707">
        <f t="shared" ref="AO702" si="355">AO700*AO701</f>
        <v>0</v>
      </c>
      <c r="AP702" s="707">
        <f t="shared" ref="AP702" si="356">AP700*AP701</f>
        <v>0</v>
      </c>
      <c r="AQ702" s="707">
        <f t="shared" ref="AQ702" si="357">AQ700*AQ701</f>
        <v>0</v>
      </c>
      <c r="AR702" s="707">
        <f t="shared" ref="AR702" si="358">AR700*AR701</f>
        <v>0</v>
      </c>
      <c r="AS702" s="707">
        <f t="shared" ref="AS702" si="359">AS700*AS701</f>
        <v>0</v>
      </c>
      <c r="AT702" s="707">
        <f t="shared" ref="AT702" si="360">AT700*AT701</f>
        <v>0</v>
      </c>
      <c r="AU702" s="707">
        <f t="shared" ref="AU702" si="361">AU700*AU701</f>
        <v>0</v>
      </c>
      <c r="AV702" s="707">
        <f t="shared" ref="AV702" si="362">AV700*AV701</f>
        <v>0</v>
      </c>
      <c r="AW702" s="707">
        <f t="shared" ref="AW702" si="363">AW700*AW701</f>
        <v>0</v>
      </c>
      <c r="AX702" s="707">
        <f t="shared" ref="AX702" si="364">AX700*AX701</f>
        <v>0</v>
      </c>
      <c r="AY702" s="707">
        <f t="shared" ref="AY702" si="365">AY700*AY701</f>
        <v>0</v>
      </c>
      <c r="AZ702" s="707">
        <f t="shared" ref="AZ702" si="366">AZ700*AZ701</f>
        <v>0</v>
      </c>
    </row>
    <row r="703" spans="1:52" ht="24.75" thickTop="1" thickBo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8"/>
      <c r="AA703" s="8"/>
      <c r="AB703" s="8"/>
      <c r="AC703" t="s">
        <v>1</v>
      </c>
      <c r="AD703" t="s">
        <v>1</v>
      </c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714">
        <f>SUM(AI702:AZ702)</f>
        <v>0</v>
      </c>
    </row>
    <row r="704" spans="1:52" ht="39.950000000000003" customHeight="1" thickTop="1" thickBot="1">
      <c r="A704" s="109">
        <f>A5</f>
        <v>2022</v>
      </c>
      <c r="B704" s="1470"/>
      <c r="C704" s="1471"/>
      <c r="D704" s="1471"/>
      <c r="E704" s="1471"/>
      <c r="F704" s="1471"/>
      <c r="G704" s="1471"/>
      <c r="H704" s="1471"/>
      <c r="I704" s="1471"/>
      <c r="J704" s="1471"/>
      <c r="K704" s="1471"/>
      <c r="L704" s="1471"/>
      <c r="M704" s="1471"/>
      <c r="N704" s="1471"/>
      <c r="O704" s="1471"/>
      <c r="P704" s="1471"/>
      <c r="Q704" s="1471"/>
      <c r="R704" s="1471"/>
      <c r="S704" s="1471"/>
      <c r="T704" s="1471"/>
      <c r="U704" s="1471"/>
      <c r="V704" s="1471"/>
      <c r="W704" s="1471"/>
      <c r="X704" s="1471"/>
      <c r="Y704" s="1472"/>
      <c r="Z704" s="21"/>
      <c r="AA704" s="21" t="s">
        <v>1</v>
      </c>
      <c r="AB704" s="73"/>
      <c r="AC704" t="s">
        <v>1</v>
      </c>
      <c r="AF704" s="10"/>
      <c r="AG704" s="34"/>
      <c r="AH704" s="109">
        <v>2018</v>
      </c>
      <c r="AI704" s="1424">
        <f>B704</f>
        <v>0</v>
      </c>
      <c r="AJ704" s="1425"/>
      <c r="AK704" s="1425"/>
      <c r="AL704" s="1425"/>
      <c r="AM704" s="1425"/>
      <c r="AN704" s="1425"/>
      <c r="AO704" s="1425"/>
      <c r="AP704" s="1425"/>
      <c r="AQ704" s="1425"/>
      <c r="AR704" s="1425"/>
      <c r="AS704" s="1425"/>
      <c r="AT704" s="1425"/>
      <c r="AU704" s="1425"/>
      <c r="AV704" s="1425"/>
      <c r="AW704" s="1425"/>
      <c r="AX704" s="1425"/>
      <c r="AY704" s="1425"/>
      <c r="AZ704" s="1425"/>
    </row>
    <row r="705" spans="1:52" ht="60" customHeight="1" thickTop="1" thickBot="1">
      <c r="A705" s="1468" t="s">
        <v>94</v>
      </c>
      <c r="B705" s="1402" t="s">
        <v>95</v>
      </c>
      <c r="C705" s="1403"/>
      <c r="D705" s="1403"/>
      <c r="E705" s="1404"/>
      <c r="F705" s="1402" t="s">
        <v>7</v>
      </c>
      <c r="G705" s="1403"/>
      <c r="H705" s="1404"/>
      <c r="I705" s="1402" t="s">
        <v>8</v>
      </c>
      <c r="J705" s="1404"/>
      <c r="K705" s="1402" t="s">
        <v>9</v>
      </c>
      <c r="L705" s="1403"/>
      <c r="M705" s="1403"/>
      <c r="N705" s="1403"/>
      <c r="O705" s="1403"/>
      <c r="P705" s="1403"/>
      <c r="Q705" s="1403"/>
      <c r="R705" s="1405" t="s">
        <v>10</v>
      </c>
      <c r="S705" s="1406"/>
      <c r="T705" s="1400" t="s">
        <v>289</v>
      </c>
      <c r="U705" s="1401"/>
      <c r="V705" s="842" t="s">
        <v>258</v>
      </c>
      <c r="W705" s="842"/>
      <c r="X705" s="842"/>
      <c r="Y705" s="211"/>
      <c r="Z705" s="21"/>
      <c r="AA705" s="21"/>
      <c r="AB705" s="21"/>
      <c r="AC705" s="21"/>
      <c r="AF705" s="10"/>
      <c r="AG705" s="34"/>
      <c r="AH705" s="1422" t="s">
        <v>94</v>
      </c>
      <c r="AI705" s="1402" t="s">
        <v>95</v>
      </c>
      <c r="AJ705" s="1403"/>
      <c r="AK705" s="1404"/>
      <c r="AL705" s="1402" t="s">
        <v>7</v>
      </c>
      <c r="AM705" s="1403"/>
      <c r="AN705" s="1404"/>
      <c r="AO705" s="1402" t="s">
        <v>8</v>
      </c>
      <c r="AP705" s="1403"/>
      <c r="AQ705" s="1404"/>
      <c r="AR705" s="1402" t="s">
        <v>9</v>
      </c>
      <c r="AS705" s="1403"/>
      <c r="AT705" s="1404"/>
      <c r="AU705" s="1403" t="s">
        <v>9</v>
      </c>
      <c r="AV705" s="1404"/>
      <c r="AW705" s="1429" t="s">
        <v>10</v>
      </c>
      <c r="AX705" s="1430"/>
      <c r="AY705" s="690"/>
      <c r="AZ705" s="404" t="s">
        <v>11</v>
      </c>
    </row>
    <row r="706" spans="1:52" ht="42" thickTop="1" thickBot="1">
      <c r="A706" s="1428"/>
      <c r="B706" s="482" t="s">
        <v>12</v>
      </c>
      <c r="C706" s="482" t="s">
        <v>13</v>
      </c>
      <c r="D706" s="482" t="s">
        <v>14</v>
      </c>
      <c r="E706" s="688" t="s">
        <v>198</v>
      </c>
      <c r="F706" s="482" t="s">
        <v>12</v>
      </c>
      <c r="G706" s="482" t="s">
        <v>13</v>
      </c>
      <c r="H706" s="482" t="s">
        <v>282</v>
      </c>
      <c r="I706" s="482" t="s">
        <v>12</v>
      </c>
      <c r="J706" s="482" t="s">
        <v>16</v>
      </c>
      <c r="K706" s="482" t="s">
        <v>17</v>
      </c>
      <c r="L706" s="482" t="s">
        <v>18</v>
      </c>
      <c r="M706" s="482" t="s">
        <v>19</v>
      </c>
      <c r="N706" s="484" t="s">
        <v>96</v>
      </c>
      <c r="O706" s="484" t="s">
        <v>257</v>
      </c>
      <c r="P706" s="484" t="s">
        <v>254</v>
      </c>
      <c r="Q706" s="484" t="s">
        <v>20</v>
      </c>
      <c r="R706" s="483" t="s">
        <v>14</v>
      </c>
      <c r="S706" s="482" t="s">
        <v>13</v>
      </c>
      <c r="T706" s="846" t="s">
        <v>284</v>
      </c>
      <c r="U706" s="846" t="s">
        <v>288</v>
      </c>
      <c r="V706" s="484" t="s">
        <v>259</v>
      </c>
      <c r="W706" s="484"/>
      <c r="X706" s="484"/>
      <c r="Y706" s="209" t="s">
        <v>90</v>
      </c>
      <c r="Z706" s="210" t="s">
        <v>97</v>
      </c>
      <c r="AA706" s="210" t="s">
        <v>74</v>
      </c>
      <c r="AB706" s="210" t="s">
        <v>98</v>
      </c>
      <c r="AC706" s="210" t="s">
        <v>99</v>
      </c>
      <c r="AD706" s="210" t="s">
        <v>100</v>
      </c>
      <c r="AF706" s="578" t="s">
        <v>1</v>
      </c>
      <c r="AG706" s="4"/>
      <c r="AH706" s="1428"/>
      <c r="AI706" s="482" t="s">
        <v>12</v>
      </c>
      <c r="AJ706" s="482" t="s">
        <v>13</v>
      </c>
      <c r="AK706" s="482" t="s">
        <v>14</v>
      </c>
      <c r="AL706" s="482" t="s">
        <v>12</v>
      </c>
      <c r="AM706" s="482" t="s">
        <v>13</v>
      </c>
      <c r="AN706" s="482" t="s">
        <v>15</v>
      </c>
      <c r="AO706" s="482" t="s">
        <v>12</v>
      </c>
      <c r="AP706" s="482" t="s">
        <v>205</v>
      </c>
      <c r="AQ706" s="482" t="s">
        <v>16</v>
      </c>
      <c r="AR706" s="482" t="s">
        <v>17</v>
      </c>
      <c r="AS706" s="482" t="s">
        <v>18</v>
      </c>
      <c r="AT706" s="482" t="s">
        <v>19</v>
      </c>
      <c r="AU706" s="482" t="s">
        <v>201</v>
      </c>
      <c r="AV706" s="482" t="s">
        <v>20</v>
      </c>
      <c r="AW706" s="482" t="s">
        <v>12</v>
      </c>
      <c r="AX706" s="483" t="s">
        <v>13</v>
      </c>
      <c r="AY706" s="688" t="s">
        <v>198</v>
      </c>
      <c r="AZ706" s="484" t="s">
        <v>96</v>
      </c>
    </row>
    <row r="707" spans="1:52" ht="30.75" thickBot="1">
      <c r="A707" s="67">
        <f>A669</f>
        <v>44866</v>
      </c>
      <c r="B707" s="135"/>
      <c r="C707" s="135"/>
      <c r="D707" s="135"/>
      <c r="E707" s="135"/>
      <c r="F707" s="135"/>
      <c r="G707" s="135"/>
      <c r="H707" s="135"/>
      <c r="I707" s="135"/>
      <c r="J707" s="135"/>
      <c r="K707" s="135"/>
      <c r="L707" s="135"/>
      <c r="M707" s="135"/>
      <c r="N707" s="135"/>
      <c r="O707" s="135"/>
      <c r="P707" s="135"/>
      <c r="Q707" s="135"/>
      <c r="R707" s="136"/>
      <c r="S707" s="175"/>
      <c r="T707" s="830"/>
      <c r="U707" s="830"/>
      <c r="V707" s="830"/>
      <c r="W707" s="830"/>
      <c r="X707" s="830"/>
      <c r="Y707" s="255">
        <f>B707*280+C707*280+D707*280+E707*280+F707*130+G707*130+H707*90+I707*35+J707*35+K707*400+L707*400+M707*400+N707*22+O707*42+P707*80+Q707*200+R707*260+S707*41+T707*30+U707*60</f>
        <v>0</v>
      </c>
      <c r="Z707" s="308"/>
      <c r="AA707" s="263">
        <f t="shared" ref="AA707:AA737" si="367">Y707+Z707</f>
        <v>0</v>
      </c>
      <c r="AB707" s="308"/>
      <c r="AC707" s="308"/>
      <c r="AD707" s="319">
        <f t="shared" ref="AD707:AD737" si="368">AA707-AB707-AC707</f>
        <v>0</v>
      </c>
      <c r="AF707" s="11"/>
      <c r="AG707" s="24"/>
      <c r="AH707" s="63">
        <f>AH669</f>
        <v>43374</v>
      </c>
      <c r="AI707" s="694"/>
      <c r="AJ707" s="695"/>
      <c r="AK707" s="695"/>
      <c r="AL707" s="695"/>
      <c r="AM707" s="695"/>
      <c r="AN707" s="695"/>
      <c r="AO707" s="695"/>
      <c r="AP707" s="695"/>
      <c r="AQ707" s="695"/>
      <c r="AR707" s="695"/>
      <c r="AS707" s="695"/>
      <c r="AT707" s="695"/>
      <c r="AU707" s="695"/>
      <c r="AV707" s="695"/>
      <c r="AW707" s="695"/>
      <c r="AX707" s="696"/>
      <c r="AY707" s="696"/>
      <c r="AZ707" s="697"/>
    </row>
    <row r="708" spans="1:52" ht="30.75" thickBot="1">
      <c r="A708" s="67">
        <f>A707+1</f>
        <v>44867</v>
      </c>
      <c r="B708" s="138"/>
      <c r="C708" s="138"/>
      <c r="D708" s="138"/>
      <c r="E708" s="138"/>
      <c r="F708" s="138"/>
      <c r="G708" s="155"/>
      <c r="H708" s="155"/>
      <c r="I708" s="155"/>
      <c r="J708" s="155"/>
      <c r="K708" s="155"/>
      <c r="L708" s="138"/>
      <c r="M708" s="138"/>
      <c r="N708" s="138"/>
      <c r="O708" s="138"/>
      <c r="P708" s="138"/>
      <c r="Q708" s="138"/>
      <c r="R708" s="139"/>
      <c r="S708" s="176"/>
      <c r="T708" s="835"/>
      <c r="U708" s="835"/>
      <c r="V708" s="835"/>
      <c r="W708" s="835"/>
      <c r="X708" s="835"/>
      <c r="Y708" s="255">
        <f t="shared" ref="Y708:Y737" si="369">B708*280+C708*280+D708*280+E708*280+F708*130+G708*130+H708*90+I708*35+J708*35+K708*400+L708*400+M708*400+N708*22+O708*42+P708*80+Q708*200+R708*260+S708*41+T708*30+U708*60</f>
        <v>0</v>
      </c>
      <c r="Z708" s="309">
        <f t="shared" ref="Z708:Z737" si="370">AD707</f>
        <v>0</v>
      </c>
      <c r="AA708" s="256">
        <f t="shared" si="367"/>
        <v>0</v>
      </c>
      <c r="AB708" s="309"/>
      <c r="AC708" s="309"/>
      <c r="AD708" s="320">
        <f t="shared" si="368"/>
        <v>0</v>
      </c>
      <c r="AF708" s="11"/>
      <c r="AG708" s="24"/>
      <c r="AH708" s="64">
        <f>AH707+1</f>
        <v>43375</v>
      </c>
      <c r="AI708" s="698"/>
      <c r="AJ708" s="699"/>
      <c r="AK708" s="699"/>
      <c r="AL708" s="699"/>
      <c r="AM708" s="699"/>
      <c r="AN708" s="699"/>
      <c r="AO708" s="699"/>
      <c r="AP708" s="699"/>
      <c r="AQ708" s="699"/>
      <c r="AR708" s="699"/>
      <c r="AS708" s="699"/>
      <c r="AT708" s="699"/>
      <c r="AU708" s="699"/>
      <c r="AV708" s="699"/>
      <c r="AW708" s="699"/>
      <c r="AX708" s="700"/>
      <c r="AY708" s="700"/>
      <c r="AZ708" s="701"/>
    </row>
    <row r="709" spans="1:52" ht="30.75" thickBot="1">
      <c r="A709" s="67">
        <f t="shared" ref="A709:A737" si="371">A708+1</f>
        <v>44868</v>
      </c>
      <c r="B709" s="138"/>
      <c r="C709" s="138"/>
      <c r="D709" s="138"/>
      <c r="E709" s="138"/>
      <c r="F709" s="138"/>
      <c r="G709" s="155"/>
      <c r="H709" s="155"/>
      <c r="I709" s="155"/>
      <c r="J709" s="155"/>
      <c r="K709" s="155"/>
      <c r="L709" s="138"/>
      <c r="M709" s="138"/>
      <c r="N709" s="138"/>
      <c r="O709" s="138"/>
      <c r="P709" s="138"/>
      <c r="Q709" s="138"/>
      <c r="R709" s="139"/>
      <c r="S709" s="176"/>
      <c r="T709" s="835"/>
      <c r="U709" s="835"/>
      <c r="V709" s="835"/>
      <c r="W709" s="835"/>
      <c r="X709" s="835"/>
      <c r="Y709" s="255">
        <f t="shared" si="369"/>
        <v>0</v>
      </c>
      <c r="Z709" s="309">
        <f t="shared" si="370"/>
        <v>0</v>
      </c>
      <c r="AA709" s="256">
        <f t="shared" si="367"/>
        <v>0</v>
      </c>
      <c r="AB709" s="309"/>
      <c r="AC709" s="309"/>
      <c r="AD709" s="320">
        <f t="shared" si="368"/>
        <v>0</v>
      </c>
      <c r="AF709" s="11"/>
      <c r="AG709" s="24"/>
      <c r="AH709" s="64">
        <f t="shared" ref="AH709:AH737" si="372">AH708+1</f>
        <v>43376</v>
      </c>
      <c r="AI709" s="698"/>
      <c r="AJ709" s="699"/>
      <c r="AK709" s="699"/>
      <c r="AL709" s="699"/>
      <c r="AM709" s="699"/>
      <c r="AN709" s="699"/>
      <c r="AO709" s="699"/>
      <c r="AP709" s="699"/>
      <c r="AQ709" s="699"/>
      <c r="AR709" s="699"/>
      <c r="AS709" s="699"/>
      <c r="AT709" s="699"/>
      <c r="AU709" s="699"/>
      <c r="AV709" s="699"/>
      <c r="AW709" s="699"/>
      <c r="AX709" s="700"/>
      <c r="AY709" s="700"/>
      <c r="AZ709" s="701"/>
    </row>
    <row r="710" spans="1:52" ht="30.75" thickBot="1">
      <c r="A710" s="67">
        <f t="shared" si="371"/>
        <v>44869</v>
      </c>
      <c r="B710" s="138"/>
      <c r="C710" s="138"/>
      <c r="D710" s="138"/>
      <c r="E710" s="138"/>
      <c r="F710" s="138"/>
      <c r="G710" s="138"/>
      <c r="H710" s="138"/>
      <c r="I710" s="138"/>
      <c r="J710" s="138"/>
      <c r="K710" s="138"/>
      <c r="L710" s="138"/>
      <c r="M710" s="138"/>
      <c r="N710" s="138"/>
      <c r="O710" s="138"/>
      <c r="P710" s="138"/>
      <c r="Q710" s="138"/>
      <c r="R710" s="139"/>
      <c r="S710" s="176"/>
      <c r="T710" s="835"/>
      <c r="U710" s="835"/>
      <c r="V710" s="835"/>
      <c r="W710" s="835"/>
      <c r="X710" s="835"/>
      <c r="Y710" s="255">
        <f t="shared" si="369"/>
        <v>0</v>
      </c>
      <c r="Z710" s="309">
        <f t="shared" si="370"/>
        <v>0</v>
      </c>
      <c r="AA710" s="256">
        <f t="shared" si="367"/>
        <v>0</v>
      </c>
      <c r="AB710" s="309"/>
      <c r="AC710" s="309"/>
      <c r="AD710" s="320">
        <f t="shared" si="368"/>
        <v>0</v>
      </c>
      <c r="AF710" s="11"/>
      <c r="AG710" s="24"/>
      <c r="AH710" s="64">
        <f t="shared" si="372"/>
        <v>43377</v>
      </c>
      <c r="AI710" s="698"/>
      <c r="AJ710" s="699"/>
      <c r="AK710" s="699"/>
      <c r="AL710" s="699"/>
      <c r="AM710" s="699"/>
      <c r="AN710" s="699"/>
      <c r="AO710" s="699"/>
      <c r="AP710" s="699"/>
      <c r="AQ710" s="699"/>
      <c r="AR710" s="699"/>
      <c r="AS710" s="699"/>
      <c r="AT710" s="699"/>
      <c r="AU710" s="699"/>
      <c r="AV710" s="699"/>
      <c r="AW710" s="699"/>
      <c r="AX710" s="700"/>
      <c r="AY710" s="700"/>
      <c r="AZ710" s="701"/>
    </row>
    <row r="711" spans="1:52" ht="30.75" thickBot="1">
      <c r="A711" s="67">
        <f t="shared" si="371"/>
        <v>44870</v>
      </c>
      <c r="B711" s="138"/>
      <c r="C711" s="138"/>
      <c r="D711" s="138"/>
      <c r="E711" s="138"/>
      <c r="F711" s="138"/>
      <c r="G711" s="138"/>
      <c r="H711" s="138"/>
      <c r="I711" s="138"/>
      <c r="J711" s="138"/>
      <c r="K711" s="138"/>
      <c r="L711" s="138"/>
      <c r="M711" s="138"/>
      <c r="N711" s="138"/>
      <c r="O711" s="138"/>
      <c r="P711" s="138"/>
      <c r="Q711" s="138"/>
      <c r="R711" s="139"/>
      <c r="S711" s="176"/>
      <c r="T711" s="835"/>
      <c r="U711" s="835"/>
      <c r="V711" s="835"/>
      <c r="W711" s="835"/>
      <c r="X711" s="835"/>
      <c r="Y711" s="255">
        <f t="shared" si="369"/>
        <v>0</v>
      </c>
      <c r="Z711" s="309">
        <f t="shared" si="370"/>
        <v>0</v>
      </c>
      <c r="AA711" s="256">
        <f t="shared" si="367"/>
        <v>0</v>
      </c>
      <c r="AB711" s="309"/>
      <c r="AC711" s="309"/>
      <c r="AD711" s="320">
        <f t="shared" si="368"/>
        <v>0</v>
      </c>
      <c r="AF711" s="11"/>
      <c r="AG711" s="24"/>
      <c r="AH711" s="64">
        <f t="shared" si="372"/>
        <v>43378</v>
      </c>
      <c r="AI711" s="698"/>
      <c r="AJ711" s="699"/>
      <c r="AK711" s="699"/>
      <c r="AL711" s="699"/>
      <c r="AM711" s="699"/>
      <c r="AN711" s="699"/>
      <c r="AO711" s="699"/>
      <c r="AP711" s="699"/>
      <c r="AQ711" s="699"/>
      <c r="AR711" s="699"/>
      <c r="AS711" s="699"/>
      <c r="AT711" s="699"/>
      <c r="AU711" s="699"/>
      <c r="AV711" s="699"/>
      <c r="AW711" s="699"/>
      <c r="AX711" s="700"/>
      <c r="AY711" s="700"/>
      <c r="AZ711" s="701"/>
    </row>
    <row r="712" spans="1:52" ht="30.75" thickBot="1">
      <c r="A712" s="67">
        <f t="shared" si="371"/>
        <v>44871</v>
      </c>
      <c r="B712" s="138"/>
      <c r="C712" s="138"/>
      <c r="D712" s="138"/>
      <c r="E712" s="138"/>
      <c r="F712" s="138"/>
      <c r="G712" s="138"/>
      <c r="H712" s="138"/>
      <c r="I712" s="138"/>
      <c r="J712" s="138"/>
      <c r="K712" s="138"/>
      <c r="L712" s="138"/>
      <c r="M712" s="138"/>
      <c r="N712" s="138"/>
      <c r="O712" s="138"/>
      <c r="P712" s="138"/>
      <c r="Q712" s="138"/>
      <c r="R712" s="139"/>
      <c r="S712" s="176"/>
      <c r="T712" s="835"/>
      <c r="U712" s="835"/>
      <c r="V712" s="835"/>
      <c r="W712" s="835"/>
      <c r="X712" s="835"/>
      <c r="Y712" s="255">
        <f t="shared" si="369"/>
        <v>0</v>
      </c>
      <c r="Z712" s="309">
        <f t="shared" si="370"/>
        <v>0</v>
      </c>
      <c r="AA712" s="256">
        <f t="shared" si="367"/>
        <v>0</v>
      </c>
      <c r="AB712" s="309"/>
      <c r="AC712" s="309"/>
      <c r="AD712" s="320">
        <f t="shared" si="368"/>
        <v>0</v>
      </c>
      <c r="AF712" s="11"/>
      <c r="AG712" s="24"/>
      <c r="AH712" s="64">
        <f t="shared" si="372"/>
        <v>43379</v>
      </c>
      <c r="AI712" s="698"/>
      <c r="AJ712" s="699"/>
      <c r="AK712" s="699"/>
      <c r="AL712" s="699"/>
      <c r="AM712" s="699"/>
      <c r="AN712" s="699"/>
      <c r="AO712" s="699"/>
      <c r="AP712" s="699"/>
      <c r="AQ712" s="699"/>
      <c r="AR712" s="699"/>
      <c r="AS712" s="699"/>
      <c r="AT712" s="699"/>
      <c r="AU712" s="699"/>
      <c r="AV712" s="699"/>
      <c r="AW712" s="699"/>
      <c r="AX712" s="700"/>
      <c r="AY712" s="700"/>
      <c r="AZ712" s="701"/>
    </row>
    <row r="713" spans="1:52" ht="30.75" thickBot="1">
      <c r="A713" s="67">
        <f t="shared" si="371"/>
        <v>44872</v>
      </c>
      <c r="B713" s="138"/>
      <c r="C713" s="138"/>
      <c r="D713" s="138"/>
      <c r="E713" s="138"/>
      <c r="F713" s="138"/>
      <c r="G713" s="138"/>
      <c r="H713" s="138"/>
      <c r="I713" s="138"/>
      <c r="J713" s="138"/>
      <c r="K713" s="138"/>
      <c r="L713" s="138"/>
      <c r="M713" s="138"/>
      <c r="N713" s="138"/>
      <c r="O713" s="138"/>
      <c r="P713" s="138"/>
      <c r="Q713" s="138"/>
      <c r="R713" s="139"/>
      <c r="S713" s="176"/>
      <c r="T713" s="835"/>
      <c r="U713" s="835"/>
      <c r="V713" s="835"/>
      <c r="W713" s="835"/>
      <c r="X713" s="835"/>
      <c r="Y713" s="255">
        <f t="shared" si="369"/>
        <v>0</v>
      </c>
      <c r="Z713" s="309">
        <f t="shared" si="370"/>
        <v>0</v>
      </c>
      <c r="AA713" s="256">
        <f t="shared" si="367"/>
        <v>0</v>
      </c>
      <c r="AB713" s="309"/>
      <c r="AC713" s="309"/>
      <c r="AD713" s="320">
        <f t="shared" si="368"/>
        <v>0</v>
      </c>
      <c r="AF713" s="11"/>
      <c r="AG713" s="24"/>
      <c r="AH713" s="64">
        <f t="shared" si="372"/>
        <v>43380</v>
      </c>
      <c r="AI713" s="698"/>
      <c r="AJ713" s="699"/>
      <c r="AK713" s="699"/>
      <c r="AL713" s="699"/>
      <c r="AM713" s="699"/>
      <c r="AN713" s="699"/>
      <c r="AO713" s="699"/>
      <c r="AP713" s="699"/>
      <c r="AQ713" s="699"/>
      <c r="AR713" s="699"/>
      <c r="AS713" s="699"/>
      <c r="AT713" s="699"/>
      <c r="AU713" s="699"/>
      <c r="AV713" s="699"/>
      <c r="AW713" s="699"/>
      <c r="AX713" s="700"/>
      <c r="AY713" s="700"/>
      <c r="AZ713" s="701"/>
    </row>
    <row r="714" spans="1:52" ht="30.75" thickBot="1">
      <c r="A714" s="67">
        <f t="shared" si="371"/>
        <v>44873</v>
      </c>
      <c r="B714" s="138"/>
      <c r="C714" s="138"/>
      <c r="D714" s="138"/>
      <c r="E714" s="138"/>
      <c r="F714" s="138"/>
      <c r="G714" s="138"/>
      <c r="H714" s="138"/>
      <c r="I714" s="138"/>
      <c r="J714" s="138"/>
      <c r="K714" s="138"/>
      <c r="L714" s="138"/>
      <c r="M714" s="138"/>
      <c r="N714" s="138"/>
      <c r="O714" s="138"/>
      <c r="P714" s="138"/>
      <c r="Q714" s="138"/>
      <c r="R714" s="139"/>
      <c r="S714" s="176"/>
      <c r="T714" s="835"/>
      <c r="U714" s="835"/>
      <c r="V714" s="835"/>
      <c r="W714" s="835"/>
      <c r="X714" s="835"/>
      <c r="Y714" s="255">
        <f>B714*280+C714*280+D714*280+E714*280+F714*130+G714*130+H714*90+I714*35+J714*35+K714*400+L714*400+M714*400+N714*22+O714*42+P714*80+Q714*200+R714*300+S714*300+T714*30+U714*60</f>
        <v>0</v>
      </c>
      <c r="Z714" s="309">
        <f t="shared" si="370"/>
        <v>0</v>
      </c>
      <c r="AA714" s="256">
        <f t="shared" si="367"/>
        <v>0</v>
      </c>
      <c r="AB714" s="309"/>
      <c r="AC714" s="309"/>
      <c r="AD714" s="320">
        <f t="shared" si="368"/>
        <v>0</v>
      </c>
      <c r="AF714" s="11"/>
      <c r="AG714" s="24"/>
      <c r="AH714" s="64">
        <f t="shared" si="372"/>
        <v>43381</v>
      </c>
      <c r="AI714" s="698"/>
      <c r="AJ714" s="699"/>
      <c r="AK714" s="699"/>
      <c r="AL714" s="699"/>
      <c r="AM714" s="699"/>
      <c r="AN714" s="699"/>
      <c r="AO714" s="699"/>
      <c r="AP714" s="699"/>
      <c r="AQ714" s="699"/>
      <c r="AR714" s="699"/>
      <c r="AS714" s="699"/>
      <c r="AT714" s="699"/>
      <c r="AU714" s="699"/>
      <c r="AV714" s="699"/>
      <c r="AW714" s="699"/>
      <c r="AX714" s="700"/>
      <c r="AY714" s="700"/>
      <c r="AZ714" s="701"/>
    </row>
    <row r="715" spans="1:52" ht="30.75" thickBot="1">
      <c r="A715" s="67">
        <f t="shared" si="371"/>
        <v>44874</v>
      </c>
      <c r="B715" s="138"/>
      <c r="C715" s="138"/>
      <c r="D715" s="138"/>
      <c r="E715" s="138"/>
      <c r="F715" s="138"/>
      <c r="G715" s="138"/>
      <c r="H715" s="138"/>
      <c r="I715" s="138"/>
      <c r="J715" s="138"/>
      <c r="K715" s="138"/>
      <c r="L715" s="138"/>
      <c r="M715" s="138"/>
      <c r="N715" s="138"/>
      <c r="O715" s="138"/>
      <c r="P715" s="138"/>
      <c r="Q715" s="138"/>
      <c r="R715" s="139"/>
      <c r="S715" s="176"/>
      <c r="T715" s="835"/>
      <c r="U715" s="835"/>
      <c r="V715" s="835"/>
      <c r="W715" s="835"/>
      <c r="X715" s="835"/>
      <c r="Y715" s="255">
        <f t="shared" si="369"/>
        <v>0</v>
      </c>
      <c r="Z715" s="309">
        <f t="shared" si="370"/>
        <v>0</v>
      </c>
      <c r="AA715" s="256">
        <f t="shared" si="367"/>
        <v>0</v>
      </c>
      <c r="AB715" s="309"/>
      <c r="AC715" s="309"/>
      <c r="AD715" s="320">
        <f t="shared" si="368"/>
        <v>0</v>
      </c>
      <c r="AF715" s="11"/>
      <c r="AG715" s="24"/>
      <c r="AH715" s="64">
        <f t="shared" si="372"/>
        <v>43382</v>
      </c>
      <c r="AI715" s="698"/>
      <c r="AJ715" s="699"/>
      <c r="AK715" s="699"/>
      <c r="AL715" s="699"/>
      <c r="AM715" s="699"/>
      <c r="AN715" s="699"/>
      <c r="AO715" s="699"/>
      <c r="AP715" s="699"/>
      <c r="AQ715" s="699"/>
      <c r="AR715" s="699"/>
      <c r="AS715" s="699"/>
      <c r="AT715" s="699"/>
      <c r="AU715" s="699"/>
      <c r="AV715" s="699"/>
      <c r="AW715" s="699"/>
      <c r="AX715" s="700"/>
      <c r="AY715" s="700"/>
      <c r="AZ715" s="701"/>
    </row>
    <row r="716" spans="1:52" ht="30.75" thickBot="1">
      <c r="A716" s="67">
        <f t="shared" si="371"/>
        <v>44875</v>
      </c>
      <c r="B716" s="138"/>
      <c r="C716" s="138"/>
      <c r="D716" s="138"/>
      <c r="E716" s="138"/>
      <c r="F716" s="138"/>
      <c r="G716" s="138"/>
      <c r="H716" s="138"/>
      <c r="I716" s="138"/>
      <c r="J716" s="138"/>
      <c r="K716" s="138"/>
      <c r="L716" s="138"/>
      <c r="M716" s="138"/>
      <c r="N716" s="138"/>
      <c r="O716" s="138"/>
      <c r="P716" s="138"/>
      <c r="Q716" s="138"/>
      <c r="R716" s="139"/>
      <c r="S716" s="176"/>
      <c r="T716" s="835"/>
      <c r="U716" s="835"/>
      <c r="V716" s="835"/>
      <c r="W716" s="835"/>
      <c r="X716" s="835"/>
      <c r="Y716" s="255">
        <f t="shared" si="369"/>
        <v>0</v>
      </c>
      <c r="Z716" s="309">
        <f t="shared" si="370"/>
        <v>0</v>
      </c>
      <c r="AA716" s="256">
        <f t="shared" si="367"/>
        <v>0</v>
      </c>
      <c r="AB716" s="309"/>
      <c r="AC716" s="309"/>
      <c r="AD716" s="320">
        <f t="shared" si="368"/>
        <v>0</v>
      </c>
      <c r="AF716" s="11"/>
      <c r="AG716" s="24"/>
      <c r="AH716" s="64">
        <f t="shared" si="372"/>
        <v>43383</v>
      </c>
      <c r="AI716" s="698"/>
      <c r="AJ716" s="699"/>
      <c r="AK716" s="699"/>
      <c r="AL716" s="699"/>
      <c r="AM716" s="699"/>
      <c r="AN716" s="699"/>
      <c r="AO716" s="699"/>
      <c r="AP716" s="699"/>
      <c r="AQ716" s="699"/>
      <c r="AR716" s="699"/>
      <c r="AS716" s="699"/>
      <c r="AT716" s="699"/>
      <c r="AU716" s="699"/>
      <c r="AV716" s="699"/>
      <c r="AW716" s="699"/>
      <c r="AX716" s="700"/>
      <c r="AY716" s="700"/>
      <c r="AZ716" s="701"/>
    </row>
    <row r="717" spans="1:52" ht="30.75" thickBot="1">
      <c r="A717" s="67">
        <f t="shared" si="371"/>
        <v>44876</v>
      </c>
      <c r="B717" s="138"/>
      <c r="C717" s="139"/>
      <c r="D717" s="138"/>
      <c r="E717" s="137"/>
      <c r="F717" s="137"/>
      <c r="G717" s="138"/>
      <c r="H717" s="138"/>
      <c r="I717" s="138"/>
      <c r="J717" s="138"/>
      <c r="K717" s="138"/>
      <c r="L717" s="138"/>
      <c r="M717" s="138"/>
      <c r="N717" s="138"/>
      <c r="O717" s="138"/>
      <c r="P717" s="138"/>
      <c r="Q717" s="138"/>
      <c r="R717" s="139"/>
      <c r="S717" s="176"/>
      <c r="T717" s="835"/>
      <c r="U717" s="835"/>
      <c r="V717" s="835"/>
      <c r="W717" s="835"/>
      <c r="X717" s="835"/>
      <c r="Y717" s="255">
        <f t="shared" si="369"/>
        <v>0</v>
      </c>
      <c r="Z717" s="309">
        <f t="shared" si="370"/>
        <v>0</v>
      </c>
      <c r="AA717" s="256">
        <f t="shared" si="367"/>
        <v>0</v>
      </c>
      <c r="AB717" s="309"/>
      <c r="AC717" s="309"/>
      <c r="AD717" s="320">
        <f t="shared" si="368"/>
        <v>0</v>
      </c>
      <c r="AF717" s="11"/>
      <c r="AG717" s="24"/>
      <c r="AH717" s="64">
        <f t="shared" si="372"/>
        <v>43384</v>
      </c>
      <c r="AI717" s="698"/>
      <c r="AJ717" s="699"/>
      <c r="AK717" s="699"/>
      <c r="AL717" s="699"/>
      <c r="AM717" s="699"/>
      <c r="AN717" s="699"/>
      <c r="AO717" s="699"/>
      <c r="AP717" s="699"/>
      <c r="AQ717" s="699"/>
      <c r="AR717" s="699"/>
      <c r="AS717" s="699"/>
      <c r="AT717" s="699"/>
      <c r="AU717" s="699"/>
      <c r="AV717" s="699"/>
      <c r="AW717" s="699"/>
      <c r="AX717" s="700"/>
      <c r="AY717" s="700"/>
      <c r="AZ717" s="701"/>
    </row>
    <row r="718" spans="1:52" ht="30.75" thickBot="1">
      <c r="A718" s="67">
        <f t="shared" si="371"/>
        <v>44877</v>
      </c>
      <c r="B718" s="138"/>
      <c r="C718" s="139"/>
      <c r="D718" s="138"/>
      <c r="E718" s="137"/>
      <c r="F718" s="137"/>
      <c r="G718" s="138"/>
      <c r="H718" s="138"/>
      <c r="I718" s="138"/>
      <c r="J718" s="138"/>
      <c r="K718" s="138"/>
      <c r="L718" s="138"/>
      <c r="M718" s="138"/>
      <c r="N718" s="138"/>
      <c r="O718" s="138"/>
      <c r="P718" s="138"/>
      <c r="Q718" s="138"/>
      <c r="R718" s="139"/>
      <c r="S718" s="176"/>
      <c r="T718" s="835"/>
      <c r="U718" s="835"/>
      <c r="V718" s="835"/>
      <c r="W718" s="835"/>
      <c r="X718" s="835"/>
      <c r="Y718" s="255">
        <f>B718*280+C718*280+D718*280+E718*280+F718*130+G718*130+H718*90+I718*35+J718*35+K718*400+L718*400+M718*400+N718*22+O718*42+P718*80+Q718*200+R718*300+S718*300+T718*30+U718*60</f>
        <v>0</v>
      </c>
      <c r="Z718" s="309">
        <f t="shared" si="370"/>
        <v>0</v>
      </c>
      <c r="AA718" s="256">
        <f t="shared" si="367"/>
        <v>0</v>
      </c>
      <c r="AB718" s="309"/>
      <c r="AC718" s="309"/>
      <c r="AD718" s="320">
        <f t="shared" si="368"/>
        <v>0</v>
      </c>
      <c r="AF718" s="11"/>
      <c r="AG718" s="24"/>
      <c r="AH718" s="64">
        <f t="shared" si="372"/>
        <v>43385</v>
      </c>
      <c r="AI718" s="698"/>
      <c r="AJ718" s="699"/>
      <c r="AK718" s="699"/>
      <c r="AL718" s="699"/>
      <c r="AM718" s="699"/>
      <c r="AN718" s="699"/>
      <c r="AO718" s="699"/>
      <c r="AP718" s="699"/>
      <c r="AQ718" s="699"/>
      <c r="AR718" s="699"/>
      <c r="AS718" s="699"/>
      <c r="AT718" s="699"/>
      <c r="AU718" s="699"/>
      <c r="AV718" s="699"/>
      <c r="AW718" s="699"/>
      <c r="AX718" s="700"/>
      <c r="AY718" s="700"/>
      <c r="AZ718" s="701"/>
    </row>
    <row r="719" spans="1:52" ht="30.75" thickBot="1">
      <c r="A719" s="67">
        <f t="shared" si="371"/>
        <v>44878</v>
      </c>
      <c r="B719" s="138"/>
      <c r="C719" s="139"/>
      <c r="D719" s="138"/>
      <c r="E719" s="137"/>
      <c r="F719" s="137"/>
      <c r="G719" s="138"/>
      <c r="H719" s="138"/>
      <c r="I719" s="138"/>
      <c r="J719" s="138"/>
      <c r="K719" s="138"/>
      <c r="L719" s="138"/>
      <c r="M719" s="138"/>
      <c r="N719" s="138"/>
      <c r="O719" s="138"/>
      <c r="P719" s="138"/>
      <c r="Q719" s="138"/>
      <c r="R719" s="1030"/>
      <c r="S719" s="176"/>
      <c r="T719" s="835"/>
      <c r="U719" s="835"/>
      <c r="V719" s="835"/>
      <c r="W719" s="835"/>
      <c r="X719" s="835"/>
      <c r="Y719" s="255">
        <f>B719*280+C719*280+D719*280+E719*280+F719*130+G719*130+H719*90+I719*35+J719*35+K719*400+L719*400+M719*400+N719*22+O719*42+P719*80+Q719*200+R719*300+S719*41+T719*30+U719*60</f>
        <v>0</v>
      </c>
      <c r="Z719" s="309">
        <f t="shared" si="370"/>
        <v>0</v>
      </c>
      <c r="AA719" s="256">
        <f t="shared" si="367"/>
        <v>0</v>
      </c>
      <c r="AB719" s="309"/>
      <c r="AC719" s="309"/>
      <c r="AD719" s="320">
        <f t="shared" si="368"/>
        <v>0</v>
      </c>
      <c r="AF719" s="11"/>
      <c r="AG719" s="24"/>
      <c r="AH719" s="64">
        <f t="shared" si="372"/>
        <v>43386</v>
      </c>
      <c r="AI719" s="698"/>
      <c r="AJ719" s="699"/>
      <c r="AK719" s="699"/>
      <c r="AL719" s="699"/>
      <c r="AM719" s="699"/>
      <c r="AN719" s="699"/>
      <c r="AO719" s="699"/>
      <c r="AP719" s="699"/>
      <c r="AQ719" s="699"/>
      <c r="AR719" s="699"/>
      <c r="AS719" s="699"/>
      <c r="AT719" s="699"/>
      <c r="AU719" s="699"/>
      <c r="AV719" s="699"/>
      <c r="AW719" s="699"/>
      <c r="AX719" s="700"/>
      <c r="AY719" s="700"/>
      <c r="AZ719" s="701"/>
    </row>
    <row r="720" spans="1:52" ht="30.75" thickBot="1">
      <c r="A720" s="67">
        <f t="shared" si="371"/>
        <v>44879</v>
      </c>
      <c r="B720" s="138"/>
      <c r="C720" s="139"/>
      <c r="D720" s="138"/>
      <c r="E720" s="137"/>
      <c r="F720" s="137"/>
      <c r="G720" s="138"/>
      <c r="H720" s="138"/>
      <c r="I720" s="138"/>
      <c r="J720" s="138"/>
      <c r="K720" s="138"/>
      <c r="L720" s="138"/>
      <c r="M720" s="138"/>
      <c r="N720" s="138"/>
      <c r="O720" s="138"/>
      <c r="P720" s="138"/>
      <c r="Q720" s="138"/>
      <c r="R720" s="139"/>
      <c r="S720" s="176"/>
      <c r="T720" s="835"/>
      <c r="U720" s="835"/>
      <c r="V720" s="835"/>
      <c r="W720" s="835"/>
      <c r="X720" s="835"/>
      <c r="Y720" s="255">
        <f t="shared" si="369"/>
        <v>0</v>
      </c>
      <c r="Z720" s="309">
        <f t="shared" si="370"/>
        <v>0</v>
      </c>
      <c r="AA720" s="256">
        <f t="shared" si="367"/>
        <v>0</v>
      </c>
      <c r="AB720" s="309"/>
      <c r="AC720" s="309"/>
      <c r="AD720" s="320">
        <f t="shared" si="368"/>
        <v>0</v>
      </c>
      <c r="AF720" s="11"/>
      <c r="AG720" s="24"/>
      <c r="AH720" s="64">
        <f t="shared" si="372"/>
        <v>43387</v>
      </c>
      <c r="AI720" s="698"/>
      <c r="AJ720" s="699"/>
      <c r="AK720" s="699"/>
      <c r="AL720" s="699"/>
      <c r="AM720" s="699"/>
      <c r="AN720" s="699"/>
      <c r="AO720" s="699"/>
      <c r="AP720" s="699"/>
      <c r="AQ720" s="699"/>
      <c r="AR720" s="699"/>
      <c r="AS720" s="699"/>
      <c r="AT720" s="699"/>
      <c r="AU720" s="699"/>
      <c r="AV720" s="699"/>
      <c r="AW720" s="699"/>
      <c r="AX720" s="700"/>
      <c r="AY720" s="700"/>
      <c r="AZ720" s="701"/>
    </row>
    <row r="721" spans="1:52" ht="30.75" thickBot="1">
      <c r="A721" s="67">
        <f t="shared" si="371"/>
        <v>44880</v>
      </c>
      <c r="B721" s="138"/>
      <c r="C721" s="139"/>
      <c r="D721" s="138"/>
      <c r="E721" s="137"/>
      <c r="F721" s="137"/>
      <c r="G721" s="138"/>
      <c r="H721" s="138"/>
      <c r="I721" s="138"/>
      <c r="J721" s="138"/>
      <c r="K721" s="138"/>
      <c r="L721" s="138"/>
      <c r="M721" s="138"/>
      <c r="N721" s="138"/>
      <c r="O721" s="138"/>
      <c r="P721" s="138"/>
      <c r="Q721" s="138"/>
      <c r="R721" s="139"/>
      <c r="S721" s="176"/>
      <c r="T721" s="835"/>
      <c r="U721" s="835"/>
      <c r="V721" s="835"/>
      <c r="W721" s="835"/>
      <c r="X721" s="835"/>
      <c r="Y721" s="255">
        <f t="shared" si="369"/>
        <v>0</v>
      </c>
      <c r="Z721" s="309">
        <f t="shared" si="370"/>
        <v>0</v>
      </c>
      <c r="AA721" s="256">
        <f t="shared" si="367"/>
        <v>0</v>
      </c>
      <c r="AB721" s="309"/>
      <c r="AC721" s="309"/>
      <c r="AD721" s="320">
        <f t="shared" si="368"/>
        <v>0</v>
      </c>
      <c r="AF721" s="11"/>
      <c r="AG721" s="24"/>
      <c r="AH721" s="64">
        <f t="shared" si="372"/>
        <v>43388</v>
      </c>
      <c r="AI721" s="698"/>
      <c r="AJ721" s="699"/>
      <c r="AK721" s="699"/>
      <c r="AL721" s="699"/>
      <c r="AM721" s="699"/>
      <c r="AN721" s="699"/>
      <c r="AO721" s="699"/>
      <c r="AP721" s="699"/>
      <c r="AQ721" s="699"/>
      <c r="AR721" s="699"/>
      <c r="AS721" s="699"/>
      <c r="AT721" s="699"/>
      <c r="AU721" s="699"/>
      <c r="AV721" s="699"/>
      <c r="AW721" s="699"/>
      <c r="AX721" s="700"/>
      <c r="AY721" s="700"/>
      <c r="AZ721" s="701"/>
    </row>
    <row r="722" spans="1:52" ht="30.75" thickBot="1">
      <c r="A722" s="67">
        <f t="shared" si="371"/>
        <v>44881</v>
      </c>
      <c r="B722" s="138"/>
      <c r="C722" s="139"/>
      <c r="D722" s="138"/>
      <c r="E722" s="137"/>
      <c r="F722" s="137"/>
      <c r="G722" s="138"/>
      <c r="H722" s="138"/>
      <c r="I722" s="138"/>
      <c r="J722" s="138"/>
      <c r="K722" s="138"/>
      <c r="L722" s="138"/>
      <c r="M722" s="138"/>
      <c r="N722" s="138"/>
      <c r="O722" s="138"/>
      <c r="P722" s="138"/>
      <c r="Q722" s="138"/>
      <c r="R722" s="139"/>
      <c r="S722" s="176"/>
      <c r="T722" s="835"/>
      <c r="U722" s="835"/>
      <c r="V722" s="835"/>
      <c r="W722" s="835"/>
      <c r="X722" s="835"/>
      <c r="Y722" s="255">
        <f t="shared" si="369"/>
        <v>0</v>
      </c>
      <c r="Z722" s="309">
        <f t="shared" si="370"/>
        <v>0</v>
      </c>
      <c r="AA722" s="256">
        <f t="shared" si="367"/>
        <v>0</v>
      </c>
      <c r="AB722" s="309"/>
      <c r="AC722" s="309"/>
      <c r="AD722" s="320">
        <f t="shared" si="368"/>
        <v>0</v>
      </c>
      <c r="AF722" s="11"/>
      <c r="AG722" s="24"/>
      <c r="AH722" s="64">
        <f t="shared" si="372"/>
        <v>43389</v>
      </c>
      <c r="AI722" s="698"/>
      <c r="AJ722" s="699"/>
      <c r="AK722" s="699"/>
      <c r="AL722" s="699"/>
      <c r="AM722" s="699"/>
      <c r="AN722" s="699"/>
      <c r="AO722" s="699"/>
      <c r="AP722" s="699"/>
      <c r="AQ722" s="699"/>
      <c r="AR722" s="699"/>
      <c r="AS722" s="699"/>
      <c r="AT722" s="699"/>
      <c r="AU722" s="699"/>
      <c r="AV722" s="699"/>
      <c r="AW722" s="699"/>
      <c r="AX722" s="700"/>
      <c r="AY722" s="700"/>
      <c r="AZ722" s="701"/>
    </row>
    <row r="723" spans="1:52" ht="30.75" thickBot="1">
      <c r="A723" s="67">
        <f t="shared" si="371"/>
        <v>44882</v>
      </c>
      <c r="B723" s="138"/>
      <c r="C723" s="139"/>
      <c r="D723" s="138"/>
      <c r="E723" s="137"/>
      <c r="F723" s="137"/>
      <c r="G723" s="138"/>
      <c r="H723" s="138"/>
      <c r="I723" s="138"/>
      <c r="J723" s="138"/>
      <c r="K723" s="138"/>
      <c r="L723" s="138"/>
      <c r="M723" s="138"/>
      <c r="N723" s="138"/>
      <c r="O723" s="138"/>
      <c r="P723" s="138"/>
      <c r="Q723" s="138"/>
      <c r="R723" s="139"/>
      <c r="S723" s="176"/>
      <c r="T723" s="835"/>
      <c r="U723" s="835"/>
      <c r="V723" s="835"/>
      <c r="W723" s="835"/>
      <c r="X723" s="835"/>
      <c r="Y723" s="255">
        <f t="shared" si="369"/>
        <v>0</v>
      </c>
      <c r="Z723" s="309">
        <f t="shared" si="370"/>
        <v>0</v>
      </c>
      <c r="AA723" s="256">
        <f t="shared" si="367"/>
        <v>0</v>
      </c>
      <c r="AB723" s="309"/>
      <c r="AC723" s="309"/>
      <c r="AD723" s="320">
        <f t="shared" si="368"/>
        <v>0</v>
      </c>
      <c r="AF723" s="11"/>
      <c r="AG723" s="24"/>
      <c r="AH723" s="64">
        <f t="shared" si="372"/>
        <v>43390</v>
      </c>
      <c r="AI723" s="698"/>
      <c r="AJ723" s="699"/>
      <c r="AK723" s="699"/>
      <c r="AL723" s="699"/>
      <c r="AM723" s="699"/>
      <c r="AN723" s="699"/>
      <c r="AO723" s="699"/>
      <c r="AP723" s="699"/>
      <c r="AQ723" s="699"/>
      <c r="AR723" s="699"/>
      <c r="AS723" s="699"/>
      <c r="AT723" s="699"/>
      <c r="AU723" s="699"/>
      <c r="AV723" s="699"/>
      <c r="AW723" s="699"/>
      <c r="AX723" s="700"/>
      <c r="AY723" s="700"/>
      <c r="AZ723" s="701"/>
    </row>
    <row r="724" spans="1:52" ht="30.75" thickBot="1">
      <c r="A724" s="67">
        <f t="shared" si="371"/>
        <v>44883</v>
      </c>
      <c r="B724" s="138"/>
      <c r="C724" s="139"/>
      <c r="D724" s="138"/>
      <c r="E724" s="137"/>
      <c r="F724" s="137"/>
      <c r="G724" s="138"/>
      <c r="H724" s="138"/>
      <c r="I724" s="138"/>
      <c r="J724" s="138"/>
      <c r="K724" s="138"/>
      <c r="L724" s="138"/>
      <c r="M724" s="138"/>
      <c r="N724" s="138"/>
      <c r="O724" s="138"/>
      <c r="P724" s="138"/>
      <c r="Q724" s="138"/>
      <c r="R724" s="139"/>
      <c r="S724" s="176"/>
      <c r="T724" s="835"/>
      <c r="U724" s="835"/>
      <c r="V724" s="835"/>
      <c r="W724" s="835"/>
      <c r="X724" s="835"/>
      <c r="Y724" s="255">
        <f t="shared" si="369"/>
        <v>0</v>
      </c>
      <c r="Z724" s="309">
        <f t="shared" si="370"/>
        <v>0</v>
      </c>
      <c r="AA724" s="256">
        <f t="shared" si="367"/>
        <v>0</v>
      </c>
      <c r="AB724" s="309"/>
      <c r="AC724" s="309"/>
      <c r="AD724" s="320">
        <f t="shared" si="368"/>
        <v>0</v>
      </c>
      <c r="AF724" s="11"/>
      <c r="AG724" s="24"/>
      <c r="AH724" s="64">
        <f t="shared" si="372"/>
        <v>43391</v>
      </c>
      <c r="AI724" s="698"/>
      <c r="AJ724" s="699"/>
      <c r="AK724" s="699"/>
      <c r="AL724" s="699"/>
      <c r="AM724" s="699"/>
      <c r="AN724" s="699"/>
      <c r="AO724" s="699"/>
      <c r="AP724" s="699"/>
      <c r="AQ724" s="699"/>
      <c r="AR724" s="699"/>
      <c r="AS724" s="699"/>
      <c r="AT724" s="699"/>
      <c r="AU724" s="699"/>
      <c r="AV724" s="699"/>
      <c r="AW724" s="699"/>
      <c r="AX724" s="700"/>
      <c r="AY724" s="700"/>
      <c r="AZ724" s="701"/>
    </row>
    <row r="725" spans="1:52" ht="30.75" thickBot="1">
      <c r="A725" s="67">
        <f t="shared" si="371"/>
        <v>44884</v>
      </c>
      <c r="B725" s="138"/>
      <c r="C725" s="139"/>
      <c r="D725" s="138"/>
      <c r="E725" s="137"/>
      <c r="F725" s="137"/>
      <c r="G725" s="138"/>
      <c r="H725" s="138"/>
      <c r="I725" s="138"/>
      <c r="J725" s="138"/>
      <c r="K725" s="138"/>
      <c r="L725" s="138"/>
      <c r="M725" s="138"/>
      <c r="N725" s="138"/>
      <c r="O725" s="138"/>
      <c r="P725" s="138"/>
      <c r="Q725" s="138"/>
      <c r="R725" s="139"/>
      <c r="S725" s="176"/>
      <c r="T725" s="835"/>
      <c r="U725" s="835"/>
      <c r="V725" s="835"/>
      <c r="W725" s="835"/>
      <c r="X725" s="835"/>
      <c r="Y725" s="255">
        <f t="shared" si="369"/>
        <v>0</v>
      </c>
      <c r="Z725" s="309">
        <f t="shared" si="370"/>
        <v>0</v>
      </c>
      <c r="AA725" s="256">
        <f t="shared" si="367"/>
        <v>0</v>
      </c>
      <c r="AB725" s="309"/>
      <c r="AC725" s="309"/>
      <c r="AD725" s="320">
        <f t="shared" si="368"/>
        <v>0</v>
      </c>
      <c r="AF725" s="11"/>
      <c r="AG725" s="24"/>
      <c r="AH725" s="64">
        <f t="shared" si="372"/>
        <v>43392</v>
      </c>
      <c r="AI725" s="698"/>
      <c r="AJ725" s="699"/>
      <c r="AK725" s="699"/>
      <c r="AL725" s="699"/>
      <c r="AM725" s="699"/>
      <c r="AN725" s="699"/>
      <c r="AO725" s="699"/>
      <c r="AP725" s="699"/>
      <c r="AQ725" s="699"/>
      <c r="AR725" s="699"/>
      <c r="AS725" s="699"/>
      <c r="AT725" s="699"/>
      <c r="AU725" s="699"/>
      <c r="AV725" s="699"/>
      <c r="AW725" s="699"/>
      <c r="AX725" s="700"/>
      <c r="AY725" s="700"/>
      <c r="AZ725" s="701"/>
    </row>
    <row r="726" spans="1:52" ht="30.75" thickBot="1">
      <c r="A726" s="67">
        <f t="shared" si="371"/>
        <v>44885</v>
      </c>
      <c r="B726" s="138"/>
      <c r="C726" s="139"/>
      <c r="D726" s="138"/>
      <c r="E726" s="137"/>
      <c r="F726" s="137"/>
      <c r="G726" s="138"/>
      <c r="H726" s="138"/>
      <c r="I726" s="138"/>
      <c r="J726" s="138"/>
      <c r="K726" s="138"/>
      <c r="L726" s="138"/>
      <c r="M726" s="138"/>
      <c r="N726" s="138"/>
      <c r="O726" s="138"/>
      <c r="P726" s="138"/>
      <c r="Q726" s="138"/>
      <c r="R726" s="139"/>
      <c r="S726" s="176"/>
      <c r="T726" s="835"/>
      <c r="U726" s="835"/>
      <c r="V726" s="835"/>
      <c r="W726" s="835"/>
      <c r="X726" s="835"/>
      <c r="Y726" s="255">
        <f t="shared" si="369"/>
        <v>0</v>
      </c>
      <c r="Z726" s="309">
        <f t="shared" si="370"/>
        <v>0</v>
      </c>
      <c r="AA726" s="256">
        <f t="shared" si="367"/>
        <v>0</v>
      </c>
      <c r="AB726" s="309"/>
      <c r="AC726" s="309"/>
      <c r="AD726" s="320">
        <f t="shared" si="368"/>
        <v>0</v>
      </c>
      <c r="AF726" s="11"/>
      <c r="AG726" s="24"/>
      <c r="AH726" s="64">
        <f t="shared" si="372"/>
        <v>43393</v>
      </c>
      <c r="AI726" s="698"/>
      <c r="AJ726" s="699"/>
      <c r="AK726" s="699"/>
      <c r="AL726" s="699"/>
      <c r="AM726" s="699"/>
      <c r="AN726" s="699"/>
      <c r="AO726" s="699"/>
      <c r="AP726" s="699"/>
      <c r="AQ726" s="699"/>
      <c r="AR726" s="699"/>
      <c r="AS726" s="699"/>
      <c r="AT726" s="699"/>
      <c r="AU726" s="699"/>
      <c r="AV726" s="699"/>
      <c r="AW726" s="699"/>
      <c r="AX726" s="700"/>
      <c r="AY726" s="700"/>
      <c r="AZ726" s="701"/>
    </row>
    <row r="727" spans="1:52" ht="30.75" thickBot="1">
      <c r="A727" s="67">
        <f t="shared" si="371"/>
        <v>44886</v>
      </c>
      <c r="B727" s="138"/>
      <c r="C727" s="139"/>
      <c r="D727" s="138"/>
      <c r="E727" s="137"/>
      <c r="F727" s="137"/>
      <c r="G727" s="138"/>
      <c r="H727" s="138"/>
      <c r="I727" s="138"/>
      <c r="J727" s="138"/>
      <c r="K727" s="138"/>
      <c r="L727" s="138"/>
      <c r="M727" s="138"/>
      <c r="N727" s="138"/>
      <c r="O727" s="138"/>
      <c r="P727" s="138"/>
      <c r="Q727" s="138"/>
      <c r="R727" s="139"/>
      <c r="S727" s="176"/>
      <c r="T727" s="835"/>
      <c r="U727" s="835"/>
      <c r="V727" s="835"/>
      <c r="W727" s="835"/>
      <c r="X727" s="835"/>
      <c r="Y727" s="255">
        <f t="shared" si="369"/>
        <v>0</v>
      </c>
      <c r="Z727" s="309">
        <f t="shared" si="370"/>
        <v>0</v>
      </c>
      <c r="AA727" s="256">
        <f t="shared" si="367"/>
        <v>0</v>
      </c>
      <c r="AB727" s="309"/>
      <c r="AC727" s="309"/>
      <c r="AD727" s="320">
        <f t="shared" si="368"/>
        <v>0</v>
      </c>
      <c r="AF727" s="11"/>
      <c r="AG727" s="24"/>
      <c r="AH727" s="64">
        <f t="shared" si="372"/>
        <v>43394</v>
      </c>
      <c r="AI727" s="698"/>
      <c r="AJ727" s="699"/>
      <c r="AK727" s="699"/>
      <c r="AL727" s="699"/>
      <c r="AM727" s="699"/>
      <c r="AN727" s="699"/>
      <c r="AO727" s="699"/>
      <c r="AP727" s="699"/>
      <c r="AQ727" s="699"/>
      <c r="AR727" s="699"/>
      <c r="AS727" s="699"/>
      <c r="AT727" s="699"/>
      <c r="AU727" s="699"/>
      <c r="AV727" s="699"/>
      <c r="AW727" s="699"/>
      <c r="AX727" s="700"/>
      <c r="AY727" s="700"/>
      <c r="AZ727" s="701"/>
    </row>
    <row r="728" spans="1:52" ht="30.75" thickBot="1">
      <c r="A728" s="67">
        <f t="shared" si="371"/>
        <v>44887</v>
      </c>
      <c r="B728" s="138"/>
      <c r="C728" s="139"/>
      <c r="D728" s="138"/>
      <c r="E728" s="137"/>
      <c r="F728" s="137"/>
      <c r="G728" s="138"/>
      <c r="H728" s="138"/>
      <c r="I728" s="138"/>
      <c r="J728" s="138"/>
      <c r="K728" s="138"/>
      <c r="L728" s="138"/>
      <c r="M728" s="138"/>
      <c r="N728" s="138"/>
      <c r="O728" s="138"/>
      <c r="P728" s="138"/>
      <c r="Q728" s="138"/>
      <c r="R728" s="139"/>
      <c r="S728" s="176"/>
      <c r="T728" s="835"/>
      <c r="U728" s="835"/>
      <c r="V728" s="835"/>
      <c r="W728" s="835"/>
      <c r="X728" s="835"/>
      <c r="Y728" s="255">
        <f t="shared" si="369"/>
        <v>0</v>
      </c>
      <c r="Z728" s="309">
        <f t="shared" si="370"/>
        <v>0</v>
      </c>
      <c r="AA728" s="256">
        <f t="shared" si="367"/>
        <v>0</v>
      </c>
      <c r="AB728" s="309"/>
      <c r="AC728" s="309"/>
      <c r="AD728" s="320">
        <f t="shared" si="368"/>
        <v>0</v>
      </c>
      <c r="AF728" s="11"/>
      <c r="AG728" s="24"/>
      <c r="AH728" s="64">
        <f t="shared" si="372"/>
        <v>43395</v>
      </c>
      <c r="AI728" s="698"/>
      <c r="AJ728" s="699"/>
      <c r="AK728" s="699"/>
      <c r="AL728" s="699"/>
      <c r="AM728" s="699"/>
      <c r="AN728" s="699"/>
      <c r="AO728" s="699"/>
      <c r="AP728" s="699"/>
      <c r="AQ728" s="699"/>
      <c r="AR728" s="699"/>
      <c r="AS728" s="699"/>
      <c r="AT728" s="699"/>
      <c r="AU728" s="699"/>
      <c r="AV728" s="699"/>
      <c r="AW728" s="699"/>
      <c r="AX728" s="700"/>
      <c r="AY728" s="700"/>
      <c r="AZ728" s="701"/>
    </row>
    <row r="729" spans="1:52" ht="30.75" thickBot="1">
      <c r="A729" s="67">
        <f t="shared" si="371"/>
        <v>44888</v>
      </c>
      <c r="B729" s="138"/>
      <c r="C729" s="139"/>
      <c r="D729" s="138"/>
      <c r="E729" s="137"/>
      <c r="F729" s="137"/>
      <c r="G729" s="138"/>
      <c r="H729" s="138"/>
      <c r="I729" s="138"/>
      <c r="J729" s="138"/>
      <c r="K729" s="138"/>
      <c r="L729" s="138"/>
      <c r="M729" s="138"/>
      <c r="N729" s="138"/>
      <c r="O729" s="138"/>
      <c r="P729" s="138"/>
      <c r="Q729" s="138"/>
      <c r="R729" s="139"/>
      <c r="S729" s="176"/>
      <c r="T729" s="835"/>
      <c r="U729" s="835"/>
      <c r="V729" s="835"/>
      <c r="W729" s="835"/>
      <c r="X729" s="835"/>
      <c r="Y729" s="255">
        <f t="shared" si="369"/>
        <v>0</v>
      </c>
      <c r="Z729" s="309">
        <f t="shared" si="370"/>
        <v>0</v>
      </c>
      <c r="AA729" s="256">
        <f t="shared" si="367"/>
        <v>0</v>
      </c>
      <c r="AB729" s="309"/>
      <c r="AC729" s="309"/>
      <c r="AD729" s="320">
        <f t="shared" si="368"/>
        <v>0</v>
      </c>
      <c r="AF729" s="11"/>
      <c r="AG729" s="24"/>
      <c r="AH729" s="64">
        <f t="shared" si="372"/>
        <v>43396</v>
      </c>
      <c r="AI729" s="698"/>
      <c r="AJ729" s="699"/>
      <c r="AK729" s="699"/>
      <c r="AL729" s="699"/>
      <c r="AM729" s="699"/>
      <c r="AN729" s="699"/>
      <c r="AO729" s="699"/>
      <c r="AP729" s="699"/>
      <c r="AQ729" s="699"/>
      <c r="AR729" s="699"/>
      <c r="AS729" s="699"/>
      <c r="AT729" s="699"/>
      <c r="AU729" s="699"/>
      <c r="AV729" s="699"/>
      <c r="AW729" s="699"/>
      <c r="AX729" s="700"/>
      <c r="AY729" s="700"/>
      <c r="AZ729" s="701"/>
    </row>
    <row r="730" spans="1:52" ht="30.75" thickBot="1">
      <c r="A730" s="67">
        <f t="shared" si="371"/>
        <v>44889</v>
      </c>
      <c r="B730" s="138"/>
      <c r="C730" s="139"/>
      <c r="D730" s="138"/>
      <c r="E730" s="137"/>
      <c r="F730" s="137"/>
      <c r="G730" s="138"/>
      <c r="H730" s="138"/>
      <c r="I730" s="138"/>
      <c r="J730" s="138"/>
      <c r="K730" s="138"/>
      <c r="L730" s="138"/>
      <c r="M730" s="138"/>
      <c r="N730" s="138"/>
      <c r="O730" s="138"/>
      <c r="P730" s="138"/>
      <c r="Q730" s="138"/>
      <c r="R730" s="139"/>
      <c r="S730" s="176"/>
      <c r="T730" s="835"/>
      <c r="U730" s="835"/>
      <c r="V730" s="835"/>
      <c r="W730" s="835"/>
      <c r="X730" s="835"/>
      <c r="Y730" s="255">
        <f t="shared" si="369"/>
        <v>0</v>
      </c>
      <c r="Z730" s="309">
        <f t="shared" si="370"/>
        <v>0</v>
      </c>
      <c r="AA730" s="256">
        <f t="shared" si="367"/>
        <v>0</v>
      </c>
      <c r="AB730" s="309"/>
      <c r="AC730" s="309"/>
      <c r="AD730" s="320">
        <f t="shared" si="368"/>
        <v>0</v>
      </c>
      <c r="AF730" s="11"/>
      <c r="AG730" s="24"/>
      <c r="AH730" s="64">
        <f t="shared" si="372"/>
        <v>43397</v>
      </c>
      <c r="AI730" s="698"/>
      <c r="AJ730" s="699"/>
      <c r="AK730" s="699"/>
      <c r="AL730" s="699"/>
      <c r="AM730" s="699"/>
      <c r="AN730" s="699"/>
      <c r="AO730" s="699"/>
      <c r="AP730" s="699"/>
      <c r="AQ730" s="699"/>
      <c r="AR730" s="699"/>
      <c r="AS730" s="699"/>
      <c r="AT730" s="699"/>
      <c r="AU730" s="699"/>
      <c r="AV730" s="699"/>
      <c r="AW730" s="699"/>
      <c r="AX730" s="700"/>
      <c r="AY730" s="700"/>
      <c r="AZ730" s="701"/>
    </row>
    <row r="731" spans="1:52" ht="30.75" thickBot="1">
      <c r="A731" s="67">
        <f t="shared" si="371"/>
        <v>44890</v>
      </c>
      <c r="B731" s="138"/>
      <c r="C731" s="139"/>
      <c r="D731" s="138"/>
      <c r="E731" s="137"/>
      <c r="F731" s="137"/>
      <c r="G731" s="138"/>
      <c r="H731" s="138"/>
      <c r="I731" s="138"/>
      <c r="J731" s="138"/>
      <c r="K731" s="138"/>
      <c r="L731" s="138"/>
      <c r="M731" s="138"/>
      <c r="N731" s="138"/>
      <c r="O731" s="138"/>
      <c r="P731" s="138"/>
      <c r="Q731" s="138"/>
      <c r="R731" s="139"/>
      <c r="S731" s="176"/>
      <c r="T731" s="835"/>
      <c r="U731" s="835"/>
      <c r="V731" s="835"/>
      <c r="W731" s="835"/>
      <c r="X731" s="835"/>
      <c r="Y731" s="255">
        <f t="shared" si="369"/>
        <v>0</v>
      </c>
      <c r="Z731" s="309">
        <f t="shared" si="370"/>
        <v>0</v>
      </c>
      <c r="AA731" s="256">
        <f t="shared" si="367"/>
        <v>0</v>
      </c>
      <c r="AB731" s="309"/>
      <c r="AC731" s="309"/>
      <c r="AD731" s="320">
        <f t="shared" si="368"/>
        <v>0</v>
      </c>
      <c r="AF731" s="11"/>
      <c r="AG731" s="24"/>
      <c r="AH731" s="64">
        <f t="shared" si="372"/>
        <v>43398</v>
      </c>
      <c r="AI731" s="698"/>
      <c r="AJ731" s="699"/>
      <c r="AK731" s="699"/>
      <c r="AL731" s="699"/>
      <c r="AM731" s="699"/>
      <c r="AN731" s="699"/>
      <c r="AO731" s="699"/>
      <c r="AP731" s="699"/>
      <c r="AQ731" s="699"/>
      <c r="AR731" s="699"/>
      <c r="AS731" s="699"/>
      <c r="AT731" s="699"/>
      <c r="AU731" s="699"/>
      <c r="AV731" s="699"/>
      <c r="AW731" s="699"/>
      <c r="AX731" s="700"/>
      <c r="AY731" s="700"/>
      <c r="AZ731" s="701"/>
    </row>
    <row r="732" spans="1:52" ht="30.75" thickBot="1">
      <c r="A732" s="67">
        <f t="shared" si="371"/>
        <v>44891</v>
      </c>
      <c r="B732" s="138"/>
      <c r="C732" s="139"/>
      <c r="D732" s="138"/>
      <c r="E732" s="137"/>
      <c r="F732" s="137"/>
      <c r="G732" s="138"/>
      <c r="H732" s="138"/>
      <c r="I732" s="138"/>
      <c r="J732" s="138"/>
      <c r="K732" s="138"/>
      <c r="L732" s="138"/>
      <c r="M732" s="138"/>
      <c r="N732" s="138"/>
      <c r="O732" s="138"/>
      <c r="P732" s="138"/>
      <c r="Q732" s="138"/>
      <c r="R732" s="139"/>
      <c r="S732" s="176"/>
      <c r="T732" s="835"/>
      <c r="U732" s="835"/>
      <c r="V732" s="835"/>
      <c r="W732" s="835"/>
      <c r="X732" s="835"/>
      <c r="Y732" s="255">
        <f>B732*280+C732*280+D732*280+E732*280+F732*130+G732*130+H732*90+I732*35+J732*35+K732*400+L732*400+M732*400+N732*22+O732*42+P732*80+Q732*200+R732*300+S732*41+T732*30+U732*60</f>
        <v>0</v>
      </c>
      <c r="Z732" s="309">
        <f t="shared" si="370"/>
        <v>0</v>
      </c>
      <c r="AA732" s="256">
        <f t="shared" si="367"/>
        <v>0</v>
      </c>
      <c r="AB732" s="309"/>
      <c r="AC732" s="309"/>
      <c r="AD732" s="320">
        <f t="shared" si="368"/>
        <v>0</v>
      </c>
      <c r="AF732" s="11"/>
      <c r="AG732" s="24"/>
      <c r="AH732" s="64">
        <f t="shared" si="372"/>
        <v>43399</v>
      </c>
      <c r="AI732" s="698"/>
      <c r="AJ732" s="699"/>
      <c r="AK732" s="699"/>
      <c r="AL732" s="699"/>
      <c r="AM732" s="699"/>
      <c r="AN732" s="699"/>
      <c r="AO732" s="699"/>
      <c r="AP732" s="699"/>
      <c r="AQ732" s="699"/>
      <c r="AR732" s="699"/>
      <c r="AS732" s="699"/>
      <c r="AT732" s="699"/>
      <c r="AU732" s="699"/>
      <c r="AV732" s="699"/>
      <c r="AW732" s="699"/>
      <c r="AX732" s="700"/>
      <c r="AY732" s="700"/>
      <c r="AZ732" s="701"/>
    </row>
    <row r="733" spans="1:52" ht="30.75" thickBot="1">
      <c r="A733" s="67">
        <f t="shared" si="371"/>
        <v>44892</v>
      </c>
      <c r="B733" s="138"/>
      <c r="C733" s="139"/>
      <c r="D733" s="138"/>
      <c r="E733" s="137"/>
      <c r="F733" s="137"/>
      <c r="G733" s="138"/>
      <c r="H733" s="138"/>
      <c r="I733" s="138"/>
      <c r="J733" s="138"/>
      <c r="K733" s="138"/>
      <c r="L733" s="138"/>
      <c r="M733" s="138"/>
      <c r="N733" s="138"/>
      <c r="O733" s="138"/>
      <c r="P733" s="138"/>
      <c r="Q733" s="138"/>
      <c r="R733" s="139"/>
      <c r="S733" s="176"/>
      <c r="T733" s="835"/>
      <c r="U733" s="835"/>
      <c r="V733" s="835"/>
      <c r="W733" s="835"/>
      <c r="X733" s="835"/>
      <c r="Y733" s="255">
        <f t="shared" si="369"/>
        <v>0</v>
      </c>
      <c r="Z733" s="309">
        <f t="shared" si="370"/>
        <v>0</v>
      </c>
      <c r="AA733" s="256">
        <f t="shared" si="367"/>
        <v>0</v>
      </c>
      <c r="AB733" s="309"/>
      <c r="AC733" s="309"/>
      <c r="AD733" s="320">
        <f t="shared" si="368"/>
        <v>0</v>
      </c>
      <c r="AF733" s="11"/>
      <c r="AG733" s="24"/>
      <c r="AH733" s="64">
        <f t="shared" si="372"/>
        <v>43400</v>
      </c>
      <c r="AI733" s="698"/>
      <c r="AJ733" s="699"/>
      <c r="AK733" s="699"/>
      <c r="AL733" s="699"/>
      <c r="AM733" s="699"/>
      <c r="AN733" s="699"/>
      <c r="AO733" s="699"/>
      <c r="AP733" s="699"/>
      <c r="AQ733" s="699"/>
      <c r="AR733" s="699"/>
      <c r="AS733" s="699"/>
      <c r="AT733" s="699"/>
      <c r="AU733" s="699"/>
      <c r="AV733" s="699"/>
      <c r="AW733" s="699"/>
      <c r="AX733" s="700"/>
      <c r="AY733" s="700"/>
      <c r="AZ733" s="701"/>
    </row>
    <row r="734" spans="1:52" ht="30.75" thickBot="1">
      <c r="A734" s="67">
        <f t="shared" si="371"/>
        <v>44893</v>
      </c>
      <c r="B734" s="138"/>
      <c r="C734" s="139"/>
      <c r="D734" s="138"/>
      <c r="E734" s="137"/>
      <c r="F734" s="137"/>
      <c r="G734" s="138"/>
      <c r="H734" s="138"/>
      <c r="I734" s="138"/>
      <c r="J734" s="138"/>
      <c r="K734" s="138"/>
      <c r="L734" s="138"/>
      <c r="M734" s="138"/>
      <c r="N734" s="138"/>
      <c r="O734" s="138"/>
      <c r="P734" s="138"/>
      <c r="Q734" s="138"/>
      <c r="R734" s="139"/>
      <c r="S734" s="176"/>
      <c r="T734" s="835"/>
      <c r="U734" s="835"/>
      <c r="V734" s="835"/>
      <c r="W734" s="835"/>
      <c r="X734" s="835"/>
      <c r="Y734" s="255">
        <f t="shared" si="369"/>
        <v>0</v>
      </c>
      <c r="Z734" s="309">
        <f t="shared" si="370"/>
        <v>0</v>
      </c>
      <c r="AA734" s="256">
        <f t="shared" si="367"/>
        <v>0</v>
      </c>
      <c r="AB734" s="309"/>
      <c r="AC734" s="309"/>
      <c r="AD734" s="320">
        <f t="shared" si="368"/>
        <v>0</v>
      </c>
      <c r="AF734" s="11"/>
      <c r="AG734" s="24"/>
      <c r="AH734" s="64">
        <f t="shared" si="372"/>
        <v>43401</v>
      </c>
      <c r="AI734" s="698"/>
      <c r="AJ734" s="699"/>
      <c r="AK734" s="699"/>
      <c r="AL734" s="699"/>
      <c r="AM734" s="699"/>
      <c r="AN734" s="699"/>
      <c r="AO734" s="699"/>
      <c r="AP734" s="699"/>
      <c r="AQ734" s="699"/>
      <c r="AR734" s="699"/>
      <c r="AS734" s="699"/>
      <c r="AT734" s="699"/>
      <c r="AU734" s="699"/>
      <c r="AV734" s="699"/>
      <c r="AW734" s="699"/>
      <c r="AX734" s="700"/>
      <c r="AY734" s="700"/>
      <c r="AZ734" s="701"/>
    </row>
    <row r="735" spans="1:52" ht="30.75" thickBot="1">
      <c r="A735" s="67">
        <f t="shared" si="371"/>
        <v>44894</v>
      </c>
      <c r="B735" s="138"/>
      <c r="C735" s="139"/>
      <c r="D735" s="138"/>
      <c r="E735" s="137"/>
      <c r="F735" s="137"/>
      <c r="G735" s="138"/>
      <c r="H735" s="138"/>
      <c r="I735" s="138"/>
      <c r="J735" s="138"/>
      <c r="K735" s="138"/>
      <c r="L735" s="138"/>
      <c r="M735" s="138"/>
      <c r="N735" s="138"/>
      <c r="O735" s="138"/>
      <c r="P735" s="138"/>
      <c r="Q735" s="138"/>
      <c r="R735" s="139"/>
      <c r="S735" s="176"/>
      <c r="T735" s="835"/>
      <c r="U735" s="835"/>
      <c r="V735" s="835"/>
      <c r="W735" s="835"/>
      <c r="X735" s="835"/>
      <c r="Y735" s="255">
        <f t="shared" si="369"/>
        <v>0</v>
      </c>
      <c r="Z735" s="309">
        <f t="shared" si="370"/>
        <v>0</v>
      </c>
      <c r="AA735" s="256">
        <f t="shared" si="367"/>
        <v>0</v>
      </c>
      <c r="AB735" s="309"/>
      <c r="AC735" s="309"/>
      <c r="AD735" s="320">
        <f t="shared" si="368"/>
        <v>0</v>
      </c>
      <c r="AF735" s="11"/>
      <c r="AG735" s="24"/>
      <c r="AH735" s="64">
        <f>AH734+1</f>
        <v>43402</v>
      </c>
      <c r="AI735" s="698"/>
      <c r="AJ735" s="699"/>
      <c r="AK735" s="699"/>
      <c r="AL735" s="699"/>
      <c r="AM735" s="699"/>
      <c r="AN735" s="699"/>
      <c r="AO735" s="699"/>
      <c r="AP735" s="699"/>
      <c r="AQ735" s="699"/>
      <c r="AR735" s="699"/>
      <c r="AS735" s="699"/>
      <c r="AT735" s="699"/>
      <c r="AU735" s="699"/>
      <c r="AV735" s="699"/>
      <c r="AW735" s="699"/>
      <c r="AX735" s="700"/>
      <c r="AY735" s="700"/>
      <c r="AZ735" s="701"/>
    </row>
    <row r="736" spans="1:52" ht="30.75" thickBot="1">
      <c r="A736" s="67">
        <f t="shared" si="371"/>
        <v>44895</v>
      </c>
      <c r="B736" s="138"/>
      <c r="C736" s="139"/>
      <c r="D736" s="138"/>
      <c r="E736" s="137"/>
      <c r="F736" s="137"/>
      <c r="G736" s="138"/>
      <c r="H736" s="138"/>
      <c r="I736" s="138"/>
      <c r="J736" s="138"/>
      <c r="K736" s="138"/>
      <c r="L736" s="138"/>
      <c r="M736" s="138"/>
      <c r="N736" s="138"/>
      <c r="O736" s="138"/>
      <c r="P736" s="138"/>
      <c r="Q736" s="138"/>
      <c r="R736" s="139"/>
      <c r="S736" s="176"/>
      <c r="T736" s="835"/>
      <c r="U736" s="835"/>
      <c r="V736" s="835"/>
      <c r="W736" s="835"/>
      <c r="X736" s="835"/>
      <c r="Y736" s="255">
        <f t="shared" si="369"/>
        <v>0</v>
      </c>
      <c r="Z736" s="309">
        <f t="shared" si="370"/>
        <v>0</v>
      </c>
      <c r="AA736" s="256">
        <f t="shared" si="367"/>
        <v>0</v>
      </c>
      <c r="AB736" s="309"/>
      <c r="AC736" s="309"/>
      <c r="AD736" s="320">
        <f t="shared" si="368"/>
        <v>0</v>
      </c>
      <c r="AF736" s="11"/>
      <c r="AG736" s="24"/>
      <c r="AH736" s="64">
        <f t="shared" si="372"/>
        <v>43403</v>
      </c>
      <c r="AI736" s="698"/>
      <c r="AJ736" s="699"/>
      <c r="AK736" s="699"/>
      <c r="AL736" s="699"/>
      <c r="AM736" s="699"/>
      <c r="AN736" s="699"/>
      <c r="AO736" s="699"/>
      <c r="AP736" s="699"/>
      <c r="AQ736" s="699"/>
      <c r="AR736" s="699"/>
      <c r="AS736" s="699"/>
      <c r="AT736" s="699"/>
      <c r="AU736" s="699"/>
      <c r="AV736" s="699"/>
      <c r="AW736" s="699"/>
      <c r="AX736" s="700"/>
      <c r="AY736" s="700"/>
      <c r="AZ736" s="701"/>
    </row>
    <row r="737" spans="1:52" ht="30.75" thickBot="1">
      <c r="A737" s="102">
        <f t="shared" si="371"/>
        <v>44896</v>
      </c>
      <c r="B737" s="146"/>
      <c r="C737" s="152"/>
      <c r="D737" s="146"/>
      <c r="E737" s="146"/>
      <c r="F737" s="146"/>
      <c r="G737" s="146"/>
      <c r="H737" s="152"/>
      <c r="I737" s="146"/>
      <c r="J737" s="146"/>
      <c r="K737" s="146"/>
      <c r="L737" s="152"/>
      <c r="M737" s="146"/>
      <c r="N737" s="146"/>
      <c r="O737" s="146"/>
      <c r="P737" s="146"/>
      <c r="Q737" s="146"/>
      <c r="R737" s="147"/>
      <c r="S737" s="178"/>
      <c r="T737" s="831"/>
      <c r="U737" s="831"/>
      <c r="V737" s="831"/>
      <c r="W737" s="831"/>
      <c r="X737" s="831"/>
      <c r="Y737" s="255">
        <f t="shared" si="369"/>
        <v>0</v>
      </c>
      <c r="Z737" s="309">
        <f t="shared" si="370"/>
        <v>0</v>
      </c>
      <c r="AA737" s="256">
        <f t="shared" si="367"/>
        <v>0</v>
      </c>
      <c r="AB737" s="309"/>
      <c r="AC737" s="309"/>
      <c r="AD737" s="320">
        <f t="shared" si="368"/>
        <v>0</v>
      </c>
      <c r="AF737" s="11"/>
      <c r="AG737" s="24"/>
      <c r="AH737" s="65">
        <f t="shared" si="372"/>
        <v>43404</v>
      </c>
      <c r="AI737" s="702"/>
      <c r="AJ737" s="703"/>
      <c r="AK737" s="703"/>
      <c r="AL737" s="703"/>
      <c r="AM737" s="703"/>
      <c r="AN737" s="703"/>
      <c r="AO737" s="703"/>
      <c r="AP737" s="703"/>
      <c r="AQ737" s="703"/>
      <c r="AR737" s="703"/>
      <c r="AS737" s="703"/>
      <c r="AT737" s="703"/>
      <c r="AU737" s="703"/>
      <c r="AV737" s="703"/>
      <c r="AW737" s="703"/>
      <c r="AX737" s="704"/>
      <c r="AY737" s="704"/>
      <c r="AZ737" s="705"/>
    </row>
    <row r="738" spans="1:52" ht="50.1" customHeight="1" thickTop="1" thickBot="1">
      <c r="A738" s="96" t="s">
        <v>74</v>
      </c>
      <c r="B738" s="90">
        <f>SUM(B707:B737)</f>
        <v>0</v>
      </c>
      <c r="C738" s="90">
        <f t="shared" ref="C738:Y738" si="373">SUM(C707:C737)</f>
        <v>0</v>
      </c>
      <c r="D738" s="90">
        <f t="shared" si="373"/>
        <v>0</v>
      </c>
      <c r="E738" s="90"/>
      <c r="F738" s="90">
        <f t="shared" si="373"/>
        <v>0</v>
      </c>
      <c r="G738" s="90">
        <f t="shared" si="373"/>
        <v>0</v>
      </c>
      <c r="H738" s="90">
        <f t="shared" si="373"/>
        <v>0</v>
      </c>
      <c r="I738" s="90">
        <f t="shared" si="373"/>
        <v>0</v>
      </c>
      <c r="J738" s="90">
        <f t="shared" si="373"/>
        <v>0</v>
      </c>
      <c r="K738" s="90">
        <f t="shared" si="373"/>
        <v>0</v>
      </c>
      <c r="L738" s="90">
        <f t="shared" si="373"/>
        <v>0</v>
      </c>
      <c r="M738" s="90">
        <f t="shared" si="373"/>
        <v>0</v>
      </c>
      <c r="N738" s="90">
        <f t="shared" si="373"/>
        <v>0</v>
      </c>
      <c r="O738" s="90">
        <f t="shared" si="373"/>
        <v>0</v>
      </c>
      <c r="P738" s="90"/>
      <c r="Q738" s="90">
        <f t="shared" si="373"/>
        <v>0</v>
      </c>
      <c r="R738" s="90">
        <f t="shared" si="373"/>
        <v>0</v>
      </c>
      <c r="S738" s="90">
        <f t="shared" si="373"/>
        <v>0</v>
      </c>
      <c r="T738" s="90"/>
      <c r="U738" s="90"/>
      <c r="V738" s="90"/>
      <c r="W738" s="90"/>
      <c r="X738" s="90"/>
      <c r="Y738" s="292">
        <f t="shared" si="373"/>
        <v>0</v>
      </c>
      <c r="Z738" s="258"/>
      <c r="AA738" s="259"/>
      <c r="AB738" s="316">
        <f>SUM(AB707:AB737)</f>
        <v>0</v>
      </c>
      <c r="AC738" s="316">
        <f>SUM(AC707:AC737)</f>
        <v>0</v>
      </c>
      <c r="AD738" s="260"/>
      <c r="AF738" s="9"/>
      <c r="AG738" s="9"/>
      <c r="AH738" s="706" t="s">
        <v>101</v>
      </c>
      <c r="AI738" s="707">
        <f>SUM(AI707:AI737)</f>
        <v>0</v>
      </c>
      <c r="AJ738" s="707">
        <f>SUM(AJ707:AJ737)</f>
        <v>0</v>
      </c>
      <c r="AK738" s="707">
        <f t="shared" ref="AK738:AZ738" si="374">SUM(AK707:AK737)</f>
        <v>0</v>
      </c>
      <c r="AL738" s="707">
        <f t="shared" si="374"/>
        <v>0</v>
      </c>
      <c r="AM738" s="707">
        <f t="shared" si="374"/>
        <v>0</v>
      </c>
      <c r="AN738" s="707">
        <f t="shared" si="374"/>
        <v>0</v>
      </c>
      <c r="AO738" s="707">
        <f t="shared" si="374"/>
        <v>0</v>
      </c>
      <c r="AP738" s="707">
        <f t="shared" si="374"/>
        <v>0</v>
      </c>
      <c r="AQ738" s="707">
        <f t="shared" si="374"/>
        <v>0</v>
      </c>
      <c r="AR738" s="707">
        <f t="shared" si="374"/>
        <v>0</v>
      </c>
      <c r="AS738" s="707">
        <f t="shared" si="374"/>
        <v>0</v>
      </c>
      <c r="AT738" s="707">
        <f t="shared" si="374"/>
        <v>0</v>
      </c>
      <c r="AU738" s="707">
        <f t="shared" si="374"/>
        <v>0</v>
      </c>
      <c r="AV738" s="707">
        <f t="shared" si="374"/>
        <v>0</v>
      </c>
      <c r="AW738" s="707">
        <f t="shared" si="374"/>
        <v>0</v>
      </c>
      <c r="AX738" s="707">
        <f t="shared" si="374"/>
        <v>0</v>
      </c>
      <c r="AY738" s="707">
        <f t="shared" si="374"/>
        <v>0</v>
      </c>
      <c r="AZ738" s="707">
        <f t="shared" si="374"/>
        <v>0</v>
      </c>
    </row>
    <row r="739" spans="1:52" ht="50.1" customHeight="1" thickTop="1" thickBot="1">
      <c r="A739" s="148" t="s">
        <v>102</v>
      </c>
      <c r="B739" s="473"/>
      <c r="C739" s="473"/>
      <c r="D739" s="473"/>
      <c r="E739" s="473"/>
      <c r="F739" s="473"/>
      <c r="G739" s="473"/>
      <c r="H739" s="473"/>
      <c r="I739" s="473"/>
      <c r="J739" s="473"/>
      <c r="K739" s="473"/>
      <c r="L739" s="473"/>
      <c r="M739" s="473"/>
      <c r="N739" s="473"/>
      <c r="O739" s="473"/>
      <c r="P739" s="473"/>
      <c r="Q739" s="473"/>
      <c r="R739" s="473"/>
      <c r="S739" s="473"/>
      <c r="T739" s="473"/>
      <c r="U739" s="473"/>
      <c r="V739" s="473"/>
      <c r="W739" s="473"/>
      <c r="X739" s="473"/>
      <c r="Y739" s="298"/>
      <c r="Z739" s="290"/>
      <c r="AA739" s="290"/>
      <c r="AB739" s="290"/>
      <c r="AC739" s="270"/>
      <c r="AD739" s="270"/>
      <c r="AF739" s="2"/>
      <c r="AG739" s="2"/>
      <c r="AH739" s="706" t="s">
        <v>45</v>
      </c>
      <c r="AI739" s="707">
        <v>220</v>
      </c>
      <c r="AJ739" s="707">
        <v>220</v>
      </c>
      <c r="AK739" s="707">
        <v>220</v>
      </c>
      <c r="AL739" s="707">
        <v>100</v>
      </c>
      <c r="AM739" s="707">
        <v>100</v>
      </c>
      <c r="AN739" s="707">
        <v>80</v>
      </c>
      <c r="AO739" s="707">
        <v>25</v>
      </c>
      <c r="AP739" s="707">
        <v>25</v>
      </c>
      <c r="AQ739" s="707">
        <v>25</v>
      </c>
      <c r="AR739" s="707">
        <v>400</v>
      </c>
      <c r="AS739" s="707">
        <v>400</v>
      </c>
      <c r="AT739" s="707">
        <v>400</v>
      </c>
      <c r="AU739" s="707">
        <v>0</v>
      </c>
      <c r="AV739" s="707">
        <v>0</v>
      </c>
      <c r="AW739" s="707">
        <v>200</v>
      </c>
      <c r="AX739" s="707">
        <v>200</v>
      </c>
      <c r="AY739" s="707">
        <v>0</v>
      </c>
      <c r="AZ739" s="707">
        <v>0</v>
      </c>
    </row>
    <row r="740" spans="1:52" ht="50.1" customHeight="1" thickTop="1" thickBot="1">
      <c r="A740" s="100"/>
      <c r="B740" s="92">
        <f>B738*B739</f>
        <v>0</v>
      </c>
      <c r="C740" s="92">
        <f t="shared" ref="C740:S740" si="375">C738*C739</f>
        <v>0</v>
      </c>
      <c r="D740" s="92">
        <f t="shared" si="375"/>
        <v>0</v>
      </c>
      <c r="E740" s="92"/>
      <c r="F740" s="92">
        <f t="shared" si="375"/>
        <v>0</v>
      </c>
      <c r="G740" s="92">
        <f t="shared" si="375"/>
        <v>0</v>
      </c>
      <c r="H740" s="92">
        <f t="shared" si="375"/>
        <v>0</v>
      </c>
      <c r="I740" s="92">
        <f t="shared" si="375"/>
        <v>0</v>
      </c>
      <c r="J740" s="92">
        <f t="shared" si="375"/>
        <v>0</v>
      </c>
      <c r="K740" s="92">
        <f t="shared" si="375"/>
        <v>0</v>
      </c>
      <c r="L740" s="92">
        <f t="shared" si="375"/>
        <v>0</v>
      </c>
      <c r="M740" s="92">
        <f t="shared" si="375"/>
        <v>0</v>
      </c>
      <c r="N740" s="92">
        <f t="shared" si="375"/>
        <v>0</v>
      </c>
      <c r="O740" s="92">
        <f t="shared" si="375"/>
        <v>0</v>
      </c>
      <c r="P740" s="92"/>
      <c r="Q740" s="92">
        <f t="shared" si="375"/>
        <v>0</v>
      </c>
      <c r="R740" s="92">
        <f t="shared" si="375"/>
        <v>0</v>
      </c>
      <c r="S740" s="92">
        <f t="shared" si="375"/>
        <v>0</v>
      </c>
      <c r="T740" s="92"/>
      <c r="U740" s="92"/>
      <c r="V740" s="92"/>
      <c r="W740" s="92"/>
      <c r="X740" s="92"/>
      <c r="Y740" s="299">
        <f>SUM(B740:S740)</f>
        <v>0</v>
      </c>
      <c r="Z740" s="288"/>
      <c r="AA740" s="288"/>
      <c r="AB740" s="288"/>
      <c r="AC740" s="269"/>
      <c r="AD740" s="270" t="s">
        <v>1</v>
      </c>
      <c r="AF740" s="2"/>
      <c r="AG740" s="2"/>
      <c r="AH740" s="706" t="s">
        <v>46</v>
      </c>
      <c r="AI740" s="707">
        <f>AI738*AI739</f>
        <v>0</v>
      </c>
      <c r="AJ740" s="707">
        <f t="shared" ref="AJ740" si="376">AJ738*AJ739</f>
        <v>0</v>
      </c>
      <c r="AK740" s="707">
        <f t="shared" ref="AK740" si="377">AK738*AK739</f>
        <v>0</v>
      </c>
      <c r="AL740" s="707">
        <f t="shared" ref="AL740" si="378">AL738*AL739</f>
        <v>0</v>
      </c>
      <c r="AM740" s="707">
        <f t="shared" ref="AM740" si="379">AM738*AM739</f>
        <v>0</v>
      </c>
      <c r="AN740" s="707">
        <f t="shared" ref="AN740" si="380">AN738*AN739</f>
        <v>0</v>
      </c>
      <c r="AO740" s="707">
        <f t="shared" ref="AO740" si="381">AO738*AO739</f>
        <v>0</v>
      </c>
      <c r="AP740" s="707">
        <f t="shared" ref="AP740" si="382">AP738*AP739</f>
        <v>0</v>
      </c>
      <c r="AQ740" s="707">
        <f t="shared" ref="AQ740" si="383">AQ738*AQ739</f>
        <v>0</v>
      </c>
      <c r="AR740" s="707">
        <f t="shared" ref="AR740" si="384">AR738*AR739</f>
        <v>0</v>
      </c>
      <c r="AS740" s="707">
        <f t="shared" ref="AS740" si="385">AS738*AS739</f>
        <v>0</v>
      </c>
      <c r="AT740" s="707">
        <f t="shared" ref="AT740" si="386">AT738*AT739</f>
        <v>0</v>
      </c>
      <c r="AU740" s="707">
        <f t="shared" ref="AU740" si="387">AU738*AU739</f>
        <v>0</v>
      </c>
      <c r="AV740" s="707">
        <f t="shared" ref="AV740" si="388">AV738*AV739</f>
        <v>0</v>
      </c>
      <c r="AW740" s="707">
        <f t="shared" ref="AW740" si="389">AW738*AW739</f>
        <v>0</v>
      </c>
      <c r="AX740" s="707">
        <f t="shared" ref="AX740" si="390">AX738*AX739</f>
        <v>0</v>
      </c>
      <c r="AY740" s="707">
        <f t="shared" ref="AY740" si="391">AY738*AY739</f>
        <v>0</v>
      </c>
      <c r="AZ740" s="707">
        <f t="shared" ref="AZ740" si="392">AZ738*AZ739</f>
        <v>0</v>
      </c>
    </row>
    <row r="741" spans="1:52" ht="24.75" thickTop="1" thickBot="1">
      <c r="A741" s="7"/>
      <c r="B741" s="39"/>
      <c r="C741" s="39"/>
      <c r="D741" s="39"/>
      <c r="E741" s="39"/>
      <c r="F741" s="39"/>
      <c r="G741" s="39"/>
      <c r="H741" s="39"/>
      <c r="I741" s="39"/>
      <c r="J741" s="39"/>
      <c r="K741" s="39"/>
      <c r="L741" s="39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299">
        <f>Y738-Y740</f>
        <v>0</v>
      </c>
      <c r="Z741" s="288"/>
      <c r="AA741" s="288"/>
      <c r="AB741" s="288"/>
      <c r="AC741" s="269"/>
      <c r="AD741" s="270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714">
        <f>SUM(AI740:AZ740)</f>
        <v>0</v>
      </c>
    </row>
    <row r="742" spans="1:52" ht="39.950000000000003" customHeight="1" thickTop="1" thickBot="1">
      <c r="A742" s="109">
        <f>A5</f>
        <v>2022</v>
      </c>
      <c r="B742" s="1433"/>
      <c r="C742" s="1434"/>
      <c r="D742" s="1434"/>
      <c r="E742" s="1434"/>
      <c r="F742" s="1434"/>
      <c r="G742" s="1434"/>
      <c r="H742" s="1434"/>
      <c r="I742" s="1434"/>
      <c r="J742" s="1434"/>
      <c r="K742" s="1434"/>
      <c r="L742" s="1434"/>
      <c r="M742" s="1434"/>
      <c r="N742" s="1434"/>
      <c r="O742" s="1434"/>
      <c r="P742" s="1434"/>
      <c r="Q742" s="1434"/>
      <c r="R742" s="1434"/>
      <c r="S742" s="1434"/>
      <c r="T742" s="1434"/>
      <c r="U742" s="1434"/>
      <c r="V742" s="1434"/>
      <c r="W742" s="1434"/>
      <c r="X742" s="1434"/>
      <c r="Y742" s="1435"/>
      <c r="Z742" s="21"/>
      <c r="AA742" s="21"/>
      <c r="AB742" s="21"/>
      <c r="AC742" s="2"/>
      <c r="AE742" t="s">
        <v>1</v>
      </c>
      <c r="AF742" s="10"/>
      <c r="AG742" s="34"/>
      <c r="AH742" s="109">
        <v>2018</v>
      </c>
      <c r="AI742" s="1424">
        <f>B742</f>
        <v>0</v>
      </c>
      <c r="AJ742" s="1425"/>
      <c r="AK742" s="1425"/>
      <c r="AL742" s="1425"/>
      <c r="AM742" s="1425"/>
      <c r="AN742" s="1425"/>
      <c r="AO742" s="1425"/>
      <c r="AP742" s="1425"/>
      <c r="AQ742" s="1425"/>
      <c r="AR742" s="1425"/>
      <c r="AS742" s="1425"/>
      <c r="AT742" s="1425"/>
      <c r="AU742" s="1425"/>
      <c r="AV742" s="1425"/>
      <c r="AW742" s="1425"/>
      <c r="AX742" s="1425"/>
      <c r="AY742" s="1425"/>
      <c r="AZ742" s="1425"/>
    </row>
    <row r="743" spans="1:52" ht="60" customHeight="1" thickTop="1" thickBot="1">
      <c r="A743" s="1468" t="s">
        <v>94</v>
      </c>
      <c r="B743" s="1402" t="s">
        <v>95</v>
      </c>
      <c r="C743" s="1403"/>
      <c r="D743" s="1403"/>
      <c r="E743" s="1404"/>
      <c r="F743" s="1402" t="s">
        <v>7</v>
      </c>
      <c r="G743" s="1403"/>
      <c r="H743" s="1404"/>
      <c r="I743" s="1402" t="s">
        <v>8</v>
      </c>
      <c r="J743" s="1404"/>
      <c r="K743" s="1402" t="s">
        <v>9</v>
      </c>
      <c r="L743" s="1403"/>
      <c r="M743" s="1403"/>
      <c r="N743" s="1403"/>
      <c r="O743" s="1403"/>
      <c r="P743" s="1403"/>
      <c r="Q743" s="1403"/>
      <c r="R743" s="1405" t="s">
        <v>10</v>
      </c>
      <c r="S743" s="1406"/>
      <c r="T743" s="1400" t="s">
        <v>289</v>
      </c>
      <c r="U743" s="1401"/>
      <c r="V743" s="842" t="s">
        <v>258</v>
      </c>
      <c r="W743" s="842"/>
      <c r="X743" s="842"/>
      <c r="Y743" s="211"/>
      <c r="Z743" s="21"/>
      <c r="AA743" s="21"/>
      <c r="AB743" s="21"/>
      <c r="AC743" s="21"/>
      <c r="AF743" s="10"/>
      <c r="AG743" s="34"/>
      <c r="AH743" s="1422" t="s">
        <v>94</v>
      </c>
      <c r="AI743" s="1402" t="s">
        <v>95</v>
      </c>
      <c r="AJ743" s="1403"/>
      <c r="AK743" s="1404"/>
      <c r="AL743" s="1402" t="s">
        <v>7</v>
      </c>
      <c r="AM743" s="1403"/>
      <c r="AN743" s="1404"/>
      <c r="AO743" s="1402" t="s">
        <v>8</v>
      </c>
      <c r="AP743" s="1403"/>
      <c r="AQ743" s="1404"/>
      <c r="AR743" s="1402" t="s">
        <v>9</v>
      </c>
      <c r="AS743" s="1403"/>
      <c r="AT743" s="1404"/>
      <c r="AU743" s="1403" t="s">
        <v>9</v>
      </c>
      <c r="AV743" s="1404"/>
      <c r="AW743" s="1429" t="s">
        <v>10</v>
      </c>
      <c r="AX743" s="1430"/>
      <c r="AY743" s="690"/>
      <c r="AZ743" s="404" t="s">
        <v>11</v>
      </c>
    </row>
    <row r="744" spans="1:52" ht="42" thickTop="1" thickBot="1">
      <c r="A744" s="1428"/>
      <c r="B744" s="482" t="s">
        <v>12</v>
      </c>
      <c r="C744" s="482" t="s">
        <v>13</v>
      </c>
      <c r="D744" s="482" t="s">
        <v>14</v>
      </c>
      <c r="E744" s="688" t="s">
        <v>198</v>
      </c>
      <c r="F744" s="482" t="s">
        <v>12</v>
      </c>
      <c r="G744" s="482" t="s">
        <v>13</v>
      </c>
      <c r="H744" s="482" t="s">
        <v>282</v>
      </c>
      <c r="I744" s="482" t="s">
        <v>12</v>
      </c>
      <c r="J744" s="482" t="s">
        <v>16</v>
      </c>
      <c r="K744" s="482" t="s">
        <v>17</v>
      </c>
      <c r="L744" s="482" t="s">
        <v>18</v>
      </c>
      <c r="M744" s="482" t="s">
        <v>19</v>
      </c>
      <c r="N744" s="484" t="s">
        <v>96</v>
      </c>
      <c r="O744" s="484" t="s">
        <v>257</v>
      </c>
      <c r="P744" s="484" t="s">
        <v>254</v>
      </c>
      <c r="Q744" s="484" t="s">
        <v>20</v>
      </c>
      <c r="R744" s="483" t="s">
        <v>14</v>
      </c>
      <c r="S744" s="482" t="s">
        <v>13</v>
      </c>
      <c r="T744" s="846" t="s">
        <v>284</v>
      </c>
      <c r="U744" s="846" t="s">
        <v>288</v>
      </c>
      <c r="V744" s="484" t="s">
        <v>259</v>
      </c>
      <c r="W744" s="484"/>
      <c r="X744" s="484"/>
      <c r="Y744" s="209" t="s">
        <v>90</v>
      </c>
      <c r="Z744" s="210" t="s">
        <v>97</v>
      </c>
      <c r="AA744" s="210" t="s">
        <v>74</v>
      </c>
      <c r="AB744" s="210" t="s">
        <v>98</v>
      </c>
      <c r="AC744" s="210" t="s">
        <v>99</v>
      </c>
      <c r="AD744" s="210" t="s">
        <v>100</v>
      </c>
      <c r="AF744" s="578" t="s">
        <v>1</v>
      </c>
      <c r="AG744" s="4"/>
      <c r="AH744" s="1428"/>
      <c r="AI744" s="482" t="s">
        <v>12</v>
      </c>
      <c r="AJ744" s="482" t="s">
        <v>13</v>
      </c>
      <c r="AK744" s="482" t="s">
        <v>14</v>
      </c>
      <c r="AL744" s="482" t="s">
        <v>12</v>
      </c>
      <c r="AM744" s="482" t="s">
        <v>13</v>
      </c>
      <c r="AN744" s="482" t="s">
        <v>15</v>
      </c>
      <c r="AO744" s="482" t="s">
        <v>12</v>
      </c>
      <c r="AP744" s="482" t="s">
        <v>205</v>
      </c>
      <c r="AQ744" s="482" t="s">
        <v>16</v>
      </c>
      <c r="AR744" s="482" t="s">
        <v>17</v>
      </c>
      <c r="AS744" s="482" t="s">
        <v>18</v>
      </c>
      <c r="AT744" s="482" t="s">
        <v>19</v>
      </c>
      <c r="AU744" s="482" t="s">
        <v>201</v>
      </c>
      <c r="AV744" s="482" t="s">
        <v>20</v>
      </c>
      <c r="AW744" s="482" t="s">
        <v>12</v>
      </c>
      <c r="AX744" s="483" t="s">
        <v>13</v>
      </c>
      <c r="AY744" s="688" t="s">
        <v>198</v>
      </c>
      <c r="AZ744" s="484" t="s">
        <v>96</v>
      </c>
    </row>
    <row r="745" spans="1:52" ht="30.75" thickBot="1">
      <c r="A745" s="67">
        <f>A707</f>
        <v>44866</v>
      </c>
      <c r="B745" s="135"/>
      <c r="C745" s="135"/>
      <c r="D745" s="135"/>
      <c r="E745" s="135"/>
      <c r="F745" s="135"/>
      <c r="G745" s="135"/>
      <c r="H745" s="135"/>
      <c r="I745" s="135"/>
      <c r="J745" s="135"/>
      <c r="K745" s="135"/>
      <c r="L745" s="135"/>
      <c r="M745" s="135"/>
      <c r="N745" s="135"/>
      <c r="O745" s="135"/>
      <c r="P745" s="135"/>
      <c r="Q745" s="135"/>
      <c r="R745" s="136"/>
      <c r="S745" s="175"/>
      <c r="T745" s="830"/>
      <c r="U745" s="830"/>
      <c r="V745" s="830"/>
      <c r="W745" s="830"/>
      <c r="X745" s="830"/>
      <c r="Y745" s="255">
        <f>B745*280+C745*280+D745*280+E745*280+F745*130+G745*130+H745*140+I745*40+J745*35+K745*400+L745*400+M745*400+N745*400+O745*42+P745*80+Q745*200+R745*260+S745*41+T745*30+U745*60</f>
        <v>0</v>
      </c>
      <c r="Z745" s="308"/>
      <c r="AA745" s="263">
        <f t="shared" ref="AA745:AA775" si="393">Y745+Z745</f>
        <v>0</v>
      </c>
      <c r="AB745" s="308"/>
      <c r="AC745" s="308"/>
      <c r="AD745" s="319">
        <f t="shared" ref="AD745:AD775" si="394">AA745-AB745-AC745</f>
        <v>0</v>
      </c>
      <c r="AF745" s="11"/>
      <c r="AG745" s="24"/>
      <c r="AH745" s="63">
        <f>AH707</f>
        <v>43374</v>
      </c>
      <c r="AI745" s="694"/>
      <c r="AJ745" s="695"/>
      <c r="AK745" s="695"/>
      <c r="AL745" s="695"/>
      <c r="AM745" s="695"/>
      <c r="AN745" s="695"/>
      <c r="AO745" s="695"/>
      <c r="AP745" s="695"/>
      <c r="AQ745" s="695"/>
      <c r="AR745" s="695"/>
      <c r="AS745" s="695"/>
      <c r="AT745" s="695"/>
      <c r="AU745" s="695"/>
      <c r="AV745" s="695"/>
      <c r="AW745" s="695"/>
      <c r="AX745" s="696"/>
      <c r="AY745" s="696"/>
      <c r="AZ745" s="697"/>
    </row>
    <row r="746" spans="1:52" ht="30.75" thickBot="1">
      <c r="A746" s="67">
        <f>A745+1</f>
        <v>44867</v>
      </c>
      <c r="B746" s="138"/>
      <c r="C746" s="138"/>
      <c r="D746" s="138"/>
      <c r="E746" s="138"/>
      <c r="F746" s="138"/>
      <c r="G746" s="138"/>
      <c r="H746" s="138"/>
      <c r="I746" s="138"/>
      <c r="J746" s="138"/>
      <c r="K746" s="138"/>
      <c r="L746" s="138"/>
      <c r="M746" s="138"/>
      <c r="N746" s="138"/>
      <c r="O746" s="138"/>
      <c r="P746" s="138"/>
      <c r="Q746" s="138"/>
      <c r="R746" s="139"/>
      <c r="S746" s="176"/>
      <c r="T746" s="835"/>
      <c r="U746" s="835"/>
      <c r="V746" s="835"/>
      <c r="W746" s="835"/>
      <c r="X746" s="835"/>
      <c r="Y746" s="255">
        <f t="shared" ref="Y746:Y775" si="395">B746*280+C746*280+D746*280+E746*280+F746*130+G746*130+H746*140+I746*40+J746*35+K746*400+L746*400+M746*400+N746*400+O746*42+P746*80+Q746*200+R746*260+S746*41+T746*30+U746*60</f>
        <v>0</v>
      </c>
      <c r="Z746" s="309">
        <f t="shared" ref="Z746:Z775" si="396">AD745</f>
        <v>0</v>
      </c>
      <c r="AA746" s="256">
        <f t="shared" si="393"/>
        <v>0</v>
      </c>
      <c r="AB746" s="309"/>
      <c r="AC746" s="309"/>
      <c r="AD746" s="320">
        <f t="shared" si="394"/>
        <v>0</v>
      </c>
      <c r="AF746" s="11"/>
      <c r="AG746" s="24"/>
      <c r="AH746" s="64">
        <f>AH745+1</f>
        <v>43375</v>
      </c>
      <c r="AI746" s="698"/>
      <c r="AJ746" s="699"/>
      <c r="AK746" s="699"/>
      <c r="AL746" s="699"/>
      <c r="AM746" s="699"/>
      <c r="AN746" s="699"/>
      <c r="AO746" s="699"/>
      <c r="AP746" s="699"/>
      <c r="AQ746" s="699"/>
      <c r="AR746" s="699"/>
      <c r="AS746" s="699"/>
      <c r="AT746" s="699"/>
      <c r="AU746" s="699"/>
      <c r="AV746" s="699"/>
      <c r="AW746" s="699"/>
      <c r="AX746" s="700"/>
      <c r="AY746" s="700"/>
      <c r="AZ746" s="701"/>
    </row>
    <row r="747" spans="1:52" ht="30.75" thickBot="1">
      <c r="A747" s="67">
        <f t="shared" ref="A747:A775" si="397">A746+1</f>
        <v>44868</v>
      </c>
      <c r="B747" s="138"/>
      <c r="C747" s="138"/>
      <c r="D747" s="138"/>
      <c r="E747" s="138"/>
      <c r="F747" s="138"/>
      <c r="G747" s="138"/>
      <c r="H747" s="138"/>
      <c r="I747" s="138"/>
      <c r="J747" s="138"/>
      <c r="K747" s="138"/>
      <c r="L747" s="138"/>
      <c r="M747" s="138"/>
      <c r="N747" s="138"/>
      <c r="O747" s="138"/>
      <c r="P747" s="138"/>
      <c r="Q747" s="138"/>
      <c r="R747" s="139"/>
      <c r="S747" s="176"/>
      <c r="T747" s="835"/>
      <c r="U747" s="835"/>
      <c r="V747" s="835"/>
      <c r="W747" s="835"/>
      <c r="X747" s="835"/>
      <c r="Y747" s="255">
        <f t="shared" si="395"/>
        <v>0</v>
      </c>
      <c r="Z747" s="309">
        <f t="shared" si="396"/>
        <v>0</v>
      </c>
      <c r="AA747" s="256">
        <f t="shared" si="393"/>
        <v>0</v>
      </c>
      <c r="AB747" s="309"/>
      <c r="AC747" s="309"/>
      <c r="AD747" s="320">
        <f t="shared" si="394"/>
        <v>0</v>
      </c>
      <c r="AF747" s="11"/>
      <c r="AG747" s="24"/>
      <c r="AH747" s="64">
        <f t="shared" ref="AH747:AH775" si="398">AH746+1</f>
        <v>43376</v>
      </c>
      <c r="AI747" s="698"/>
      <c r="AJ747" s="699"/>
      <c r="AK747" s="699"/>
      <c r="AL747" s="699"/>
      <c r="AM747" s="699"/>
      <c r="AN747" s="699"/>
      <c r="AO747" s="699"/>
      <c r="AP747" s="699"/>
      <c r="AQ747" s="699"/>
      <c r="AR747" s="699"/>
      <c r="AS747" s="699"/>
      <c r="AT747" s="699"/>
      <c r="AU747" s="699"/>
      <c r="AV747" s="699"/>
      <c r="AW747" s="699"/>
      <c r="AX747" s="700"/>
      <c r="AY747" s="700"/>
      <c r="AZ747" s="701"/>
    </row>
    <row r="748" spans="1:52" ht="30.75" thickBot="1">
      <c r="A748" s="67">
        <f t="shared" si="397"/>
        <v>44869</v>
      </c>
      <c r="B748" s="138"/>
      <c r="C748" s="138"/>
      <c r="D748" s="138"/>
      <c r="E748" s="138"/>
      <c r="F748" s="138"/>
      <c r="G748" s="138"/>
      <c r="H748" s="138"/>
      <c r="I748" s="138"/>
      <c r="J748" s="138"/>
      <c r="K748" s="138"/>
      <c r="L748" s="138"/>
      <c r="M748" s="138"/>
      <c r="N748" s="138"/>
      <c r="O748" s="138"/>
      <c r="P748" s="138"/>
      <c r="Q748" s="138"/>
      <c r="R748" s="139"/>
      <c r="S748" s="176"/>
      <c r="T748" s="835"/>
      <c r="U748" s="835"/>
      <c r="V748" s="835"/>
      <c r="W748" s="835"/>
      <c r="X748" s="835"/>
      <c r="Y748" s="255">
        <f t="shared" si="395"/>
        <v>0</v>
      </c>
      <c r="Z748" s="309">
        <f t="shared" si="396"/>
        <v>0</v>
      </c>
      <c r="AA748" s="256">
        <f t="shared" si="393"/>
        <v>0</v>
      </c>
      <c r="AB748" s="309"/>
      <c r="AC748" s="309"/>
      <c r="AD748" s="320">
        <f t="shared" si="394"/>
        <v>0</v>
      </c>
      <c r="AF748" s="11"/>
      <c r="AG748" s="24"/>
      <c r="AH748" s="64">
        <f t="shared" si="398"/>
        <v>43377</v>
      </c>
      <c r="AI748" s="698"/>
      <c r="AJ748" s="699"/>
      <c r="AK748" s="699"/>
      <c r="AL748" s="699"/>
      <c r="AM748" s="699"/>
      <c r="AN748" s="699"/>
      <c r="AO748" s="699"/>
      <c r="AP748" s="699"/>
      <c r="AQ748" s="699"/>
      <c r="AR748" s="699"/>
      <c r="AS748" s="699"/>
      <c r="AT748" s="699"/>
      <c r="AU748" s="699"/>
      <c r="AV748" s="699"/>
      <c r="AW748" s="699"/>
      <c r="AX748" s="700"/>
      <c r="AY748" s="700"/>
      <c r="AZ748" s="701"/>
    </row>
    <row r="749" spans="1:52" ht="30.75" thickBot="1">
      <c r="A749" s="67">
        <f t="shared" si="397"/>
        <v>44870</v>
      </c>
      <c r="B749" s="138"/>
      <c r="C749" s="138"/>
      <c r="D749" s="138"/>
      <c r="E749" s="138"/>
      <c r="F749" s="138"/>
      <c r="G749" s="138"/>
      <c r="H749" s="138"/>
      <c r="I749" s="138"/>
      <c r="J749" s="138"/>
      <c r="K749" s="138"/>
      <c r="L749" s="138"/>
      <c r="M749" s="138"/>
      <c r="N749" s="138"/>
      <c r="O749" s="138"/>
      <c r="P749" s="138"/>
      <c r="Q749" s="138"/>
      <c r="R749" s="139"/>
      <c r="S749" s="176"/>
      <c r="T749" s="835"/>
      <c r="U749" s="835"/>
      <c r="V749" s="835"/>
      <c r="W749" s="835"/>
      <c r="X749" s="835"/>
      <c r="Y749" s="255">
        <f t="shared" si="395"/>
        <v>0</v>
      </c>
      <c r="Z749" s="309">
        <f t="shared" si="396"/>
        <v>0</v>
      </c>
      <c r="AA749" s="256">
        <f t="shared" si="393"/>
        <v>0</v>
      </c>
      <c r="AB749" s="309"/>
      <c r="AC749" s="309"/>
      <c r="AD749" s="320">
        <f t="shared" si="394"/>
        <v>0</v>
      </c>
      <c r="AF749" s="11"/>
      <c r="AG749" s="24"/>
      <c r="AH749" s="64">
        <f t="shared" si="398"/>
        <v>43378</v>
      </c>
      <c r="AI749" s="698"/>
      <c r="AJ749" s="699"/>
      <c r="AK749" s="699"/>
      <c r="AL749" s="699"/>
      <c r="AM749" s="699"/>
      <c r="AN749" s="699"/>
      <c r="AO749" s="699"/>
      <c r="AP749" s="699"/>
      <c r="AQ749" s="699"/>
      <c r="AR749" s="699"/>
      <c r="AS749" s="699"/>
      <c r="AT749" s="699"/>
      <c r="AU749" s="699"/>
      <c r="AV749" s="699"/>
      <c r="AW749" s="699"/>
      <c r="AX749" s="700"/>
      <c r="AY749" s="700"/>
      <c r="AZ749" s="701"/>
    </row>
    <row r="750" spans="1:52" ht="30.75" thickBot="1">
      <c r="A750" s="67">
        <f t="shared" si="397"/>
        <v>44871</v>
      </c>
      <c r="B750" s="138"/>
      <c r="C750" s="138"/>
      <c r="D750" s="138"/>
      <c r="E750" s="138"/>
      <c r="F750" s="138"/>
      <c r="G750" s="138"/>
      <c r="H750" s="138"/>
      <c r="I750" s="138"/>
      <c r="J750" s="138"/>
      <c r="K750" s="138"/>
      <c r="L750" s="138"/>
      <c r="M750" s="138"/>
      <c r="N750" s="138"/>
      <c r="O750" s="138"/>
      <c r="P750" s="138"/>
      <c r="Q750" s="138"/>
      <c r="R750" s="139"/>
      <c r="S750" s="176"/>
      <c r="T750" s="835"/>
      <c r="U750" s="835"/>
      <c r="V750" s="835"/>
      <c r="W750" s="835"/>
      <c r="X750" s="835"/>
      <c r="Y750" s="255">
        <f t="shared" si="395"/>
        <v>0</v>
      </c>
      <c r="Z750" s="309">
        <f t="shared" si="396"/>
        <v>0</v>
      </c>
      <c r="AA750" s="256">
        <f t="shared" si="393"/>
        <v>0</v>
      </c>
      <c r="AB750" s="309"/>
      <c r="AC750" s="309"/>
      <c r="AD750" s="320">
        <f t="shared" si="394"/>
        <v>0</v>
      </c>
      <c r="AF750" s="11"/>
      <c r="AG750" s="24"/>
      <c r="AH750" s="64">
        <f t="shared" si="398"/>
        <v>43379</v>
      </c>
      <c r="AI750" s="698"/>
      <c r="AJ750" s="699"/>
      <c r="AK750" s="699"/>
      <c r="AL750" s="699"/>
      <c r="AM750" s="699"/>
      <c r="AN750" s="699"/>
      <c r="AO750" s="699"/>
      <c r="AP750" s="699"/>
      <c r="AQ750" s="699"/>
      <c r="AR750" s="699"/>
      <c r="AS750" s="699"/>
      <c r="AT750" s="699"/>
      <c r="AU750" s="699"/>
      <c r="AV750" s="699"/>
      <c r="AW750" s="699"/>
      <c r="AX750" s="700"/>
      <c r="AY750" s="700"/>
      <c r="AZ750" s="701"/>
    </row>
    <row r="751" spans="1:52" ht="30.75" thickBot="1">
      <c r="A751" s="67">
        <f t="shared" si="397"/>
        <v>44872</v>
      </c>
      <c r="B751" s="138"/>
      <c r="C751" s="138"/>
      <c r="D751" s="138"/>
      <c r="E751" s="138"/>
      <c r="F751" s="138"/>
      <c r="G751" s="138"/>
      <c r="H751" s="138"/>
      <c r="I751" s="138"/>
      <c r="J751" s="138"/>
      <c r="K751" s="138"/>
      <c r="L751" s="138"/>
      <c r="M751" s="138"/>
      <c r="N751" s="138"/>
      <c r="O751" s="138"/>
      <c r="P751" s="138"/>
      <c r="Q751" s="138"/>
      <c r="R751" s="139"/>
      <c r="S751" s="176"/>
      <c r="T751" s="835"/>
      <c r="U751" s="835"/>
      <c r="V751" s="835"/>
      <c r="W751" s="835"/>
      <c r="X751" s="835"/>
      <c r="Y751" s="255">
        <f t="shared" si="395"/>
        <v>0</v>
      </c>
      <c r="Z751" s="309">
        <f t="shared" si="396"/>
        <v>0</v>
      </c>
      <c r="AA751" s="256">
        <f t="shared" si="393"/>
        <v>0</v>
      </c>
      <c r="AB751" s="309"/>
      <c r="AC751" s="309"/>
      <c r="AD751" s="320">
        <f t="shared" si="394"/>
        <v>0</v>
      </c>
      <c r="AF751" s="11"/>
      <c r="AG751" s="24"/>
      <c r="AH751" s="64">
        <f t="shared" si="398"/>
        <v>43380</v>
      </c>
      <c r="AI751" s="698"/>
      <c r="AJ751" s="699"/>
      <c r="AK751" s="699"/>
      <c r="AL751" s="699"/>
      <c r="AM751" s="699"/>
      <c r="AN751" s="699"/>
      <c r="AO751" s="699"/>
      <c r="AP751" s="699"/>
      <c r="AQ751" s="699"/>
      <c r="AR751" s="699"/>
      <c r="AS751" s="699"/>
      <c r="AT751" s="699"/>
      <c r="AU751" s="699"/>
      <c r="AV751" s="699"/>
      <c r="AW751" s="699"/>
      <c r="AX751" s="700"/>
      <c r="AY751" s="700"/>
      <c r="AZ751" s="701"/>
    </row>
    <row r="752" spans="1:52" ht="30.75" thickBot="1">
      <c r="A752" s="67">
        <f t="shared" si="397"/>
        <v>44873</v>
      </c>
      <c r="B752" s="138"/>
      <c r="C752" s="138"/>
      <c r="D752" s="138"/>
      <c r="E752" s="138"/>
      <c r="F752" s="138"/>
      <c r="G752" s="138"/>
      <c r="H752" s="138"/>
      <c r="I752" s="138"/>
      <c r="J752" s="138"/>
      <c r="K752" s="138"/>
      <c r="L752" s="138"/>
      <c r="M752" s="138"/>
      <c r="N752" s="138"/>
      <c r="O752" s="138"/>
      <c r="P752" s="138"/>
      <c r="Q752" s="138"/>
      <c r="R752" s="139"/>
      <c r="S752" s="176"/>
      <c r="T752" s="835"/>
      <c r="U752" s="835"/>
      <c r="V752" s="835"/>
      <c r="W752" s="835"/>
      <c r="X752" s="835"/>
      <c r="Y752" s="255">
        <f t="shared" si="395"/>
        <v>0</v>
      </c>
      <c r="Z752" s="309">
        <f t="shared" si="396"/>
        <v>0</v>
      </c>
      <c r="AA752" s="256">
        <f t="shared" si="393"/>
        <v>0</v>
      </c>
      <c r="AB752" s="309"/>
      <c r="AC752" s="309"/>
      <c r="AD752" s="320">
        <f t="shared" si="394"/>
        <v>0</v>
      </c>
      <c r="AF752" s="11"/>
      <c r="AG752" s="24"/>
      <c r="AH752" s="64">
        <f t="shared" si="398"/>
        <v>43381</v>
      </c>
      <c r="AI752" s="698"/>
      <c r="AJ752" s="699"/>
      <c r="AK752" s="699"/>
      <c r="AL752" s="699"/>
      <c r="AM752" s="699"/>
      <c r="AN752" s="699"/>
      <c r="AO752" s="699"/>
      <c r="AP752" s="699"/>
      <c r="AQ752" s="699"/>
      <c r="AR752" s="699"/>
      <c r="AS752" s="699"/>
      <c r="AT752" s="699"/>
      <c r="AU752" s="699"/>
      <c r="AV752" s="699"/>
      <c r="AW752" s="699"/>
      <c r="AX752" s="700"/>
      <c r="AY752" s="700"/>
      <c r="AZ752" s="701"/>
    </row>
    <row r="753" spans="1:52" ht="30.75" thickBot="1">
      <c r="A753" s="67">
        <f t="shared" si="397"/>
        <v>44874</v>
      </c>
      <c r="B753" s="138"/>
      <c r="C753" s="138"/>
      <c r="D753" s="138"/>
      <c r="E753" s="138"/>
      <c r="F753" s="138"/>
      <c r="G753" s="138"/>
      <c r="H753" s="138"/>
      <c r="I753" s="138"/>
      <c r="J753" s="138"/>
      <c r="K753" s="138"/>
      <c r="L753" s="138"/>
      <c r="M753" s="138"/>
      <c r="N753" s="138"/>
      <c r="O753" s="138"/>
      <c r="P753" s="138"/>
      <c r="Q753" s="138"/>
      <c r="R753" s="139"/>
      <c r="S753" s="176"/>
      <c r="T753" s="835"/>
      <c r="U753" s="835"/>
      <c r="V753" s="835"/>
      <c r="W753" s="835"/>
      <c r="X753" s="835"/>
      <c r="Y753" s="255">
        <f t="shared" si="395"/>
        <v>0</v>
      </c>
      <c r="Z753" s="309">
        <f t="shared" si="396"/>
        <v>0</v>
      </c>
      <c r="AA753" s="256">
        <f t="shared" si="393"/>
        <v>0</v>
      </c>
      <c r="AB753" s="309"/>
      <c r="AC753" s="309"/>
      <c r="AD753" s="320">
        <f t="shared" si="394"/>
        <v>0</v>
      </c>
      <c r="AF753" s="11"/>
      <c r="AG753" s="24"/>
      <c r="AH753" s="64">
        <f t="shared" si="398"/>
        <v>43382</v>
      </c>
      <c r="AI753" s="698"/>
      <c r="AJ753" s="699"/>
      <c r="AK753" s="699"/>
      <c r="AL753" s="699"/>
      <c r="AM753" s="699"/>
      <c r="AN753" s="699"/>
      <c r="AO753" s="699"/>
      <c r="AP753" s="699"/>
      <c r="AQ753" s="699"/>
      <c r="AR753" s="699"/>
      <c r="AS753" s="699"/>
      <c r="AT753" s="699"/>
      <c r="AU753" s="699"/>
      <c r="AV753" s="699"/>
      <c r="AW753" s="699"/>
      <c r="AX753" s="700"/>
      <c r="AY753" s="700"/>
      <c r="AZ753" s="701"/>
    </row>
    <row r="754" spans="1:52" ht="30.75" thickBot="1">
      <c r="A754" s="67">
        <f t="shared" si="397"/>
        <v>44875</v>
      </c>
      <c r="B754" s="138"/>
      <c r="C754" s="138"/>
      <c r="D754" s="138"/>
      <c r="E754" s="138"/>
      <c r="F754" s="138"/>
      <c r="G754" s="138"/>
      <c r="H754" s="138"/>
      <c r="I754" s="138"/>
      <c r="J754" s="138"/>
      <c r="K754" s="138"/>
      <c r="L754" s="138"/>
      <c r="M754" s="138"/>
      <c r="N754" s="138"/>
      <c r="O754" s="138"/>
      <c r="P754" s="138"/>
      <c r="Q754" s="138"/>
      <c r="R754" s="139"/>
      <c r="S754" s="176"/>
      <c r="T754" s="835"/>
      <c r="U754" s="835"/>
      <c r="V754" s="835"/>
      <c r="W754" s="835"/>
      <c r="X754" s="835"/>
      <c r="Y754" s="255">
        <f t="shared" si="395"/>
        <v>0</v>
      </c>
      <c r="Z754" s="309">
        <f t="shared" si="396"/>
        <v>0</v>
      </c>
      <c r="AA754" s="256">
        <f t="shared" si="393"/>
        <v>0</v>
      </c>
      <c r="AB754" s="309"/>
      <c r="AC754" s="309"/>
      <c r="AD754" s="320">
        <f t="shared" si="394"/>
        <v>0</v>
      </c>
      <c r="AF754" s="11"/>
      <c r="AG754" s="24"/>
      <c r="AH754" s="64">
        <f t="shared" si="398"/>
        <v>43383</v>
      </c>
      <c r="AI754" s="698"/>
      <c r="AJ754" s="699"/>
      <c r="AK754" s="699"/>
      <c r="AL754" s="699"/>
      <c r="AM754" s="699"/>
      <c r="AN754" s="699"/>
      <c r="AO754" s="699"/>
      <c r="AP754" s="699"/>
      <c r="AQ754" s="699"/>
      <c r="AR754" s="699"/>
      <c r="AS754" s="699"/>
      <c r="AT754" s="699"/>
      <c r="AU754" s="699"/>
      <c r="AV754" s="699"/>
      <c r="AW754" s="699"/>
      <c r="AX754" s="700"/>
      <c r="AY754" s="700"/>
      <c r="AZ754" s="701"/>
    </row>
    <row r="755" spans="1:52" ht="30.75" thickBot="1">
      <c r="A755" s="67">
        <f t="shared" si="397"/>
        <v>44876</v>
      </c>
      <c r="B755" s="138"/>
      <c r="C755" s="138"/>
      <c r="D755" s="138"/>
      <c r="E755" s="138"/>
      <c r="F755" s="138"/>
      <c r="G755" s="138"/>
      <c r="H755" s="138"/>
      <c r="I755" s="138"/>
      <c r="J755" s="138"/>
      <c r="K755" s="138"/>
      <c r="L755" s="138"/>
      <c r="M755" s="138"/>
      <c r="N755" s="138"/>
      <c r="O755" s="138"/>
      <c r="P755" s="138"/>
      <c r="Q755" s="138"/>
      <c r="R755" s="139"/>
      <c r="S755" s="176"/>
      <c r="T755" s="835"/>
      <c r="U755" s="835"/>
      <c r="V755" s="835"/>
      <c r="W755" s="835"/>
      <c r="X755" s="835"/>
      <c r="Y755" s="255">
        <f t="shared" si="395"/>
        <v>0</v>
      </c>
      <c r="Z755" s="309">
        <f t="shared" si="396"/>
        <v>0</v>
      </c>
      <c r="AA755" s="256">
        <f t="shared" si="393"/>
        <v>0</v>
      </c>
      <c r="AB755" s="309"/>
      <c r="AC755" s="309"/>
      <c r="AD755" s="320">
        <f t="shared" si="394"/>
        <v>0</v>
      </c>
      <c r="AF755" s="11"/>
      <c r="AG755" s="24"/>
      <c r="AH755" s="64">
        <f t="shared" si="398"/>
        <v>43384</v>
      </c>
      <c r="AI755" s="698"/>
      <c r="AJ755" s="699"/>
      <c r="AK755" s="699"/>
      <c r="AL755" s="699"/>
      <c r="AM755" s="699"/>
      <c r="AN755" s="699"/>
      <c r="AO755" s="699"/>
      <c r="AP755" s="699"/>
      <c r="AQ755" s="699"/>
      <c r="AR755" s="699"/>
      <c r="AS755" s="699"/>
      <c r="AT755" s="699"/>
      <c r="AU755" s="699"/>
      <c r="AV755" s="699"/>
      <c r="AW755" s="699"/>
      <c r="AX755" s="700"/>
      <c r="AY755" s="700"/>
      <c r="AZ755" s="701"/>
    </row>
    <row r="756" spans="1:52" ht="30.75" thickBot="1">
      <c r="A756" s="67">
        <f t="shared" si="397"/>
        <v>44877</v>
      </c>
      <c r="B756" s="138"/>
      <c r="C756" s="138"/>
      <c r="D756" s="138"/>
      <c r="E756" s="138"/>
      <c r="F756" s="138"/>
      <c r="G756" s="138"/>
      <c r="H756" s="138"/>
      <c r="I756" s="138"/>
      <c r="J756" s="138"/>
      <c r="K756" s="138"/>
      <c r="L756" s="138"/>
      <c r="M756" s="138"/>
      <c r="N756" s="138"/>
      <c r="O756" s="138"/>
      <c r="P756" s="138"/>
      <c r="Q756" s="138"/>
      <c r="R756" s="139"/>
      <c r="S756" s="176"/>
      <c r="T756" s="835"/>
      <c r="U756" s="835"/>
      <c r="V756" s="835"/>
      <c r="W756" s="835"/>
      <c r="X756" s="835"/>
      <c r="Y756" s="255">
        <f t="shared" si="395"/>
        <v>0</v>
      </c>
      <c r="Z756" s="309">
        <f t="shared" si="396"/>
        <v>0</v>
      </c>
      <c r="AA756" s="256">
        <f t="shared" si="393"/>
        <v>0</v>
      </c>
      <c r="AB756" s="309"/>
      <c r="AC756" s="309"/>
      <c r="AD756" s="320">
        <f t="shared" si="394"/>
        <v>0</v>
      </c>
      <c r="AF756" s="11"/>
      <c r="AG756" s="24"/>
      <c r="AH756" s="64">
        <f t="shared" si="398"/>
        <v>43385</v>
      </c>
      <c r="AI756" s="698"/>
      <c r="AJ756" s="699"/>
      <c r="AK756" s="699"/>
      <c r="AL756" s="699"/>
      <c r="AM756" s="699"/>
      <c r="AN756" s="699"/>
      <c r="AO756" s="699"/>
      <c r="AP756" s="699"/>
      <c r="AQ756" s="699"/>
      <c r="AR756" s="699"/>
      <c r="AS756" s="699"/>
      <c r="AT756" s="699"/>
      <c r="AU756" s="699"/>
      <c r="AV756" s="699"/>
      <c r="AW756" s="699"/>
      <c r="AX756" s="700"/>
      <c r="AY756" s="700"/>
      <c r="AZ756" s="701"/>
    </row>
    <row r="757" spans="1:52" ht="30.75" thickBot="1">
      <c r="A757" s="67">
        <f t="shared" si="397"/>
        <v>44878</v>
      </c>
      <c r="B757" s="138"/>
      <c r="C757" s="138"/>
      <c r="D757" s="138"/>
      <c r="E757" s="138"/>
      <c r="F757" s="138"/>
      <c r="G757" s="138"/>
      <c r="H757" s="138"/>
      <c r="I757" s="138"/>
      <c r="J757" s="138"/>
      <c r="K757" s="138"/>
      <c r="L757" s="138"/>
      <c r="M757" s="138"/>
      <c r="N757" s="138"/>
      <c r="O757" s="138"/>
      <c r="P757" s="138"/>
      <c r="Q757" s="138"/>
      <c r="R757" s="139"/>
      <c r="S757" s="176"/>
      <c r="T757" s="835"/>
      <c r="U757" s="835"/>
      <c r="V757" s="835"/>
      <c r="W757" s="835"/>
      <c r="X757" s="835"/>
      <c r="Y757" s="255">
        <f t="shared" si="395"/>
        <v>0</v>
      </c>
      <c r="Z757" s="309">
        <f t="shared" si="396"/>
        <v>0</v>
      </c>
      <c r="AA757" s="256">
        <f t="shared" si="393"/>
        <v>0</v>
      </c>
      <c r="AB757" s="309"/>
      <c r="AC757" s="309"/>
      <c r="AD757" s="320">
        <f t="shared" si="394"/>
        <v>0</v>
      </c>
      <c r="AF757" s="11"/>
      <c r="AG757" s="24"/>
      <c r="AH757" s="64">
        <f t="shared" si="398"/>
        <v>43386</v>
      </c>
      <c r="AI757" s="698"/>
      <c r="AJ757" s="699"/>
      <c r="AK757" s="699"/>
      <c r="AL757" s="699"/>
      <c r="AM757" s="699"/>
      <c r="AN757" s="699"/>
      <c r="AO757" s="699"/>
      <c r="AP757" s="699"/>
      <c r="AQ757" s="699"/>
      <c r="AR757" s="699"/>
      <c r="AS757" s="699"/>
      <c r="AT757" s="699"/>
      <c r="AU757" s="699"/>
      <c r="AV757" s="699"/>
      <c r="AW757" s="699"/>
      <c r="AX757" s="700"/>
      <c r="AY757" s="700"/>
      <c r="AZ757" s="701"/>
    </row>
    <row r="758" spans="1:52" ht="30.75" thickBot="1">
      <c r="A758" s="67">
        <f t="shared" si="397"/>
        <v>44879</v>
      </c>
      <c r="B758" s="138"/>
      <c r="C758" s="138"/>
      <c r="D758" s="138"/>
      <c r="E758" s="138"/>
      <c r="F758" s="138"/>
      <c r="G758" s="138"/>
      <c r="H758" s="138"/>
      <c r="I758" s="138"/>
      <c r="J758" s="138"/>
      <c r="K758" s="138"/>
      <c r="L758" s="138"/>
      <c r="M758" s="138"/>
      <c r="N758" s="138"/>
      <c r="O758" s="138"/>
      <c r="P758" s="138"/>
      <c r="Q758" s="138"/>
      <c r="R758" s="139"/>
      <c r="S758" s="176"/>
      <c r="T758" s="835"/>
      <c r="U758" s="835"/>
      <c r="V758" s="835"/>
      <c r="W758" s="835"/>
      <c r="X758" s="835"/>
      <c r="Y758" s="255">
        <f t="shared" si="395"/>
        <v>0</v>
      </c>
      <c r="Z758" s="309">
        <f t="shared" si="396"/>
        <v>0</v>
      </c>
      <c r="AA758" s="256">
        <f t="shared" si="393"/>
        <v>0</v>
      </c>
      <c r="AB758" s="309"/>
      <c r="AC758" s="309"/>
      <c r="AD758" s="320">
        <f t="shared" si="394"/>
        <v>0</v>
      </c>
      <c r="AF758" s="11"/>
      <c r="AG758" s="24"/>
      <c r="AH758" s="64">
        <f t="shared" si="398"/>
        <v>43387</v>
      </c>
      <c r="AI758" s="698"/>
      <c r="AJ758" s="699"/>
      <c r="AK758" s="699"/>
      <c r="AL758" s="699"/>
      <c r="AM758" s="699"/>
      <c r="AN758" s="699"/>
      <c r="AO758" s="699"/>
      <c r="AP758" s="699"/>
      <c r="AQ758" s="699"/>
      <c r="AR758" s="699"/>
      <c r="AS758" s="699"/>
      <c r="AT758" s="699"/>
      <c r="AU758" s="699"/>
      <c r="AV758" s="699"/>
      <c r="AW758" s="699"/>
      <c r="AX758" s="700"/>
      <c r="AY758" s="700"/>
      <c r="AZ758" s="701"/>
    </row>
    <row r="759" spans="1:52" ht="30.75" thickBot="1">
      <c r="A759" s="67">
        <f t="shared" si="397"/>
        <v>44880</v>
      </c>
      <c r="B759" s="138"/>
      <c r="C759" s="138"/>
      <c r="D759" s="138"/>
      <c r="E759" s="138"/>
      <c r="F759" s="138"/>
      <c r="G759" s="138"/>
      <c r="H759" s="138"/>
      <c r="I759" s="138"/>
      <c r="J759" s="138"/>
      <c r="K759" s="138"/>
      <c r="L759" s="138"/>
      <c r="M759" s="138"/>
      <c r="N759" s="138"/>
      <c r="O759" s="138"/>
      <c r="P759" s="138"/>
      <c r="Q759" s="138"/>
      <c r="R759" s="139"/>
      <c r="S759" s="176"/>
      <c r="T759" s="835"/>
      <c r="U759" s="835"/>
      <c r="V759" s="835"/>
      <c r="W759" s="835"/>
      <c r="X759" s="835"/>
      <c r="Y759" s="255">
        <f t="shared" si="395"/>
        <v>0</v>
      </c>
      <c r="Z759" s="309">
        <f t="shared" si="396"/>
        <v>0</v>
      </c>
      <c r="AA759" s="256">
        <f t="shared" si="393"/>
        <v>0</v>
      </c>
      <c r="AB759" s="309"/>
      <c r="AC759" s="309"/>
      <c r="AD759" s="320">
        <f t="shared" si="394"/>
        <v>0</v>
      </c>
      <c r="AF759" s="11"/>
      <c r="AG759" s="24"/>
      <c r="AH759" s="64">
        <f t="shared" si="398"/>
        <v>43388</v>
      </c>
      <c r="AI759" s="698"/>
      <c r="AJ759" s="699"/>
      <c r="AK759" s="699"/>
      <c r="AL759" s="699"/>
      <c r="AM759" s="699"/>
      <c r="AN759" s="699"/>
      <c r="AO759" s="699"/>
      <c r="AP759" s="699"/>
      <c r="AQ759" s="699"/>
      <c r="AR759" s="699"/>
      <c r="AS759" s="699"/>
      <c r="AT759" s="699"/>
      <c r="AU759" s="699"/>
      <c r="AV759" s="699"/>
      <c r="AW759" s="699"/>
      <c r="AX759" s="700"/>
      <c r="AY759" s="700"/>
      <c r="AZ759" s="701"/>
    </row>
    <row r="760" spans="1:52" ht="30.75" thickBot="1">
      <c r="A760" s="67">
        <f t="shared" si="397"/>
        <v>44881</v>
      </c>
      <c r="B760" s="138"/>
      <c r="C760" s="138"/>
      <c r="D760" s="138"/>
      <c r="E760" s="138"/>
      <c r="F760" s="138"/>
      <c r="G760" s="138"/>
      <c r="H760" s="138"/>
      <c r="I760" s="138"/>
      <c r="J760" s="138"/>
      <c r="K760" s="138"/>
      <c r="L760" s="138"/>
      <c r="M760" s="138"/>
      <c r="N760" s="138"/>
      <c r="O760" s="138"/>
      <c r="P760" s="138"/>
      <c r="Q760" s="138"/>
      <c r="R760" s="139"/>
      <c r="S760" s="176"/>
      <c r="T760" s="835"/>
      <c r="U760" s="835"/>
      <c r="V760" s="835"/>
      <c r="W760" s="835"/>
      <c r="X760" s="835"/>
      <c r="Y760" s="255">
        <f t="shared" si="395"/>
        <v>0</v>
      </c>
      <c r="Z760" s="309">
        <f t="shared" si="396"/>
        <v>0</v>
      </c>
      <c r="AA760" s="256">
        <f t="shared" si="393"/>
        <v>0</v>
      </c>
      <c r="AB760" s="309"/>
      <c r="AC760" s="309"/>
      <c r="AD760" s="320">
        <f t="shared" si="394"/>
        <v>0</v>
      </c>
      <c r="AF760" s="11"/>
      <c r="AG760" s="24"/>
      <c r="AH760" s="64">
        <f t="shared" si="398"/>
        <v>43389</v>
      </c>
      <c r="AI760" s="698"/>
      <c r="AJ760" s="699"/>
      <c r="AK760" s="699"/>
      <c r="AL760" s="699"/>
      <c r="AM760" s="699"/>
      <c r="AN760" s="699"/>
      <c r="AO760" s="699"/>
      <c r="AP760" s="699"/>
      <c r="AQ760" s="699"/>
      <c r="AR760" s="699"/>
      <c r="AS760" s="699"/>
      <c r="AT760" s="699"/>
      <c r="AU760" s="699"/>
      <c r="AV760" s="699"/>
      <c r="AW760" s="699"/>
      <c r="AX760" s="700"/>
      <c r="AY760" s="700"/>
      <c r="AZ760" s="701"/>
    </row>
    <row r="761" spans="1:52" ht="30.75" thickBot="1">
      <c r="A761" s="67">
        <f t="shared" si="397"/>
        <v>44882</v>
      </c>
      <c r="B761" s="138"/>
      <c r="C761" s="138"/>
      <c r="D761" s="138"/>
      <c r="E761" s="138"/>
      <c r="F761" s="138"/>
      <c r="G761" s="138"/>
      <c r="H761" s="138"/>
      <c r="I761" s="138"/>
      <c r="J761" s="138"/>
      <c r="K761" s="138"/>
      <c r="L761" s="138"/>
      <c r="M761" s="138"/>
      <c r="N761" s="138"/>
      <c r="O761" s="138"/>
      <c r="P761" s="138"/>
      <c r="Q761" s="138"/>
      <c r="R761" s="139"/>
      <c r="S761" s="176"/>
      <c r="T761" s="835"/>
      <c r="U761" s="835"/>
      <c r="V761" s="835"/>
      <c r="W761" s="835"/>
      <c r="X761" s="835"/>
      <c r="Y761" s="255">
        <f t="shared" si="395"/>
        <v>0</v>
      </c>
      <c r="Z761" s="309">
        <f t="shared" si="396"/>
        <v>0</v>
      </c>
      <c r="AA761" s="256">
        <f t="shared" si="393"/>
        <v>0</v>
      </c>
      <c r="AB761" s="309"/>
      <c r="AC761" s="309"/>
      <c r="AD761" s="320">
        <f t="shared" si="394"/>
        <v>0</v>
      </c>
      <c r="AF761" s="11"/>
      <c r="AG761" s="24"/>
      <c r="AH761" s="64">
        <f t="shared" si="398"/>
        <v>43390</v>
      </c>
      <c r="AI761" s="698"/>
      <c r="AJ761" s="699"/>
      <c r="AK761" s="699"/>
      <c r="AL761" s="699"/>
      <c r="AM761" s="699"/>
      <c r="AN761" s="699"/>
      <c r="AO761" s="699"/>
      <c r="AP761" s="699"/>
      <c r="AQ761" s="699"/>
      <c r="AR761" s="699"/>
      <c r="AS761" s="699"/>
      <c r="AT761" s="699"/>
      <c r="AU761" s="699"/>
      <c r="AV761" s="699"/>
      <c r="AW761" s="699"/>
      <c r="AX761" s="700"/>
      <c r="AY761" s="700"/>
      <c r="AZ761" s="701"/>
    </row>
    <row r="762" spans="1:52" ht="30.75" thickBot="1">
      <c r="A762" s="67">
        <f t="shared" si="397"/>
        <v>44883</v>
      </c>
      <c r="B762" s="138"/>
      <c r="C762" s="138"/>
      <c r="D762" s="138"/>
      <c r="E762" s="138"/>
      <c r="F762" s="138"/>
      <c r="G762" s="138"/>
      <c r="H762" s="138"/>
      <c r="I762" s="138"/>
      <c r="J762" s="138"/>
      <c r="K762" s="138"/>
      <c r="L762" s="138"/>
      <c r="M762" s="138"/>
      <c r="N762" s="138"/>
      <c r="O762" s="138"/>
      <c r="P762" s="138"/>
      <c r="Q762" s="138"/>
      <c r="R762" s="139"/>
      <c r="S762" s="176"/>
      <c r="T762" s="835"/>
      <c r="U762" s="835"/>
      <c r="V762" s="835"/>
      <c r="W762" s="835"/>
      <c r="X762" s="835"/>
      <c r="Y762" s="255">
        <f t="shared" si="395"/>
        <v>0</v>
      </c>
      <c r="Z762" s="309">
        <f t="shared" si="396"/>
        <v>0</v>
      </c>
      <c r="AA762" s="256">
        <f t="shared" si="393"/>
        <v>0</v>
      </c>
      <c r="AB762" s="309"/>
      <c r="AC762" s="309"/>
      <c r="AD762" s="320">
        <f t="shared" si="394"/>
        <v>0</v>
      </c>
      <c r="AF762" s="11"/>
      <c r="AG762" s="24"/>
      <c r="AH762" s="64">
        <f t="shared" si="398"/>
        <v>43391</v>
      </c>
      <c r="AI762" s="698"/>
      <c r="AJ762" s="699"/>
      <c r="AK762" s="699"/>
      <c r="AL762" s="699"/>
      <c r="AM762" s="699"/>
      <c r="AN762" s="699"/>
      <c r="AO762" s="699"/>
      <c r="AP762" s="699"/>
      <c r="AQ762" s="699"/>
      <c r="AR762" s="699"/>
      <c r="AS762" s="699"/>
      <c r="AT762" s="699"/>
      <c r="AU762" s="699"/>
      <c r="AV762" s="699"/>
      <c r="AW762" s="699"/>
      <c r="AX762" s="700"/>
      <c r="AY762" s="700"/>
      <c r="AZ762" s="701"/>
    </row>
    <row r="763" spans="1:52" ht="30.75" thickBot="1">
      <c r="A763" s="67">
        <f t="shared" si="397"/>
        <v>44884</v>
      </c>
      <c r="B763" s="138"/>
      <c r="C763" s="138"/>
      <c r="D763" s="138"/>
      <c r="E763" s="138"/>
      <c r="F763" s="138"/>
      <c r="G763" s="138"/>
      <c r="H763" s="138"/>
      <c r="I763" s="138"/>
      <c r="J763" s="138"/>
      <c r="K763" s="138"/>
      <c r="L763" s="138"/>
      <c r="M763" s="138"/>
      <c r="N763" s="138"/>
      <c r="O763" s="138"/>
      <c r="P763" s="138"/>
      <c r="Q763" s="138"/>
      <c r="R763" s="139"/>
      <c r="S763" s="176"/>
      <c r="T763" s="835"/>
      <c r="U763" s="835"/>
      <c r="V763" s="835"/>
      <c r="W763" s="835"/>
      <c r="X763" s="835"/>
      <c r="Y763" s="255">
        <f t="shared" si="395"/>
        <v>0</v>
      </c>
      <c r="Z763" s="309">
        <f t="shared" si="396"/>
        <v>0</v>
      </c>
      <c r="AA763" s="256">
        <f t="shared" si="393"/>
        <v>0</v>
      </c>
      <c r="AB763" s="309"/>
      <c r="AC763" s="309"/>
      <c r="AD763" s="320">
        <f t="shared" si="394"/>
        <v>0</v>
      </c>
      <c r="AF763" s="11"/>
      <c r="AG763" s="24"/>
      <c r="AH763" s="64">
        <f t="shared" si="398"/>
        <v>43392</v>
      </c>
      <c r="AI763" s="698"/>
      <c r="AJ763" s="699"/>
      <c r="AK763" s="699"/>
      <c r="AL763" s="699"/>
      <c r="AM763" s="699"/>
      <c r="AN763" s="699"/>
      <c r="AO763" s="699"/>
      <c r="AP763" s="699"/>
      <c r="AQ763" s="699"/>
      <c r="AR763" s="699"/>
      <c r="AS763" s="699"/>
      <c r="AT763" s="699"/>
      <c r="AU763" s="699"/>
      <c r="AV763" s="699"/>
      <c r="AW763" s="699"/>
      <c r="AX763" s="700"/>
      <c r="AY763" s="700"/>
      <c r="AZ763" s="701"/>
    </row>
    <row r="764" spans="1:52" ht="30.75" thickBot="1">
      <c r="A764" s="67">
        <f t="shared" si="397"/>
        <v>44885</v>
      </c>
      <c r="B764" s="138"/>
      <c r="C764" s="138"/>
      <c r="D764" s="138"/>
      <c r="E764" s="138"/>
      <c r="F764" s="138"/>
      <c r="G764" s="138"/>
      <c r="H764" s="138"/>
      <c r="I764" s="138"/>
      <c r="J764" s="138"/>
      <c r="K764" s="138"/>
      <c r="L764" s="138"/>
      <c r="M764" s="138"/>
      <c r="N764" s="138"/>
      <c r="O764" s="138"/>
      <c r="P764" s="138"/>
      <c r="Q764" s="138"/>
      <c r="R764" s="139"/>
      <c r="S764" s="176"/>
      <c r="T764" s="835"/>
      <c r="U764" s="835"/>
      <c r="V764" s="835"/>
      <c r="W764" s="835"/>
      <c r="X764" s="835"/>
      <c r="Y764" s="255">
        <f t="shared" si="395"/>
        <v>0</v>
      </c>
      <c r="Z764" s="309">
        <f t="shared" si="396"/>
        <v>0</v>
      </c>
      <c r="AA764" s="256">
        <f t="shared" si="393"/>
        <v>0</v>
      </c>
      <c r="AB764" s="309"/>
      <c r="AC764" s="309"/>
      <c r="AD764" s="320">
        <f t="shared" si="394"/>
        <v>0</v>
      </c>
      <c r="AF764" s="11"/>
      <c r="AG764" s="24"/>
      <c r="AH764" s="64">
        <f t="shared" si="398"/>
        <v>43393</v>
      </c>
      <c r="AI764" s="698"/>
      <c r="AJ764" s="699"/>
      <c r="AK764" s="699"/>
      <c r="AL764" s="699"/>
      <c r="AM764" s="699"/>
      <c r="AN764" s="699"/>
      <c r="AO764" s="699"/>
      <c r="AP764" s="699"/>
      <c r="AQ764" s="699"/>
      <c r="AR764" s="699"/>
      <c r="AS764" s="699"/>
      <c r="AT764" s="699"/>
      <c r="AU764" s="699"/>
      <c r="AV764" s="699"/>
      <c r="AW764" s="699"/>
      <c r="AX764" s="700"/>
      <c r="AY764" s="700"/>
      <c r="AZ764" s="701"/>
    </row>
    <row r="765" spans="1:52" ht="30.75" thickBot="1">
      <c r="A765" s="67">
        <f t="shared" si="397"/>
        <v>44886</v>
      </c>
      <c r="B765" s="138"/>
      <c r="C765" s="138"/>
      <c r="D765" s="138"/>
      <c r="E765" s="138"/>
      <c r="F765" s="138"/>
      <c r="G765" s="138"/>
      <c r="H765" s="138"/>
      <c r="I765" s="138"/>
      <c r="J765" s="138"/>
      <c r="K765" s="138"/>
      <c r="L765" s="138"/>
      <c r="M765" s="138"/>
      <c r="N765" s="138"/>
      <c r="O765" s="138"/>
      <c r="P765" s="138"/>
      <c r="Q765" s="138"/>
      <c r="R765" s="139"/>
      <c r="S765" s="176"/>
      <c r="T765" s="835"/>
      <c r="U765" s="835"/>
      <c r="V765" s="835"/>
      <c r="W765" s="835"/>
      <c r="X765" s="835"/>
      <c r="Y765" s="255">
        <f t="shared" si="395"/>
        <v>0</v>
      </c>
      <c r="Z765" s="309">
        <f t="shared" si="396"/>
        <v>0</v>
      </c>
      <c r="AA765" s="256">
        <f t="shared" si="393"/>
        <v>0</v>
      </c>
      <c r="AB765" s="309"/>
      <c r="AC765" s="309"/>
      <c r="AD765" s="320">
        <f t="shared" si="394"/>
        <v>0</v>
      </c>
      <c r="AF765" s="11"/>
      <c r="AG765" s="24"/>
      <c r="AH765" s="64">
        <f t="shared" si="398"/>
        <v>43394</v>
      </c>
      <c r="AI765" s="698"/>
      <c r="AJ765" s="699"/>
      <c r="AK765" s="699"/>
      <c r="AL765" s="699"/>
      <c r="AM765" s="699"/>
      <c r="AN765" s="699"/>
      <c r="AO765" s="699"/>
      <c r="AP765" s="699"/>
      <c r="AQ765" s="699"/>
      <c r="AR765" s="699"/>
      <c r="AS765" s="699"/>
      <c r="AT765" s="699"/>
      <c r="AU765" s="699"/>
      <c r="AV765" s="699"/>
      <c r="AW765" s="699"/>
      <c r="AX765" s="700"/>
      <c r="AY765" s="700"/>
      <c r="AZ765" s="701"/>
    </row>
    <row r="766" spans="1:52" ht="30.75" thickBot="1">
      <c r="A766" s="67">
        <f t="shared" si="397"/>
        <v>44887</v>
      </c>
      <c r="B766" s="138"/>
      <c r="C766" s="138"/>
      <c r="D766" s="138"/>
      <c r="E766" s="138"/>
      <c r="F766" s="138"/>
      <c r="G766" s="138"/>
      <c r="H766" s="138"/>
      <c r="I766" s="138"/>
      <c r="J766" s="138"/>
      <c r="K766" s="138"/>
      <c r="L766" s="138"/>
      <c r="M766" s="138"/>
      <c r="N766" s="138"/>
      <c r="O766" s="138"/>
      <c r="P766" s="138"/>
      <c r="Q766" s="138"/>
      <c r="R766" s="139"/>
      <c r="S766" s="176"/>
      <c r="T766" s="835"/>
      <c r="U766" s="835"/>
      <c r="V766" s="835"/>
      <c r="W766" s="835"/>
      <c r="X766" s="835"/>
      <c r="Y766" s="255">
        <f t="shared" si="395"/>
        <v>0</v>
      </c>
      <c r="Z766" s="309">
        <f t="shared" si="396"/>
        <v>0</v>
      </c>
      <c r="AA766" s="256">
        <f t="shared" si="393"/>
        <v>0</v>
      </c>
      <c r="AB766" s="309"/>
      <c r="AC766" s="309"/>
      <c r="AD766" s="320">
        <f t="shared" si="394"/>
        <v>0</v>
      </c>
      <c r="AF766" s="11"/>
      <c r="AG766" s="24"/>
      <c r="AH766" s="64">
        <f t="shared" si="398"/>
        <v>43395</v>
      </c>
      <c r="AI766" s="698"/>
      <c r="AJ766" s="699"/>
      <c r="AK766" s="699"/>
      <c r="AL766" s="699"/>
      <c r="AM766" s="699"/>
      <c r="AN766" s="699"/>
      <c r="AO766" s="699"/>
      <c r="AP766" s="699"/>
      <c r="AQ766" s="699"/>
      <c r="AR766" s="699"/>
      <c r="AS766" s="699"/>
      <c r="AT766" s="699"/>
      <c r="AU766" s="699"/>
      <c r="AV766" s="699"/>
      <c r="AW766" s="699"/>
      <c r="AX766" s="700"/>
      <c r="AY766" s="700"/>
      <c r="AZ766" s="701"/>
    </row>
    <row r="767" spans="1:52" ht="30.75" thickBot="1">
      <c r="A767" s="67">
        <f t="shared" si="397"/>
        <v>44888</v>
      </c>
      <c r="B767" s="138"/>
      <c r="C767" s="138"/>
      <c r="D767" s="138"/>
      <c r="E767" s="138"/>
      <c r="F767" s="138"/>
      <c r="G767" s="138"/>
      <c r="H767" s="138"/>
      <c r="I767" s="138"/>
      <c r="J767" s="138"/>
      <c r="K767" s="138"/>
      <c r="L767" s="138"/>
      <c r="M767" s="138"/>
      <c r="N767" s="138"/>
      <c r="O767" s="138"/>
      <c r="P767" s="138"/>
      <c r="Q767" s="138"/>
      <c r="R767" s="139"/>
      <c r="S767" s="176"/>
      <c r="T767" s="835"/>
      <c r="U767" s="835"/>
      <c r="V767" s="835"/>
      <c r="W767" s="835"/>
      <c r="X767" s="835"/>
      <c r="Y767" s="255">
        <f t="shared" si="395"/>
        <v>0</v>
      </c>
      <c r="Z767" s="309">
        <f t="shared" si="396"/>
        <v>0</v>
      </c>
      <c r="AA767" s="256">
        <f t="shared" si="393"/>
        <v>0</v>
      </c>
      <c r="AB767" s="309"/>
      <c r="AC767" s="309"/>
      <c r="AD767" s="320">
        <f t="shared" si="394"/>
        <v>0</v>
      </c>
      <c r="AF767" s="11"/>
      <c r="AG767" s="24"/>
      <c r="AH767" s="64">
        <f t="shared" si="398"/>
        <v>43396</v>
      </c>
      <c r="AI767" s="698"/>
      <c r="AJ767" s="699"/>
      <c r="AK767" s="699"/>
      <c r="AL767" s="699"/>
      <c r="AM767" s="699"/>
      <c r="AN767" s="699"/>
      <c r="AO767" s="699"/>
      <c r="AP767" s="699"/>
      <c r="AQ767" s="699"/>
      <c r="AR767" s="699"/>
      <c r="AS767" s="699"/>
      <c r="AT767" s="699"/>
      <c r="AU767" s="699"/>
      <c r="AV767" s="699"/>
      <c r="AW767" s="699"/>
      <c r="AX767" s="700"/>
      <c r="AY767" s="700"/>
      <c r="AZ767" s="701"/>
    </row>
    <row r="768" spans="1:52" ht="30.75" thickBot="1">
      <c r="A768" s="67">
        <f t="shared" si="397"/>
        <v>44889</v>
      </c>
      <c r="B768" s="138"/>
      <c r="C768" s="138"/>
      <c r="D768" s="138"/>
      <c r="E768" s="138"/>
      <c r="F768" s="138"/>
      <c r="G768" s="138"/>
      <c r="H768" s="138"/>
      <c r="I768" s="138"/>
      <c r="J768" s="138"/>
      <c r="K768" s="138"/>
      <c r="L768" s="138"/>
      <c r="M768" s="138"/>
      <c r="N768" s="138"/>
      <c r="O768" s="138"/>
      <c r="P768" s="138"/>
      <c r="Q768" s="138"/>
      <c r="R768" s="139"/>
      <c r="S768" s="176"/>
      <c r="T768" s="835"/>
      <c r="U768" s="835"/>
      <c r="V768" s="835"/>
      <c r="W768" s="835"/>
      <c r="X768" s="835"/>
      <c r="Y768" s="255">
        <f t="shared" si="395"/>
        <v>0</v>
      </c>
      <c r="Z768" s="309">
        <f t="shared" si="396"/>
        <v>0</v>
      </c>
      <c r="AA768" s="256">
        <f t="shared" si="393"/>
        <v>0</v>
      </c>
      <c r="AB768" s="309"/>
      <c r="AC768" s="309"/>
      <c r="AD768" s="320">
        <f t="shared" si="394"/>
        <v>0</v>
      </c>
      <c r="AF768" s="11"/>
      <c r="AG768" s="24"/>
      <c r="AH768" s="64">
        <f t="shared" si="398"/>
        <v>43397</v>
      </c>
      <c r="AI768" s="698"/>
      <c r="AJ768" s="699"/>
      <c r="AK768" s="699"/>
      <c r="AL768" s="699"/>
      <c r="AM768" s="699"/>
      <c r="AN768" s="699"/>
      <c r="AO768" s="699"/>
      <c r="AP768" s="699"/>
      <c r="AQ768" s="699"/>
      <c r="AR768" s="699"/>
      <c r="AS768" s="699"/>
      <c r="AT768" s="699"/>
      <c r="AU768" s="699"/>
      <c r="AV768" s="699"/>
      <c r="AW768" s="699"/>
      <c r="AX768" s="700"/>
      <c r="AY768" s="700"/>
      <c r="AZ768" s="701"/>
    </row>
    <row r="769" spans="1:52" ht="30.75" thickBot="1">
      <c r="A769" s="67">
        <f t="shared" si="397"/>
        <v>44890</v>
      </c>
      <c r="B769" s="138"/>
      <c r="C769" s="138"/>
      <c r="D769" s="138"/>
      <c r="E769" s="138"/>
      <c r="F769" s="138"/>
      <c r="G769" s="138"/>
      <c r="H769" s="138"/>
      <c r="I769" s="138"/>
      <c r="J769" s="138"/>
      <c r="K769" s="138"/>
      <c r="L769" s="138"/>
      <c r="M769" s="138"/>
      <c r="N769" s="138"/>
      <c r="O769" s="138"/>
      <c r="P769" s="138"/>
      <c r="Q769" s="138"/>
      <c r="R769" s="139"/>
      <c r="S769" s="176"/>
      <c r="T769" s="835"/>
      <c r="U769" s="835"/>
      <c r="V769" s="835"/>
      <c r="W769" s="835"/>
      <c r="X769" s="835"/>
      <c r="Y769" s="255">
        <f t="shared" si="395"/>
        <v>0</v>
      </c>
      <c r="Z769" s="309">
        <f t="shared" si="396"/>
        <v>0</v>
      </c>
      <c r="AA769" s="256">
        <f t="shared" si="393"/>
        <v>0</v>
      </c>
      <c r="AB769" s="309"/>
      <c r="AC769" s="309"/>
      <c r="AD769" s="320">
        <f t="shared" si="394"/>
        <v>0</v>
      </c>
      <c r="AF769" s="11"/>
      <c r="AG769" s="24"/>
      <c r="AH769" s="64">
        <f t="shared" si="398"/>
        <v>43398</v>
      </c>
      <c r="AI769" s="698"/>
      <c r="AJ769" s="699"/>
      <c r="AK769" s="699"/>
      <c r="AL769" s="699"/>
      <c r="AM769" s="699"/>
      <c r="AN769" s="699"/>
      <c r="AO769" s="699"/>
      <c r="AP769" s="699"/>
      <c r="AQ769" s="699"/>
      <c r="AR769" s="699"/>
      <c r="AS769" s="699"/>
      <c r="AT769" s="699"/>
      <c r="AU769" s="699"/>
      <c r="AV769" s="699"/>
      <c r="AW769" s="699"/>
      <c r="AX769" s="700"/>
      <c r="AY769" s="700"/>
      <c r="AZ769" s="701"/>
    </row>
    <row r="770" spans="1:52" ht="30.75" thickBot="1">
      <c r="A770" s="67">
        <f t="shared" si="397"/>
        <v>44891</v>
      </c>
      <c r="B770" s="138"/>
      <c r="C770" s="138"/>
      <c r="D770" s="138"/>
      <c r="E770" s="138"/>
      <c r="F770" s="138"/>
      <c r="G770" s="138"/>
      <c r="H770" s="138"/>
      <c r="I770" s="138"/>
      <c r="J770" s="138"/>
      <c r="K770" s="138"/>
      <c r="L770" s="138"/>
      <c r="M770" s="138"/>
      <c r="N770" s="138"/>
      <c r="O770" s="138"/>
      <c r="P770" s="138"/>
      <c r="Q770" s="138"/>
      <c r="R770" s="139"/>
      <c r="S770" s="176"/>
      <c r="T770" s="835"/>
      <c r="U770" s="835"/>
      <c r="V770" s="835"/>
      <c r="W770" s="835"/>
      <c r="X770" s="835"/>
      <c r="Y770" s="255">
        <f t="shared" si="395"/>
        <v>0</v>
      </c>
      <c r="Z770" s="309">
        <f t="shared" si="396"/>
        <v>0</v>
      </c>
      <c r="AA770" s="256">
        <f t="shared" si="393"/>
        <v>0</v>
      </c>
      <c r="AB770" s="309"/>
      <c r="AC770" s="309"/>
      <c r="AD770" s="320">
        <f t="shared" si="394"/>
        <v>0</v>
      </c>
      <c r="AF770" s="11"/>
      <c r="AG770" s="24"/>
      <c r="AH770" s="64">
        <f t="shared" si="398"/>
        <v>43399</v>
      </c>
      <c r="AI770" s="698"/>
      <c r="AJ770" s="699"/>
      <c r="AK770" s="699"/>
      <c r="AL770" s="699"/>
      <c r="AM770" s="699"/>
      <c r="AN770" s="699"/>
      <c r="AO770" s="699"/>
      <c r="AP770" s="699"/>
      <c r="AQ770" s="699"/>
      <c r="AR770" s="699"/>
      <c r="AS770" s="699"/>
      <c r="AT770" s="699"/>
      <c r="AU770" s="699"/>
      <c r="AV770" s="699"/>
      <c r="AW770" s="699"/>
      <c r="AX770" s="700"/>
      <c r="AY770" s="700"/>
      <c r="AZ770" s="701"/>
    </row>
    <row r="771" spans="1:52" ht="30.75" thickBot="1">
      <c r="A771" s="67">
        <f t="shared" si="397"/>
        <v>44892</v>
      </c>
      <c r="B771" s="138"/>
      <c r="C771" s="138"/>
      <c r="D771" s="138"/>
      <c r="E771" s="138"/>
      <c r="F771" s="138"/>
      <c r="G771" s="138"/>
      <c r="H771" s="138"/>
      <c r="I771" s="138"/>
      <c r="J771" s="138"/>
      <c r="K771" s="138"/>
      <c r="L771" s="138"/>
      <c r="M771" s="138"/>
      <c r="N771" s="138"/>
      <c r="O771" s="138"/>
      <c r="P771" s="138"/>
      <c r="Q771" s="138"/>
      <c r="R771" s="139"/>
      <c r="S771" s="176"/>
      <c r="T771" s="835"/>
      <c r="U771" s="835"/>
      <c r="V771" s="835"/>
      <c r="W771" s="835"/>
      <c r="X771" s="835"/>
      <c r="Y771" s="255">
        <f t="shared" si="395"/>
        <v>0</v>
      </c>
      <c r="Z771" s="309">
        <f t="shared" si="396"/>
        <v>0</v>
      </c>
      <c r="AA771" s="256">
        <f t="shared" si="393"/>
        <v>0</v>
      </c>
      <c r="AB771" s="309"/>
      <c r="AC771" s="309"/>
      <c r="AD771" s="320">
        <f t="shared" si="394"/>
        <v>0</v>
      </c>
      <c r="AF771" s="11"/>
      <c r="AG771" s="24"/>
      <c r="AH771" s="64">
        <f t="shared" si="398"/>
        <v>43400</v>
      </c>
      <c r="AI771" s="698"/>
      <c r="AJ771" s="699"/>
      <c r="AK771" s="699"/>
      <c r="AL771" s="699"/>
      <c r="AM771" s="699"/>
      <c r="AN771" s="699"/>
      <c r="AO771" s="699"/>
      <c r="AP771" s="699"/>
      <c r="AQ771" s="699"/>
      <c r="AR771" s="699"/>
      <c r="AS771" s="699"/>
      <c r="AT771" s="699"/>
      <c r="AU771" s="699"/>
      <c r="AV771" s="699"/>
      <c r="AW771" s="699"/>
      <c r="AX771" s="700"/>
      <c r="AY771" s="700"/>
      <c r="AZ771" s="701"/>
    </row>
    <row r="772" spans="1:52" ht="30.75" thickBot="1">
      <c r="A772" s="67">
        <f t="shared" si="397"/>
        <v>44893</v>
      </c>
      <c r="B772" s="138"/>
      <c r="C772" s="138"/>
      <c r="D772" s="138"/>
      <c r="E772" s="138"/>
      <c r="F772" s="138"/>
      <c r="G772" s="138"/>
      <c r="H772" s="138"/>
      <c r="I772" s="138"/>
      <c r="J772" s="138"/>
      <c r="K772" s="138"/>
      <c r="L772" s="138"/>
      <c r="M772" s="138"/>
      <c r="N772" s="138"/>
      <c r="O772" s="138"/>
      <c r="P772" s="138"/>
      <c r="Q772" s="138"/>
      <c r="R772" s="139"/>
      <c r="S772" s="176"/>
      <c r="T772" s="835"/>
      <c r="U772" s="835"/>
      <c r="V772" s="835"/>
      <c r="W772" s="835"/>
      <c r="X772" s="835"/>
      <c r="Y772" s="255">
        <f t="shared" si="395"/>
        <v>0</v>
      </c>
      <c r="Z772" s="309">
        <f t="shared" si="396"/>
        <v>0</v>
      </c>
      <c r="AA772" s="256">
        <f t="shared" si="393"/>
        <v>0</v>
      </c>
      <c r="AB772" s="309"/>
      <c r="AC772" s="309"/>
      <c r="AD772" s="320">
        <f t="shared" si="394"/>
        <v>0</v>
      </c>
      <c r="AF772" s="11"/>
      <c r="AG772" s="24"/>
      <c r="AH772" s="64">
        <f t="shared" si="398"/>
        <v>43401</v>
      </c>
      <c r="AI772" s="698"/>
      <c r="AJ772" s="699"/>
      <c r="AK772" s="699"/>
      <c r="AL772" s="699"/>
      <c r="AM772" s="699"/>
      <c r="AN772" s="699"/>
      <c r="AO772" s="699"/>
      <c r="AP772" s="699"/>
      <c r="AQ772" s="699"/>
      <c r="AR772" s="699"/>
      <c r="AS772" s="699"/>
      <c r="AT772" s="699"/>
      <c r="AU772" s="699"/>
      <c r="AV772" s="699"/>
      <c r="AW772" s="699"/>
      <c r="AX772" s="700"/>
      <c r="AY772" s="700"/>
      <c r="AZ772" s="701"/>
    </row>
    <row r="773" spans="1:52" ht="30.75" thickBot="1">
      <c r="A773" s="67">
        <f t="shared" si="397"/>
        <v>44894</v>
      </c>
      <c r="B773" s="138"/>
      <c r="C773" s="138"/>
      <c r="D773" s="138"/>
      <c r="E773" s="138"/>
      <c r="F773" s="138"/>
      <c r="G773" s="138"/>
      <c r="H773" s="138"/>
      <c r="I773" s="138"/>
      <c r="J773" s="138"/>
      <c r="K773" s="138"/>
      <c r="L773" s="138"/>
      <c r="M773" s="138"/>
      <c r="N773" s="138"/>
      <c r="O773" s="138"/>
      <c r="P773" s="138"/>
      <c r="Q773" s="138"/>
      <c r="R773" s="139"/>
      <c r="S773" s="176"/>
      <c r="T773" s="835"/>
      <c r="U773" s="835"/>
      <c r="V773" s="835"/>
      <c r="W773" s="835"/>
      <c r="X773" s="835"/>
      <c r="Y773" s="255">
        <f t="shared" si="395"/>
        <v>0</v>
      </c>
      <c r="Z773" s="309">
        <f t="shared" si="396"/>
        <v>0</v>
      </c>
      <c r="AA773" s="256">
        <f t="shared" si="393"/>
        <v>0</v>
      </c>
      <c r="AB773" s="309"/>
      <c r="AC773" s="309"/>
      <c r="AD773" s="320">
        <f t="shared" si="394"/>
        <v>0</v>
      </c>
      <c r="AF773" s="11"/>
      <c r="AG773" s="24"/>
      <c r="AH773" s="64">
        <f>AH772+1</f>
        <v>43402</v>
      </c>
      <c r="AI773" s="698"/>
      <c r="AJ773" s="699"/>
      <c r="AK773" s="699"/>
      <c r="AL773" s="699"/>
      <c r="AM773" s="699"/>
      <c r="AN773" s="699"/>
      <c r="AO773" s="699"/>
      <c r="AP773" s="699"/>
      <c r="AQ773" s="699"/>
      <c r="AR773" s="699"/>
      <c r="AS773" s="699"/>
      <c r="AT773" s="699"/>
      <c r="AU773" s="699"/>
      <c r="AV773" s="699"/>
      <c r="AW773" s="699"/>
      <c r="AX773" s="700"/>
      <c r="AY773" s="700"/>
      <c r="AZ773" s="701"/>
    </row>
    <row r="774" spans="1:52" ht="30.75" thickBot="1">
      <c r="A774" s="67">
        <f t="shared" si="397"/>
        <v>44895</v>
      </c>
      <c r="B774" s="138"/>
      <c r="C774" s="138"/>
      <c r="D774" s="138"/>
      <c r="E774" s="138"/>
      <c r="F774" s="138"/>
      <c r="G774" s="138"/>
      <c r="H774" s="138"/>
      <c r="I774" s="138"/>
      <c r="J774" s="138"/>
      <c r="K774" s="138"/>
      <c r="L774" s="138"/>
      <c r="M774" s="138"/>
      <c r="N774" s="138"/>
      <c r="O774" s="138"/>
      <c r="P774" s="138"/>
      <c r="Q774" s="138"/>
      <c r="R774" s="139"/>
      <c r="S774" s="176"/>
      <c r="T774" s="835"/>
      <c r="U774" s="835"/>
      <c r="V774" s="835"/>
      <c r="W774" s="835"/>
      <c r="X774" s="835"/>
      <c r="Y774" s="255">
        <f t="shared" si="395"/>
        <v>0</v>
      </c>
      <c r="Z774" s="309">
        <f t="shared" si="396"/>
        <v>0</v>
      </c>
      <c r="AA774" s="256">
        <f t="shared" si="393"/>
        <v>0</v>
      </c>
      <c r="AB774" s="309"/>
      <c r="AC774" s="309"/>
      <c r="AD774" s="320">
        <f t="shared" si="394"/>
        <v>0</v>
      </c>
      <c r="AF774" s="11"/>
      <c r="AG774" s="24"/>
      <c r="AH774" s="64">
        <f t="shared" si="398"/>
        <v>43403</v>
      </c>
      <c r="AI774" s="698"/>
      <c r="AJ774" s="699"/>
      <c r="AK774" s="699"/>
      <c r="AL774" s="699"/>
      <c r="AM774" s="699"/>
      <c r="AN774" s="699"/>
      <c r="AO774" s="699"/>
      <c r="AP774" s="699"/>
      <c r="AQ774" s="699"/>
      <c r="AR774" s="699"/>
      <c r="AS774" s="699"/>
      <c r="AT774" s="699"/>
      <c r="AU774" s="699"/>
      <c r="AV774" s="699"/>
      <c r="AW774" s="699"/>
      <c r="AX774" s="700"/>
      <c r="AY774" s="700"/>
      <c r="AZ774" s="701"/>
    </row>
    <row r="775" spans="1:52" ht="30.75" thickBot="1">
      <c r="A775" s="102">
        <f t="shared" si="397"/>
        <v>44896</v>
      </c>
      <c r="B775" s="146"/>
      <c r="C775" s="146"/>
      <c r="D775" s="146"/>
      <c r="E775" s="146"/>
      <c r="F775" s="146"/>
      <c r="G775" s="146"/>
      <c r="H775" s="146"/>
      <c r="I775" s="146"/>
      <c r="J775" s="146"/>
      <c r="K775" s="146"/>
      <c r="L775" s="146"/>
      <c r="M775" s="146"/>
      <c r="N775" s="146"/>
      <c r="O775" s="146"/>
      <c r="P775" s="146"/>
      <c r="Q775" s="146"/>
      <c r="R775" s="147"/>
      <c r="S775" s="178"/>
      <c r="T775" s="831"/>
      <c r="U775" s="831"/>
      <c r="V775" s="831"/>
      <c r="W775" s="831"/>
      <c r="X775" s="831"/>
      <c r="Y775" s="255">
        <f t="shared" si="395"/>
        <v>0</v>
      </c>
      <c r="Z775" s="309">
        <f t="shared" si="396"/>
        <v>0</v>
      </c>
      <c r="AA775" s="256">
        <f t="shared" si="393"/>
        <v>0</v>
      </c>
      <c r="AB775" s="309"/>
      <c r="AC775" s="309">
        <f>Y778</f>
        <v>0</v>
      </c>
      <c r="AD775" s="320">
        <f t="shared" si="394"/>
        <v>0</v>
      </c>
      <c r="AF775" s="11"/>
      <c r="AG775" s="24"/>
      <c r="AH775" s="65">
        <f t="shared" si="398"/>
        <v>43404</v>
      </c>
      <c r="AI775" s="702"/>
      <c r="AJ775" s="703"/>
      <c r="AK775" s="703"/>
      <c r="AL775" s="703"/>
      <c r="AM775" s="703"/>
      <c r="AN775" s="703"/>
      <c r="AO775" s="703"/>
      <c r="AP775" s="703"/>
      <c r="AQ775" s="703"/>
      <c r="AR775" s="703"/>
      <c r="AS775" s="703"/>
      <c r="AT775" s="703"/>
      <c r="AU775" s="703"/>
      <c r="AV775" s="703"/>
      <c r="AW775" s="703"/>
      <c r="AX775" s="704"/>
      <c r="AY775" s="704"/>
      <c r="AZ775" s="705"/>
    </row>
    <row r="776" spans="1:52" ht="50.1" customHeight="1" thickTop="1" thickBot="1">
      <c r="A776" s="103" t="s">
        <v>74</v>
      </c>
      <c r="B776" s="104">
        <f>SUM(B745:B775)</f>
        <v>0</v>
      </c>
      <c r="C776" s="104">
        <f t="shared" ref="C776:Y776" si="399">SUM(C745:C775)</f>
        <v>0</v>
      </c>
      <c r="D776" s="104">
        <f t="shared" si="399"/>
        <v>0</v>
      </c>
      <c r="E776" s="104"/>
      <c r="F776" s="104">
        <f t="shared" si="399"/>
        <v>0</v>
      </c>
      <c r="G776" s="104">
        <f t="shared" si="399"/>
        <v>0</v>
      </c>
      <c r="H776" s="104">
        <f t="shared" si="399"/>
        <v>0</v>
      </c>
      <c r="I776" s="104">
        <f t="shared" si="399"/>
        <v>0</v>
      </c>
      <c r="J776" s="104">
        <f t="shared" si="399"/>
        <v>0</v>
      </c>
      <c r="K776" s="104">
        <f t="shared" si="399"/>
        <v>0</v>
      </c>
      <c r="L776" s="104">
        <f t="shared" si="399"/>
        <v>0</v>
      </c>
      <c r="M776" s="104">
        <f t="shared" si="399"/>
        <v>0</v>
      </c>
      <c r="N776" s="104">
        <f t="shared" si="399"/>
        <v>0</v>
      </c>
      <c r="O776" s="104">
        <f t="shared" si="399"/>
        <v>0</v>
      </c>
      <c r="P776" s="104"/>
      <c r="Q776" s="104">
        <f t="shared" si="399"/>
        <v>0</v>
      </c>
      <c r="R776" s="104">
        <f t="shared" si="399"/>
        <v>0</v>
      </c>
      <c r="S776" s="104">
        <f t="shared" si="399"/>
        <v>0</v>
      </c>
      <c r="T776" s="104"/>
      <c r="U776" s="104"/>
      <c r="V776" s="104"/>
      <c r="W776" s="104"/>
      <c r="X776" s="104"/>
      <c r="Y776" s="292">
        <f t="shared" si="399"/>
        <v>0</v>
      </c>
      <c r="Z776" s="259"/>
      <c r="AA776" s="259"/>
      <c r="AB776" s="316">
        <f>SUM(AB745:AB775)</f>
        <v>0</v>
      </c>
      <c r="AC776" s="316"/>
      <c r="AD776" s="260"/>
      <c r="AF776" s="9"/>
      <c r="AG776" s="16"/>
      <c r="AH776" s="706" t="s">
        <v>101</v>
      </c>
      <c r="AI776" s="707">
        <f>SUM(AI745:AI775)</f>
        <v>0</v>
      </c>
      <c r="AJ776" s="707">
        <f>SUM(AJ745:AJ775)</f>
        <v>0</v>
      </c>
      <c r="AK776" s="707">
        <f t="shared" ref="AK776:AZ776" si="400">SUM(AK745:AK775)</f>
        <v>0</v>
      </c>
      <c r="AL776" s="707">
        <f t="shared" si="400"/>
        <v>0</v>
      </c>
      <c r="AM776" s="707">
        <f t="shared" si="400"/>
        <v>0</v>
      </c>
      <c r="AN776" s="707">
        <f t="shared" si="400"/>
        <v>0</v>
      </c>
      <c r="AO776" s="707">
        <f t="shared" si="400"/>
        <v>0</v>
      </c>
      <c r="AP776" s="707">
        <f t="shared" si="400"/>
        <v>0</v>
      </c>
      <c r="AQ776" s="707">
        <f t="shared" si="400"/>
        <v>0</v>
      </c>
      <c r="AR776" s="707">
        <f t="shared" si="400"/>
        <v>0</v>
      </c>
      <c r="AS776" s="707">
        <f t="shared" si="400"/>
        <v>0</v>
      </c>
      <c r="AT776" s="707">
        <f t="shared" si="400"/>
        <v>0</v>
      </c>
      <c r="AU776" s="707">
        <f t="shared" si="400"/>
        <v>0</v>
      </c>
      <c r="AV776" s="707">
        <f t="shared" si="400"/>
        <v>0</v>
      </c>
      <c r="AW776" s="707">
        <f t="shared" si="400"/>
        <v>0</v>
      </c>
      <c r="AX776" s="707">
        <f t="shared" si="400"/>
        <v>0</v>
      </c>
      <c r="AY776" s="707">
        <f t="shared" si="400"/>
        <v>0</v>
      </c>
      <c r="AZ776" s="707">
        <f t="shared" si="400"/>
        <v>0</v>
      </c>
    </row>
    <row r="777" spans="1:52" ht="50.1" customHeight="1" thickTop="1" thickBot="1">
      <c r="A777" s="16"/>
      <c r="B777" s="712"/>
      <c r="C777" s="712"/>
      <c r="D777" s="712"/>
      <c r="E777" s="712"/>
      <c r="F777" s="712"/>
      <c r="G777" s="712"/>
      <c r="H777" s="712"/>
      <c r="I777" s="712"/>
      <c r="J777" s="712"/>
      <c r="K777" s="712"/>
      <c r="L777" s="712"/>
      <c r="M777" s="712"/>
      <c r="N777" s="712"/>
      <c r="O777" s="712"/>
      <c r="P777" s="712"/>
      <c r="Q777" s="712"/>
      <c r="R777" s="712"/>
      <c r="S777" s="712"/>
      <c r="T777" s="712"/>
      <c r="U777" s="712"/>
      <c r="V777" s="712"/>
      <c r="W777" s="712"/>
      <c r="X777" s="712"/>
      <c r="Y777" s="302"/>
      <c r="Z777" s="709"/>
      <c r="AA777" s="709"/>
      <c r="AB777" s="710"/>
      <c r="AC777" s="710"/>
      <c r="AD777" s="711"/>
      <c r="AF777" s="9"/>
      <c r="AG777" s="16"/>
      <c r="AH777" s="706" t="s">
        <v>45</v>
      </c>
      <c r="AI777" s="707">
        <v>220</v>
      </c>
      <c r="AJ777" s="707">
        <v>220</v>
      </c>
      <c r="AK777" s="707">
        <v>220</v>
      </c>
      <c r="AL777" s="707">
        <v>100</v>
      </c>
      <c r="AM777" s="707">
        <v>100</v>
      </c>
      <c r="AN777" s="707">
        <v>80</v>
      </c>
      <c r="AO777" s="707">
        <v>25</v>
      </c>
      <c r="AP777" s="707">
        <v>25</v>
      </c>
      <c r="AQ777" s="707">
        <v>25</v>
      </c>
      <c r="AR777" s="707">
        <v>400</v>
      </c>
      <c r="AS777" s="707">
        <v>400</v>
      </c>
      <c r="AT777" s="707">
        <v>400</v>
      </c>
      <c r="AU777" s="707">
        <v>0</v>
      </c>
      <c r="AV777" s="707">
        <v>0</v>
      </c>
      <c r="AW777" s="707">
        <v>200</v>
      </c>
      <c r="AX777" s="707">
        <v>200</v>
      </c>
      <c r="AY777" s="707">
        <v>0</v>
      </c>
      <c r="AZ777" s="707">
        <v>0</v>
      </c>
    </row>
    <row r="778" spans="1:52" ht="27.75" thickTop="1" thickBot="1">
      <c r="A778" s="7"/>
      <c r="B778" s="7">
        <f>SUM(B776-B777)</f>
        <v>0</v>
      </c>
      <c r="C778" s="7">
        <f t="shared" ref="C778:X778" si="401">SUM(C776-C777)</f>
        <v>0</v>
      </c>
      <c r="D778" s="7">
        <f t="shared" si="401"/>
        <v>0</v>
      </c>
      <c r="E778" s="7">
        <f t="shared" si="401"/>
        <v>0</v>
      </c>
      <c r="F778" s="7">
        <f>SUM(F776*F777)</f>
        <v>0</v>
      </c>
      <c r="G778" s="7">
        <f t="shared" si="401"/>
        <v>0</v>
      </c>
      <c r="H778" s="7">
        <f>SUM(H776*H777)</f>
        <v>0</v>
      </c>
      <c r="I778" s="7">
        <f t="shared" si="401"/>
        <v>0</v>
      </c>
      <c r="J778" s="7">
        <f t="shared" si="401"/>
        <v>0</v>
      </c>
      <c r="K778" s="7"/>
      <c r="L778" s="7">
        <f t="shared" si="401"/>
        <v>0</v>
      </c>
      <c r="M778" s="7">
        <f t="shared" si="401"/>
        <v>0</v>
      </c>
      <c r="N778" s="7">
        <f>SUM(N776*N777)</f>
        <v>0</v>
      </c>
      <c r="O778" s="7">
        <f t="shared" si="401"/>
        <v>0</v>
      </c>
      <c r="P778" s="7">
        <f t="shared" si="401"/>
        <v>0</v>
      </c>
      <c r="Q778" s="7">
        <f t="shared" si="401"/>
        <v>0</v>
      </c>
      <c r="R778" s="7">
        <f t="shared" si="401"/>
        <v>0</v>
      </c>
      <c r="S778" s="7">
        <f t="shared" si="401"/>
        <v>0</v>
      </c>
      <c r="T778" s="7">
        <f t="shared" si="401"/>
        <v>0</v>
      </c>
      <c r="U778" s="7">
        <f t="shared" si="401"/>
        <v>0</v>
      </c>
      <c r="V778" s="7">
        <f t="shared" si="401"/>
        <v>0</v>
      </c>
      <c r="W778" s="7"/>
      <c r="X778" s="7">
        <f t="shared" si="401"/>
        <v>0</v>
      </c>
      <c r="Y778" s="7">
        <f>SUM(B778:X778)</f>
        <v>0</v>
      </c>
      <c r="Z778" s="8"/>
      <c r="AA778" s="8"/>
      <c r="AB778" s="8"/>
      <c r="AC778" s="2"/>
      <c r="AF778" s="2"/>
      <c r="AG778" s="2"/>
      <c r="AH778" s="706" t="s">
        <v>46</v>
      </c>
      <c r="AI778" s="707">
        <f>AI776*AI777</f>
        <v>0</v>
      </c>
      <c r="AJ778" s="707">
        <f t="shared" ref="AJ778" si="402">AJ776*AJ777</f>
        <v>0</v>
      </c>
      <c r="AK778" s="707">
        <f t="shared" ref="AK778" si="403">AK776*AK777</f>
        <v>0</v>
      </c>
      <c r="AL778" s="707">
        <f t="shared" ref="AL778" si="404">AL776*AL777</f>
        <v>0</v>
      </c>
      <c r="AM778" s="707">
        <f t="shared" ref="AM778" si="405">AM776*AM777</f>
        <v>0</v>
      </c>
      <c r="AN778" s="707">
        <f t="shared" ref="AN778" si="406">AN776*AN777</f>
        <v>0</v>
      </c>
      <c r="AO778" s="707">
        <f t="shared" ref="AO778" si="407">AO776*AO777</f>
        <v>0</v>
      </c>
      <c r="AP778" s="707">
        <f t="shared" ref="AP778" si="408">AP776*AP777</f>
        <v>0</v>
      </c>
      <c r="AQ778" s="707">
        <f t="shared" ref="AQ778" si="409">AQ776*AQ777</f>
        <v>0</v>
      </c>
      <c r="AR778" s="707">
        <f t="shared" ref="AR778" si="410">AR776*AR777</f>
        <v>0</v>
      </c>
      <c r="AS778" s="707">
        <f t="shared" ref="AS778" si="411">AS776*AS777</f>
        <v>0</v>
      </c>
      <c r="AT778" s="707">
        <f t="shared" ref="AT778" si="412">AT776*AT777</f>
        <v>0</v>
      </c>
      <c r="AU778" s="707">
        <f t="shared" ref="AU778" si="413">AU776*AU777</f>
        <v>0</v>
      </c>
      <c r="AV778" s="707">
        <f t="shared" ref="AV778" si="414">AV776*AV777</f>
        <v>0</v>
      </c>
      <c r="AW778" s="707">
        <f t="shared" ref="AW778" si="415">AW776*AW777</f>
        <v>0</v>
      </c>
      <c r="AX778" s="707">
        <f t="shared" ref="AX778" si="416">AX776*AX777</f>
        <v>0</v>
      </c>
      <c r="AY778" s="707">
        <f t="shared" ref="AY778" si="417">AY776*AY777</f>
        <v>0</v>
      </c>
      <c r="AZ778" s="707">
        <f t="shared" ref="AZ778" si="418">AZ776*AZ777</f>
        <v>0</v>
      </c>
    </row>
    <row r="779" spans="1:52" ht="24.75" thickTop="1" thickBo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8"/>
      <c r="AA779" s="8"/>
      <c r="AB779" s="8"/>
      <c r="AC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714">
        <f>SUM(AI778:AZ778)</f>
        <v>0</v>
      </c>
    </row>
    <row r="780" spans="1:52" ht="39.950000000000003" customHeight="1" thickBot="1">
      <c r="A780" s="109">
        <f>A5</f>
        <v>2022</v>
      </c>
      <c r="B780" s="1436"/>
      <c r="C780" s="1437"/>
      <c r="D780" s="1437"/>
      <c r="E780" s="1437"/>
      <c r="F780" s="1437"/>
      <c r="G780" s="1437"/>
      <c r="H780" s="1437"/>
      <c r="I780" s="1437"/>
      <c r="J780" s="1437"/>
      <c r="K780" s="1437"/>
      <c r="L780" s="1437"/>
      <c r="M780" s="1437"/>
      <c r="N780" s="1437"/>
      <c r="O780" s="1437"/>
      <c r="P780" s="1437"/>
      <c r="Q780" s="1437"/>
      <c r="R780" s="1437"/>
      <c r="S780" s="1437"/>
      <c r="T780" s="1437"/>
      <c r="U780" s="1437"/>
      <c r="V780" s="1437"/>
      <c r="W780" s="1437"/>
      <c r="X780" s="1437"/>
      <c r="Y780" s="1438"/>
      <c r="Z780" s="21"/>
      <c r="AA780" s="21"/>
      <c r="AB780" s="21"/>
      <c r="AC780" s="2"/>
      <c r="AD780" t="s">
        <v>1</v>
      </c>
      <c r="AF780" s="10"/>
      <c r="AG780" s="34"/>
      <c r="AH780" s="109">
        <v>2018</v>
      </c>
      <c r="AI780" s="1424">
        <f>B780</f>
        <v>0</v>
      </c>
      <c r="AJ780" s="1425"/>
      <c r="AK780" s="1425"/>
      <c r="AL780" s="1425"/>
      <c r="AM780" s="1425"/>
      <c r="AN780" s="1425"/>
      <c r="AO780" s="1425"/>
      <c r="AP780" s="1425"/>
      <c r="AQ780" s="1425"/>
      <c r="AR780" s="1425"/>
      <c r="AS780" s="1425"/>
      <c r="AT780" s="1425"/>
      <c r="AU780" s="1425"/>
      <c r="AV780" s="1425"/>
      <c r="AW780" s="1425"/>
      <c r="AX780" s="1425"/>
      <c r="AY780" s="1425"/>
      <c r="AZ780" s="1425"/>
    </row>
    <row r="781" spans="1:52" ht="60" customHeight="1" thickTop="1" thickBot="1">
      <c r="A781" s="1468" t="s">
        <v>94</v>
      </c>
      <c r="B781" s="1402" t="s">
        <v>95</v>
      </c>
      <c r="C781" s="1403"/>
      <c r="D781" s="1403"/>
      <c r="E781" s="1404"/>
      <c r="F781" s="1402" t="s">
        <v>7</v>
      </c>
      <c r="G781" s="1403"/>
      <c r="H781" s="1404"/>
      <c r="I781" s="1402" t="s">
        <v>8</v>
      </c>
      <c r="J781" s="1404"/>
      <c r="K781" s="1402" t="s">
        <v>9</v>
      </c>
      <c r="L781" s="1403"/>
      <c r="M781" s="1403"/>
      <c r="N781" s="1403"/>
      <c r="O781" s="1403"/>
      <c r="P781" s="1403"/>
      <c r="Q781" s="1403"/>
      <c r="R781" s="1405" t="s">
        <v>10</v>
      </c>
      <c r="S781" s="1406"/>
      <c r="T781" s="1400" t="s">
        <v>289</v>
      </c>
      <c r="U781" s="1401"/>
      <c r="V781" s="842" t="s">
        <v>258</v>
      </c>
      <c r="W781" s="842"/>
      <c r="X781" s="842"/>
      <c r="Y781" s="211"/>
      <c r="Z781" s="21"/>
      <c r="AA781" s="21"/>
      <c r="AB781" s="21"/>
      <c r="AC781" s="21"/>
      <c r="AF781" s="10"/>
      <c r="AG781" s="34"/>
      <c r="AH781" s="1422" t="s">
        <v>94</v>
      </c>
      <c r="AI781" s="1402" t="s">
        <v>95</v>
      </c>
      <c r="AJ781" s="1403"/>
      <c r="AK781" s="1404"/>
      <c r="AL781" s="1402" t="s">
        <v>7</v>
      </c>
      <c r="AM781" s="1403"/>
      <c r="AN781" s="1404"/>
      <c r="AO781" s="1402" t="s">
        <v>8</v>
      </c>
      <c r="AP781" s="1403"/>
      <c r="AQ781" s="1404"/>
      <c r="AR781" s="1402" t="s">
        <v>9</v>
      </c>
      <c r="AS781" s="1403"/>
      <c r="AT781" s="1404"/>
      <c r="AU781" s="1403" t="s">
        <v>9</v>
      </c>
      <c r="AV781" s="1404"/>
      <c r="AW781" s="1429" t="s">
        <v>10</v>
      </c>
      <c r="AX781" s="1430"/>
      <c r="AY781" s="690"/>
      <c r="AZ781" s="404" t="s">
        <v>11</v>
      </c>
    </row>
    <row r="782" spans="1:52" ht="42" thickTop="1" thickBot="1">
      <c r="A782" s="1428"/>
      <c r="B782" s="482" t="s">
        <v>12</v>
      </c>
      <c r="C782" s="482" t="s">
        <v>13</v>
      </c>
      <c r="D782" s="482" t="s">
        <v>14</v>
      </c>
      <c r="E782" s="688" t="s">
        <v>198</v>
      </c>
      <c r="F782" s="482" t="s">
        <v>12</v>
      </c>
      <c r="G782" s="482" t="s">
        <v>13</v>
      </c>
      <c r="H782" s="482" t="s">
        <v>282</v>
      </c>
      <c r="I782" s="482" t="s">
        <v>12</v>
      </c>
      <c r="J782" s="482" t="s">
        <v>16</v>
      </c>
      <c r="K782" s="482" t="s">
        <v>17</v>
      </c>
      <c r="L782" s="482" t="s">
        <v>18</v>
      </c>
      <c r="M782" s="482" t="s">
        <v>19</v>
      </c>
      <c r="N782" s="484" t="s">
        <v>96</v>
      </c>
      <c r="O782" s="484" t="s">
        <v>257</v>
      </c>
      <c r="P782" s="484" t="s">
        <v>254</v>
      </c>
      <c r="Q782" s="484" t="s">
        <v>20</v>
      </c>
      <c r="R782" s="483" t="s">
        <v>14</v>
      </c>
      <c r="S782" s="482" t="s">
        <v>13</v>
      </c>
      <c r="T782" s="846" t="s">
        <v>284</v>
      </c>
      <c r="U782" s="846" t="s">
        <v>288</v>
      </c>
      <c r="V782" s="484" t="s">
        <v>259</v>
      </c>
      <c r="W782" s="484"/>
      <c r="X782" s="484"/>
      <c r="Y782" s="209" t="s">
        <v>90</v>
      </c>
      <c r="Z782" s="210" t="s">
        <v>97</v>
      </c>
      <c r="AA782" s="210" t="s">
        <v>74</v>
      </c>
      <c r="AB782" s="210" t="s">
        <v>98</v>
      </c>
      <c r="AC782" s="210" t="s">
        <v>99</v>
      </c>
      <c r="AD782" s="210" t="s">
        <v>100</v>
      </c>
      <c r="AF782" s="578" t="s">
        <v>1</v>
      </c>
      <c r="AG782" s="4"/>
      <c r="AH782" s="1428"/>
      <c r="AI782" s="482" t="s">
        <v>12</v>
      </c>
      <c r="AJ782" s="482" t="s">
        <v>13</v>
      </c>
      <c r="AK782" s="482" t="s">
        <v>14</v>
      </c>
      <c r="AL782" s="482" t="s">
        <v>12</v>
      </c>
      <c r="AM782" s="482" t="s">
        <v>13</v>
      </c>
      <c r="AN782" s="482" t="s">
        <v>15</v>
      </c>
      <c r="AO782" s="482" t="s">
        <v>12</v>
      </c>
      <c r="AP782" s="482" t="s">
        <v>205</v>
      </c>
      <c r="AQ782" s="482" t="s">
        <v>16</v>
      </c>
      <c r="AR782" s="482" t="s">
        <v>17</v>
      </c>
      <c r="AS782" s="482" t="s">
        <v>18</v>
      </c>
      <c r="AT782" s="482" t="s">
        <v>19</v>
      </c>
      <c r="AU782" s="482" t="s">
        <v>201</v>
      </c>
      <c r="AV782" s="482" t="s">
        <v>20</v>
      </c>
      <c r="AW782" s="482" t="s">
        <v>12</v>
      </c>
      <c r="AX782" s="483" t="s">
        <v>13</v>
      </c>
      <c r="AY782" s="688" t="s">
        <v>198</v>
      </c>
      <c r="AZ782" s="484" t="s">
        <v>96</v>
      </c>
    </row>
    <row r="783" spans="1:52" ht="29.25" customHeight="1" thickBot="1">
      <c r="A783" s="63">
        <f>A745</f>
        <v>44866</v>
      </c>
      <c r="B783" s="135"/>
      <c r="C783" s="135"/>
      <c r="D783" s="135"/>
      <c r="E783" s="135"/>
      <c r="F783" s="135"/>
      <c r="G783" s="135"/>
      <c r="H783" s="135"/>
      <c r="I783" s="135"/>
      <c r="J783" s="135"/>
      <c r="K783" s="135"/>
      <c r="L783" s="135"/>
      <c r="M783" s="135"/>
      <c r="N783" s="135"/>
      <c r="O783" s="135"/>
      <c r="P783" s="135"/>
      <c r="Q783" s="135"/>
      <c r="R783" s="136"/>
      <c r="S783" s="175"/>
      <c r="T783" s="830"/>
      <c r="U783" s="830"/>
      <c r="V783" s="830"/>
      <c r="W783" s="830"/>
      <c r="X783" s="830"/>
      <c r="Y783" s="255">
        <f>B783*280+C783*280+D783*280+E783*280+F783*130+G783*130+H783*90+I783*35+J783*35+K783*400+L783*400+M783*400+N783*365+O783*42+P783*80+Q783*200+R783*260+S783*41+T783*30+U783*60</f>
        <v>0</v>
      </c>
      <c r="Z783" s="308"/>
      <c r="AA783" s="263">
        <f t="shared" ref="AA783:AA813" si="419">Y783+Z783</f>
        <v>0</v>
      </c>
      <c r="AB783" s="308"/>
      <c r="AC783" s="308"/>
      <c r="AD783" s="319">
        <f t="shared" ref="AD783:AD813" si="420">AA783-AB783-AC783</f>
        <v>0</v>
      </c>
      <c r="AF783" s="11"/>
      <c r="AG783" s="24"/>
      <c r="AH783" s="63">
        <f>AH745</f>
        <v>43374</v>
      </c>
      <c r="AI783" s="694"/>
      <c r="AJ783" s="695"/>
      <c r="AK783" s="695"/>
      <c r="AL783" s="695"/>
      <c r="AM783" s="695"/>
      <c r="AN783" s="695"/>
      <c r="AO783" s="695"/>
      <c r="AP783" s="695"/>
      <c r="AQ783" s="695"/>
      <c r="AR783" s="695"/>
      <c r="AS783" s="695"/>
      <c r="AT783" s="695"/>
      <c r="AU783" s="695"/>
      <c r="AV783" s="695"/>
      <c r="AW783" s="695"/>
      <c r="AX783" s="696"/>
      <c r="AY783" s="696"/>
      <c r="AZ783" s="697"/>
    </row>
    <row r="784" spans="1:52" ht="29.25" customHeight="1" thickBot="1">
      <c r="A784" s="63">
        <f>A783+1</f>
        <v>44867</v>
      </c>
      <c r="B784" s="138"/>
      <c r="C784" s="138"/>
      <c r="D784" s="138"/>
      <c r="E784" s="138"/>
      <c r="F784" s="138"/>
      <c r="G784" s="138"/>
      <c r="H784" s="138"/>
      <c r="I784" s="138"/>
      <c r="J784" s="138"/>
      <c r="K784" s="138"/>
      <c r="L784" s="138"/>
      <c r="M784" s="138"/>
      <c r="N784" s="138"/>
      <c r="O784" s="138"/>
      <c r="P784" s="138"/>
      <c r="Q784" s="138"/>
      <c r="R784" s="139"/>
      <c r="S784" s="176"/>
      <c r="T784" s="835"/>
      <c r="U784" s="835"/>
      <c r="V784" s="835"/>
      <c r="W784" s="835"/>
      <c r="X784" s="835"/>
      <c r="Y784" s="255">
        <f t="shared" ref="Y784:Y813" si="421">B784*280+C784*280+D784*280+E784*280+F784*130+G784*130+H784*90+I784*35+J784*35+K784*400+L784*400+M784*400+N784*22+O784*42+P784*80+Q784*200+R784*260+S784*41+T784*30+U784*60</f>
        <v>0</v>
      </c>
      <c r="Z784" s="309">
        <f t="shared" ref="Z784:Z813" si="422">AD783</f>
        <v>0</v>
      </c>
      <c r="AA784" s="256">
        <f t="shared" si="419"/>
        <v>0</v>
      </c>
      <c r="AB784" s="309"/>
      <c r="AC784" s="309"/>
      <c r="AD784" s="320">
        <f>AA784-AB784-AC784</f>
        <v>0</v>
      </c>
      <c r="AF784" s="11"/>
      <c r="AG784" s="24"/>
      <c r="AH784" s="64">
        <f>AH783+1</f>
        <v>43375</v>
      </c>
      <c r="AI784" s="698"/>
      <c r="AJ784" s="699"/>
      <c r="AK784" s="699"/>
      <c r="AL784" s="699"/>
      <c r="AM784" s="699"/>
      <c r="AN784" s="699"/>
      <c r="AO784" s="699"/>
      <c r="AP784" s="699"/>
      <c r="AQ784" s="699"/>
      <c r="AR784" s="699"/>
      <c r="AS784" s="699"/>
      <c r="AT784" s="699"/>
      <c r="AU784" s="699"/>
      <c r="AV784" s="699"/>
      <c r="AW784" s="699"/>
      <c r="AX784" s="700"/>
      <c r="AY784" s="700"/>
      <c r="AZ784" s="701"/>
    </row>
    <row r="785" spans="1:52" ht="29.25" customHeight="1" thickBot="1">
      <c r="A785" s="63">
        <f t="shared" ref="A785:A813" si="423">A784+1</f>
        <v>44868</v>
      </c>
      <c r="B785" s="138"/>
      <c r="C785" s="138"/>
      <c r="D785" s="138"/>
      <c r="E785" s="138"/>
      <c r="F785" s="138"/>
      <c r="G785" s="138"/>
      <c r="H785" s="138"/>
      <c r="I785" s="138"/>
      <c r="J785" s="138"/>
      <c r="K785" s="138"/>
      <c r="L785" s="138"/>
      <c r="M785" s="138"/>
      <c r="N785" s="138"/>
      <c r="O785" s="138"/>
      <c r="P785" s="138"/>
      <c r="Q785" s="138"/>
      <c r="R785" s="139"/>
      <c r="S785" s="176"/>
      <c r="T785" s="835"/>
      <c r="U785" s="835"/>
      <c r="V785" s="835"/>
      <c r="W785" s="835"/>
      <c r="X785" s="835"/>
      <c r="Y785" s="255">
        <f t="shared" si="421"/>
        <v>0</v>
      </c>
      <c r="Z785" s="309">
        <f t="shared" si="422"/>
        <v>0</v>
      </c>
      <c r="AA785" s="256">
        <f t="shared" si="419"/>
        <v>0</v>
      </c>
      <c r="AB785" s="309"/>
      <c r="AC785" s="309"/>
      <c r="AD785" s="320">
        <f t="shared" si="420"/>
        <v>0</v>
      </c>
      <c r="AF785" s="11"/>
      <c r="AG785" s="24"/>
      <c r="AH785" s="64">
        <f t="shared" ref="AH785:AH813" si="424">AH784+1</f>
        <v>43376</v>
      </c>
      <c r="AI785" s="698"/>
      <c r="AJ785" s="699"/>
      <c r="AK785" s="699"/>
      <c r="AL785" s="699"/>
      <c r="AM785" s="699"/>
      <c r="AN785" s="699"/>
      <c r="AO785" s="699"/>
      <c r="AP785" s="699"/>
      <c r="AQ785" s="699"/>
      <c r="AR785" s="699"/>
      <c r="AS785" s="699"/>
      <c r="AT785" s="699"/>
      <c r="AU785" s="699"/>
      <c r="AV785" s="699"/>
      <c r="AW785" s="699"/>
      <c r="AX785" s="700"/>
      <c r="AY785" s="700"/>
      <c r="AZ785" s="701"/>
    </row>
    <row r="786" spans="1:52" ht="29.25" customHeight="1" thickBot="1">
      <c r="A786" s="63">
        <f t="shared" si="423"/>
        <v>44869</v>
      </c>
      <c r="B786" s="138"/>
      <c r="C786" s="138"/>
      <c r="D786" s="138"/>
      <c r="E786" s="138"/>
      <c r="F786" s="138"/>
      <c r="G786" s="138"/>
      <c r="H786" s="138"/>
      <c r="I786" s="138"/>
      <c r="J786" s="138"/>
      <c r="K786" s="138"/>
      <c r="L786" s="138"/>
      <c r="M786" s="138"/>
      <c r="N786" s="138"/>
      <c r="O786" s="138"/>
      <c r="P786" s="138"/>
      <c r="Q786" s="138"/>
      <c r="R786" s="139"/>
      <c r="S786" s="176"/>
      <c r="T786" s="835"/>
      <c r="U786" s="835"/>
      <c r="V786" s="835"/>
      <c r="W786" s="835"/>
      <c r="X786" s="835"/>
      <c r="Y786" s="255">
        <f t="shared" si="421"/>
        <v>0</v>
      </c>
      <c r="Z786" s="309">
        <f t="shared" si="422"/>
        <v>0</v>
      </c>
      <c r="AA786" s="256">
        <f t="shared" si="419"/>
        <v>0</v>
      </c>
      <c r="AB786" s="309"/>
      <c r="AC786" s="309"/>
      <c r="AD786" s="320">
        <f t="shared" si="420"/>
        <v>0</v>
      </c>
      <c r="AF786" s="11"/>
      <c r="AG786" s="24"/>
      <c r="AH786" s="64">
        <f t="shared" si="424"/>
        <v>43377</v>
      </c>
      <c r="AI786" s="698"/>
      <c r="AJ786" s="699"/>
      <c r="AK786" s="699"/>
      <c r="AL786" s="699"/>
      <c r="AM786" s="699"/>
      <c r="AN786" s="699"/>
      <c r="AO786" s="699"/>
      <c r="AP786" s="699"/>
      <c r="AQ786" s="699"/>
      <c r="AR786" s="699"/>
      <c r="AS786" s="699"/>
      <c r="AT786" s="699"/>
      <c r="AU786" s="699"/>
      <c r="AV786" s="699"/>
      <c r="AW786" s="699"/>
      <c r="AX786" s="700"/>
      <c r="AY786" s="700"/>
      <c r="AZ786" s="701"/>
    </row>
    <row r="787" spans="1:52" ht="29.25" customHeight="1" thickBot="1">
      <c r="A787" s="63">
        <f t="shared" si="423"/>
        <v>44870</v>
      </c>
      <c r="B787" s="138"/>
      <c r="C787" s="138"/>
      <c r="D787" s="138"/>
      <c r="E787" s="138"/>
      <c r="F787" s="138"/>
      <c r="G787" s="138"/>
      <c r="H787" s="138"/>
      <c r="I787" s="138"/>
      <c r="J787" s="138"/>
      <c r="K787" s="138"/>
      <c r="L787" s="138"/>
      <c r="M787" s="138"/>
      <c r="N787" s="138"/>
      <c r="O787" s="138"/>
      <c r="P787" s="138"/>
      <c r="Q787" s="138"/>
      <c r="R787" s="139"/>
      <c r="S787" s="176"/>
      <c r="T787" s="835"/>
      <c r="U787" s="835"/>
      <c r="V787" s="835"/>
      <c r="W787" s="835"/>
      <c r="X787" s="835"/>
      <c r="Y787" s="255">
        <f t="shared" si="421"/>
        <v>0</v>
      </c>
      <c r="Z787" s="309">
        <f t="shared" si="422"/>
        <v>0</v>
      </c>
      <c r="AA787" s="256">
        <f t="shared" si="419"/>
        <v>0</v>
      </c>
      <c r="AB787" s="309"/>
      <c r="AC787" s="309"/>
      <c r="AD787" s="320">
        <f t="shared" si="420"/>
        <v>0</v>
      </c>
      <c r="AF787" s="11"/>
      <c r="AG787" s="24"/>
      <c r="AH787" s="64">
        <f t="shared" si="424"/>
        <v>43378</v>
      </c>
      <c r="AI787" s="698"/>
      <c r="AJ787" s="699"/>
      <c r="AK787" s="699"/>
      <c r="AL787" s="699"/>
      <c r="AM787" s="699"/>
      <c r="AN787" s="699"/>
      <c r="AO787" s="699"/>
      <c r="AP787" s="699"/>
      <c r="AQ787" s="699"/>
      <c r="AR787" s="699"/>
      <c r="AS787" s="699"/>
      <c r="AT787" s="699"/>
      <c r="AU787" s="699"/>
      <c r="AV787" s="699"/>
      <c r="AW787" s="699"/>
      <c r="AX787" s="700"/>
      <c r="AY787" s="700"/>
      <c r="AZ787" s="701"/>
    </row>
    <row r="788" spans="1:52" ht="29.25" customHeight="1" thickBot="1">
      <c r="A788" s="63">
        <f t="shared" si="423"/>
        <v>44871</v>
      </c>
      <c r="B788" s="138"/>
      <c r="C788" s="138"/>
      <c r="D788" s="138"/>
      <c r="E788" s="138"/>
      <c r="F788" s="138"/>
      <c r="G788" s="138"/>
      <c r="H788" s="138"/>
      <c r="I788" s="138"/>
      <c r="J788" s="138"/>
      <c r="K788" s="138"/>
      <c r="L788" s="138"/>
      <c r="M788" s="138"/>
      <c r="N788" s="138"/>
      <c r="O788" s="138"/>
      <c r="P788" s="138"/>
      <c r="Q788" s="138"/>
      <c r="R788" s="139"/>
      <c r="S788" s="176"/>
      <c r="T788" s="835"/>
      <c r="U788" s="835"/>
      <c r="V788" s="835"/>
      <c r="W788" s="835"/>
      <c r="X788" s="835"/>
      <c r="Y788" s="255">
        <f t="shared" si="421"/>
        <v>0</v>
      </c>
      <c r="Z788" s="309">
        <f t="shared" si="422"/>
        <v>0</v>
      </c>
      <c r="AA788" s="256">
        <f t="shared" si="419"/>
        <v>0</v>
      </c>
      <c r="AB788" s="309"/>
      <c r="AC788" s="309"/>
      <c r="AD788" s="320">
        <f t="shared" si="420"/>
        <v>0</v>
      </c>
      <c r="AF788" s="11"/>
      <c r="AG788" s="24"/>
      <c r="AH788" s="64">
        <f t="shared" si="424"/>
        <v>43379</v>
      </c>
      <c r="AI788" s="698"/>
      <c r="AJ788" s="699"/>
      <c r="AK788" s="699"/>
      <c r="AL788" s="699"/>
      <c r="AM788" s="699"/>
      <c r="AN788" s="699"/>
      <c r="AO788" s="699"/>
      <c r="AP788" s="699"/>
      <c r="AQ788" s="699"/>
      <c r="AR788" s="699"/>
      <c r="AS788" s="699"/>
      <c r="AT788" s="699"/>
      <c r="AU788" s="699"/>
      <c r="AV788" s="699"/>
      <c r="AW788" s="699"/>
      <c r="AX788" s="700"/>
      <c r="AY788" s="700"/>
      <c r="AZ788" s="701"/>
    </row>
    <row r="789" spans="1:52" ht="29.25" customHeight="1" thickBot="1">
      <c r="A789" s="63">
        <f t="shared" si="423"/>
        <v>44872</v>
      </c>
      <c r="B789" s="138"/>
      <c r="C789" s="138"/>
      <c r="D789" s="138"/>
      <c r="E789" s="138"/>
      <c r="F789" s="138"/>
      <c r="G789" s="138"/>
      <c r="H789" s="138"/>
      <c r="I789" s="138"/>
      <c r="J789" s="138"/>
      <c r="K789" s="138"/>
      <c r="L789" s="138"/>
      <c r="M789" s="138"/>
      <c r="N789" s="138"/>
      <c r="O789" s="138"/>
      <c r="P789" s="138"/>
      <c r="Q789" s="138"/>
      <c r="R789" s="139"/>
      <c r="S789" s="176"/>
      <c r="T789" s="835"/>
      <c r="U789" s="835"/>
      <c r="V789" s="835"/>
      <c r="W789" s="835"/>
      <c r="X789" s="835"/>
      <c r="Y789" s="255">
        <f>B789*280+C789*280+D789*280+E789*280+F789*130+G789*130+H789*90+I789*35+J789*35+K789*400+L789*400+M789*400+N789*365+O789*42+P789*80+Q789*200+R789*260+S789*41+T789*30+U789*60</f>
        <v>0</v>
      </c>
      <c r="Z789" s="309">
        <f t="shared" si="422"/>
        <v>0</v>
      </c>
      <c r="AA789" s="256">
        <f t="shared" si="419"/>
        <v>0</v>
      </c>
      <c r="AB789" s="309"/>
      <c r="AC789" s="309"/>
      <c r="AD789" s="320">
        <f t="shared" si="420"/>
        <v>0</v>
      </c>
      <c r="AF789" s="11"/>
      <c r="AG789" s="24"/>
      <c r="AH789" s="64">
        <f t="shared" si="424"/>
        <v>43380</v>
      </c>
      <c r="AI789" s="698"/>
      <c r="AJ789" s="699"/>
      <c r="AK789" s="699"/>
      <c r="AL789" s="699"/>
      <c r="AM789" s="699"/>
      <c r="AN789" s="699"/>
      <c r="AO789" s="699"/>
      <c r="AP789" s="699"/>
      <c r="AQ789" s="699"/>
      <c r="AR789" s="699"/>
      <c r="AS789" s="699"/>
      <c r="AT789" s="699"/>
      <c r="AU789" s="699"/>
      <c r="AV789" s="699"/>
      <c r="AW789" s="699"/>
      <c r="AX789" s="700"/>
      <c r="AY789" s="700"/>
      <c r="AZ789" s="701"/>
    </row>
    <row r="790" spans="1:52" ht="29.25" customHeight="1" thickBot="1">
      <c r="A790" s="63">
        <f t="shared" si="423"/>
        <v>44873</v>
      </c>
      <c r="B790" s="138"/>
      <c r="C790" s="138"/>
      <c r="D790" s="138"/>
      <c r="E790" s="138"/>
      <c r="F790" s="138"/>
      <c r="G790" s="138"/>
      <c r="H790" s="138"/>
      <c r="I790" s="138"/>
      <c r="J790" s="138"/>
      <c r="K790" s="138"/>
      <c r="L790" s="138"/>
      <c r="M790" s="138"/>
      <c r="N790" s="138"/>
      <c r="O790" s="138"/>
      <c r="P790" s="138"/>
      <c r="Q790" s="138"/>
      <c r="R790" s="139"/>
      <c r="S790" s="176"/>
      <c r="T790" s="835"/>
      <c r="U790" s="835"/>
      <c r="V790" s="835"/>
      <c r="W790" s="835"/>
      <c r="X790" s="835"/>
      <c r="Y790" s="255">
        <f t="shared" si="421"/>
        <v>0</v>
      </c>
      <c r="Z790" s="309">
        <f t="shared" si="422"/>
        <v>0</v>
      </c>
      <c r="AA790" s="256">
        <f t="shared" si="419"/>
        <v>0</v>
      </c>
      <c r="AB790" s="309"/>
      <c r="AC790" s="309"/>
      <c r="AD790" s="320">
        <f t="shared" si="420"/>
        <v>0</v>
      </c>
      <c r="AF790" s="11"/>
      <c r="AG790" s="24"/>
      <c r="AH790" s="64">
        <f t="shared" si="424"/>
        <v>43381</v>
      </c>
      <c r="AI790" s="698"/>
      <c r="AJ790" s="699"/>
      <c r="AK790" s="699"/>
      <c r="AL790" s="699"/>
      <c r="AM790" s="699"/>
      <c r="AN790" s="699"/>
      <c r="AO790" s="699"/>
      <c r="AP790" s="699"/>
      <c r="AQ790" s="699"/>
      <c r="AR790" s="699"/>
      <c r="AS790" s="699"/>
      <c r="AT790" s="699"/>
      <c r="AU790" s="699"/>
      <c r="AV790" s="699"/>
      <c r="AW790" s="699"/>
      <c r="AX790" s="700"/>
      <c r="AY790" s="700"/>
      <c r="AZ790" s="701"/>
    </row>
    <row r="791" spans="1:52" ht="29.25" customHeight="1" thickBot="1">
      <c r="A791" s="63">
        <f t="shared" si="423"/>
        <v>44874</v>
      </c>
      <c r="B791" s="138"/>
      <c r="C791" s="138"/>
      <c r="D791" s="138"/>
      <c r="E791" s="138"/>
      <c r="F791" s="138"/>
      <c r="G791" s="138"/>
      <c r="H791" s="138"/>
      <c r="I791" s="138"/>
      <c r="J791" s="138"/>
      <c r="K791" s="138"/>
      <c r="L791" s="138"/>
      <c r="M791" s="138"/>
      <c r="N791" s="138"/>
      <c r="O791" s="138"/>
      <c r="P791" s="138"/>
      <c r="Q791" s="138"/>
      <c r="R791" s="139"/>
      <c r="S791" s="176"/>
      <c r="T791" s="835"/>
      <c r="U791" s="835"/>
      <c r="V791" s="835"/>
      <c r="W791" s="835"/>
      <c r="X791" s="835"/>
      <c r="Y791" s="255">
        <f>B791*280+C791*280+D791*280+E791*280+F791*130+G791*130+H791*90+I791*35+J791*35+K791*400+L791*400+M791*400+N791*365+O791*42+P791*80+Q791*200+R791*260+S791*41+T791*30+U791*60</f>
        <v>0</v>
      </c>
      <c r="Z791" s="309">
        <f t="shared" si="422"/>
        <v>0</v>
      </c>
      <c r="AA791" s="256">
        <f t="shared" si="419"/>
        <v>0</v>
      </c>
      <c r="AB791" s="309"/>
      <c r="AC791" s="309"/>
      <c r="AD791" s="320">
        <f t="shared" si="420"/>
        <v>0</v>
      </c>
      <c r="AF791" s="11"/>
      <c r="AG791" s="24"/>
      <c r="AH791" s="64">
        <f t="shared" si="424"/>
        <v>43382</v>
      </c>
      <c r="AI791" s="698"/>
      <c r="AJ791" s="699"/>
      <c r="AK791" s="699"/>
      <c r="AL791" s="699"/>
      <c r="AM791" s="699"/>
      <c r="AN791" s="699"/>
      <c r="AO791" s="699"/>
      <c r="AP791" s="699"/>
      <c r="AQ791" s="699"/>
      <c r="AR791" s="699"/>
      <c r="AS791" s="699"/>
      <c r="AT791" s="699"/>
      <c r="AU791" s="699"/>
      <c r="AV791" s="699"/>
      <c r="AW791" s="699"/>
      <c r="AX791" s="700"/>
      <c r="AY791" s="700"/>
      <c r="AZ791" s="701"/>
    </row>
    <row r="792" spans="1:52" ht="29.25" customHeight="1" thickBot="1">
      <c r="A792" s="63">
        <f t="shared" si="423"/>
        <v>44875</v>
      </c>
      <c r="B792" s="138"/>
      <c r="C792" s="138"/>
      <c r="D792" s="138"/>
      <c r="E792" s="138"/>
      <c r="F792" s="138"/>
      <c r="G792" s="138"/>
      <c r="H792" s="138"/>
      <c r="I792" s="138"/>
      <c r="J792" s="138"/>
      <c r="K792" s="138"/>
      <c r="L792" s="138"/>
      <c r="M792" s="138"/>
      <c r="N792" s="138"/>
      <c r="O792" s="138"/>
      <c r="P792" s="138"/>
      <c r="Q792" s="138"/>
      <c r="R792" s="139"/>
      <c r="S792" s="176"/>
      <c r="T792" s="835"/>
      <c r="U792" s="835"/>
      <c r="V792" s="835"/>
      <c r="W792" s="835"/>
      <c r="X792" s="835"/>
      <c r="Y792" s="255">
        <f t="shared" si="421"/>
        <v>0</v>
      </c>
      <c r="Z792" s="309">
        <f t="shared" si="422"/>
        <v>0</v>
      </c>
      <c r="AA792" s="256">
        <f t="shared" si="419"/>
        <v>0</v>
      </c>
      <c r="AB792" s="309"/>
      <c r="AC792" s="309"/>
      <c r="AD792" s="320">
        <f t="shared" si="420"/>
        <v>0</v>
      </c>
      <c r="AF792" s="11"/>
      <c r="AG792" s="24"/>
      <c r="AH792" s="64">
        <f t="shared" si="424"/>
        <v>43383</v>
      </c>
      <c r="AI792" s="698"/>
      <c r="AJ792" s="699"/>
      <c r="AK792" s="699"/>
      <c r="AL792" s="699"/>
      <c r="AM792" s="699"/>
      <c r="AN792" s="699"/>
      <c r="AO792" s="699"/>
      <c r="AP792" s="699"/>
      <c r="AQ792" s="699"/>
      <c r="AR792" s="699"/>
      <c r="AS792" s="699"/>
      <c r="AT792" s="699"/>
      <c r="AU792" s="699"/>
      <c r="AV792" s="699"/>
      <c r="AW792" s="699"/>
      <c r="AX792" s="700"/>
      <c r="AY792" s="700"/>
      <c r="AZ792" s="701"/>
    </row>
    <row r="793" spans="1:52" ht="29.25" customHeight="1" thickBot="1">
      <c r="A793" s="63">
        <f t="shared" si="423"/>
        <v>44876</v>
      </c>
      <c r="B793" s="138"/>
      <c r="C793" s="138"/>
      <c r="D793" s="138"/>
      <c r="E793" s="138"/>
      <c r="F793" s="138"/>
      <c r="G793" s="138"/>
      <c r="H793" s="138"/>
      <c r="I793" s="138"/>
      <c r="J793" s="138"/>
      <c r="K793" s="138"/>
      <c r="L793" s="138"/>
      <c r="M793" s="138"/>
      <c r="N793" s="138"/>
      <c r="O793" s="138"/>
      <c r="P793" s="138"/>
      <c r="Q793" s="138"/>
      <c r="R793" s="139"/>
      <c r="S793" s="176"/>
      <c r="T793" s="835"/>
      <c r="U793" s="835"/>
      <c r="V793" s="835"/>
      <c r="W793" s="835"/>
      <c r="X793" s="835"/>
      <c r="Y793" s="255">
        <f t="shared" si="421"/>
        <v>0</v>
      </c>
      <c r="Z793" s="309">
        <f t="shared" si="422"/>
        <v>0</v>
      </c>
      <c r="AA793" s="256">
        <f t="shared" si="419"/>
        <v>0</v>
      </c>
      <c r="AB793" s="309"/>
      <c r="AC793" s="309"/>
      <c r="AD793" s="320">
        <f t="shared" si="420"/>
        <v>0</v>
      </c>
      <c r="AF793" s="11"/>
      <c r="AG793" s="24"/>
      <c r="AH793" s="64">
        <f t="shared" si="424"/>
        <v>43384</v>
      </c>
      <c r="AI793" s="698"/>
      <c r="AJ793" s="699"/>
      <c r="AK793" s="699"/>
      <c r="AL793" s="699"/>
      <c r="AM793" s="699"/>
      <c r="AN793" s="699"/>
      <c r="AO793" s="699"/>
      <c r="AP793" s="699"/>
      <c r="AQ793" s="699"/>
      <c r="AR793" s="699"/>
      <c r="AS793" s="699"/>
      <c r="AT793" s="699"/>
      <c r="AU793" s="699"/>
      <c r="AV793" s="699"/>
      <c r="AW793" s="699"/>
      <c r="AX793" s="700"/>
      <c r="AY793" s="700"/>
      <c r="AZ793" s="701"/>
    </row>
    <row r="794" spans="1:52" ht="29.25" customHeight="1" thickBot="1">
      <c r="A794" s="63">
        <f t="shared" si="423"/>
        <v>44877</v>
      </c>
      <c r="B794" s="138"/>
      <c r="C794" s="138"/>
      <c r="D794" s="138"/>
      <c r="E794" s="138"/>
      <c r="F794" s="138"/>
      <c r="G794" s="138"/>
      <c r="H794" s="138"/>
      <c r="I794" s="138"/>
      <c r="J794" s="138"/>
      <c r="K794" s="138"/>
      <c r="L794" s="138"/>
      <c r="M794" s="138"/>
      <c r="N794" s="138"/>
      <c r="O794" s="138"/>
      <c r="P794" s="138"/>
      <c r="Q794" s="138"/>
      <c r="R794" s="139"/>
      <c r="S794" s="176"/>
      <c r="T794" s="835"/>
      <c r="U794" s="835"/>
      <c r="V794" s="835"/>
      <c r="W794" s="835"/>
      <c r="X794" s="835"/>
      <c r="Y794" s="255">
        <f>B794*280+C794*280+D794*280+E794*280+F794*130+G794*130+H794*90+I794*35+J794*35+K794*400+L794*400+M794*400+N794*365+O794*42+P794*80+Q794*200+R794*260+S794*41+T794*30+U794*60</f>
        <v>0</v>
      </c>
      <c r="Z794" s="309">
        <f t="shared" si="422"/>
        <v>0</v>
      </c>
      <c r="AA794" s="256">
        <f t="shared" si="419"/>
        <v>0</v>
      </c>
      <c r="AB794" s="309"/>
      <c r="AC794" s="309"/>
      <c r="AD794" s="320">
        <f t="shared" si="420"/>
        <v>0</v>
      </c>
      <c r="AF794" s="11"/>
      <c r="AG794" s="24"/>
      <c r="AH794" s="64">
        <f t="shared" si="424"/>
        <v>43385</v>
      </c>
      <c r="AI794" s="698"/>
      <c r="AJ794" s="699"/>
      <c r="AK794" s="699"/>
      <c r="AL794" s="699"/>
      <c r="AM794" s="699"/>
      <c r="AN794" s="699"/>
      <c r="AO794" s="699"/>
      <c r="AP794" s="699"/>
      <c r="AQ794" s="699"/>
      <c r="AR794" s="699"/>
      <c r="AS794" s="699"/>
      <c r="AT794" s="699"/>
      <c r="AU794" s="699"/>
      <c r="AV794" s="699"/>
      <c r="AW794" s="699"/>
      <c r="AX794" s="700"/>
      <c r="AY794" s="700"/>
      <c r="AZ794" s="701"/>
    </row>
    <row r="795" spans="1:52" ht="29.25" customHeight="1" thickBot="1">
      <c r="A795" s="63">
        <f t="shared" si="423"/>
        <v>44878</v>
      </c>
      <c r="B795" s="138"/>
      <c r="C795" s="138"/>
      <c r="D795" s="138"/>
      <c r="E795" s="138"/>
      <c r="F795" s="138"/>
      <c r="G795" s="138"/>
      <c r="H795" s="138"/>
      <c r="I795" s="138"/>
      <c r="J795" s="138"/>
      <c r="K795" s="138"/>
      <c r="L795" s="138"/>
      <c r="M795" s="138"/>
      <c r="N795" s="138"/>
      <c r="O795" s="138"/>
      <c r="P795" s="138"/>
      <c r="Q795" s="138"/>
      <c r="R795" s="139"/>
      <c r="S795" s="176"/>
      <c r="T795" s="835"/>
      <c r="U795" s="835"/>
      <c r="V795" s="835"/>
      <c r="W795" s="835"/>
      <c r="X795" s="835"/>
      <c r="Y795" s="255">
        <f>B795*280+C795*280+D795*280+E795*280+F795*130+G795*130+H795*90+I795*35+J795*35+K795*400+L795*400+M795*400+N795*365+O795*42+P795*80+Q795*200+R795*260+S795*41+T795*30+U795*60</f>
        <v>0</v>
      </c>
      <c r="Z795" s="309">
        <f t="shared" si="422"/>
        <v>0</v>
      </c>
      <c r="AA795" s="256">
        <f t="shared" si="419"/>
        <v>0</v>
      </c>
      <c r="AB795" s="309"/>
      <c r="AC795" s="309"/>
      <c r="AD795" s="320">
        <f t="shared" si="420"/>
        <v>0</v>
      </c>
      <c r="AF795" s="11"/>
      <c r="AG795" s="24"/>
      <c r="AH795" s="64">
        <f t="shared" si="424"/>
        <v>43386</v>
      </c>
      <c r="AI795" s="698"/>
      <c r="AJ795" s="699"/>
      <c r="AK795" s="699"/>
      <c r="AL795" s="699"/>
      <c r="AM795" s="699"/>
      <c r="AN795" s="699"/>
      <c r="AO795" s="699"/>
      <c r="AP795" s="699"/>
      <c r="AQ795" s="699"/>
      <c r="AR795" s="699"/>
      <c r="AS795" s="699"/>
      <c r="AT795" s="699"/>
      <c r="AU795" s="699"/>
      <c r="AV795" s="699"/>
      <c r="AW795" s="699"/>
      <c r="AX795" s="700"/>
      <c r="AY795" s="700"/>
      <c r="AZ795" s="701"/>
    </row>
    <row r="796" spans="1:52" ht="29.25" customHeight="1" thickBot="1">
      <c r="A796" s="63">
        <f t="shared" si="423"/>
        <v>44879</v>
      </c>
      <c r="B796" s="138"/>
      <c r="C796" s="138"/>
      <c r="D796" s="138"/>
      <c r="E796" s="138"/>
      <c r="F796" s="138"/>
      <c r="G796" s="138"/>
      <c r="H796" s="138"/>
      <c r="I796" s="138"/>
      <c r="J796" s="138"/>
      <c r="K796" s="138"/>
      <c r="L796" s="138"/>
      <c r="M796" s="138"/>
      <c r="N796" s="138"/>
      <c r="O796" s="138"/>
      <c r="P796" s="138"/>
      <c r="Q796" s="138"/>
      <c r="R796" s="139"/>
      <c r="S796" s="176"/>
      <c r="T796" s="835"/>
      <c r="U796" s="835"/>
      <c r="V796" s="835"/>
      <c r="W796" s="835"/>
      <c r="X796" s="835"/>
      <c r="Y796" s="255">
        <f t="shared" si="421"/>
        <v>0</v>
      </c>
      <c r="Z796" s="309">
        <f t="shared" si="422"/>
        <v>0</v>
      </c>
      <c r="AA796" s="256">
        <f t="shared" si="419"/>
        <v>0</v>
      </c>
      <c r="AB796" s="309"/>
      <c r="AC796" s="309"/>
      <c r="AD796" s="320">
        <f t="shared" si="420"/>
        <v>0</v>
      </c>
      <c r="AF796" s="11"/>
      <c r="AG796" s="24"/>
      <c r="AH796" s="64">
        <f t="shared" si="424"/>
        <v>43387</v>
      </c>
      <c r="AI796" s="698"/>
      <c r="AJ796" s="699"/>
      <c r="AK796" s="699"/>
      <c r="AL796" s="699"/>
      <c r="AM796" s="699"/>
      <c r="AN796" s="699"/>
      <c r="AO796" s="699"/>
      <c r="AP796" s="699"/>
      <c r="AQ796" s="699"/>
      <c r="AR796" s="699"/>
      <c r="AS796" s="699"/>
      <c r="AT796" s="699"/>
      <c r="AU796" s="699"/>
      <c r="AV796" s="699"/>
      <c r="AW796" s="699"/>
      <c r="AX796" s="700"/>
      <c r="AY796" s="700"/>
      <c r="AZ796" s="701"/>
    </row>
    <row r="797" spans="1:52" ht="29.25" customHeight="1" thickBot="1">
      <c r="A797" s="63">
        <f t="shared" si="423"/>
        <v>44880</v>
      </c>
      <c r="B797" s="138"/>
      <c r="C797" s="138"/>
      <c r="D797" s="138"/>
      <c r="E797" s="138"/>
      <c r="F797" s="138"/>
      <c r="G797" s="138"/>
      <c r="H797" s="138"/>
      <c r="I797" s="138"/>
      <c r="J797" s="138"/>
      <c r="K797" s="138"/>
      <c r="L797" s="138"/>
      <c r="M797" s="138"/>
      <c r="N797" s="138"/>
      <c r="O797" s="138"/>
      <c r="P797" s="138"/>
      <c r="Q797" s="138"/>
      <c r="R797" s="139"/>
      <c r="S797" s="176"/>
      <c r="T797" s="835"/>
      <c r="U797" s="835"/>
      <c r="V797" s="835"/>
      <c r="W797" s="835"/>
      <c r="X797" s="835"/>
      <c r="Y797" s="255">
        <f t="shared" si="421"/>
        <v>0</v>
      </c>
      <c r="Z797" s="309">
        <f t="shared" si="422"/>
        <v>0</v>
      </c>
      <c r="AA797" s="256">
        <f t="shared" si="419"/>
        <v>0</v>
      </c>
      <c r="AB797" s="309"/>
      <c r="AC797" s="309"/>
      <c r="AD797" s="320">
        <f t="shared" si="420"/>
        <v>0</v>
      </c>
      <c r="AF797" s="11"/>
      <c r="AG797" s="24"/>
      <c r="AH797" s="64">
        <f t="shared" si="424"/>
        <v>43388</v>
      </c>
      <c r="AI797" s="698"/>
      <c r="AJ797" s="699"/>
      <c r="AK797" s="699"/>
      <c r="AL797" s="699"/>
      <c r="AM797" s="699"/>
      <c r="AN797" s="699"/>
      <c r="AO797" s="699"/>
      <c r="AP797" s="699"/>
      <c r="AQ797" s="699"/>
      <c r="AR797" s="699"/>
      <c r="AS797" s="699"/>
      <c r="AT797" s="699"/>
      <c r="AU797" s="699"/>
      <c r="AV797" s="699"/>
      <c r="AW797" s="699"/>
      <c r="AX797" s="700"/>
      <c r="AY797" s="700"/>
      <c r="AZ797" s="701"/>
    </row>
    <row r="798" spans="1:52" ht="29.25" customHeight="1" thickBot="1">
      <c r="A798" s="63">
        <f t="shared" si="423"/>
        <v>44881</v>
      </c>
      <c r="B798" s="138"/>
      <c r="C798" s="138"/>
      <c r="D798" s="138"/>
      <c r="E798" s="138"/>
      <c r="F798" s="138"/>
      <c r="G798" s="138"/>
      <c r="H798" s="138"/>
      <c r="I798" s="138"/>
      <c r="J798" s="138"/>
      <c r="K798" s="138"/>
      <c r="L798" s="138"/>
      <c r="M798" s="138"/>
      <c r="N798" s="138"/>
      <c r="O798" s="138"/>
      <c r="P798" s="138"/>
      <c r="Q798" s="138"/>
      <c r="R798" s="139"/>
      <c r="S798" s="176"/>
      <c r="T798" s="835"/>
      <c r="U798" s="835"/>
      <c r="V798" s="835"/>
      <c r="W798" s="835"/>
      <c r="X798" s="835"/>
      <c r="Y798" s="255">
        <f>B798*280+C798*280+D798*280+E798*280+F798*130+G798*130+H798*90+I798*35+J798*35+K798*400+L798*400+M798*400+N798*365+O798*42+P798*80+Q798*200+R798*260+S798*41+T798*30+U798*60</f>
        <v>0</v>
      </c>
      <c r="Z798" s="309">
        <f t="shared" si="422"/>
        <v>0</v>
      </c>
      <c r="AA798" s="256">
        <f t="shared" si="419"/>
        <v>0</v>
      </c>
      <c r="AB798" s="309"/>
      <c r="AC798" s="309"/>
      <c r="AD798" s="320">
        <f t="shared" si="420"/>
        <v>0</v>
      </c>
      <c r="AF798" s="11"/>
      <c r="AG798" s="24"/>
      <c r="AH798" s="64">
        <f t="shared" si="424"/>
        <v>43389</v>
      </c>
      <c r="AI798" s="698"/>
      <c r="AJ798" s="699"/>
      <c r="AK798" s="699"/>
      <c r="AL798" s="699"/>
      <c r="AM798" s="699"/>
      <c r="AN798" s="699"/>
      <c r="AO798" s="699"/>
      <c r="AP798" s="699"/>
      <c r="AQ798" s="699"/>
      <c r="AR798" s="699"/>
      <c r="AS798" s="699"/>
      <c r="AT798" s="699"/>
      <c r="AU798" s="699"/>
      <c r="AV798" s="699"/>
      <c r="AW798" s="699"/>
      <c r="AX798" s="700"/>
      <c r="AY798" s="700"/>
      <c r="AZ798" s="701"/>
    </row>
    <row r="799" spans="1:52" ht="29.25" customHeight="1" thickBot="1">
      <c r="A799" s="63">
        <f t="shared" si="423"/>
        <v>44882</v>
      </c>
      <c r="B799" s="138"/>
      <c r="C799" s="138"/>
      <c r="D799" s="138"/>
      <c r="E799" s="138"/>
      <c r="F799" s="138"/>
      <c r="G799" s="138"/>
      <c r="H799" s="138"/>
      <c r="I799" s="138"/>
      <c r="J799" s="138"/>
      <c r="K799" s="138"/>
      <c r="L799" s="138"/>
      <c r="M799" s="138"/>
      <c r="N799" s="138"/>
      <c r="O799" s="138"/>
      <c r="P799" s="138"/>
      <c r="Q799" s="138"/>
      <c r="R799" s="139"/>
      <c r="S799" s="176"/>
      <c r="T799" s="835"/>
      <c r="U799" s="835"/>
      <c r="V799" s="835"/>
      <c r="W799" s="835"/>
      <c r="X799" s="835"/>
      <c r="Y799" s="255">
        <f>B799*280+C799*280+D799*280+E799*280+F799*130+G799*130+H799*90+I799*35+J799*35+K799*400+L799*400+M799*400+N799*365+O799*42+P799*80+Q799*200+R799*260+S799*41+T799*30+U799*60</f>
        <v>0</v>
      </c>
      <c r="Z799" s="309">
        <f t="shared" si="422"/>
        <v>0</v>
      </c>
      <c r="AA799" s="256">
        <f t="shared" si="419"/>
        <v>0</v>
      </c>
      <c r="AB799" s="309"/>
      <c r="AC799" s="309"/>
      <c r="AD799" s="320">
        <f t="shared" si="420"/>
        <v>0</v>
      </c>
      <c r="AF799" s="11"/>
      <c r="AG799" s="24"/>
      <c r="AH799" s="64">
        <f t="shared" si="424"/>
        <v>43390</v>
      </c>
      <c r="AI799" s="698"/>
      <c r="AJ799" s="699"/>
      <c r="AK799" s="699"/>
      <c r="AL799" s="699"/>
      <c r="AM799" s="699"/>
      <c r="AN799" s="699"/>
      <c r="AO799" s="699"/>
      <c r="AP799" s="699"/>
      <c r="AQ799" s="699"/>
      <c r="AR799" s="699"/>
      <c r="AS799" s="699"/>
      <c r="AT799" s="699"/>
      <c r="AU799" s="699"/>
      <c r="AV799" s="699"/>
      <c r="AW799" s="699"/>
      <c r="AX799" s="700"/>
      <c r="AY799" s="700"/>
      <c r="AZ799" s="701"/>
    </row>
    <row r="800" spans="1:52" ht="29.25" customHeight="1" thickBot="1">
      <c r="A800" s="63">
        <f t="shared" si="423"/>
        <v>44883</v>
      </c>
      <c r="B800" s="138"/>
      <c r="C800" s="138"/>
      <c r="D800" s="138"/>
      <c r="E800" s="138"/>
      <c r="F800" s="138"/>
      <c r="G800" s="138"/>
      <c r="H800" s="138"/>
      <c r="I800" s="138"/>
      <c r="J800" s="138"/>
      <c r="K800" s="138"/>
      <c r="L800" s="138"/>
      <c r="M800" s="138"/>
      <c r="N800" s="138"/>
      <c r="O800" s="138"/>
      <c r="P800" s="138"/>
      <c r="Q800" s="138"/>
      <c r="R800" s="139"/>
      <c r="S800" s="176"/>
      <c r="T800" s="835"/>
      <c r="U800" s="835"/>
      <c r="V800" s="835"/>
      <c r="W800" s="835"/>
      <c r="X800" s="835"/>
      <c r="Y800" s="255">
        <f>B800*280+C800*280+D800*280+E800*280+F800*130+G800*130+H800*90+I800*35+J800*35+K800*400+L800*400+M800*400+N800*365+O800*42+P800*365+Q800*73+R800*260+S800*41+T800*30+U800*60</f>
        <v>0</v>
      </c>
      <c r="Z800" s="309">
        <f t="shared" si="422"/>
        <v>0</v>
      </c>
      <c r="AA800" s="256">
        <f t="shared" si="419"/>
        <v>0</v>
      </c>
      <c r="AB800" s="309"/>
      <c r="AC800" s="309"/>
      <c r="AD800" s="320">
        <f t="shared" si="420"/>
        <v>0</v>
      </c>
      <c r="AF800" s="11"/>
      <c r="AG800" s="24"/>
      <c r="AH800" s="64">
        <f t="shared" si="424"/>
        <v>43391</v>
      </c>
      <c r="AI800" s="698"/>
      <c r="AJ800" s="699"/>
      <c r="AK800" s="699"/>
      <c r="AL800" s="699"/>
      <c r="AM800" s="699"/>
      <c r="AN800" s="699"/>
      <c r="AO800" s="699"/>
      <c r="AP800" s="699"/>
      <c r="AQ800" s="699"/>
      <c r="AR800" s="699"/>
      <c r="AS800" s="699"/>
      <c r="AT800" s="699"/>
      <c r="AU800" s="699"/>
      <c r="AV800" s="699"/>
      <c r="AW800" s="699"/>
      <c r="AX800" s="700"/>
      <c r="AY800" s="700"/>
      <c r="AZ800" s="701"/>
    </row>
    <row r="801" spans="1:52" ht="29.25" customHeight="1" thickBot="1">
      <c r="A801" s="63">
        <f t="shared" si="423"/>
        <v>44884</v>
      </c>
      <c r="B801" s="138"/>
      <c r="C801" s="138"/>
      <c r="D801" s="138"/>
      <c r="E801" s="138"/>
      <c r="F801" s="138"/>
      <c r="G801" s="138"/>
      <c r="H801" s="138"/>
      <c r="I801" s="138"/>
      <c r="J801" s="138"/>
      <c r="K801" s="138"/>
      <c r="L801" s="138"/>
      <c r="M801" s="138"/>
      <c r="N801" s="138"/>
      <c r="O801" s="138"/>
      <c r="P801" s="138"/>
      <c r="Q801" s="138"/>
      <c r="R801" s="139"/>
      <c r="S801" s="176"/>
      <c r="T801" s="835"/>
      <c r="U801" s="835"/>
      <c r="V801" s="835"/>
      <c r="W801" s="835"/>
      <c r="X801" s="835"/>
      <c r="Y801" s="255">
        <f>B801*280+C801*280+D801*280+E801*280+F801*130+G801*130+H801*90+I801*35+J801*35+K801*400+L801*400+M801*400+N801*365+O801*42+P801*365+Q801*73+R801*260+S801*41+T801*30+U801*60</f>
        <v>0</v>
      </c>
      <c r="Z801" s="309">
        <f t="shared" si="422"/>
        <v>0</v>
      </c>
      <c r="AA801" s="256">
        <f t="shared" si="419"/>
        <v>0</v>
      </c>
      <c r="AB801" s="309"/>
      <c r="AC801" s="309"/>
      <c r="AD801" s="320">
        <f t="shared" si="420"/>
        <v>0</v>
      </c>
      <c r="AF801" s="11"/>
      <c r="AG801" s="24"/>
      <c r="AH801" s="64">
        <f t="shared" si="424"/>
        <v>43392</v>
      </c>
      <c r="AI801" s="698"/>
      <c r="AJ801" s="699"/>
      <c r="AK801" s="699"/>
      <c r="AL801" s="699"/>
      <c r="AM801" s="699"/>
      <c r="AN801" s="699"/>
      <c r="AO801" s="699"/>
      <c r="AP801" s="699"/>
      <c r="AQ801" s="699"/>
      <c r="AR801" s="699"/>
      <c r="AS801" s="699"/>
      <c r="AT801" s="699"/>
      <c r="AU801" s="699"/>
      <c r="AV801" s="699"/>
      <c r="AW801" s="699"/>
      <c r="AX801" s="700"/>
      <c r="AY801" s="700"/>
      <c r="AZ801" s="701"/>
    </row>
    <row r="802" spans="1:52" ht="29.25" customHeight="1" thickBot="1">
      <c r="A802" s="63">
        <f t="shared" si="423"/>
        <v>44885</v>
      </c>
      <c r="B802" s="138"/>
      <c r="C802" s="138"/>
      <c r="D802" s="138"/>
      <c r="E802" s="138"/>
      <c r="F802" s="138"/>
      <c r="G802" s="138"/>
      <c r="H802" s="138"/>
      <c r="I802" s="138"/>
      <c r="J802" s="138"/>
      <c r="K802" s="138"/>
      <c r="L802" s="138"/>
      <c r="M802" s="138"/>
      <c r="N802" s="138"/>
      <c r="O802" s="138"/>
      <c r="P802" s="138"/>
      <c r="Q802" s="138"/>
      <c r="R802" s="139"/>
      <c r="S802" s="176"/>
      <c r="T802" s="835"/>
      <c r="U802" s="835"/>
      <c r="V802" s="835"/>
      <c r="W802" s="835"/>
      <c r="X802" s="835"/>
      <c r="Y802" s="255">
        <f t="shared" si="421"/>
        <v>0</v>
      </c>
      <c r="Z802" s="309">
        <f t="shared" si="422"/>
        <v>0</v>
      </c>
      <c r="AA802" s="256">
        <f t="shared" si="419"/>
        <v>0</v>
      </c>
      <c r="AB802" s="309"/>
      <c r="AC802" s="309"/>
      <c r="AD802" s="320">
        <f t="shared" si="420"/>
        <v>0</v>
      </c>
      <c r="AF802" s="11"/>
      <c r="AG802" s="24"/>
      <c r="AH802" s="64">
        <f t="shared" si="424"/>
        <v>43393</v>
      </c>
      <c r="AI802" s="698"/>
      <c r="AJ802" s="699"/>
      <c r="AK802" s="699"/>
      <c r="AL802" s="699"/>
      <c r="AM802" s="699"/>
      <c r="AN802" s="699"/>
      <c r="AO802" s="699"/>
      <c r="AP802" s="699"/>
      <c r="AQ802" s="699"/>
      <c r="AR802" s="699"/>
      <c r="AS802" s="699"/>
      <c r="AT802" s="699"/>
      <c r="AU802" s="699"/>
      <c r="AV802" s="699"/>
      <c r="AW802" s="699"/>
      <c r="AX802" s="700"/>
      <c r="AY802" s="700"/>
      <c r="AZ802" s="701"/>
    </row>
    <row r="803" spans="1:52" ht="29.25" customHeight="1" thickBot="1">
      <c r="A803" s="63">
        <f t="shared" si="423"/>
        <v>44886</v>
      </c>
      <c r="B803" s="138"/>
      <c r="C803" s="138"/>
      <c r="D803" s="138"/>
      <c r="E803" s="138"/>
      <c r="F803" s="138"/>
      <c r="G803" s="138"/>
      <c r="H803" s="138"/>
      <c r="I803" s="138"/>
      <c r="J803" s="138"/>
      <c r="K803" s="138"/>
      <c r="L803" s="138"/>
      <c r="M803" s="138"/>
      <c r="N803" s="138"/>
      <c r="O803" s="138"/>
      <c r="P803" s="138"/>
      <c r="Q803" s="138"/>
      <c r="R803" s="139"/>
      <c r="S803" s="176"/>
      <c r="T803" s="835"/>
      <c r="U803" s="835"/>
      <c r="V803" s="835"/>
      <c r="W803" s="835"/>
      <c r="X803" s="835"/>
      <c r="Y803" s="255">
        <f t="shared" si="421"/>
        <v>0</v>
      </c>
      <c r="Z803" s="309">
        <f t="shared" si="422"/>
        <v>0</v>
      </c>
      <c r="AA803" s="256">
        <f t="shared" si="419"/>
        <v>0</v>
      </c>
      <c r="AB803" s="309"/>
      <c r="AC803" s="309"/>
      <c r="AD803" s="320">
        <f t="shared" si="420"/>
        <v>0</v>
      </c>
      <c r="AF803" s="11"/>
      <c r="AG803" s="24"/>
      <c r="AH803" s="64">
        <f t="shared" si="424"/>
        <v>43394</v>
      </c>
      <c r="AI803" s="698"/>
      <c r="AJ803" s="699"/>
      <c r="AK803" s="699"/>
      <c r="AL803" s="699"/>
      <c r="AM803" s="699"/>
      <c r="AN803" s="699"/>
      <c r="AO803" s="699"/>
      <c r="AP803" s="699"/>
      <c r="AQ803" s="699"/>
      <c r="AR803" s="699"/>
      <c r="AS803" s="699"/>
      <c r="AT803" s="699"/>
      <c r="AU803" s="699"/>
      <c r="AV803" s="699"/>
      <c r="AW803" s="699"/>
      <c r="AX803" s="700"/>
      <c r="AY803" s="700"/>
      <c r="AZ803" s="701"/>
    </row>
    <row r="804" spans="1:52" ht="29.25" customHeight="1" thickBot="1">
      <c r="A804" s="63">
        <f t="shared" si="423"/>
        <v>44887</v>
      </c>
      <c r="B804" s="138"/>
      <c r="C804" s="138"/>
      <c r="D804" s="138"/>
      <c r="E804" s="138"/>
      <c r="F804" s="138"/>
      <c r="G804" s="138"/>
      <c r="H804" s="138"/>
      <c r="I804" s="138"/>
      <c r="J804" s="138"/>
      <c r="K804" s="138"/>
      <c r="L804" s="138"/>
      <c r="M804" s="138"/>
      <c r="N804" s="138"/>
      <c r="O804" s="138"/>
      <c r="P804" s="138"/>
      <c r="Q804" s="138"/>
      <c r="R804" s="139"/>
      <c r="S804" s="176"/>
      <c r="T804" s="835"/>
      <c r="U804" s="835"/>
      <c r="V804" s="835"/>
      <c r="W804" s="835"/>
      <c r="X804" s="835"/>
      <c r="Y804" s="255">
        <f>B804*280+C804*280+D804*280+E804*280+F804*130+G804*130+H804*90+I804*35+J804*35+K804*400+L804*400+M804*400+N804*365+O804*42+P804*80+Q804*200+R804*260+S804*41+T804*30+U804*60</f>
        <v>0</v>
      </c>
      <c r="Z804" s="309">
        <f t="shared" si="422"/>
        <v>0</v>
      </c>
      <c r="AA804" s="256">
        <f t="shared" si="419"/>
        <v>0</v>
      </c>
      <c r="AB804" s="309"/>
      <c r="AC804" s="309"/>
      <c r="AD804" s="320">
        <f t="shared" si="420"/>
        <v>0</v>
      </c>
      <c r="AF804" s="11"/>
      <c r="AG804" s="24"/>
      <c r="AH804" s="64">
        <f t="shared" si="424"/>
        <v>43395</v>
      </c>
      <c r="AI804" s="698"/>
      <c r="AJ804" s="699"/>
      <c r="AK804" s="699"/>
      <c r="AL804" s="699"/>
      <c r="AM804" s="699"/>
      <c r="AN804" s="699"/>
      <c r="AO804" s="699"/>
      <c r="AP804" s="699"/>
      <c r="AQ804" s="699"/>
      <c r="AR804" s="699"/>
      <c r="AS804" s="699"/>
      <c r="AT804" s="699"/>
      <c r="AU804" s="699"/>
      <c r="AV804" s="699"/>
      <c r="AW804" s="699"/>
      <c r="AX804" s="700"/>
      <c r="AY804" s="700"/>
      <c r="AZ804" s="701"/>
    </row>
    <row r="805" spans="1:52" ht="29.25" customHeight="1" thickBot="1">
      <c r="A805" s="63">
        <f t="shared" si="423"/>
        <v>44888</v>
      </c>
      <c r="B805" s="138"/>
      <c r="C805" s="138"/>
      <c r="D805" s="138"/>
      <c r="E805" s="138"/>
      <c r="F805" s="138"/>
      <c r="G805" s="138"/>
      <c r="H805" s="138"/>
      <c r="I805" s="138"/>
      <c r="J805" s="138"/>
      <c r="K805" s="138"/>
      <c r="L805" s="138"/>
      <c r="M805" s="138"/>
      <c r="N805" s="138"/>
      <c r="O805" s="138"/>
      <c r="P805" s="138"/>
      <c r="Q805" s="138"/>
      <c r="R805" s="139"/>
      <c r="S805" s="176"/>
      <c r="T805" s="835"/>
      <c r="U805" s="835"/>
      <c r="V805" s="835"/>
      <c r="W805" s="835"/>
      <c r="X805" s="835"/>
      <c r="Y805" s="255">
        <f t="shared" si="421"/>
        <v>0</v>
      </c>
      <c r="Z805" s="309">
        <f t="shared" si="422"/>
        <v>0</v>
      </c>
      <c r="AA805" s="256">
        <f t="shared" si="419"/>
        <v>0</v>
      </c>
      <c r="AB805" s="309"/>
      <c r="AC805" s="309"/>
      <c r="AD805" s="320">
        <f t="shared" si="420"/>
        <v>0</v>
      </c>
      <c r="AF805" s="11"/>
      <c r="AG805" s="24"/>
      <c r="AH805" s="64">
        <f t="shared" si="424"/>
        <v>43396</v>
      </c>
      <c r="AI805" s="698"/>
      <c r="AJ805" s="699"/>
      <c r="AK805" s="699"/>
      <c r="AL805" s="699"/>
      <c r="AM805" s="699"/>
      <c r="AN805" s="699"/>
      <c r="AO805" s="699"/>
      <c r="AP805" s="699"/>
      <c r="AQ805" s="699"/>
      <c r="AR805" s="699"/>
      <c r="AS805" s="699"/>
      <c r="AT805" s="699"/>
      <c r="AU805" s="699"/>
      <c r="AV805" s="699"/>
      <c r="AW805" s="699"/>
      <c r="AX805" s="700"/>
      <c r="AY805" s="700"/>
      <c r="AZ805" s="701"/>
    </row>
    <row r="806" spans="1:52" ht="29.25" customHeight="1" thickBot="1">
      <c r="A806" s="63">
        <f t="shared" si="423"/>
        <v>44889</v>
      </c>
      <c r="B806" s="138"/>
      <c r="C806" s="138"/>
      <c r="D806" s="138"/>
      <c r="E806" s="138"/>
      <c r="F806" s="138"/>
      <c r="G806" s="138"/>
      <c r="H806" s="138"/>
      <c r="I806" s="138"/>
      <c r="J806" s="138"/>
      <c r="K806" s="138"/>
      <c r="L806" s="138"/>
      <c r="M806" s="138"/>
      <c r="N806" s="138"/>
      <c r="O806" s="138"/>
      <c r="P806" s="138"/>
      <c r="Q806" s="138"/>
      <c r="R806" s="139"/>
      <c r="S806" s="176"/>
      <c r="T806" s="835"/>
      <c r="U806" s="835"/>
      <c r="V806" s="835"/>
      <c r="W806" s="835"/>
      <c r="X806" s="835"/>
      <c r="Y806" s="255">
        <f t="shared" si="421"/>
        <v>0</v>
      </c>
      <c r="Z806" s="309">
        <f t="shared" si="422"/>
        <v>0</v>
      </c>
      <c r="AA806" s="256">
        <f t="shared" si="419"/>
        <v>0</v>
      </c>
      <c r="AB806" s="309"/>
      <c r="AC806" s="309"/>
      <c r="AD806" s="320">
        <f t="shared" si="420"/>
        <v>0</v>
      </c>
      <c r="AF806" s="11"/>
      <c r="AG806" s="24"/>
      <c r="AH806" s="64">
        <f t="shared" si="424"/>
        <v>43397</v>
      </c>
      <c r="AI806" s="698"/>
      <c r="AJ806" s="699"/>
      <c r="AK806" s="699"/>
      <c r="AL806" s="699"/>
      <c r="AM806" s="699"/>
      <c r="AN806" s="699"/>
      <c r="AO806" s="699"/>
      <c r="AP806" s="699"/>
      <c r="AQ806" s="699"/>
      <c r="AR806" s="699"/>
      <c r="AS806" s="699"/>
      <c r="AT806" s="699"/>
      <c r="AU806" s="699"/>
      <c r="AV806" s="699"/>
      <c r="AW806" s="699"/>
      <c r="AX806" s="700"/>
      <c r="AY806" s="700"/>
      <c r="AZ806" s="701"/>
    </row>
    <row r="807" spans="1:52" ht="29.25" customHeight="1" thickBot="1">
      <c r="A807" s="63">
        <f t="shared" si="423"/>
        <v>44890</v>
      </c>
      <c r="B807" s="138"/>
      <c r="C807" s="138"/>
      <c r="D807" s="138"/>
      <c r="E807" s="138"/>
      <c r="F807" s="138"/>
      <c r="G807" s="138"/>
      <c r="H807" s="138"/>
      <c r="I807" s="138"/>
      <c r="J807" s="138"/>
      <c r="K807" s="138"/>
      <c r="L807" s="138"/>
      <c r="M807" s="138"/>
      <c r="N807" s="138"/>
      <c r="O807" s="138"/>
      <c r="P807" s="138"/>
      <c r="Q807" s="138"/>
      <c r="R807" s="139"/>
      <c r="S807" s="176"/>
      <c r="T807" s="835"/>
      <c r="U807" s="835"/>
      <c r="V807" s="835"/>
      <c r="W807" s="835"/>
      <c r="X807" s="835"/>
      <c r="Y807" s="255">
        <f t="shared" si="421"/>
        <v>0</v>
      </c>
      <c r="Z807" s="309">
        <f t="shared" si="422"/>
        <v>0</v>
      </c>
      <c r="AA807" s="256">
        <f t="shared" si="419"/>
        <v>0</v>
      </c>
      <c r="AB807" s="309"/>
      <c r="AC807" s="309"/>
      <c r="AD807" s="320">
        <f t="shared" si="420"/>
        <v>0</v>
      </c>
      <c r="AF807" s="11"/>
      <c r="AG807" s="24"/>
      <c r="AH807" s="64">
        <f t="shared" si="424"/>
        <v>43398</v>
      </c>
      <c r="AI807" s="698"/>
      <c r="AJ807" s="699"/>
      <c r="AK807" s="699"/>
      <c r="AL807" s="699"/>
      <c r="AM807" s="699"/>
      <c r="AN807" s="699"/>
      <c r="AO807" s="699"/>
      <c r="AP807" s="699"/>
      <c r="AQ807" s="699"/>
      <c r="AR807" s="699"/>
      <c r="AS807" s="699"/>
      <c r="AT807" s="699"/>
      <c r="AU807" s="699"/>
      <c r="AV807" s="699"/>
      <c r="AW807" s="699"/>
      <c r="AX807" s="700"/>
      <c r="AY807" s="700"/>
      <c r="AZ807" s="701"/>
    </row>
    <row r="808" spans="1:52" ht="29.25" customHeight="1" thickBot="1">
      <c r="A808" s="63">
        <f t="shared" si="423"/>
        <v>44891</v>
      </c>
      <c r="B808" s="138"/>
      <c r="C808" s="138"/>
      <c r="D808" s="138"/>
      <c r="E808" s="138"/>
      <c r="F808" s="138"/>
      <c r="G808" s="138"/>
      <c r="H808" s="138"/>
      <c r="I808" s="138"/>
      <c r="J808" s="138"/>
      <c r="K808" s="138"/>
      <c r="L808" s="138"/>
      <c r="M808" s="138"/>
      <c r="N808" s="138"/>
      <c r="O808" s="138"/>
      <c r="P808" s="138"/>
      <c r="Q808" s="138"/>
      <c r="R808" s="139"/>
      <c r="S808" s="176"/>
      <c r="T808" s="835"/>
      <c r="U808" s="835"/>
      <c r="V808" s="835"/>
      <c r="W808" s="835"/>
      <c r="X808" s="835"/>
      <c r="Y808" s="255">
        <f t="shared" si="421"/>
        <v>0</v>
      </c>
      <c r="Z808" s="309">
        <f t="shared" si="422"/>
        <v>0</v>
      </c>
      <c r="AA808" s="256">
        <f t="shared" si="419"/>
        <v>0</v>
      </c>
      <c r="AB808" s="309"/>
      <c r="AC808" s="309"/>
      <c r="AD808" s="320">
        <f t="shared" si="420"/>
        <v>0</v>
      </c>
      <c r="AF808" s="11"/>
      <c r="AG808" s="24"/>
      <c r="AH808" s="64">
        <f t="shared" si="424"/>
        <v>43399</v>
      </c>
      <c r="AI808" s="698"/>
      <c r="AJ808" s="699"/>
      <c r="AK808" s="699"/>
      <c r="AL808" s="699"/>
      <c r="AM808" s="699"/>
      <c r="AN808" s="699"/>
      <c r="AO808" s="699"/>
      <c r="AP808" s="699"/>
      <c r="AQ808" s="699"/>
      <c r="AR808" s="699"/>
      <c r="AS808" s="699"/>
      <c r="AT808" s="699"/>
      <c r="AU808" s="699"/>
      <c r="AV808" s="699"/>
      <c r="AW808" s="699"/>
      <c r="AX808" s="700"/>
      <c r="AY808" s="700"/>
      <c r="AZ808" s="701"/>
    </row>
    <row r="809" spans="1:52" ht="29.25" customHeight="1" thickBot="1">
      <c r="A809" s="63">
        <f t="shared" si="423"/>
        <v>44892</v>
      </c>
      <c r="B809" s="138"/>
      <c r="C809" s="138"/>
      <c r="D809" s="138"/>
      <c r="E809" s="138"/>
      <c r="F809" s="138"/>
      <c r="G809" s="138"/>
      <c r="H809" s="138"/>
      <c r="I809" s="138"/>
      <c r="J809" s="138"/>
      <c r="K809" s="138"/>
      <c r="L809" s="138"/>
      <c r="M809" s="138"/>
      <c r="N809" s="138"/>
      <c r="O809" s="138"/>
      <c r="P809" s="138"/>
      <c r="Q809" s="138"/>
      <c r="R809" s="139"/>
      <c r="S809" s="176"/>
      <c r="T809" s="835"/>
      <c r="U809" s="835"/>
      <c r="V809" s="835"/>
      <c r="W809" s="835"/>
      <c r="X809" s="835"/>
      <c r="Y809" s="255">
        <f t="shared" si="421"/>
        <v>0</v>
      </c>
      <c r="Z809" s="309">
        <f t="shared" si="422"/>
        <v>0</v>
      </c>
      <c r="AA809" s="256">
        <f t="shared" si="419"/>
        <v>0</v>
      </c>
      <c r="AB809" s="309"/>
      <c r="AC809" s="309"/>
      <c r="AD809" s="320">
        <f t="shared" si="420"/>
        <v>0</v>
      </c>
      <c r="AF809" s="11"/>
      <c r="AG809" s="24"/>
      <c r="AH809" s="64">
        <f t="shared" si="424"/>
        <v>43400</v>
      </c>
      <c r="AI809" s="698"/>
      <c r="AJ809" s="699"/>
      <c r="AK809" s="699"/>
      <c r="AL809" s="699"/>
      <c r="AM809" s="699"/>
      <c r="AN809" s="699"/>
      <c r="AO809" s="699"/>
      <c r="AP809" s="699"/>
      <c r="AQ809" s="699"/>
      <c r="AR809" s="699"/>
      <c r="AS809" s="699"/>
      <c r="AT809" s="699"/>
      <c r="AU809" s="699"/>
      <c r="AV809" s="699"/>
      <c r="AW809" s="699"/>
      <c r="AX809" s="700"/>
      <c r="AY809" s="700"/>
      <c r="AZ809" s="701"/>
    </row>
    <row r="810" spans="1:52" ht="29.25" customHeight="1" thickBot="1">
      <c r="A810" s="63">
        <f t="shared" si="423"/>
        <v>44893</v>
      </c>
      <c r="B810" s="138"/>
      <c r="C810" s="138"/>
      <c r="D810" s="138"/>
      <c r="E810" s="138"/>
      <c r="F810" s="138"/>
      <c r="G810" s="138"/>
      <c r="H810" s="138"/>
      <c r="I810" s="138"/>
      <c r="J810" s="138"/>
      <c r="K810" s="138"/>
      <c r="L810" s="138"/>
      <c r="M810" s="138"/>
      <c r="N810" s="138"/>
      <c r="O810" s="138"/>
      <c r="P810" s="138"/>
      <c r="Q810" s="138"/>
      <c r="R810" s="139"/>
      <c r="S810" s="176"/>
      <c r="T810" s="835"/>
      <c r="U810" s="835"/>
      <c r="V810" s="835"/>
      <c r="W810" s="835"/>
      <c r="X810" s="835"/>
      <c r="Y810" s="255">
        <f t="shared" si="421"/>
        <v>0</v>
      </c>
      <c r="Z810" s="309">
        <f t="shared" si="422"/>
        <v>0</v>
      </c>
      <c r="AA810" s="256">
        <f t="shared" si="419"/>
        <v>0</v>
      </c>
      <c r="AB810" s="309"/>
      <c r="AC810" s="309"/>
      <c r="AD810" s="320">
        <f t="shared" si="420"/>
        <v>0</v>
      </c>
      <c r="AF810" s="11"/>
      <c r="AG810" s="24"/>
      <c r="AH810" s="64">
        <f t="shared" si="424"/>
        <v>43401</v>
      </c>
      <c r="AI810" s="698"/>
      <c r="AJ810" s="699"/>
      <c r="AK810" s="699"/>
      <c r="AL810" s="699"/>
      <c r="AM810" s="699"/>
      <c r="AN810" s="699"/>
      <c r="AO810" s="699"/>
      <c r="AP810" s="699"/>
      <c r="AQ810" s="699"/>
      <c r="AR810" s="699"/>
      <c r="AS810" s="699"/>
      <c r="AT810" s="699"/>
      <c r="AU810" s="699"/>
      <c r="AV810" s="699"/>
      <c r="AW810" s="699"/>
      <c r="AX810" s="700"/>
      <c r="AY810" s="700"/>
      <c r="AZ810" s="701"/>
    </row>
    <row r="811" spans="1:52" ht="29.25" customHeight="1" thickBot="1">
      <c r="A811" s="63">
        <f t="shared" si="423"/>
        <v>44894</v>
      </c>
      <c r="B811" s="138"/>
      <c r="C811" s="138"/>
      <c r="D811" s="138"/>
      <c r="E811" s="138"/>
      <c r="F811" s="138"/>
      <c r="G811" s="138"/>
      <c r="H811" s="138"/>
      <c r="I811" s="138"/>
      <c r="J811" s="138"/>
      <c r="K811" s="138"/>
      <c r="L811" s="138"/>
      <c r="M811" s="138"/>
      <c r="N811" s="138"/>
      <c r="O811" s="138"/>
      <c r="P811" s="138"/>
      <c r="Q811" s="138"/>
      <c r="R811" s="139"/>
      <c r="S811" s="176"/>
      <c r="T811" s="835"/>
      <c r="U811" s="835"/>
      <c r="V811" s="835"/>
      <c r="W811" s="835"/>
      <c r="X811" s="835"/>
      <c r="Y811" s="255">
        <f t="shared" si="421"/>
        <v>0</v>
      </c>
      <c r="Z811" s="309">
        <f t="shared" si="422"/>
        <v>0</v>
      </c>
      <c r="AA811" s="256">
        <f t="shared" si="419"/>
        <v>0</v>
      </c>
      <c r="AB811" s="309"/>
      <c r="AC811" s="309"/>
      <c r="AD811" s="320">
        <f t="shared" si="420"/>
        <v>0</v>
      </c>
      <c r="AF811" s="11"/>
      <c r="AG811" s="24"/>
      <c r="AH811" s="64">
        <f>AH810+1</f>
        <v>43402</v>
      </c>
      <c r="AI811" s="698"/>
      <c r="AJ811" s="699"/>
      <c r="AK811" s="699"/>
      <c r="AL811" s="699"/>
      <c r="AM811" s="699"/>
      <c r="AN811" s="699"/>
      <c r="AO811" s="699"/>
      <c r="AP811" s="699"/>
      <c r="AQ811" s="699"/>
      <c r="AR811" s="699"/>
      <c r="AS811" s="699"/>
      <c r="AT811" s="699"/>
      <c r="AU811" s="699"/>
      <c r="AV811" s="699"/>
      <c r="AW811" s="699"/>
      <c r="AX811" s="700"/>
      <c r="AY811" s="700"/>
      <c r="AZ811" s="701"/>
    </row>
    <row r="812" spans="1:52" ht="29.25" customHeight="1" thickBot="1">
      <c r="A812" s="63">
        <f t="shared" si="423"/>
        <v>44895</v>
      </c>
      <c r="B812" s="138"/>
      <c r="C812" s="138"/>
      <c r="D812" s="138"/>
      <c r="E812" s="138"/>
      <c r="F812" s="138"/>
      <c r="G812" s="138"/>
      <c r="H812" s="138"/>
      <c r="I812" s="138"/>
      <c r="J812" s="138"/>
      <c r="K812" s="138"/>
      <c r="L812" s="138"/>
      <c r="M812" s="138"/>
      <c r="N812" s="138"/>
      <c r="O812" s="138"/>
      <c r="P812" s="138"/>
      <c r="Q812" s="138"/>
      <c r="R812" s="139"/>
      <c r="S812" s="176"/>
      <c r="T812" s="835"/>
      <c r="U812" s="835"/>
      <c r="V812" s="835"/>
      <c r="W812" s="835"/>
      <c r="X812" s="835"/>
      <c r="Y812" s="255">
        <f t="shared" si="421"/>
        <v>0</v>
      </c>
      <c r="Z812" s="309">
        <f t="shared" si="422"/>
        <v>0</v>
      </c>
      <c r="AA812" s="256">
        <f t="shared" si="419"/>
        <v>0</v>
      </c>
      <c r="AB812" s="309"/>
      <c r="AC812" s="309"/>
      <c r="AD812" s="320">
        <f t="shared" si="420"/>
        <v>0</v>
      </c>
      <c r="AF812" s="11"/>
      <c r="AG812" s="24"/>
      <c r="AH812" s="64">
        <f t="shared" si="424"/>
        <v>43403</v>
      </c>
      <c r="AI812" s="698"/>
      <c r="AJ812" s="699"/>
      <c r="AK812" s="699"/>
      <c r="AL812" s="699"/>
      <c r="AM812" s="699"/>
      <c r="AN812" s="699"/>
      <c r="AO812" s="699"/>
      <c r="AP812" s="699"/>
      <c r="AQ812" s="699"/>
      <c r="AR812" s="699"/>
      <c r="AS812" s="699"/>
      <c r="AT812" s="699"/>
      <c r="AU812" s="699"/>
      <c r="AV812" s="699"/>
      <c r="AW812" s="699"/>
      <c r="AX812" s="700"/>
      <c r="AY812" s="700"/>
      <c r="AZ812" s="701"/>
    </row>
    <row r="813" spans="1:52" ht="29.25" customHeight="1" thickBot="1">
      <c r="A813" s="105">
        <f t="shared" si="423"/>
        <v>44896</v>
      </c>
      <c r="B813" s="141"/>
      <c r="C813" s="141"/>
      <c r="D813" s="141"/>
      <c r="E813" s="141"/>
      <c r="F813" s="141"/>
      <c r="G813" s="141"/>
      <c r="H813" s="141"/>
      <c r="I813" s="141"/>
      <c r="J813" s="141"/>
      <c r="K813" s="141"/>
      <c r="L813" s="141"/>
      <c r="M813" s="141"/>
      <c r="N813" s="141"/>
      <c r="O813" s="141"/>
      <c r="P813" s="141"/>
      <c r="Q813" s="141"/>
      <c r="R813" s="142"/>
      <c r="S813" s="177"/>
      <c r="T813" s="836"/>
      <c r="U813" s="836"/>
      <c r="V813" s="836"/>
      <c r="W813" s="836"/>
      <c r="X813" s="836"/>
      <c r="Y813" s="255">
        <f t="shared" si="421"/>
        <v>0</v>
      </c>
      <c r="Z813" s="309">
        <f t="shared" si="422"/>
        <v>0</v>
      </c>
      <c r="AA813" s="256">
        <f t="shared" si="419"/>
        <v>0</v>
      </c>
      <c r="AB813" s="309"/>
      <c r="AC813" s="309"/>
      <c r="AD813" s="320">
        <f t="shared" si="420"/>
        <v>0</v>
      </c>
      <c r="AF813" s="11"/>
      <c r="AG813" s="24"/>
      <c r="AH813" s="65">
        <f t="shared" si="424"/>
        <v>43404</v>
      </c>
      <c r="AI813" s="702"/>
      <c r="AJ813" s="703"/>
      <c r="AK813" s="703"/>
      <c r="AL813" s="703"/>
      <c r="AM813" s="703"/>
      <c r="AN813" s="703"/>
      <c r="AO813" s="703"/>
      <c r="AP813" s="703"/>
      <c r="AQ813" s="703"/>
      <c r="AR813" s="703"/>
      <c r="AS813" s="703"/>
      <c r="AT813" s="703"/>
      <c r="AU813" s="703"/>
      <c r="AV813" s="703"/>
      <c r="AW813" s="703"/>
      <c r="AX813" s="704"/>
      <c r="AY813" s="704"/>
      <c r="AZ813" s="705"/>
    </row>
    <row r="814" spans="1:52" ht="50.1" customHeight="1" thickTop="1" thickBot="1">
      <c r="A814" s="96" t="s">
        <v>74</v>
      </c>
      <c r="B814" s="90">
        <f>SUM(B783:B813)</f>
        <v>0</v>
      </c>
      <c r="C814" s="90">
        <f t="shared" ref="C814:Y814" si="425">SUM(C783:C813)</f>
        <v>0</v>
      </c>
      <c r="D814" s="90">
        <f t="shared" si="425"/>
        <v>0</v>
      </c>
      <c r="E814" s="90"/>
      <c r="F814" s="90">
        <f t="shared" si="425"/>
        <v>0</v>
      </c>
      <c r="G814" s="90">
        <f t="shared" si="425"/>
        <v>0</v>
      </c>
      <c r="H814" s="90">
        <f t="shared" si="425"/>
        <v>0</v>
      </c>
      <c r="I814" s="90">
        <f t="shared" si="425"/>
        <v>0</v>
      </c>
      <c r="J814" s="90">
        <f t="shared" si="425"/>
        <v>0</v>
      </c>
      <c r="K814" s="90">
        <f t="shared" si="425"/>
        <v>0</v>
      </c>
      <c r="L814" s="90">
        <f t="shared" si="425"/>
        <v>0</v>
      </c>
      <c r="M814" s="90">
        <f t="shared" si="425"/>
        <v>0</v>
      </c>
      <c r="N814" s="90">
        <f t="shared" si="425"/>
        <v>0</v>
      </c>
      <c r="O814" s="90">
        <f t="shared" si="425"/>
        <v>0</v>
      </c>
      <c r="P814" s="90"/>
      <c r="Q814" s="90">
        <f t="shared" si="425"/>
        <v>0</v>
      </c>
      <c r="R814" s="90">
        <f t="shared" si="425"/>
        <v>0</v>
      </c>
      <c r="S814" s="90">
        <f t="shared" si="425"/>
        <v>0</v>
      </c>
      <c r="T814" s="90"/>
      <c r="U814" s="90"/>
      <c r="V814" s="90"/>
      <c r="W814" s="90"/>
      <c r="X814" s="90"/>
      <c r="Y814" s="262">
        <f t="shared" si="425"/>
        <v>0</v>
      </c>
      <c r="Z814" s="259"/>
      <c r="AA814" s="259"/>
      <c r="AB814" s="316">
        <f>SUM(AB783:AB813)</f>
        <v>0</v>
      </c>
      <c r="AC814" s="316"/>
      <c r="AD814" s="260"/>
      <c r="AF814" s="9"/>
      <c r="AG814" s="16"/>
      <c r="AH814" s="706" t="s">
        <v>101</v>
      </c>
      <c r="AI814" s="707">
        <f>SUM(AI783:AI813)</f>
        <v>0</v>
      </c>
      <c r="AJ814" s="707">
        <f>SUM(AJ783:AJ813)</f>
        <v>0</v>
      </c>
      <c r="AK814" s="707">
        <f t="shared" ref="AK814:AZ814" si="426">SUM(AK783:AK813)</f>
        <v>0</v>
      </c>
      <c r="AL814" s="707">
        <f t="shared" si="426"/>
        <v>0</v>
      </c>
      <c r="AM814" s="707">
        <f t="shared" si="426"/>
        <v>0</v>
      </c>
      <c r="AN814" s="707">
        <f t="shared" si="426"/>
        <v>0</v>
      </c>
      <c r="AO814" s="707">
        <f t="shared" si="426"/>
        <v>0</v>
      </c>
      <c r="AP814" s="707">
        <f t="shared" si="426"/>
        <v>0</v>
      </c>
      <c r="AQ814" s="707">
        <f t="shared" si="426"/>
        <v>0</v>
      </c>
      <c r="AR814" s="707">
        <f t="shared" si="426"/>
        <v>0</v>
      </c>
      <c r="AS814" s="707">
        <f t="shared" si="426"/>
        <v>0</v>
      </c>
      <c r="AT814" s="707">
        <f t="shared" si="426"/>
        <v>0</v>
      </c>
      <c r="AU814" s="707">
        <f t="shared" si="426"/>
        <v>0</v>
      </c>
      <c r="AV814" s="707">
        <f t="shared" si="426"/>
        <v>0</v>
      </c>
      <c r="AW814" s="707">
        <f t="shared" si="426"/>
        <v>0</v>
      </c>
      <c r="AX814" s="707">
        <f t="shared" si="426"/>
        <v>0</v>
      </c>
      <c r="AY814" s="707">
        <f t="shared" si="426"/>
        <v>0</v>
      </c>
      <c r="AZ814" s="707">
        <f t="shared" si="426"/>
        <v>0</v>
      </c>
    </row>
    <row r="815" spans="1:52" ht="50.1" customHeight="1" thickTop="1" thickBot="1">
      <c r="A815" s="9"/>
      <c r="B815" s="713"/>
      <c r="C815" s="713"/>
      <c r="D815" s="713"/>
      <c r="E815" s="713"/>
      <c r="F815" s="713"/>
      <c r="G815" s="713"/>
      <c r="H815" s="713"/>
      <c r="I815" s="713"/>
      <c r="J815" s="713"/>
      <c r="K815" s="713"/>
      <c r="L815" s="713"/>
      <c r="M815" s="713"/>
      <c r="N815" s="713"/>
      <c r="O815" s="713"/>
      <c r="P815" s="713"/>
      <c r="Q815" s="713"/>
      <c r="R815" s="713"/>
      <c r="S815" s="713"/>
      <c r="T815" s="713"/>
      <c r="U815" s="713"/>
      <c r="V815" s="713"/>
      <c r="W815" s="713"/>
      <c r="X815" s="713"/>
      <c r="Y815" s="709"/>
      <c r="Z815" s="709"/>
      <c r="AA815" s="709"/>
      <c r="AB815" s="710"/>
      <c r="AC815" s="710"/>
      <c r="AD815" s="711"/>
      <c r="AF815" s="9"/>
      <c r="AG815" s="16"/>
      <c r="AH815" s="706" t="s">
        <v>45</v>
      </c>
      <c r="AI815" s="707">
        <v>220</v>
      </c>
      <c r="AJ815" s="707">
        <v>220</v>
      </c>
      <c r="AK815" s="707">
        <v>220</v>
      </c>
      <c r="AL815" s="707">
        <v>100</v>
      </c>
      <c r="AM815" s="707">
        <v>100</v>
      </c>
      <c r="AN815" s="707">
        <v>80</v>
      </c>
      <c r="AO815" s="707">
        <v>25</v>
      </c>
      <c r="AP815" s="707">
        <v>25</v>
      </c>
      <c r="AQ815" s="707">
        <v>25</v>
      </c>
      <c r="AR815" s="707">
        <v>400</v>
      </c>
      <c r="AS815" s="707">
        <v>400</v>
      </c>
      <c r="AT815" s="707">
        <v>400</v>
      </c>
      <c r="AU815" s="707">
        <v>0</v>
      </c>
      <c r="AV815" s="707">
        <v>0</v>
      </c>
      <c r="AW815" s="707">
        <v>200</v>
      </c>
      <c r="AX815" s="707">
        <v>200</v>
      </c>
      <c r="AY815" s="707">
        <v>0</v>
      </c>
      <c r="AZ815" s="707">
        <v>0</v>
      </c>
    </row>
    <row r="816" spans="1:52" ht="27.75" thickTop="1" thickBo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2"/>
      <c r="AF816" s="2"/>
      <c r="AG816" s="2"/>
      <c r="AH816" s="706" t="s">
        <v>46</v>
      </c>
      <c r="AI816" s="707">
        <f>AI814*AI815</f>
        <v>0</v>
      </c>
      <c r="AJ816" s="707">
        <f t="shared" ref="AJ816" si="427">AJ814*AJ815</f>
        <v>0</v>
      </c>
      <c r="AK816" s="707">
        <f t="shared" ref="AK816" si="428">AK814*AK815</f>
        <v>0</v>
      </c>
      <c r="AL816" s="707">
        <f t="shared" ref="AL816" si="429">AL814*AL815</f>
        <v>0</v>
      </c>
      <c r="AM816" s="707">
        <f t="shared" ref="AM816" si="430">AM814*AM815</f>
        <v>0</v>
      </c>
      <c r="AN816" s="707">
        <f t="shared" ref="AN816" si="431">AN814*AN815</f>
        <v>0</v>
      </c>
      <c r="AO816" s="707">
        <f t="shared" ref="AO816" si="432">AO814*AO815</f>
        <v>0</v>
      </c>
      <c r="AP816" s="707">
        <f t="shared" ref="AP816" si="433">AP814*AP815</f>
        <v>0</v>
      </c>
      <c r="AQ816" s="707">
        <f t="shared" ref="AQ816" si="434">AQ814*AQ815</f>
        <v>0</v>
      </c>
      <c r="AR816" s="707">
        <f t="shared" ref="AR816" si="435">AR814*AR815</f>
        <v>0</v>
      </c>
      <c r="AS816" s="707">
        <f t="shared" ref="AS816" si="436">AS814*AS815</f>
        <v>0</v>
      </c>
      <c r="AT816" s="707">
        <f t="shared" ref="AT816" si="437">AT814*AT815</f>
        <v>0</v>
      </c>
      <c r="AU816" s="707">
        <f t="shared" ref="AU816" si="438">AU814*AU815</f>
        <v>0</v>
      </c>
      <c r="AV816" s="707">
        <f t="shared" ref="AV816" si="439">AV814*AV815</f>
        <v>0</v>
      </c>
      <c r="AW816" s="707">
        <f t="shared" ref="AW816" si="440">AW814*AW815</f>
        <v>0</v>
      </c>
      <c r="AX816" s="707">
        <f t="shared" ref="AX816" si="441">AX814*AX815</f>
        <v>0</v>
      </c>
      <c r="AY816" s="707">
        <f t="shared" ref="AY816" si="442">AY814*AY815</f>
        <v>0</v>
      </c>
      <c r="AZ816" s="707">
        <f t="shared" ref="AZ816" si="443">AZ814*AZ815</f>
        <v>0</v>
      </c>
    </row>
    <row r="817" spans="1:52" ht="24.75" thickTop="1" thickBo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2"/>
      <c r="AD817" t="s">
        <v>1</v>
      </c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714">
        <f>SUM(AI816:AZ816)</f>
        <v>0</v>
      </c>
    </row>
    <row r="818" spans="1:52" ht="39.950000000000003" customHeight="1" thickBot="1">
      <c r="A818" s="109">
        <f>A5</f>
        <v>2022</v>
      </c>
      <c r="B818" s="1447"/>
      <c r="C818" s="1448"/>
      <c r="D818" s="1448"/>
      <c r="E818" s="1448"/>
      <c r="F818" s="1448"/>
      <c r="G818" s="1448"/>
      <c r="H818" s="1448"/>
      <c r="I818" s="1448"/>
      <c r="J818" s="1448"/>
      <c r="K818" s="1448"/>
      <c r="L818" s="1448"/>
      <c r="M818" s="1448"/>
      <c r="N818" s="1448"/>
      <c r="O818" s="1448"/>
      <c r="P818" s="1448"/>
      <c r="Q818" s="1448"/>
      <c r="R818" s="1448"/>
      <c r="S818" s="1448"/>
      <c r="T818" s="1448"/>
      <c r="U818" s="1448"/>
      <c r="V818" s="1448"/>
      <c r="W818" s="1448"/>
      <c r="X818" s="1448"/>
      <c r="Y818" s="1449"/>
      <c r="Z818" s="21"/>
      <c r="AA818" s="21"/>
      <c r="AB818" s="21"/>
      <c r="AC818" s="2"/>
      <c r="AD818" t="s">
        <v>1</v>
      </c>
      <c r="AF818" s="10"/>
      <c r="AG818" s="21"/>
      <c r="AH818" s="109">
        <v>2018</v>
      </c>
      <c r="AI818" s="1424">
        <f>B818</f>
        <v>0</v>
      </c>
      <c r="AJ818" s="1425"/>
      <c r="AK818" s="1425"/>
      <c r="AL818" s="1425"/>
      <c r="AM818" s="1425"/>
      <c r="AN818" s="1425"/>
      <c r="AO818" s="1425"/>
      <c r="AP818" s="1425"/>
      <c r="AQ818" s="1425"/>
      <c r="AR818" s="1425"/>
      <c r="AS818" s="1425"/>
      <c r="AT818" s="1425"/>
      <c r="AU818" s="1425"/>
      <c r="AV818" s="1425"/>
      <c r="AW818" s="1425"/>
      <c r="AX818" s="1425"/>
      <c r="AY818" s="1425"/>
      <c r="AZ818" s="1425"/>
    </row>
    <row r="819" spans="1:52" ht="60" customHeight="1" thickTop="1" thickBot="1">
      <c r="A819" s="1468" t="s">
        <v>94</v>
      </c>
      <c r="B819" s="1402" t="s">
        <v>95</v>
      </c>
      <c r="C819" s="1403"/>
      <c r="D819" s="1403"/>
      <c r="E819" s="1404"/>
      <c r="F819" s="1402" t="s">
        <v>7</v>
      </c>
      <c r="G819" s="1403"/>
      <c r="H819" s="1404"/>
      <c r="I819" s="1402" t="s">
        <v>8</v>
      </c>
      <c r="J819" s="1404"/>
      <c r="K819" s="1402" t="s">
        <v>9</v>
      </c>
      <c r="L819" s="1403"/>
      <c r="M819" s="1403"/>
      <c r="N819" s="1403"/>
      <c r="O819" s="1403"/>
      <c r="P819" s="1403"/>
      <c r="Q819" s="1403"/>
      <c r="R819" s="1405" t="s">
        <v>10</v>
      </c>
      <c r="S819" s="1406"/>
      <c r="T819" s="1400" t="s">
        <v>289</v>
      </c>
      <c r="U819" s="1401"/>
      <c r="V819" s="842" t="s">
        <v>258</v>
      </c>
      <c r="W819" s="842"/>
      <c r="X819" s="842"/>
      <c r="Y819" s="211"/>
      <c r="Z819" s="21"/>
      <c r="AA819" s="21"/>
      <c r="AB819" s="21"/>
      <c r="AC819" s="21"/>
      <c r="AF819" s="10"/>
      <c r="AG819" s="34"/>
      <c r="AH819" s="1422" t="s">
        <v>94</v>
      </c>
      <c r="AI819" s="1402" t="s">
        <v>95</v>
      </c>
      <c r="AJ819" s="1403"/>
      <c r="AK819" s="1404"/>
      <c r="AL819" s="1402" t="s">
        <v>7</v>
      </c>
      <c r="AM819" s="1403"/>
      <c r="AN819" s="1404"/>
      <c r="AO819" s="1402" t="s">
        <v>8</v>
      </c>
      <c r="AP819" s="1403"/>
      <c r="AQ819" s="1404"/>
      <c r="AR819" s="1402" t="s">
        <v>9</v>
      </c>
      <c r="AS819" s="1403"/>
      <c r="AT819" s="1404"/>
      <c r="AU819" s="1403" t="s">
        <v>9</v>
      </c>
      <c r="AV819" s="1404"/>
      <c r="AW819" s="1429" t="s">
        <v>10</v>
      </c>
      <c r="AX819" s="1430"/>
      <c r="AY819" s="690"/>
      <c r="AZ819" s="404" t="s">
        <v>11</v>
      </c>
    </row>
    <row r="820" spans="1:52" ht="42" thickTop="1" thickBot="1">
      <c r="A820" s="1428"/>
      <c r="B820" s="482" t="s">
        <v>12</v>
      </c>
      <c r="C820" s="482" t="s">
        <v>13</v>
      </c>
      <c r="D820" s="482" t="s">
        <v>14</v>
      </c>
      <c r="E820" s="688" t="s">
        <v>198</v>
      </c>
      <c r="F820" s="482" t="s">
        <v>12</v>
      </c>
      <c r="G820" s="482" t="s">
        <v>13</v>
      </c>
      <c r="H820" s="482" t="s">
        <v>282</v>
      </c>
      <c r="I820" s="482" t="s">
        <v>12</v>
      </c>
      <c r="J820" s="482" t="s">
        <v>16</v>
      </c>
      <c r="K820" s="482" t="s">
        <v>17</v>
      </c>
      <c r="L820" s="482" t="s">
        <v>18</v>
      </c>
      <c r="M820" s="482" t="s">
        <v>19</v>
      </c>
      <c r="N820" s="484" t="s">
        <v>96</v>
      </c>
      <c r="O820" s="484" t="s">
        <v>257</v>
      </c>
      <c r="P820" s="484" t="s">
        <v>254</v>
      </c>
      <c r="Q820" s="484" t="s">
        <v>20</v>
      </c>
      <c r="R820" s="483" t="s">
        <v>14</v>
      </c>
      <c r="S820" s="482" t="s">
        <v>13</v>
      </c>
      <c r="T820" s="846" t="s">
        <v>284</v>
      </c>
      <c r="U820" s="846" t="s">
        <v>288</v>
      </c>
      <c r="V820" s="484" t="s">
        <v>259</v>
      </c>
      <c r="W820" s="484"/>
      <c r="X820" s="484"/>
      <c r="Y820" s="209" t="s">
        <v>90</v>
      </c>
      <c r="Z820" s="210" t="s">
        <v>97</v>
      </c>
      <c r="AA820" s="210" t="s">
        <v>74</v>
      </c>
      <c r="AB820" s="210" t="s">
        <v>98</v>
      </c>
      <c r="AC820" s="210" t="s">
        <v>99</v>
      </c>
      <c r="AD820" s="210" t="s">
        <v>100</v>
      </c>
      <c r="AF820" s="578" t="s">
        <v>1</v>
      </c>
      <c r="AG820" s="4"/>
      <c r="AH820" s="1428"/>
      <c r="AI820" s="482" t="s">
        <v>12</v>
      </c>
      <c r="AJ820" s="482" t="s">
        <v>13</v>
      </c>
      <c r="AK820" s="482" t="s">
        <v>14</v>
      </c>
      <c r="AL820" s="482" t="s">
        <v>12</v>
      </c>
      <c r="AM820" s="482" t="s">
        <v>13</v>
      </c>
      <c r="AN820" s="482" t="s">
        <v>15</v>
      </c>
      <c r="AO820" s="482" t="s">
        <v>12</v>
      </c>
      <c r="AP820" s="482" t="s">
        <v>205</v>
      </c>
      <c r="AQ820" s="482" t="s">
        <v>16</v>
      </c>
      <c r="AR820" s="482" t="s">
        <v>17</v>
      </c>
      <c r="AS820" s="482" t="s">
        <v>18</v>
      </c>
      <c r="AT820" s="482" t="s">
        <v>19</v>
      </c>
      <c r="AU820" s="482" t="s">
        <v>201</v>
      </c>
      <c r="AV820" s="482" t="s">
        <v>20</v>
      </c>
      <c r="AW820" s="482" t="s">
        <v>12</v>
      </c>
      <c r="AX820" s="483" t="s">
        <v>13</v>
      </c>
      <c r="AY820" s="688" t="s">
        <v>198</v>
      </c>
      <c r="AZ820" s="484" t="s">
        <v>96</v>
      </c>
    </row>
    <row r="821" spans="1:52" ht="29.25" customHeight="1" thickBot="1">
      <c r="A821" s="67">
        <f>A8</f>
        <v>44866</v>
      </c>
      <c r="B821" s="135"/>
      <c r="C821" s="135"/>
      <c r="D821" s="135"/>
      <c r="E821" s="135"/>
      <c r="F821" s="135"/>
      <c r="G821" s="135"/>
      <c r="H821" s="135"/>
      <c r="I821" s="135"/>
      <c r="J821" s="135"/>
      <c r="K821" s="135"/>
      <c r="L821" s="135"/>
      <c r="M821" s="160"/>
      <c r="N821" s="135"/>
      <c r="O821" s="135"/>
      <c r="P821" s="135"/>
      <c r="Q821" s="135"/>
      <c r="R821" s="136"/>
      <c r="S821" s="175"/>
      <c r="T821" s="830"/>
      <c r="U821" s="830"/>
      <c r="V821" s="830"/>
      <c r="W821" s="830"/>
      <c r="X821" s="830"/>
      <c r="Y821" s="255">
        <f>B821*280+C821*280+D821*280+E821*280+F821*130+G821*130+H821*90+I821*35+J821*35+K821*400+L821*400+M821*400+N821*22+O821*42+P821*80+Q821*200+R821*260+S821*41+T821*30+U821*60</f>
        <v>0</v>
      </c>
      <c r="Z821" s="308"/>
      <c r="AA821" s="263">
        <f t="shared" ref="AA821:AA851" si="444">Y821+Z821</f>
        <v>0</v>
      </c>
      <c r="AB821" s="308"/>
      <c r="AC821" s="308"/>
      <c r="AD821" s="319">
        <f t="shared" ref="AD821:AD851" si="445">AA821-AB821-AC821</f>
        <v>0</v>
      </c>
      <c r="AF821" s="11"/>
      <c r="AG821" s="579"/>
      <c r="AH821" s="63">
        <f>AH783</f>
        <v>43374</v>
      </c>
      <c r="AI821" s="694"/>
      <c r="AJ821" s="695"/>
      <c r="AK821" s="695"/>
      <c r="AL821" s="695"/>
      <c r="AM821" s="695"/>
      <c r="AN821" s="695"/>
      <c r="AO821" s="695"/>
      <c r="AP821" s="695"/>
      <c r="AQ821" s="695"/>
      <c r="AR821" s="695"/>
      <c r="AS821" s="695"/>
      <c r="AT821" s="695"/>
      <c r="AU821" s="695"/>
      <c r="AV821" s="695"/>
      <c r="AW821" s="695"/>
      <c r="AX821" s="696"/>
      <c r="AY821" s="696"/>
      <c r="AZ821" s="697"/>
    </row>
    <row r="822" spans="1:52" ht="29.25" customHeight="1" thickBot="1">
      <c r="A822" s="67">
        <f>A821+1</f>
        <v>44867</v>
      </c>
      <c r="B822" s="138"/>
      <c r="C822" s="138"/>
      <c r="D822" s="138"/>
      <c r="E822" s="138"/>
      <c r="F822" s="138"/>
      <c r="G822" s="138"/>
      <c r="H822" s="138"/>
      <c r="I822" s="138"/>
      <c r="J822" s="138"/>
      <c r="K822" s="138"/>
      <c r="L822" s="138"/>
      <c r="M822" s="138"/>
      <c r="N822" s="138"/>
      <c r="O822" s="138"/>
      <c r="P822" s="138"/>
      <c r="Q822" s="138"/>
      <c r="R822" s="139"/>
      <c r="S822" s="176"/>
      <c r="T822" s="830"/>
      <c r="U822" s="830"/>
      <c r="V822" s="830"/>
      <c r="W822" s="830"/>
      <c r="X822" s="830"/>
      <c r="Y822" s="255">
        <f t="shared" ref="Y822:Y851" si="446">B822*280+C822*280+D822*280+E822*280+F822*130+G822*130+H822*90+I822*35+J822*35+K822*400+L822*400+M822*400+N822*22+O822*42+P822*80+Q822*200+R822*260+S822*41+T822*30+U822*60</f>
        <v>0</v>
      </c>
      <c r="Z822" s="309">
        <f t="shared" ref="Z822:Z851" si="447">AD821</f>
        <v>0</v>
      </c>
      <c r="AA822" s="256">
        <f t="shared" si="444"/>
        <v>0</v>
      </c>
      <c r="AB822" s="309"/>
      <c r="AC822" s="309"/>
      <c r="AD822" s="320">
        <f t="shared" si="445"/>
        <v>0</v>
      </c>
      <c r="AF822" s="11"/>
      <c r="AG822" s="579"/>
      <c r="AH822" s="64">
        <f>AH821+1</f>
        <v>43375</v>
      </c>
      <c r="AI822" s="698"/>
      <c r="AJ822" s="699"/>
      <c r="AK822" s="699"/>
      <c r="AL822" s="699"/>
      <c r="AM822" s="699"/>
      <c r="AN822" s="699"/>
      <c r="AO822" s="699"/>
      <c r="AP822" s="699"/>
      <c r="AQ822" s="699"/>
      <c r="AR822" s="699"/>
      <c r="AS822" s="699"/>
      <c r="AT822" s="699"/>
      <c r="AU822" s="699"/>
      <c r="AV822" s="699"/>
      <c r="AW822" s="699"/>
      <c r="AX822" s="700"/>
      <c r="AY822" s="700"/>
      <c r="AZ822" s="701"/>
    </row>
    <row r="823" spans="1:52" ht="29.25" customHeight="1" thickBot="1">
      <c r="A823" s="67">
        <f t="shared" ref="A823:A851" si="448">A822+1</f>
        <v>44868</v>
      </c>
      <c r="B823" s="138"/>
      <c r="C823" s="138"/>
      <c r="D823" s="138"/>
      <c r="E823" s="138"/>
      <c r="F823" s="138"/>
      <c r="G823" s="138"/>
      <c r="H823" s="138"/>
      <c r="I823" s="138"/>
      <c r="J823" s="138"/>
      <c r="K823" s="138"/>
      <c r="L823" s="138"/>
      <c r="M823" s="138"/>
      <c r="N823" s="138"/>
      <c r="O823" s="138"/>
      <c r="P823" s="138"/>
      <c r="Q823" s="138"/>
      <c r="R823" s="139"/>
      <c r="S823" s="176"/>
      <c r="T823" s="835"/>
      <c r="U823" s="835"/>
      <c r="V823" s="835"/>
      <c r="W823" s="835"/>
      <c r="X823" s="835"/>
      <c r="Y823" s="255">
        <f t="shared" si="446"/>
        <v>0</v>
      </c>
      <c r="Z823" s="309">
        <f t="shared" si="447"/>
        <v>0</v>
      </c>
      <c r="AA823" s="256">
        <f t="shared" si="444"/>
        <v>0</v>
      </c>
      <c r="AB823" s="309"/>
      <c r="AC823" s="309"/>
      <c r="AD823" s="320">
        <f t="shared" si="445"/>
        <v>0</v>
      </c>
      <c r="AF823" s="11"/>
      <c r="AG823" s="579"/>
      <c r="AH823" s="64">
        <f t="shared" ref="AH823:AH851" si="449">AH822+1</f>
        <v>43376</v>
      </c>
      <c r="AI823" s="698"/>
      <c r="AJ823" s="699"/>
      <c r="AK823" s="699"/>
      <c r="AL823" s="699"/>
      <c r="AM823" s="699"/>
      <c r="AN823" s="699"/>
      <c r="AO823" s="699"/>
      <c r="AP823" s="699"/>
      <c r="AQ823" s="699"/>
      <c r="AR823" s="699"/>
      <c r="AS823" s="699"/>
      <c r="AT823" s="699"/>
      <c r="AU823" s="699"/>
      <c r="AV823" s="699"/>
      <c r="AW823" s="699"/>
      <c r="AX823" s="700"/>
      <c r="AY823" s="700"/>
      <c r="AZ823" s="701"/>
    </row>
    <row r="824" spans="1:52" ht="29.25" customHeight="1" thickBot="1">
      <c r="A824" s="67">
        <f t="shared" si="448"/>
        <v>44869</v>
      </c>
      <c r="B824" s="138"/>
      <c r="C824" s="138"/>
      <c r="D824" s="138"/>
      <c r="E824" s="138"/>
      <c r="F824" s="138"/>
      <c r="G824" s="138"/>
      <c r="H824" s="138"/>
      <c r="I824" s="138"/>
      <c r="J824" s="138"/>
      <c r="K824" s="138"/>
      <c r="L824" s="138"/>
      <c r="M824" s="138"/>
      <c r="N824" s="138"/>
      <c r="O824" s="138"/>
      <c r="P824" s="138"/>
      <c r="Q824" s="138"/>
      <c r="R824" s="139"/>
      <c r="S824" s="176"/>
      <c r="T824" s="835"/>
      <c r="U824" s="835"/>
      <c r="V824" s="835"/>
      <c r="W824" s="835"/>
      <c r="X824" s="835"/>
      <c r="Y824" s="255">
        <f t="shared" si="446"/>
        <v>0</v>
      </c>
      <c r="Z824" s="309">
        <f t="shared" si="447"/>
        <v>0</v>
      </c>
      <c r="AA824" s="256">
        <f t="shared" si="444"/>
        <v>0</v>
      </c>
      <c r="AB824" s="309"/>
      <c r="AC824" s="309"/>
      <c r="AD824" s="320">
        <f t="shared" si="445"/>
        <v>0</v>
      </c>
      <c r="AF824" s="11"/>
      <c r="AG824" s="579"/>
      <c r="AH824" s="64">
        <f t="shared" si="449"/>
        <v>43377</v>
      </c>
      <c r="AI824" s="698"/>
      <c r="AJ824" s="699"/>
      <c r="AK824" s="699"/>
      <c r="AL824" s="699"/>
      <c r="AM824" s="699"/>
      <c r="AN824" s="699"/>
      <c r="AO824" s="699"/>
      <c r="AP824" s="699"/>
      <c r="AQ824" s="699"/>
      <c r="AR824" s="699"/>
      <c r="AS824" s="699"/>
      <c r="AT824" s="699"/>
      <c r="AU824" s="699"/>
      <c r="AV824" s="699"/>
      <c r="AW824" s="699"/>
      <c r="AX824" s="700"/>
      <c r="AY824" s="700"/>
      <c r="AZ824" s="701"/>
    </row>
    <row r="825" spans="1:52" ht="29.25" customHeight="1" thickBot="1">
      <c r="A825" s="67">
        <f t="shared" si="448"/>
        <v>44870</v>
      </c>
      <c r="B825" s="138"/>
      <c r="C825" s="138"/>
      <c r="D825" s="138"/>
      <c r="E825" s="138"/>
      <c r="F825" s="138"/>
      <c r="G825" s="138"/>
      <c r="H825" s="138"/>
      <c r="I825" s="138"/>
      <c r="J825" s="138"/>
      <c r="K825" s="138"/>
      <c r="L825" s="138"/>
      <c r="M825" s="138"/>
      <c r="N825" s="138"/>
      <c r="O825" s="138"/>
      <c r="P825" s="138"/>
      <c r="Q825" s="138"/>
      <c r="R825" s="139"/>
      <c r="S825" s="176"/>
      <c r="T825" s="835"/>
      <c r="U825" s="835"/>
      <c r="V825" s="835"/>
      <c r="W825" s="835"/>
      <c r="X825" s="835"/>
      <c r="Y825" s="255">
        <f>B825*280+C825*280+D825*280+E825*280+F825*130+G825*130+H825*90+I825*35+J825*35+K825*400+L825*400+M825*400+N825*400+O825*42+P825*80+Q825*200+R825*260+S825*41+T825*30+U825*60</f>
        <v>0</v>
      </c>
      <c r="Z825" s="309">
        <f t="shared" si="447"/>
        <v>0</v>
      </c>
      <c r="AA825" s="256">
        <f t="shared" si="444"/>
        <v>0</v>
      </c>
      <c r="AB825" s="309"/>
      <c r="AC825" s="309"/>
      <c r="AD825" s="320">
        <f t="shared" si="445"/>
        <v>0</v>
      </c>
      <c r="AF825" s="11"/>
      <c r="AG825" s="17"/>
      <c r="AH825" s="64">
        <f t="shared" si="449"/>
        <v>43378</v>
      </c>
      <c r="AI825" s="698"/>
      <c r="AJ825" s="699"/>
      <c r="AK825" s="699"/>
      <c r="AL825" s="699"/>
      <c r="AM825" s="699"/>
      <c r="AN825" s="699"/>
      <c r="AO825" s="699"/>
      <c r="AP825" s="699"/>
      <c r="AQ825" s="699"/>
      <c r="AR825" s="699"/>
      <c r="AS825" s="699"/>
      <c r="AT825" s="699"/>
      <c r="AU825" s="699"/>
      <c r="AV825" s="699"/>
      <c r="AW825" s="699"/>
      <c r="AX825" s="700"/>
      <c r="AY825" s="700"/>
      <c r="AZ825" s="701"/>
    </row>
    <row r="826" spans="1:52" ht="29.25" customHeight="1" thickBot="1">
      <c r="A826" s="67">
        <f t="shared" si="448"/>
        <v>44871</v>
      </c>
      <c r="B826" s="138"/>
      <c r="C826" s="138"/>
      <c r="D826" s="138"/>
      <c r="E826" s="138"/>
      <c r="F826" s="138"/>
      <c r="G826" s="138"/>
      <c r="H826" s="138"/>
      <c r="I826" s="138"/>
      <c r="J826" s="138"/>
      <c r="K826" s="138"/>
      <c r="L826" s="138"/>
      <c r="M826" s="138"/>
      <c r="N826" s="138"/>
      <c r="O826" s="138"/>
      <c r="P826" s="138"/>
      <c r="Q826" s="138"/>
      <c r="R826" s="139"/>
      <c r="S826" s="176"/>
      <c r="T826" s="835"/>
      <c r="U826" s="835"/>
      <c r="V826" s="835"/>
      <c r="W826" s="835"/>
      <c r="X826" s="835"/>
      <c r="Y826" s="255">
        <f t="shared" si="446"/>
        <v>0</v>
      </c>
      <c r="Z826" s="309">
        <f t="shared" si="447"/>
        <v>0</v>
      </c>
      <c r="AA826" s="256">
        <f t="shared" si="444"/>
        <v>0</v>
      </c>
      <c r="AB826" s="309"/>
      <c r="AC826" s="309"/>
      <c r="AD826" s="320">
        <f t="shared" si="445"/>
        <v>0</v>
      </c>
      <c r="AF826" s="11"/>
      <c r="AG826" s="579"/>
      <c r="AH826" s="64">
        <f t="shared" si="449"/>
        <v>43379</v>
      </c>
      <c r="AI826" s="698"/>
      <c r="AJ826" s="699"/>
      <c r="AK826" s="699"/>
      <c r="AL826" s="699"/>
      <c r="AM826" s="699"/>
      <c r="AN826" s="699"/>
      <c r="AO826" s="699"/>
      <c r="AP826" s="699"/>
      <c r="AQ826" s="699"/>
      <c r="AR826" s="699"/>
      <c r="AS826" s="699"/>
      <c r="AT826" s="699"/>
      <c r="AU826" s="699"/>
      <c r="AV826" s="699"/>
      <c r="AW826" s="699"/>
      <c r="AX826" s="700"/>
      <c r="AY826" s="700"/>
      <c r="AZ826" s="701"/>
    </row>
    <row r="827" spans="1:52" ht="29.25" customHeight="1" thickBot="1">
      <c r="A827" s="67">
        <f t="shared" si="448"/>
        <v>44872</v>
      </c>
      <c r="B827" s="138"/>
      <c r="C827" s="138"/>
      <c r="D827" s="138"/>
      <c r="E827" s="138"/>
      <c r="F827" s="138"/>
      <c r="G827" s="138"/>
      <c r="H827" s="138"/>
      <c r="I827" s="138"/>
      <c r="J827" s="138"/>
      <c r="K827" s="138"/>
      <c r="L827" s="138"/>
      <c r="M827" s="138"/>
      <c r="N827" s="138"/>
      <c r="O827" s="138"/>
      <c r="P827" s="138"/>
      <c r="Q827" s="138"/>
      <c r="R827" s="139"/>
      <c r="S827" s="176"/>
      <c r="T827" s="835"/>
      <c r="U827" s="835"/>
      <c r="V827" s="835"/>
      <c r="W827" s="835"/>
      <c r="X827" s="835"/>
      <c r="Y827" s="255">
        <f>B827*280+C827*280+D827*280+E827*280+F827*130+G827*130+H827*90+I827*35+J827*35+K827*400+L827*400+M827*400+N827*390+O827*42+P827*80+Q827*200+R827*260+S827*41+T827*30+U827*60</f>
        <v>0</v>
      </c>
      <c r="Z827" s="309">
        <f t="shared" si="447"/>
        <v>0</v>
      </c>
      <c r="AA827" s="256">
        <f t="shared" si="444"/>
        <v>0</v>
      </c>
      <c r="AB827" s="309"/>
      <c r="AC827" s="309"/>
      <c r="AD827" s="320">
        <f t="shared" si="445"/>
        <v>0</v>
      </c>
      <c r="AF827" s="11"/>
      <c r="AG827" s="579"/>
      <c r="AH827" s="64">
        <f t="shared" si="449"/>
        <v>43380</v>
      </c>
      <c r="AI827" s="698"/>
      <c r="AJ827" s="699"/>
      <c r="AK827" s="699"/>
      <c r="AL827" s="699"/>
      <c r="AM827" s="699"/>
      <c r="AN827" s="699"/>
      <c r="AO827" s="699"/>
      <c r="AP827" s="699"/>
      <c r="AQ827" s="699"/>
      <c r="AR827" s="699"/>
      <c r="AS827" s="699"/>
      <c r="AT827" s="699"/>
      <c r="AU827" s="699"/>
      <c r="AV827" s="699"/>
      <c r="AW827" s="699"/>
      <c r="AX827" s="700"/>
      <c r="AY827" s="700"/>
      <c r="AZ827" s="701"/>
    </row>
    <row r="828" spans="1:52" ht="29.25" customHeight="1" thickBot="1">
      <c r="A828" s="67">
        <f t="shared" si="448"/>
        <v>44873</v>
      </c>
      <c r="B828" s="138"/>
      <c r="C828" s="138"/>
      <c r="D828" s="138"/>
      <c r="E828" s="138"/>
      <c r="F828" s="138"/>
      <c r="G828" s="138"/>
      <c r="H828" s="138"/>
      <c r="I828" s="138"/>
      <c r="J828" s="138"/>
      <c r="K828" s="138"/>
      <c r="L828" s="138"/>
      <c r="M828" s="138"/>
      <c r="N828" s="138"/>
      <c r="O828" s="138"/>
      <c r="P828" s="138"/>
      <c r="Q828" s="138"/>
      <c r="R828" s="139"/>
      <c r="S828" s="176"/>
      <c r="T828" s="835"/>
      <c r="U828" s="835"/>
      <c r="V828" s="835"/>
      <c r="W828" s="835"/>
      <c r="X828" s="835"/>
      <c r="Y828" s="255">
        <f>B828*280+C828*280+D828*280+E828*280+F828*130+G828*130+H828*90+I828*35+J828*35+K828*400+L828*400+M828*400+N828*400+O828*42+P828*80+Q828*200+R828*260+S828*41+T828*30+U828*60</f>
        <v>0</v>
      </c>
      <c r="Z828" s="309">
        <f t="shared" si="447"/>
        <v>0</v>
      </c>
      <c r="AA828" s="256">
        <f t="shared" si="444"/>
        <v>0</v>
      </c>
      <c r="AB828" s="309"/>
      <c r="AC828" s="309"/>
      <c r="AD828" s="320">
        <f t="shared" si="445"/>
        <v>0</v>
      </c>
      <c r="AF828" s="11"/>
      <c r="AG828" s="579"/>
      <c r="AH828" s="64">
        <f t="shared" si="449"/>
        <v>43381</v>
      </c>
      <c r="AI828" s="698"/>
      <c r="AJ828" s="699"/>
      <c r="AK828" s="699"/>
      <c r="AL828" s="699"/>
      <c r="AM828" s="699"/>
      <c r="AN828" s="699"/>
      <c r="AO828" s="699"/>
      <c r="AP828" s="699"/>
      <c r="AQ828" s="699"/>
      <c r="AR828" s="699"/>
      <c r="AS828" s="699"/>
      <c r="AT828" s="699"/>
      <c r="AU828" s="699"/>
      <c r="AV828" s="699"/>
      <c r="AW828" s="699"/>
      <c r="AX828" s="700"/>
      <c r="AY828" s="700"/>
      <c r="AZ828" s="701"/>
    </row>
    <row r="829" spans="1:52" ht="29.25" customHeight="1" thickBot="1">
      <c r="A829" s="67">
        <f t="shared" si="448"/>
        <v>44874</v>
      </c>
      <c r="B829" s="138"/>
      <c r="C829" s="138"/>
      <c r="D829" s="138"/>
      <c r="E829" s="138"/>
      <c r="F829" s="138"/>
      <c r="G829" s="138"/>
      <c r="H829" s="138"/>
      <c r="I829" s="138"/>
      <c r="J829" s="138"/>
      <c r="K829" s="138"/>
      <c r="L829" s="138"/>
      <c r="M829" s="138"/>
      <c r="N829" s="138"/>
      <c r="O829" s="138"/>
      <c r="P829" s="138"/>
      <c r="Q829" s="138"/>
      <c r="R829" s="139"/>
      <c r="S829" s="176"/>
      <c r="T829" s="835"/>
      <c r="U829" s="835"/>
      <c r="V829" s="835"/>
      <c r="W829" s="835"/>
      <c r="X829" s="835"/>
      <c r="Y829" s="255">
        <f t="shared" si="446"/>
        <v>0</v>
      </c>
      <c r="Z829" s="309">
        <f t="shared" si="447"/>
        <v>0</v>
      </c>
      <c r="AA829" s="256">
        <f t="shared" si="444"/>
        <v>0</v>
      </c>
      <c r="AB829" s="309"/>
      <c r="AC829" s="309"/>
      <c r="AD829" s="320">
        <f t="shared" si="445"/>
        <v>0</v>
      </c>
      <c r="AF829" s="11"/>
      <c r="AG829" s="579"/>
      <c r="AH829" s="64">
        <f t="shared" si="449"/>
        <v>43382</v>
      </c>
      <c r="AI829" s="698"/>
      <c r="AJ829" s="699"/>
      <c r="AK829" s="699"/>
      <c r="AL829" s="699"/>
      <c r="AM829" s="699"/>
      <c r="AN829" s="699"/>
      <c r="AO829" s="699"/>
      <c r="AP829" s="699"/>
      <c r="AQ829" s="699"/>
      <c r="AR829" s="699"/>
      <c r="AS829" s="699"/>
      <c r="AT829" s="699"/>
      <c r="AU829" s="699"/>
      <c r="AV829" s="699"/>
      <c r="AW829" s="699"/>
      <c r="AX829" s="700"/>
      <c r="AY829" s="700"/>
      <c r="AZ829" s="701"/>
    </row>
    <row r="830" spans="1:52" ht="29.25" customHeight="1" thickBot="1">
      <c r="A830" s="67">
        <f t="shared" si="448"/>
        <v>44875</v>
      </c>
      <c r="B830" s="138"/>
      <c r="C830" s="138"/>
      <c r="D830" s="138"/>
      <c r="E830" s="138"/>
      <c r="F830" s="138"/>
      <c r="G830" s="138"/>
      <c r="H830" s="138"/>
      <c r="I830" s="138"/>
      <c r="J830" s="138"/>
      <c r="K830" s="138"/>
      <c r="L830" s="138"/>
      <c r="M830" s="138"/>
      <c r="N830" s="138"/>
      <c r="O830" s="138"/>
      <c r="P830" s="138"/>
      <c r="Q830" s="138"/>
      <c r="R830" s="139"/>
      <c r="S830" s="176"/>
      <c r="T830" s="835"/>
      <c r="U830" s="835"/>
      <c r="V830" s="835"/>
      <c r="W830" s="835"/>
      <c r="X830" s="835"/>
      <c r="Y830" s="255">
        <f t="shared" si="446"/>
        <v>0</v>
      </c>
      <c r="Z830" s="309">
        <f t="shared" si="447"/>
        <v>0</v>
      </c>
      <c r="AA830" s="256">
        <f t="shared" si="444"/>
        <v>0</v>
      </c>
      <c r="AB830" s="309"/>
      <c r="AC830" s="309"/>
      <c r="AD830" s="320">
        <f t="shared" si="445"/>
        <v>0</v>
      </c>
      <c r="AF830" s="11"/>
      <c r="AG830" s="579"/>
      <c r="AH830" s="64">
        <f t="shared" si="449"/>
        <v>43383</v>
      </c>
      <c r="AI830" s="698"/>
      <c r="AJ830" s="699"/>
      <c r="AK830" s="699"/>
      <c r="AL830" s="699"/>
      <c r="AM830" s="699"/>
      <c r="AN830" s="699"/>
      <c r="AO830" s="699"/>
      <c r="AP830" s="699"/>
      <c r="AQ830" s="699"/>
      <c r="AR830" s="699"/>
      <c r="AS830" s="699"/>
      <c r="AT830" s="699"/>
      <c r="AU830" s="699"/>
      <c r="AV830" s="699"/>
      <c r="AW830" s="699"/>
      <c r="AX830" s="700"/>
      <c r="AY830" s="700"/>
      <c r="AZ830" s="701"/>
    </row>
    <row r="831" spans="1:52" ht="29.25" customHeight="1" thickBot="1">
      <c r="A831" s="67">
        <f t="shared" si="448"/>
        <v>44876</v>
      </c>
      <c r="B831" s="138"/>
      <c r="C831" s="138"/>
      <c r="D831" s="138"/>
      <c r="E831" s="138"/>
      <c r="F831" s="138"/>
      <c r="G831" s="138"/>
      <c r="H831" s="138"/>
      <c r="I831" s="138"/>
      <c r="J831" s="138"/>
      <c r="K831" s="138"/>
      <c r="L831" s="138"/>
      <c r="M831" s="138"/>
      <c r="N831" s="138"/>
      <c r="O831" s="138"/>
      <c r="P831" s="138"/>
      <c r="Q831" s="138"/>
      <c r="R831" s="139"/>
      <c r="S831" s="176"/>
      <c r="T831" s="835"/>
      <c r="U831" s="835"/>
      <c r="V831" s="835"/>
      <c r="W831" s="835"/>
      <c r="X831" s="835"/>
      <c r="Y831" s="255">
        <f>B831*280+C831*280+D831*280+E831*280+F831*130+G831*130+H831*90+I831*35+J831*35+K831*385+L831*400+M831*400+N831*22+O831*42+P831*80+Q831*200+R831*260+S831*41+T831*30+U831*60</f>
        <v>0</v>
      </c>
      <c r="Z831" s="309">
        <f t="shared" si="447"/>
        <v>0</v>
      </c>
      <c r="AA831" s="256">
        <f t="shared" si="444"/>
        <v>0</v>
      </c>
      <c r="AB831" s="309"/>
      <c r="AC831" s="309"/>
      <c r="AD831" s="320">
        <f t="shared" si="445"/>
        <v>0</v>
      </c>
      <c r="AF831" s="11"/>
      <c r="AG831" s="579"/>
      <c r="AH831" s="64">
        <f t="shared" si="449"/>
        <v>43384</v>
      </c>
      <c r="AI831" s="698"/>
      <c r="AJ831" s="699"/>
      <c r="AK831" s="699"/>
      <c r="AL831" s="699"/>
      <c r="AM831" s="699"/>
      <c r="AN831" s="699"/>
      <c r="AO831" s="699"/>
      <c r="AP831" s="699"/>
      <c r="AQ831" s="699"/>
      <c r="AR831" s="699"/>
      <c r="AS831" s="699"/>
      <c r="AT831" s="699"/>
      <c r="AU831" s="699"/>
      <c r="AV831" s="699"/>
      <c r="AW831" s="699"/>
      <c r="AX831" s="700"/>
      <c r="AY831" s="700"/>
      <c r="AZ831" s="701"/>
    </row>
    <row r="832" spans="1:52" ht="29.25" customHeight="1" thickBot="1">
      <c r="A832" s="67">
        <f t="shared" si="448"/>
        <v>44877</v>
      </c>
      <c r="B832" s="138"/>
      <c r="C832" s="138"/>
      <c r="D832" s="138"/>
      <c r="E832" s="138"/>
      <c r="F832" s="138"/>
      <c r="G832" s="138"/>
      <c r="H832" s="138"/>
      <c r="I832" s="138"/>
      <c r="J832" s="138"/>
      <c r="K832" s="138"/>
      <c r="L832" s="138"/>
      <c r="M832" s="138"/>
      <c r="N832" s="138"/>
      <c r="O832" s="138"/>
      <c r="P832" s="138"/>
      <c r="Q832" s="138"/>
      <c r="R832" s="139"/>
      <c r="S832" s="176"/>
      <c r="T832" s="835"/>
      <c r="U832" s="835"/>
      <c r="V832" s="835"/>
      <c r="W832" s="835"/>
      <c r="X832" s="835"/>
      <c r="Y832" s="255">
        <f t="shared" si="446"/>
        <v>0</v>
      </c>
      <c r="Z832" s="309">
        <f t="shared" si="447"/>
        <v>0</v>
      </c>
      <c r="AA832" s="256">
        <f t="shared" si="444"/>
        <v>0</v>
      </c>
      <c r="AB832" s="309"/>
      <c r="AC832" s="309"/>
      <c r="AD832" s="320">
        <f t="shared" si="445"/>
        <v>0</v>
      </c>
      <c r="AF832" s="11"/>
      <c r="AG832" s="579"/>
      <c r="AH832" s="64">
        <f t="shared" si="449"/>
        <v>43385</v>
      </c>
      <c r="AI832" s="698"/>
      <c r="AJ832" s="699"/>
      <c r="AK832" s="699"/>
      <c r="AL832" s="699"/>
      <c r="AM832" s="699"/>
      <c r="AN832" s="699"/>
      <c r="AO832" s="699"/>
      <c r="AP832" s="699"/>
      <c r="AQ832" s="699"/>
      <c r="AR832" s="699"/>
      <c r="AS832" s="699"/>
      <c r="AT832" s="699"/>
      <c r="AU832" s="699"/>
      <c r="AV832" s="699"/>
      <c r="AW832" s="699"/>
      <c r="AX832" s="700"/>
      <c r="AY832" s="700"/>
      <c r="AZ832" s="701"/>
    </row>
    <row r="833" spans="1:52" ht="29.25" customHeight="1" thickBot="1">
      <c r="A833" s="67">
        <f t="shared" si="448"/>
        <v>44878</v>
      </c>
      <c r="B833" s="138"/>
      <c r="C833" s="138"/>
      <c r="D833" s="138"/>
      <c r="E833" s="138"/>
      <c r="F833" s="138"/>
      <c r="G833" s="138"/>
      <c r="H833" s="138"/>
      <c r="I833" s="138"/>
      <c r="J833" s="138"/>
      <c r="K833" s="138"/>
      <c r="L833" s="138"/>
      <c r="M833" s="138"/>
      <c r="N833" s="138"/>
      <c r="O833" s="138"/>
      <c r="P833" s="138"/>
      <c r="Q833" s="138"/>
      <c r="R833" s="139"/>
      <c r="S833" s="176"/>
      <c r="T833" s="835"/>
      <c r="U833" s="835"/>
      <c r="V833" s="835"/>
      <c r="W833" s="835"/>
      <c r="X833" s="835"/>
      <c r="Y833" s="255">
        <f t="shared" si="446"/>
        <v>0</v>
      </c>
      <c r="Z833" s="309">
        <f t="shared" si="447"/>
        <v>0</v>
      </c>
      <c r="AA833" s="256">
        <f t="shared" si="444"/>
        <v>0</v>
      </c>
      <c r="AB833" s="309"/>
      <c r="AC833" s="309"/>
      <c r="AD833" s="320">
        <f t="shared" si="445"/>
        <v>0</v>
      </c>
      <c r="AF833" s="11"/>
      <c r="AG833" s="579"/>
      <c r="AH833" s="64">
        <f t="shared" si="449"/>
        <v>43386</v>
      </c>
      <c r="AI833" s="698"/>
      <c r="AJ833" s="699"/>
      <c r="AK833" s="699"/>
      <c r="AL833" s="699"/>
      <c r="AM833" s="699"/>
      <c r="AN833" s="699"/>
      <c r="AO833" s="699"/>
      <c r="AP833" s="699"/>
      <c r="AQ833" s="699"/>
      <c r="AR833" s="699"/>
      <c r="AS833" s="699"/>
      <c r="AT833" s="699"/>
      <c r="AU833" s="699"/>
      <c r="AV833" s="699"/>
      <c r="AW833" s="699"/>
      <c r="AX833" s="700"/>
      <c r="AY833" s="700"/>
      <c r="AZ833" s="701"/>
    </row>
    <row r="834" spans="1:52" ht="29.25" customHeight="1" thickBot="1">
      <c r="A834" s="67">
        <f t="shared" si="448"/>
        <v>44879</v>
      </c>
      <c r="B834" s="138"/>
      <c r="C834" s="138"/>
      <c r="D834" s="138"/>
      <c r="E834" s="138"/>
      <c r="F834" s="138"/>
      <c r="G834" s="138"/>
      <c r="H834" s="138"/>
      <c r="I834" s="138"/>
      <c r="J834" s="138"/>
      <c r="K834" s="138"/>
      <c r="L834" s="138"/>
      <c r="M834" s="138"/>
      <c r="N834" s="138"/>
      <c r="O834" s="138"/>
      <c r="P834" s="138"/>
      <c r="Q834" s="138"/>
      <c r="R834" s="139"/>
      <c r="S834" s="176"/>
      <c r="T834" s="835"/>
      <c r="U834" s="835"/>
      <c r="V834" s="835"/>
      <c r="W834" s="835"/>
      <c r="X834" s="835"/>
      <c r="Y834" s="255">
        <f>B834*280+C834*280+D834*280+E834*280+F834*130+G834*130+H834*90+I834*35+J834*35+K834*390+L834*400+M834*400+N834*22+O834*42+P834*80+Q834*200+R834*260+S834*41+T834*30+U834*60</f>
        <v>0</v>
      </c>
      <c r="Z834" s="309">
        <f t="shared" si="447"/>
        <v>0</v>
      </c>
      <c r="AA834" s="256">
        <f t="shared" si="444"/>
        <v>0</v>
      </c>
      <c r="AB834" s="309"/>
      <c r="AC834" s="309"/>
      <c r="AD834" s="320">
        <f t="shared" si="445"/>
        <v>0</v>
      </c>
      <c r="AF834" s="11"/>
      <c r="AG834" s="579"/>
      <c r="AH834" s="64">
        <f t="shared" si="449"/>
        <v>43387</v>
      </c>
      <c r="AI834" s="698"/>
      <c r="AJ834" s="699"/>
      <c r="AK834" s="699"/>
      <c r="AL834" s="699"/>
      <c r="AM834" s="699"/>
      <c r="AN834" s="699"/>
      <c r="AO834" s="699"/>
      <c r="AP834" s="699"/>
      <c r="AQ834" s="699"/>
      <c r="AR834" s="699"/>
      <c r="AS834" s="699"/>
      <c r="AT834" s="699"/>
      <c r="AU834" s="699"/>
      <c r="AV834" s="699"/>
      <c r="AW834" s="699"/>
      <c r="AX834" s="700"/>
      <c r="AY834" s="700"/>
      <c r="AZ834" s="701"/>
    </row>
    <row r="835" spans="1:52" ht="29.25" customHeight="1" thickBot="1">
      <c r="A835" s="67">
        <f t="shared" si="448"/>
        <v>44880</v>
      </c>
      <c r="B835" s="138"/>
      <c r="C835" s="138"/>
      <c r="D835" s="138"/>
      <c r="E835" s="138"/>
      <c r="F835" s="138"/>
      <c r="G835" s="138"/>
      <c r="H835" s="138"/>
      <c r="I835" s="138"/>
      <c r="J835" s="138"/>
      <c r="K835" s="138"/>
      <c r="L835" s="138"/>
      <c r="M835" s="138"/>
      <c r="N835" s="138"/>
      <c r="O835" s="138"/>
      <c r="P835" s="138"/>
      <c r="Q835" s="138"/>
      <c r="R835" s="139"/>
      <c r="S835" s="176"/>
      <c r="T835" s="835"/>
      <c r="U835" s="835"/>
      <c r="V835" s="835"/>
      <c r="W835" s="835"/>
      <c r="X835" s="835"/>
      <c r="Y835" s="255">
        <f t="shared" si="446"/>
        <v>0</v>
      </c>
      <c r="Z835" s="309">
        <f t="shared" si="447"/>
        <v>0</v>
      </c>
      <c r="AA835" s="256">
        <f t="shared" si="444"/>
        <v>0</v>
      </c>
      <c r="AB835" s="309"/>
      <c r="AC835" s="309"/>
      <c r="AD835" s="320">
        <f t="shared" si="445"/>
        <v>0</v>
      </c>
      <c r="AF835" s="11"/>
      <c r="AG835" s="579"/>
      <c r="AH835" s="64">
        <f t="shared" si="449"/>
        <v>43388</v>
      </c>
      <c r="AI835" s="698"/>
      <c r="AJ835" s="699"/>
      <c r="AK835" s="699"/>
      <c r="AL835" s="699"/>
      <c r="AM835" s="699"/>
      <c r="AN835" s="699"/>
      <c r="AO835" s="699"/>
      <c r="AP835" s="699"/>
      <c r="AQ835" s="699"/>
      <c r="AR835" s="699"/>
      <c r="AS835" s="699"/>
      <c r="AT835" s="699"/>
      <c r="AU835" s="699"/>
      <c r="AV835" s="699"/>
      <c r="AW835" s="699"/>
      <c r="AX835" s="700"/>
      <c r="AY835" s="700"/>
      <c r="AZ835" s="701"/>
    </row>
    <row r="836" spans="1:52" ht="29.25" customHeight="1" thickBot="1">
      <c r="A836" s="67">
        <f t="shared" si="448"/>
        <v>44881</v>
      </c>
      <c r="B836" s="138"/>
      <c r="C836" s="138"/>
      <c r="D836" s="138"/>
      <c r="E836" s="138"/>
      <c r="F836" s="138"/>
      <c r="G836" s="138"/>
      <c r="H836" s="138"/>
      <c r="I836" s="138"/>
      <c r="J836" s="138"/>
      <c r="K836" s="138"/>
      <c r="L836" s="138"/>
      <c r="M836" s="138"/>
      <c r="N836" s="138"/>
      <c r="O836" s="138"/>
      <c r="P836" s="138"/>
      <c r="Q836" s="138"/>
      <c r="R836" s="139"/>
      <c r="S836" s="176"/>
      <c r="T836" s="835"/>
      <c r="U836" s="835"/>
      <c r="V836" s="835"/>
      <c r="W836" s="835"/>
      <c r="X836" s="835"/>
      <c r="Y836" s="255">
        <f>B836*280+C836*280+D836*280+E836*280+F836*130+G836*130+H836*90+I836*35+J836*35+K836*400+L836*400+M836*400+N836*400+O836*42+P836*80+Q836*200+R836*260+S836*41+T836*30+U836*60</f>
        <v>0</v>
      </c>
      <c r="Z836" s="309">
        <f t="shared" si="447"/>
        <v>0</v>
      </c>
      <c r="AA836" s="256">
        <f t="shared" si="444"/>
        <v>0</v>
      </c>
      <c r="AB836" s="309"/>
      <c r="AC836" s="309"/>
      <c r="AD836" s="320">
        <f t="shared" si="445"/>
        <v>0</v>
      </c>
      <c r="AF836" s="11"/>
      <c r="AG836" s="579"/>
      <c r="AH836" s="64">
        <f t="shared" si="449"/>
        <v>43389</v>
      </c>
      <c r="AI836" s="698"/>
      <c r="AJ836" s="699"/>
      <c r="AK836" s="699"/>
      <c r="AL836" s="699"/>
      <c r="AM836" s="699"/>
      <c r="AN836" s="699"/>
      <c r="AO836" s="699"/>
      <c r="AP836" s="699"/>
      <c r="AQ836" s="699"/>
      <c r="AR836" s="699"/>
      <c r="AS836" s="699"/>
      <c r="AT836" s="699"/>
      <c r="AU836" s="699"/>
      <c r="AV836" s="699"/>
      <c r="AW836" s="699"/>
      <c r="AX836" s="700"/>
      <c r="AY836" s="700"/>
      <c r="AZ836" s="701"/>
    </row>
    <row r="837" spans="1:52" ht="29.25" customHeight="1" thickBot="1">
      <c r="A837" s="67">
        <f t="shared" si="448"/>
        <v>44882</v>
      </c>
      <c r="B837" s="138"/>
      <c r="C837" s="138"/>
      <c r="D837" s="138"/>
      <c r="E837" s="138"/>
      <c r="F837" s="138"/>
      <c r="G837" s="138"/>
      <c r="H837" s="138"/>
      <c r="I837" s="138"/>
      <c r="J837" s="138"/>
      <c r="K837" s="138"/>
      <c r="L837" s="138"/>
      <c r="M837" s="138"/>
      <c r="N837" s="138"/>
      <c r="O837" s="138"/>
      <c r="P837" s="138"/>
      <c r="Q837" s="138"/>
      <c r="R837" s="139"/>
      <c r="S837" s="176"/>
      <c r="T837" s="835"/>
      <c r="U837" s="835"/>
      <c r="V837" s="835"/>
      <c r="W837" s="835"/>
      <c r="X837" s="835"/>
      <c r="Y837" s="255">
        <f t="shared" si="446"/>
        <v>0</v>
      </c>
      <c r="Z837" s="309">
        <f t="shared" si="447"/>
        <v>0</v>
      </c>
      <c r="AA837" s="256">
        <f t="shared" si="444"/>
        <v>0</v>
      </c>
      <c r="AB837" s="309"/>
      <c r="AC837" s="309"/>
      <c r="AD837" s="320">
        <f t="shared" si="445"/>
        <v>0</v>
      </c>
      <c r="AF837" s="11"/>
      <c r="AG837" s="579"/>
      <c r="AH837" s="64">
        <f t="shared" si="449"/>
        <v>43390</v>
      </c>
      <c r="AI837" s="698"/>
      <c r="AJ837" s="699"/>
      <c r="AK837" s="699"/>
      <c r="AL837" s="699"/>
      <c r="AM837" s="699"/>
      <c r="AN837" s="699"/>
      <c r="AO837" s="699"/>
      <c r="AP837" s="699"/>
      <c r="AQ837" s="699"/>
      <c r="AR837" s="699"/>
      <c r="AS837" s="699"/>
      <c r="AT837" s="699"/>
      <c r="AU837" s="699"/>
      <c r="AV837" s="699"/>
      <c r="AW837" s="699"/>
      <c r="AX837" s="700"/>
      <c r="AY837" s="700"/>
      <c r="AZ837" s="701"/>
    </row>
    <row r="838" spans="1:52" ht="29.25" customHeight="1" thickBot="1">
      <c r="A838" s="67">
        <f t="shared" si="448"/>
        <v>44883</v>
      </c>
      <c r="B838" s="138"/>
      <c r="C838" s="138"/>
      <c r="D838" s="138"/>
      <c r="E838" s="138"/>
      <c r="F838" s="138"/>
      <c r="G838" s="138"/>
      <c r="H838" s="138"/>
      <c r="I838" s="138"/>
      <c r="J838" s="138"/>
      <c r="K838" s="138"/>
      <c r="L838" s="138"/>
      <c r="M838" s="138"/>
      <c r="N838" s="138"/>
      <c r="O838" s="138"/>
      <c r="P838" s="138"/>
      <c r="Q838" s="138"/>
      <c r="R838" s="139"/>
      <c r="S838" s="176"/>
      <c r="T838" s="835"/>
      <c r="U838" s="835"/>
      <c r="V838" s="835"/>
      <c r="W838" s="835"/>
      <c r="X838" s="835"/>
      <c r="Y838" s="255">
        <f t="shared" si="446"/>
        <v>0</v>
      </c>
      <c r="Z838" s="309">
        <f t="shared" si="447"/>
        <v>0</v>
      </c>
      <c r="AA838" s="256">
        <f t="shared" si="444"/>
        <v>0</v>
      </c>
      <c r="AB838" s="309"/>
      <c r="AC838" s="309"/>
      <c r="AD838" s="320">
        <f t="shared" si="445"/>
        <v>0</v>
      </c>
      <c r="AF838" s="11"/>
      <c r="AG838" s="579"/>
      <c r="AH838" s="64">
        <f t="shared" si="449"/>
        <v>43391</v>
      </c>
      <c r="AI838" s="698"/>
      <c r="AJ838" s="699"/>
      <c r="AK838" s="699"/>
      <c r="AL838" s="699"/>
      <c r="AM838" s="699"/>
      <c r="AN838" s="699"/>
      <c r="AO838" s="699"/>
      <c r="AP838" s="699"/>
      <c r="AQ838" s="699"/>
      <c r="AR838" s="699"/>
      <c r="AS838" s="699"/>
      <c r="AT838" s="699"/>
      <c r="AU838" s="699"/>
      <c r="AV838" s="699"/>
      <c r="AW838" s="699"/>
      <c r="AX838" s="700"/>
      <c r="AY838" s="700"/>
      <c r="AZ838" s="701"/>
    </row>
    <row r="839" spans="1:52" ht="29.25" customHeight="1" thickBot="1">
      <c r="A839" s="67">
        <f t="shared" si="448"/>
        <v>44884</v>
      </c>
      <c r="B839" s="138"/>
      <c r="C839" s="138"/>
      <c r="D839" s="138"/>
      <c r="E839" s="138"/>
      <c r="F839" s="138"/>
      <c r="G839" s="138"/>
      <c r="H839" s="138"/>
      <c r="I839" s="138"/>
      <c r="J839" s="138"/>
      <c r="K839" s="138"/>
      <c r="L839" s="138"/>
      <c r="M839" s="138"/>
      <c r="N839" s="138"/>
      <c r="O839" s="138"/>
      <c r="P839" s="138"/>
      <c r="Q839" s="138"/>
      <c r="R839" s="139"/>
      <c r="S839" s="176"/>
      <c r="T839" s="835"/>
      <c r="U839" s="835"/>
      <c r="V839" s="835"/>
      <c r="W839" s="835"/>
      <c r="X839" s="835"/>
      <c r="Y839" s="255">
        <f t="shared" si="446"/>
        <v>0</v>
      </c>
      <c r="Z839" s="309">
        <f t="shared" si="447"/>
        <v>0</v>
      </c>
      <c r="AA839" s="256">
        <f t="shared" si="444"/>
        <v>0</v>
      </c>
      <c r="AB839" s="309"/>
      <c r="AC839" s="309"/>
      <c r="AD839" s="320">
        <f t="shared" si="445"/>
        <v>0</v>
      </c>
      <c r="AF839" s="11"/>
      <c r="AG839" s="579"/>
      <c r="AH839" s="64">
        <f t="shared" si="449"/>
        <v>43392</v>
      </c>
      <c r="AI839" s="698"/>
      <c r="AJ839" s="699"/>
      <c r="AK839" s="699"/>
      <c r="AL839" s="699"/>
      <c r="AM839" s="699"/>
      <c r="AN839" s="699"/>
      <c r="AO839" s="699"/>
      <c r="AP839" s="699"/>
      <c r="AQ839" s="699"/>
      <c r="AR839" s="699"/>
      <c r="AS839" s="699"/>
      <c r="AT839" s="699"/>
      <c r="AU839" s="699"/>
      <c r="AV839" s="699"/>
      <c r="AW839" s="699"/>
      <c r="AX839" s="700"/>
      <c r="AY839" s="700"/>
      <c r="AZ839" s="701"/>
    </row>
    <row r="840" spans="1:52" ht="29.25" customHeight="1" thickBot="1">
      <c r="A840" s="67">
        <f t="shared" si="448"/>
        <v>44885</v>
      </c>
      <c r="B840" s="138"/>
      <c r="C840" s="138"/>
      <c r="D840" s="138"/>
      <c r="E840" s="138"/>
      <c r="F840" s="138"/>
      <c r="G840" s="138"/>
      <c r="H840" s="138"/>
      <c r="I840" s="138"/>
      <c r="J840" s="138"/>
      <c r="K840" s="138"/>
      <c r="L840" s="138"/>
      <c r="M840" s="138"/>
      <c r="N840" s="138"/>
      <c r="O840" s="138"/>
      <c r="P840" s="138"/>
      <c r="Q840" s="138"/>
      <c r="R840" s="139"/>
      <c r="S840" s="176"/>
      <c r="T840" s="835"/>
      <c r="U840" s="835"/>
      <c r="V840" s="835"/>
      <c r="W840" s="835"/>
      <c r="X840" s="835"/>
      <c r="Y840" s="255">
        <f t="shared" si="446"/>
        <v>0</v>
      </c>
      <c r="Z840" s="309">
        <f t="shared" si="447"/>
        <v>0</v>
      </c>
      <c r="AA840" s="256">
        <f t="shared" si="444"/>
        <v>0</v>
      </c>
      <c r="AB840" s="309"/>
      <c r="AC840" s="309"/>
      <c r="AD840" s="320">
        <f t="shared" si="445"/>
        <v>0</v>
      </c>
      <c r="AF840" s="11"/>
      <c r="AG840" s="579"/>
      <c r="AH840" s="64">
        <f t="shared" si="449"/>
        <v>43393</v>
      </c>
      <c r="AI840" s="698"/>
      <c r="AJ840" s="699"/>
      <c r="AK840" s="699"/>
      <c r="AL840" s="699"/>
      <c r="AM840" s="699"/>
      <c r="AN840" s="699"/>
      <c r="AO840" s="699"/>
      <c r="AP840" s="699"/>
      <c r="AQ840" s="699"/>
      <c r="AR840" s="699"/>
      <c r="AS840" s="699"/>
      <c r="AT840" s="699"/>
      <c r="AU840" s="699"/>
      <c r="AV840" s="699"/>
      <c r="AW840" s="699"/>
      <c r="AX840" s="700"/>
      <c r="AY840" s="700"/>
      <c r="AZ840" s="701"/>
    </row>
    <row r="841" spans="1:52" ht="29.25" customHeight="1" thickBot="1">
      <c r="A841" s="67">
        <f t="shared" si="448"/>
        <v>44886</v>
      </c>
      <c r="B841" s="138"/>
      <c r="C841" s="138"/>
      <c r="D841" s="138"/>
      <c r="E841" s="138"/>
      <c r="F841" s="138"/>
      <c r="G841" s="138"/>
      <c r="H841" s="138"/>
      <c r="I841" s="138"/>
      <c r="J841" s="138"/>
      <c r="K841" s="138"/>
      <c r="L841" s="138"/>
      <c r="M841" s="138"/>
      <c r="N841" s="138"/>
      <c r="O841" s="138"/>
      <c r="P841" s="138"/>
      <c r="Q841" s="138"/>
      <c r="R841" s="139"/>
      <c r="S841" s="176"/>
      <c r="T841" s="835"/>
      <c r="U841" s="835"/>
      <c r="V841" s="835"/>
      <c r="W841" s="835"/>
      <c r="X841" s="835"/>
      <c r="Y841" s="255">
        <f>B841*280+C841*280+D841*280+E841*280+F841*130+G841*130+H841*90+I841*35+J841*35+K841*385+L841*400+M841*400+N841*22+O841*42+P841*80+Q841*200+R841*260+S841*41+T841*30+U841*60</f>
        <v>0</v>
      </c>
      <c r="Z841" s="309">
        <f t="shared" si="447"/>
        <v>0</v>
      </c>
      <c r="AA841" s="256">
        <f t="shared" si="444"/>
        <v>0</v>
      </c>
      <c r="AB841" s="309"/>
      <c r="AC841" s="309"/>
      <c r="AD841" s="320">
        <f t="shared" si="445"/>
        <v>0</v>
      </c>
      <c r="AF841" s="11"/>
      <c r="AG841" s="579"/>
      <c r="AH841" s="64">
        <f t="shared" si="449"/>
        <v>43394</v>
      </c>
      <c r="AI841" s="698"/>
      <c r="AJ841" s="699"/>
      <c r="AK841" s="699"/>
      <c r="AL841" s="699"/>
      <c r="AM841" s="699"/>
      <c r="AN841" s="699"/>
      <c r="AO841" s="699"/>
      <c r="AP841" s="699"/>
      <c r="AQ841" s="699"/>
      <c r="AR841" s="699"/>
      <c r="AS841" s="699"/>
      <c r="AT841" s="699"/>
      <c r="AU841" s="699"/>
      <c r="AV841" s="699"/>
      <c r="AW841" s="699"/>
      <c r="AX841" s="700"/>
      <c r="AY841" s="700"/>
      <c r="AZ841" s="701"/>
    </row>
    <row r="842" spans="1:52" ht="29.25" customHeight="1" thickBot="1">
      <c r="A842" s="67">
        <f t="shared" si="448"/>
        <v>44887</v>
      </c>
      <c r="B842" s="138"/>
      <c r="C842" s="138"/>
      <c r="D842" s="138"/>
      <c r="E842" s="138"/>
      <c r="F842" s="138"/>
      <c r="G842" s="138"/>
      <c r="H842" s="138"/>
      <c r="I842" s="138"/>
      <c r="J842" s="138"/>
      <c r="K842" s="138"/>
      <c r="L842" s="138"/>
      <c r="M842" s="138"/>
      <c r="N842" s="138"/>
      <c r="O842" s="138"/>
      <c r="P842" s="138"/>
      <c r="Q842" s="138"/>
      <c r="R842" s="139"/>
      <c r="S842" s="176"/>
      <c r="T842" s="835"/>
      <c r="U842" s="835"/>
      <c r="V842" s="835"/>
      <c r="W842" s="835"/>
      <c r="X842" s="835"/>
      <c r="Y842" s="255">
        <f t="shared" si="446"/>
        <v>0</v>
      </c>
      <c r="Z842" s="309">
        <f t="shared" si="447"/>
        <v>0</v>
      </c>
      <c r="AA842" s="256">
        <f t="shared" si="444"/>
        <v>0</v>
      </c>
      <c r="AB842" s="309"/>
      <c r="AC842" s="309"/>
      <c r="AD842" s="320">
        <f t="shared" si="445"/>
        <v>0</v>
      </c>
      <c r="AF842" s="11"/>
      <c r="AG842" s="579"/>
      <c r="AH842" s="64">
        <f t="shared" si="449"/>
        <v>43395</v>
      </c>
      <c r="AI842" s="698"/>
      <c r="AJ842" s="699"/>
      <c r="AK842" s="699"/>
      <c r="AL842" s="699"/>
      <c r="AM842" s="699"/>
      <c r="AN842" s="699"/>
      <c r="AO842" s="699"/>
      <c r="AP842" s="699"/>
      <c r="AQ842" s="699"/>
      <c r="AR842" s="699"/>
      <c r="AS842" s="699"/>
      <c r="AT842" s="699"/>
      <c r="AU842" s="699"/>
      <c r="AV842" s="699"/>
      <c r="AW842" s="699"/>
      <c r="AX842" s="700"/>
      <c r="AY842" s="700"/>
      <c r="AZ842" s="701"/>
    </row>
    <row r="843" spans="1:52" ht="29.25" customHeight="1" thickBot="1">
      <c r="A843" s="67">
        <f t="shared" si="448"/>
        <v>44888</v>
      </c>
      <c r="B843" s="138"/>
      <c r="C843" s="138"/>
      <c r="D843" s="138"/>
      <c r="E843" s="138"/>
      <c r="F843" s="138"/>
      <c r="G843" s="138"/>
      <c r="H843" s="138"/>
      <c r="I843" s="138"/>
      <c r="J843" s="138"/>
      <c r="K843" s="138"/>
      <c r="L843" s="138"/>
      <c r="M843" s="138"/>
      <c r="N843" s="138"/>
      <c r="O843" s="138"/>
      <c r="P843" s="138"/>
      <c r="Q843" s="138"/>
      <c r="R843" s="139"/>
      <c r="S843" s="176"/>
      <c r="T843" s="835"/>
      <c r="U843" s="835"/>
      <c r="V843" s="835"/>
      <c r="W843" s="835"/>
      <c r="X843" s="835"/>
      <c r="Y843" s="255">
        <f>B843*280+C843*280+D843*280+E843*280+F843*130+G843*130+H843*90+I843*35+J843*35+K843*400+L843*400+M843*400+N843*390+O843*42+P843*80+Q843*200+R843*260+S843*41+T843*30+U843*60</f>
        <v>0</v>
      </c>
      <c r="Z843" s="309">
        <f t="shared" si="447"/>
        <v>0</v>
      </c>
      <c r="AA843" s="256">
        <f t="shared" si="444"/>
        <v>0</v>
      </c>
      <c r="AB843" s="309"/>
      <c r="AC843" s="309"/>
      <c r="AD843" s="320">
        <f t="shared" si="445"/>
        <v>0</v>
      </c>
      <c r="AF843" s="11"/>
      <c r="AG843" s="579"/>
      <c r="AH843" s="64">
        <f t="shared" si="449"/>
        <v>43396</v>
      </c>
      <c r="AI843" s="698"/>
      <c r="AJ843" s="699"/>
      <c r="AK843" s="699"/>
      <c r="AL843" s="699"/>
      <c r="AM843" s="699"/>
      <c r="AN843" s="699"/>
      <c r="AO843" s="699"/>
      <c r="AP843" s="699"/>
      <c r="AQ843" s="699"/>
      <c r="AR843" s="699"/>
      <c r="AS843" s="699"/>
      <c r="AT843" s="699"/>
      <c r="AU843" s="699"/>
      <c r="AV843" s="699"/>
      <c r="AW843" s="699"/>
      <c r="AX843" s="700"/>
      <c r="AY843" s="700"/>
      <c r="AZ843" s="701"/>
    </row>
    <row r="844" spans="1:52" ht="29.25" customHeight="1" thickBot="1">
      <c r="A844" s="67">
        <f t="shared" si="448"/>
        <v>44889</v>
      </c>
      <c r="B844" s="138"/>
      <c r="C844" s="138"/>
      <c r="D844" s="138"/>
      <c r="E844" s="138"/>
      <c r="F844" s="138"/>
      <c r="G844" s="138"/>
      <c r="H844" s="138"/>
      <c r="I844" s="138"/>
      <c r="J844" s="138"/>
      <c r="K844" s="138"/>
      <c r="L844" s="138"/>
      <c r="M844" s="138"/>
      <c r="N844" s="138"/>
      <c r="O844" s="138"/>
      <c r="P844" s="138"/>
      <c r="Q844" s="138"/>
      <c r="R844" s="139"/>
      <c r="S844" s="176"/>
      <c r="T844" s="835"/>
      <c r="U844" s="835"/>
      <c r="V844" s="835"/>
      <c r="W844" s="835"/>
      <c r="X844" s="835"/>
      <c r="Y844" s="255">
        <f t="shared" si="446"/>
        <v>0</v>
      </c>
      <c r="Z844" s="309">
        <f t="shared" si="447"/>
        <v>0</v>
      </c>
      <c r="AA844" s="256">
        <f t="shared" si="444"/>
        <v>0</v>
      </c>
      <c r="AB844" s="309"/>
      <c r="AC844" s="309"/>
      <c r="AD844" s="320">
        <f t="shared" si="445"/>
        <v>0</v>
      </c>
      <c r="AF844" s="11"/>
      <c r="AG844" s="579"/>
      <c r="AH844" s="64">
        <f t="shared" si="449"/>
        <v>43397</v>
      </c>
      <c r="AI844" s="698"/>
      <c r="AJ844" s="699"/>
      <c r="AK844" s="699"/>
      <c r="AL844" s="699"/>
      <c r="AM844" s="699"/>
      <c r="AN844" s="699"/>
      <c r="AO844" s="699"/>
      <c r="AP844" s="699"/>
      <c r="AQ844" s="699"/>
      <c r="AR844" s="699"/>
      <c r="AS844" s="699"/>
      <c r="AT844" s="699"/>
      <c r="AU844" s="699"/>
      <c r="AV844" s="699"/>
      <c r="AW844" s="699"/>
      <c r="AX844" s="700"/>
      <c r="AY844" s="700"/>
      <c r="AZ844" s="701"/>
    </row>
    <row r="845" spans="1:52" ht="29.25" customHeight="1" thickBot="1">
      <c r="A845" s="67">
        <f t="shared" si="448"/>
        <v>44890</v>
      </c>
      <c r="B845" s="138"/>
      <c r="C845" s="138"/>
      <c r="D845" s="138"/>
      <c r="E845" s="138"/>
      <c r="F845" s="138"/>
      <c r="G845" s="138"/>
      <c r="H845" s="138"/>
      <c r="I845" s="138"/>
      <c r="J845" s="138"/>
      <c r="K845" s="138"/>
      <c r="L845" s="138"/>
      <c r="M845" s="138"/>
      <c r="N845" s="138"/>
      <c r="O845" s="138"/>
      <c r="P845" s="138"/>
      <c r="Q845" s="138"/>
      <c r="R845" s="139"/>
      <c r="S845" s="176"/>
      <c r="T845" s="835"/>
      <c r="U845" s="835"/>
      <c r="V845" s="835"/>
      <c r="W845" s="835"/>
      <c r="X845" s="835"/>
      <c r="Y845" s="255">
        <f t="shared" si="446"/>
        <v>0</v>
      </c>
      <c r="Z845" s="309">
        <f t="shared" si="447"/>
        <v>0</v>
      </c>
      <c r="AA845" s="256">
        <f t="shared" si="444"/>
        <v>0</v>
      </c>
      <c r="AB845" s="309"/>
      <c r="AC845" s="309"/>
      <c r="AD845" s="320">
        <f t="shared" si="445"/>
        <v>0</v>
      </c>
      <c r="AF845" s="11"/>
      <c r="AG845" s="579"/>
      <c r="AH845" s="64">
        <f t="shared" si="449"/>
        <v>43398</v>
      </c>
      <c r="AI845" s="698"/>
      <c r="AJ845" s="699"/>
      <c r="AK845" s="699"/>
      <c r="AL845" s="699"/>
      <c r="AM845" s="699"/>
      <c r="AN845" s="699"/>
      <c r="AO845" s="699"/>
      <c r="AP845" s="699"/>
      <c r="AQ845" s="699"/>
      <c r="AR845" s="699"/>
      <c r="AS845" s="699"/>
      <c r="AT845" s="699"/>
      <c r="AU845" s="699"/>
      <c r="AV845" s="699"/>
      <c r="AW845" s="699"/>
      <c r="AX845" s="700"/>
      <c r="AY845" s="700"/>
      <c r="AZ845" s="701"/>
    </row>
    <row r="846" spans="1:52" ht="29.25" customHeight="1" thickBot="1">
      <c r="A846" s="67">
        <f t="shared" si="448"/>
        <v>44891</v>
      </c>
      <c r="B846" s="138"/>
      <c r="C846" s="138"/>
      <c r="D846" s="138"/>
      <c r="E846" s="138"/>
      <c r="F846" s="138"/>
      <c r="G846" s="138"/>
      <c r="H846" s="138"/>
      <c r="I846" s="138"/>
      <c r="J846" s="138"/>
      <c r="K846" s="138"/>
      <c r="L846" s="138"/>
      <c r="M846" s="138"/>
      <c r="N846" s="138"/>
      <c r="O846" s="138"/>
      <c r="P846" s="138"/>
      <c r="Q846" s="138"/>
      <c r="R846" s="139"/>
      <c r="S846" s="176"/>
      <c r="T846" s="835"/>
      <c r="U846" s="835"/>
      <c r="V846" s="835"/>
      <c r="W846" s="835"/>
      <c r="X846" s="835"/>
      <c r="Y846" s="255">
        <f t="shared" si="446"/>
        <v>0</v>
      </c>
      <c r="Z846" s="309">
        <f t="shared" si="447"/>
        <v>0</v>
      </c>
      <c r="AA846" s="256">
        <f t="shared" si="444"/>
        <v>0</v>
      </c>
      <c r="AB846" s="309"/>
      <c r="AC846" s="309"/>
      <c r="AD846" s="320">
        <f t="shared" si="445"/>
        <v>0</v>
      </c>
      <c r="AF846" s="11"/>
      <c r="AG846" s="579"/>
      <c r="AH846" s="64">
        <f t="shared" si="449"/>
        <v>43399</v>
      </c>
      <c r="AI846" s="698"/>
      <c r="AJ846" s="699"/>
      <c r="AK846" s="699"/>
      <c r="AL846" s="699"/>
      <c r="AM846" s="699"/>
      <c r="AN846" s="699"/>
      <c r="AO846" s="699"/>
      <c r="AP846" s="699"/>
      <c r="AQ846" s="699"/>
      <c r="AR846" s="699"/>
      <c r="AS846" s="699"/>
      <c r="AT846" s="699"/>
      <c r="AU846" s="699"/>
      <c r="AV846" s="699"/>
      <c r="AW846" s="699"/>
      <c r="AX846" s="700"/>
      <c r="AY846" s="700"/>
      <c r="AZ846" s="701"/>
    </row>
    <row r="847" spans="1:52" ht="29.25" customHeight="1" thickBot="1">
      <c r="A847" s="67">
        <f t="shared" si="448"/>
        <v>44892</v>
      </c>
      <c r="B847" s="138"/>
      <c r="C847" s="138"/>
      <c r="D847" s="138"/>
      <c r="E847" s="138"/>
      <c r="F847" s="138"/>
      <c r="G847" s="138"/>
      <c r="H847" s="138"/>
      <c r="I847" s="138"/>
      <c r="J847" s="138"/>
      <c r="K847" s="138"/>
      <c r="L847" s="138"/>
      <c r="M847" s="138"/>
      <c r="N847" s="138"/>
      <c r="O847" s="138"/>
      <c r="P847" s="138"/>
      <c r="Q847" s="138"/>
      <c r="R847" s="139"/>
      <c r="S847" s="176"/>
      <c r="T847" s="835"/>
      <c r="U847" s="835"/>
      <c r="V847" s="835"/>
      <c r="W847" s="835"/>
      <c r="X847" s="835"/>
      <c r="Y847" s="255">
        <f t="shared" si="446"/>
        <v>0</v>
      </c>
      <c r="Z847" s="309">
        <f t="shared" si="447"/>
        <v>0</v>
      </c>
      <c r="AA847" s="256">
        <f t="shared" si="444"/>
        <v>0</v>
      </c>
      <c r="AB847" s="309"/>
      <c r="AC847" s="309"/>
      <c r="AD847" s="320">
        <f t="shared" si="445"/>
        <v>0</v>
      </c>
      <c r="AF847" s="11"/>
      <c r="AG847" s="579"/>
      <c r="AH847" s="64">
        <f t="shared" si="449"/>
        <v>43400</v>
      </c>
      <c r="AI847" s="698"/>
      <c r="AJ847" s="699"/>
      <c r="AK847" s="699"/>
      <c r="AL847" s="699"/>
      <c r="AM847" s="699"/>
      <c r="AN847" s="699"/>
      <c r="AO847" s="699"/>
      <c r="AP847" s="699"/>
      <c r="AQ847" s="699"/>
      <c r="AR847" s="699"/>
      <c r="AS847" s="699"/>
      <c r="AT847" s="699"/>
      <c r="AU847" s="699"/>
      <c r="AV847" s="699"/>
      <c r="AW847" s="699"/>
      <c r="AX847" s="700"/>
      <c r="AY847" s="700"/>
      <c r="AZ847" s="701"/>
    </row>
    <row r="848" spans="1:52" ht="29.25" customHeight="1" thickBot="1">
      <c r="A848" s="67">
        <f t="shared" si="448"/>
        <v>44893</v>
      </c>
      <c r="B848" s="138"/>
      <c r="C848" s="138"/>
      <c r="D848" s="138"/>
      <c r="E848" s="138"/>
      <c r="F848" s="138"/>
      <c r="G848" s="138"/>
      <c r="H848" s="138"/>
      <c r="I848" s="138"/>
      <c r="J848" s="138"/>
      <c r="K848" s="138"/>
      <c r="L848" s="138"/>
      <c r="M848" s="138"/>
      <c r="N848" s="138"/>
      <c r="O848" s="138"/>
      <c r="P848" s="138"/>
      <c r="Q848" s="138"/>
      <c r="R848" s="139"/>
      <c r="S848" s="176"/>
      <c r="T848" s="835"/>
      <c r="U848" s="835"/>
      <c r="V848" s="835"/>
      <c r="W848" s="835"/>
      <c r="X848" s="835"/>
      <c r="Y848" s="255">
        <f>B848*280+C848*280+D848*280+E848*280+F848*130+G848*130+H848*90+I848*35+J848*35+K848*400+L848*400+M848*400+N848*22+O848*42+P848*80+Q848*200+R848*260+S848*41+T848*30+U848*60</f>
        <v>0</v>
      </c>
      <c r="Z848" s="309">
        <f t="shared" si="447"/>
        <v>0</v>
      </c>
      <c r="AA848" s="256">
        <f t="shared" si="444"/>
        <v>0</v>
      </c>
      <c r="AB848" s="309"/>
      <c r="AC848" s="309"/>
      <c r="AD848" s="320">
        <f t="shared" si="445"/>
        <v>0</v>
      </c>
      <c r="AF848" s="11"/>
      <c r="AG848" s="579"/>
      <c r="AH848" s="64">
        <f t="shared" si="449"/>
        <v>43401</v>
      </c>
      <c r="AI848" s="698"/>
      <c r="AJ848" s="699"/>
      <c r="AK848" s="699"/>
      <c r="AL848" s="699"/>
      <c r="AM848" s="699"/>
      <c r="AN848" s="699"/>
      <c r="AO848" s="699"/>
      <c r="AP848" s="699"/>
      <c r="AQ848" s="699"/>
      <c r="AR848" s="699"/>
      <c r="AS848" s="699"/>
      <c r="AT848" s="699"/>
      <c r="AU848" s="699"/>
      <c r="AV848" s="699"/>
      <c r="AW848" s="699"/>
      <c r="AX848" s="700"/>
      <c r="AY848" s="700"/>
      <c r="AZ848" s="701"/>
    </row>
    <row r="849" spans="1:52" ht="29.25" customHeight="1" thickBot="1">
      <c r="A849" s="67">
        <f t="shared" si="448"/>
        <v>44894</v>
      </c>
      <c r="B849" s="138"/>
      <c r="C849" s="138"/>
      <c r="D849" s="138"/>
      <c r="E849" s="138"/>
      <c r="F849" s="138"/>
      <c r="G849" s="138"/>
      <c r="H849" s="138"/>
      <c r="I849" s="138"/>
      <c r="J849" s="138"/>
      <c r="K849" s="138"/>
      <c r="L849" s="138"/>
      <c r="M849" s="138"/>
      <c r="N849" s="138"/>
      <c r="O849" s="138"/>
      <c r="P849" s="138"/>
      <c r="Q849" s="138"/>
      <c r="R849" s="139"/>
      <c r="S849" s="176"/>
      <c r="T849" s="835"/>
      <c r="U849" s="835"/>
      <c r="V849" s="835"/>
      <c r="W849" s="835"/>
      <c r="X849" s="835"/>
      <c r="Y849" s="255">
        <f>B849*280+C849*280+D849*280+E849*280+F849*130+G849*130+H849*90+I849*35+J849*35+K849*400+L849*400+M849*400+N849*400+O849*42+P849*80+Q849*200+R849*260+S849*41+T849*30+U849*60</f>
        <v>0</v>
      </c>
      <c r="Z849" s="309">
        <f t="shared" si="447"/>
        <v>0</v>
      </c>
      <c r="AA849" s="256">
        <f t="shared" si="444"/>
        <v>0</v>
      </c>
      <c r="AB849" s="309"/>
      <c r="AC849" s="309"/>
      <c r="AD849" s="320">
        <f t="shared" si="445"/>
        <v>0</v>
      </c>
      <c r="AF849" s="11"/>
      <c r="AG849" s="579"/>
      <c r="AH849" s="64">
        <f>AH848+1</f>
        <v>43402</v>
      </c>
      <c r="AI849" s="698"/>
      <c r="AJ849" s="699"/>
      <c r="AK849" s="699"/>
      <c r="AL849" s="699"/>
      <c r="AM849" s="699"/>
      <c r="AN849" s="699"/>
      <c r="AO849" s="699"/>
      <c r="AP849" s="699"/>
      <c r="AQ849" s="699"/>
      <c r="AR849" s="699"/>
      <c r="AS849" s="699"/>
      <c r="AT849" s="699"/>
      <c r="AU849" s="699"/>
      <c r="AV849" s="699"/>
      <c r="AW849" s="699"/>
      <c r="AX849" s="700"/>
      <c r="AY849" s="700"/>
      <c r="AZ849" s="701"/>
    </row>
    <row r="850" spans="1:52" ht="29.25" customHeight="1" thickBot="1">
      <c r="A850" s="67">
        <f t="shared" si="448"/>
        <v>44895</v>
      </c>
      <c r="B850" s="138"/>
      <c r="C850" s="138"/>
      <c r="D850" s="138"/>
      <c r="E850" s="138"/>
      <c r="F850" s="138"/>
      <c r="G850" s="138"/>
      <c r="H850" s="138"/>
      <c r="I850" s="138"/>
      <c r="J850" s="138"/>
      <c r="K850" s="138"/>
      <c r="L850" s="138"/>
      <c r="M850" s="138"/>
      <c r="N850" s="138"/>
      <c r="O850" s="138"/>
      <c r="P850" s="138"/>
      <c r="Q850" s="138"/>
      <c r="R850" s="139"/>
      <c r="S850" s="176"/>
      <c r="T850" s="835"/>
      <c r="U850" s="835"/>
      <c r="V850" s="835"/>
      <c r="W850" s="835"/>
      <c r="X850" s="835"/>
      <c r="Y850" s="255">
        <f>B850*280+C850*280+D850*280+E850*280+F850*130+G850*130+H850*90+I850*35+J850*35+K850*385+L850*400+M850*400+N850*22+O850*42+P850*80+Q850*200+R850*260+S850*41+T850*30+U850*60</f>
        <v>0</v>
      </c>
      <c r="Z850" s="309">
        <f t="shared" si="447"/>
        <v>0</v>
      </c>
      <c r="AA850" s="256">
        <f t="shared" si="444"/>
        <v>0</v>
      </c>
      <c r="AB850" s="309"/>
      <c r="AC850" s="309"/>
      <c r="AD850" s="320">
        <f t="shared" si="445"/>
        <v>0</v>
      </c>
      <c r="AF850" s="11"/>
      <c r="AG850" s="579"/>
      <c r="AH850" s="64">
        <f t="shared" si="449"/>
        <v>43403</v>
      </c>
      <c r="AI850" s="698"/>
      <c r="AJ850" s="699"/>
      <c r="AK850" s="699"/>
      <c r="AL850" s="699"/>
      <c r="AM850" s="699"/>
      <c r="AN850" s="699"/>
      <c r="AO850" s="699"/>
      <c r="AP850" s="699"/>
      <c r="AQ850" s="699"/>
      <c r="AR850" s="699"/>
      <c r="AS850" s="699"/>
      <c r="AT850" s="699"/>
      <c r="AU850" s="699"/>
      <c r="AV850" s="699"/>
      <c r="AW850" s="699"/>
      <c r="AX850" s="700"/>
      <c r="AY850" s="700"/>
      <c r="AZ850" s="701"/>
    </row>
    <row r="851" spans="1:52" ht="29.25" customHeight="1" thickBot="1">
      <c r="A851" s="102">
        <f t="shared" si="448"/>
        <v>44896</v>
      </c>
      <c r="B851" s="141"/>
      <c r="C851" s="141"/>
      <c r="D851" s="141"/>
      <c r="E851" s="141"/>
      <c r="F851" s="141"/>
      <c r="G851" s="141"/>
      <c r="H851" s="141"/>
      <c r="I851" s="141"/>
      <c r="J851" s="141"/>
      <c r="K851" s="141"/>
      <c r="L851" s="161"/>
      <c r="M851" s="141"/>
      <c r="N851" s="141"/>
      <c r="O851" s="141"/>
      <c r="P851" s="141"/>
      <c r="Q851" s="141"/>
      <c r="R851" s="142"/>
      <c r="S851" s="177"/>
      <c r="T851" s="836"/>
      <c r="U851" s="836"/>
      <c r="V851" s="836"/>
      <c r="W851" s="836"/>
      <c r="X851" s="836"/>
      <c r="Y851" s="255">
        <f t="shared" si="446"/>
        <v>0</v>
      </c>
      <c r="Z851" s="309">
        <f t="shared" si="447"/>
        <v>0</v>
      </c>
      <c r="AA851" s="256">
        <f t="shared" si="444"/>
        <v>0</v>
      </c>
      <c r="AB851" s="309"/>
      <c r="AC851" s="309"/>
      <c r="AD851" s="320">
        <f t="shared" si="445"/>
        <v>0</v>
      </c>
      <c r="AF851" s="11"/>
      <c r="AG851" s="579"/>
      <c r="AH851" s="65">
        <f t="shared" si="449"/>
        <v>43404</v>
      </c>
      <c r="AI851" s="702"/>
      <c r="AJ851" s="703"/>
      <c r="AK851" s="703"/>
      <c r="AL851" s="703"/>
      <c r="AM851" s="703"/>
      <c r="AN851" s="703"/>
      <c r="AO851" s="703"/>
      <c r="AP851" s="703"/>
      <c r="AQ851" s="703"/>
      <c r="AR851" s="703"/>
      <c r="AS851" s="703"/>
      <c r="AT851" s="703"/>
      <c r="AU851" s="703"/>
      <c r="AV851" s="703"/>
      <c r="AW851" s="703"/>
      <c r="AX851" s="704"/>
      <c r="AY851" s="704"/>
      <c r="AZ851" s="705"/>
    </row>
    <row r="852" spans="1:52" ht="50.1" customHeight="1" thickTop="1" thickBot="1">
      <c r="A852" s="96" t="s">
        <v>74</v>
      </c>
      <c r="B852" s="90">
        <f>SUM(B821:B851)</f>
        <v>0</v>
      </c>
      <c r="C852" s="90">
        <f t="shared" ref="C852:Y852" si="450">SUM(C821:C851)</f>
        <v>0</v>
      </c>
      <c r="D852" s="90">
        <f t="shared" si="450"/>
        <v>0</v>
      </c>
      <c r="E852" s="90"/>
      <c r="F852" s="90">
        <f t="shared" si="450"/>
        <v>0</v>
      </c>
      <c r="G852" s="90">
        <f t="shared" si="450"/>
        <v>0</v>
      </c>
      <c r="H852" s="90">
        <f t="shared" si="450"/>
        <v>0</v>
      </c>
      <c r="I852" s="90">
        <f t="shared" si="450"/>
        <v>0</v>
      </c>
      <c r="J852" s="90">
        <f t="shared" si="450"/>
        <v>0</v>
      </c>
      <c r="K852" s="90">
        <f t="shared" si="450"/>
        <v>0</v>
      </c>
      <c r="L852" s="90">
        <f t="shared" si="450"/>
        <v>0</v>
      </c>
      <c r="M852" s="90">
        <f t="shared" si="450"/>
        <v>0</v>
      </c>
      <c r="N852" s="90">
        <f t="shared" si="450"/>
        <v>0</v>
      </c>
      <c r="O852" s="90">
        <f t="shared" si="450"/>
        <v>0</v>
      </c>
      <c r="P852" s="90"/>
      <c r="Q852" s="90">
        <f t="shared" si="450"/>
        <v>0</v>
      </c>
      <c r="R852" s="90">
        <f t="shared" si="450"/>
        <v>0</v>
      </c>
      <c r="S852" s="90">
        <f t="shared" si="450"/>
        <v>0</v>
      </c>
      <c r="T852" s="90"/>
      <c r="U852" s="90"/>
      <c r="V852" s="90"/>
      <c r="W852" s="90"/>
      <c r="X852" s="90"/>
      <c r="Y852" s="262">
        <f t="shared" si="450"/>
        <v>0</v>
      </c>
      <c r="Z852" s="258"/>
      <c r="AA852" s="259"/>
      <c r="AB852" s="316">
        <f>SUM(AB821:AB851)</f>
        <v>0</v>
      </c>
      <c r="AC852" s="316"/>
      <c r="AD852" s="260"/>
      <c r="AF852" s="9"/>
      <c r="AG852" s="10"/>
      <c r="AH852" s="706" t="s">
        <v>101</v>
      </c>
      <c r="AI852" s="707">
        <f>SUM(AI821:AI851)</f>
        <v>0</v>
      </c>
      <c r="AJ852" s="707">
        <f>SUM(AJ821:AJ851)</f>
        <v>0</v>
      </c>
      <c r="AK852" s="707">
        <f t="shared" ref="AK852:AZ852" si="451">SUM(AK821:AK851)</f>
        <v>0</v>
      </c>
      <c r="AL852" s="707">
        <f t="shared" si="451"/>
        <v>0</v>
      </c>
      <c r="AM852" s="707">
        <f t="shared" si="451"/>
        <v>0</v>
      </c>
      <c r="AN852" s="707">
        <f t="shared" si="451"/>
        <v>0</v>
      </c>
      <c r="AO852" s="707">
        <f t="shared" si="451"/>
        <v>0</v>
      </c>
      <c r="AP852" s="707">
        <f t="shared" si="451"/>
        <v>0</v>
      </c>
      <c r="AQ852" s="707">
        <f t="shared" si="451"/>
        <v>0</v>
      </c>
      <c r="AR852" s="707">
        <f t="shared" si="451"/>
        <v>0</v>
      </c>
      <c r="AS852" s="707">
        <f t="shared" si="451"/>
        <v>0</v>
      </c>
      <c r="AT852" s="707">
        <f t="shared" si="451"/>
        <v>0</v>
      </c>
      <c r="AU852" s="707">
        <f t="shared" si="451"/>
        <v>0</v>
      </c>
      <c r="AV852" s="707">
        <f t="shared" si="451"/>
        <v>0</v>
      </c>
      <c r="AW852" s="707">
        <f t="shared" si="451"/>
        <v>0</v>
      </c>
      <c r="AX852" s="707">
        <f t="shared" si="451"/>
        <v>0</v>
      </c>
      <c r="AY852" s="707">
        <f t="shared" si="451"/>
        <v>0</v>
      </c>
      <c r="AZ852" s="707">
        <f t="shared" si="451"/>
        <v>0</v>
      </c>
    </row>
    <row r="853" spans="1:52" ht="50.1" customHeight="1" thickTop="1" thickBot="1">
      <c r="A853" s="148" t="s">
        <v>102</v>
      </c>
      <c r="B853" s="473"/>
      <c r="C853" s="473"/>
      <c r="D853" s="473"/>
      <c r="E853" s="473"/>
      <c r="F853" s="473"/>
      <c r="G853" s="473"/>
      <c r="H853" s="473"/>
      <c r="I853" s="473"/>
      <c r="J853" s="473"/>
      <c r="K853" s="473"/>
      <c r="L853" s="473"/>
      <c r="M853" s="473"/>
      <c r="N853" s="473"/>
      <c r="O853" s="473"/>
      <c r="P853" s="473"/>
      <c r="Q853" s="473"/>
      <c r="R853" s="473"/>
      <c r="S853" s="473"/>
      <c r="T853" s="473"/>
      <c r="U853" s="473"/>
      <c r="V853" s="473"/>
      <c r="W853" s="473"/>
      <c r="X853" s="473"/>
      <c r="Y853" s="300"/>
      <c r="Z853" s="268"/>
      <c r="AA853" s="268"/>
      <c r="AB853" s="268"/>
      <c r="AC853" s="269"/>
      <c r="AD853" s="270" t="s">
        <v>1</v>
      </c>
      <c r="AF853" s="2"/>
      <c r="AG853" s="2"/>
      <c r="AH853" s="706" t="s">
        <v>45</v>
      </c>
      <c r="AI853" s="707">
        <v>220</v>
      </c>
      <c r="AJ853" s="707">
        <v>220</v>
      </c>
      <c r="AK853" s="707">
        <v>220</v>
      </c>
      <c r="AL853" s="707">
        <v>100</v>
      </c>
      <c r="AM853" s="707">
        <v>100</v>
      </c>
      <c r="AN853" s="707">
        <v>80</v>
      </c>
      <c r="AO853" s="707">
        <v>25</v>
      </c>
      <c r="AP853" s="707">
        <v>25</v>
      </c>
      <c r="AQ853" s="707">
        <v>25</v>
      </c>
      <c r="AR853" s="707">
        <v>400</v>
      </c>
      <c r="AS853" s="707">
        <v>400</v>
      </c>
      <c r="AT853" s="707">
        <v>400</v>
      </c>
      <c r="AU853" s="707">
        <v>0</v>
      </c>
      <c r="AV853" s="707">
        <v>0</v>
      </c>
      <c r="AW853" s="707">
        <v>200</v>
      </c>
      <c r="AX853" s="707">
        <v>200</v>
      </c>
      <c r="AY853" s="707">
        <v>0</v>
      </c>
      <c r="AZ853" s="707">
        <v>0</v>
      </c>
    </row>
    <row r="854" spans="1:52" ht="50.1" customHeight="1" thickTop="1" thickBot="1">
      <c r="A854" s="106"/>
      <c r="B854" s="92">
        <f>B852*B853</f>
        <v>0</v>
      </c>
      <c r="C854" s="92">
        <f t="shared" ref="C854:S854" si="452">C852*C853</f>
        <v>0</v>
      </c>
      <c r="D854" s="92">
        <f t="shared" si="452"/>
        <v>0</v>
      </c>
      <c r="E854" s="92"/>
      <c r="F854" s="92">
        <f t="shared" si="452"/>
        <v>0</v>
      </c>
      <c r="G854" s="92">
        <f t="shared" si="452"/>
        <v>0</v>
      </c>
      <c r="H854" s="92">
        <f t="shared" si="452"/>
        <v>0</v>
      </c>
      <c r="I854" s="92">
        <f t="shared" si="452"/>
        <v>0</v>
      </c>
      <c r="J854" s="92">
        <f t="shared" si="452"/>
        <v>0</v>
      </c>
      <c r="K854" s="92">
        <f t="shared" si="452"/>
        <v>0</v>
      </c>
      <c r="L854" s="92">
        <f t="shared" si="452"/>
        <v>0</v>
      </c>
      <c r="M854" s="92">
        <f t="shared" si="452"/>
        <v>0</v>
      </c>
      <c r="N854" s="92">
        <f t="shared" si="452"/>
        <v>0</v>
      </c>
      <c r="O854" s="92">
        <f t="shared" si="452"/>
        <v>0</v>
      </c>
      <c r="P854" s="92"/>
      <c r="Q854" s="92">
        <f t="shared" si="452"/>
        <v>0</v>
      </c>
      <c r="R854" s="92">
        <f t="shared" si="452"/>
        <v>0</v>
      </c>
      <c r="S854" s="92">
        <f t="shared" si="452"/>
        <v>0</v>
      </c>
      <c r="T854" s="92"/>
      <c r="U854" s="92"/>
      <c r="V854" s="92"/>
      <c r="W854" s="92"/>
      <c r="X854" s="92"/>
      <c r="Y854" s="301">
        <f>SUM(B854:S854)</f>
        <v>0</v>
      </c>
      <c r="Z854" s="268" t="s">
        <v>1</v>
      </c>
      <c r="AA854" s="268"/>
      <c r="AB854" s="268"/>
      <c r="AC854" s="269"/>
      <c r="AD854" s="270"/>
      <c r="AF854" s="2"/>
      <c r="AG854" s="2"/>
      <c r="AH854" s="706" t="s">
        <v>46</v>
      </c>
      <c r="AI854" s="707">
        <f>AI852*AI853</f>
        <v>0</v>
      </c>
      <c r="AJ854" s="707">
        <f t="shared" ref="AJ854" si="453">AJ852*AJ853</f>
        <v>0</v>
      </c>
      <c r="AK854" s="707">
        <f t="shared" ref="AK854" si="454">AK852*AK853</f>
        <v>0</v>
      </c>
      <c r="AL854" s="707">
        <f t="shared" ref="AL854" si="455">AL852*AL853</f>
        <v>0</v>
      </c>
      <c r="AM854" s="707">
        <f t="shared" ref="AM854" si="456">AM852*AM853</f>
        <v>0</v>
      </c>
      <c r="AN854" s="707">
        <f t="shared" ref="AN854" si="457">AN852*AN853</f>
        <v>0</v>
      </c>
      <c r="AO854" s="707">
        <f t="shared" ref="AO854" si="458">AO852*AO853</f>
        <v>0</v>
      </c>
      <c r="AP854" s="707">
        <f t="shared" ref="AP854" si="459">AP852*AP853</f>
        <v>0</v>
      </c>
      <c r="AQ854" s="707">
        <f t="shared" ref="AQ854" si="460">AQ852*AQ853</f>
        <v>0</v>
      </c>
      <c r="AR854" s="707">
        <f t="shared" ref="AR854" si="461">AR852*AR853</f>
        <v>0</v>
      </c>
      <c r="AS854" s="707">
        <f t="shared" ref="AS854" si="462">AS852*AS853</f>
        <v>0</v>
      </c>
      <c r="AT854" s="707">
        <f t="shared" ref="AT854" si="463">AT852*AT853</f>
        <v>0</v>
      </c>
      <c r="AU854" s="707">
        <f t="shared" ref="AU854" si="464">AU852*AU853</f>
        <v>0</v>
      </c>
      <c r="AV854" s="707">
        <f t="shared" ref="AV854" si="465">AV852*AV853</f>
        <v>0</v>
      </c>
      <c r="AW854" s="707">
        <f t="shared" ref="AW854" si="466">AW852*AW853</f>
        <v>0</v>
      </c>
      <c r="AX854" s="707">
        <f t="shared" ref="AX854" si="467">AX852*AX853</f>
        <v>0</v>
      </c>
      <c r="AY854" s="707">
        <f t="shared" ref="AY854" si="468">AY852*AY853</f>
        <v>0</v>
      </c>
      <c r="AZ854" s="707">
        <f t="shared" ref="AZ854" si="469">AZ852*AZ853</f>
        <v>0</v>
      </c>
    </row>
    <row r="855" spans="1:52" ht="27.75" thickTop="1" thickBot="1">
      <c r="A855" s="11"/>
      <c r="B855" s="575"/>
      <c r="C855" s="575"/>
      <c r="D855" s="575"/>
      <c r="E855" s="843"/>
      <c r="F855" s="575"/>
      <c r="G855" s="575"/>
      <c r="H855" s="575"/>
      <c r="I855" s="575"/>
      <c r="J855" s="575"/>
      <c r="K855" s="575"/>
      <c r="L855" s="575"/>
      <c r="M855" s="575"/>
      <c r="N855" s="575"/>
      <c r="O855" s="575"/>
      <c r="P855" s="843"/>
      <c r="Q855" s="575"/>
      <c r="R855" s="575"/>
      <c r="S855" s="575"/>
      <c r="T855" s="827"/>
      <c r="U855" s="827"/>
      <c r="V855" s="827"/>
      <c r="W855" s="933"/>
      <c r="X855" s="827"/>
      <c r="Y855" s="302">
        <f>Y852-Y854</f>
        <v>0</v>
      </c>
      <c r="Z855" s="268"/>
      <c r="AA855" s="268" t="s">
        <v>1</v>
      </c>
      <c r="AB855" s="268"/>
      <c r="AC855" s="269"/>
      <c r="AD855" s="270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714">
        <f>SUM(AI854:AZ854)</f>
        <v>0</v>
      </c>
    </row>
    <row r="856" spans="1:52" ht="39.950000000000003" customHeight="1" thickBot="1">
      <c r="A856" s="109">
        <f>A5</f>
        <v>2022</v>
      </c>
      <c r="B856" s="1447"/>
      <c r="C856" s="1448"/>
      <c r="D856" s="1448"/>
      <c r="E856" s="1448"/>
      <c r="F856" s="1448"/>
      <c r="G856" s="1448"/>
      <c r="H856" s="1448"/>
      <c r="I856" s="1448"/>
      <c r="J856" s="1448"/>
      <c r="K856" s="1448"/>
      <c r="L856" s="1448"/>
      <c r="M856" s="1448"/>
      <c r="N856" s="1448"/>
      <c r="O856" s="1448"/>
      <c r="P856" s="1448"/>
      <c r="Q856" s="1448"/>
      <c r="R856" s="1448"/>
      <c r="S856" s="1448"/>
      <c r="T856" s="1448"/>
      <c r="U856" s="1448"/>
      <c r="V856" s="1448"/>
      <c r="W856" s="1448"/>
      <c r="X856" s="1448"/>
      <c r="Y856" s="1449"/>
      <c r="Z856" s="21"/>
      <c r="AA856" s="21"/>
      <c r="AB856" s="21"/>
      <c r="AC856" s="2"/>
      <c r="AF856" s="10"/>
      <c r="AG856" s="34"/>
      <c r="AH856" s="109">
        <v>2018</v>
      </c>
      <c r="AI856" s="1424">
        <f>B856</f>
        <v>0</v>
      </c>
      <c r="AJ856" s="1425"/>
      <c r="AK856" s="1425"/>
      <c r="AL856" s="1425"/>
      <c r="AM856" s="1425"/>
      <c r="AN856" s="1425"/>
      <c r="AO856" s="1425"/>
      <c r="AP856" s="1425"/>
      <c r="AQ856" s="1425"/>
      <c r="AR856" s="1425"/>
      <c r="AS856" s="1425"/>
      <c r="AT856" s="1425"/>
      <c r="AU856" s="1425"/>
      <c r="AV856" s="1425"/>
      <c r="AW856" s="1425"/>
      <c r="AX856" s="1425"/>
      <c r="AY856" s="1425"/>
      <c r="AZ856" s="1425"/>
    </row>
    <row r="857" spans="1:52" ht="60" customHeight="1" thickTop="1" thickBot="1">
      <c r="A857" s="1468" t="s">
        <v>94</v>
      </c>
      <c r="B857" s="1402" t="s">
        <v>95</v>
      </c>
      <c r="C857" s="1403"/>
      <c r="D857" s="1403"/>
      <c r="E857" s="1404"/>
      <c r="F857" s="1402" t="s">
        <v>7</v>
      </c>
      <c r="G857" s="1403"/>
      <c r="H857" s="1404"/>
      <c r="I857" s="1402" t="s">
        <v>8</v>
      </c>
      <c r="J857" s="1404"/>
      <c r="K857" s="1402" t="s">
        <v>9</v>
      </c>
      <c r="L857" s="1403"/>
      <c r="M857" s="1403"/>
      <c r="N857" s="1403"/>
      <c r="O857" s="1403"/>
      <c r="P857" s="1403"/>
      <c r="Q857" s="1403"/>
      <c r="R857" s="1405" t="s">
        <v>10</v>
      </c>
      <c r="S857" s="1406"/>
      <c r="T857" s="1400" t="s">
        <v>289</v>
      </c>
      <c r="U857" s="1401"/>
      <c r="V857" s="842" t="s">
        <v>258</v>
      </c>
      <c r="W857" s="842"/>
      <c r="X857" s="842"/>
      <c r="Y857" s="211"/>
      <c r="Z857" s="21"/>
      <c r="AA857" s="21"/>
      <c r="AB857" s="21"/>
      <c r="AC857" s="21"/>
      <c r="AF857" s="10"/>
      <c r="AG857" s="34"/>
      <c r="AH857" s="1422" t="s">
        <v>94</v>
      </c>
      <c r="AI857" s="1402" t="s">
        <v>95</v>
      </c>
      <c r="AJ857" s="1403"/>
      <c r="AK857" s="1404"/>
      <c r="AL857" s="1402" t="s">
        <v>7</v>
      </c>
      <c r="AM857" s="1403"/>
      <c r="AN857" s="1404"/>
      <c r="AO857" s="1402" t="s">
        <v>8</v>
      </c>
      <c r="AP857" s="1403"/>
      <c r="AQ857" s="1404"/>
      <c r="AR857" s="1402" t="s">
        <v>9</v>
      </c>
      <c r="AS857" s="1403"/>
      <c r="AT857" s="1404"/>
      <c r="AU857" s="1403" t="s">
        <v>9</v>
      </c>
      <c r="AV857" s="1404"/>
      <c r="AW857" s="1429" t="s">
        <v>10</v>
      </c>
      <c r="AX857" s="1430"/>
      <c r="AY857" s="690"/>
      <c r="AZ857" s="404" t="s">
        <v>11</v>
      </c>
    </row>
    <row r="858" spans="1:52" ht="42" thickTop="1" thickBot="1">
      <c r="A858" s="1428"/>
      <c r="B858" s="482" t="s">
        <v>12</v>
      </c>
      <c r="C858" s="482" t="s">
        <v>13</v>
      </c>
      <c r="D858" s="482" t="s">
        <v>14</v>
      </c>
      <c r="E858" s="688" t="s">
        <v>198</v>
      </c>
      <c r="F858" s="482" t="s">
        <v>12</v>
      </c>
      <c r="G858" s="482" t="s">
        <v>13</v>
      </c>
      <c r="H858" s="482" t="s">
        <v>282</v>
      </c>
      <c r="I858" s="482" t="s">
        <v>12</v>
      </c>
      <c r="J858" s="482" t="s">
        <v>16</v>
      </c>
      <c r="K858" s="482" t="s">
        <v>17</v>
      </c>
      <c r="L858" s="482" t="s">
        <v>18</v>
      </c>
      <c r="M858" s="482" t="s">
        <v>19</v>
      </c>
      <c r="N858" s="484" t="s">
        <v>96</v>
      </c>
      <c r="O858" s="484" t="s">
        <v>257</v>
      </c>
      <c r="P858" s="484" t="s">
        <v>254</v>
      </c>
      <c r="Q858" s="484" t="s">
        <v>20</v>
      </c>
      <c r="R858" s="483" t="s">
        <v>14</v>
      </c>
      <c r="S858" s="482" t="s">
        <v>13</v>
      </c>
      <c r="T858" s="846" t="s">
        <v>284</v>
      </c>
      <c r="U858" s="846" t="s">
        <v>288</v>
      </c>
      <c r="V858" s="484" t="s">
        <v>259</v>
      </c>
      <c r="W858" s="484"/>
      <c r="X858" s="484"/>
      <c r="Y858" s="209" t="s">
        <v>90</v>
      </c>
      <c r="Z858" s="210" t="s">
        <v>97</v>
      </c>
      <c r="AA858" s="210" t="s">
        <v>74</v>
      </c>
      <c r="AB858" s="210" t="s">
        <v>98</v>
      </c>
      <c r="AC858" s="210" t="s">
        <v>99</v>
      </c>
      <c r="AD858" s="210" t="s">
        <v>100</v>
      </c>
      <c r="AF858" s="578" t="s">
        <v>1</v>
      </c>
      <c r="AG858" s="4"/>
      <c r="AH858" s="1428"/>
      <c r="AI858" s="482" t="s">
        <v>12</v>
      </c>
      <c r="AJ858" s="482" t="s">
        <v>13</v>
      </c>
      <c r="AK858" s="482" t="s">
        <v>14</v>
      </c>
      <c r="AL858" s="482" t="s">
        <v>12</v>
      </c>
      <c r="AM858" s="482" t="s">
        <v>13</v>
      </c>
      <c r="AN858" s="482" t="s">
        <v>15</v>
      </c>
      <c r="AO858" s="482" t="s">
        <v>12</v>
      </c>
      <c r="AP858" s="482" t="s">
        <v>205</v>
      </c>
      <c r="AQ858" s="482" t="s">
        <v>16</v>
      </c>
      <c r="AR858" s="482" t="s">
        <v>17</v>
      </c>
      <c r="AS858" s="482" t="s">
        <v>18</v>
      </c>
      <c r="AT858" s="482" t="s">
        <v>19</v>
      </c>
      <c r="AU858" s="482" t="s">
        <v>201</v>
      </c>
      <c r="AV858" s="482" t="s">
        <v>20</v>
      </c>
      <c r="AW858" s="482" t="s">
        <v>12</v>
      </c>
      <c r="AX858" s="483" t="s">
        <v>13</v>
      </c>
      <c r="AY858" s="688" t="s">
        <v>198</v>
      </c>
      <c r="AZ858" s="484" t="s">
        <v>96</v>
      </c>
    </row>
    <row r="859" spans="1:52" ht="29.25" customHeight="1" thickBot="1">
      <c r="A859" s="67">
        <f>A821</f>
        <v>44866</v>
      </c>
      <c r="B859" s="153"/>
      <c r="C859" s="153"/>
      <c r="D859" s="153"/>
      <c r="E859" s="153"/>
      <c r="F859" s="153"/>
      <c r="G859" s="153"/>
      <c r="H859" s="153"/>
      <c r="I859" s="153"/>
      <c r="J859" s="153"/>
      <c r="K859" s="153"/>
      <c r="L859" s="153"/>
      <c r="M859" s="153"/>
      <c r="N859" s="153"/>
      <c r="O859" s="153"/>
      <c r="P859" s="153"/>
      <c r="Q859" s="153"/>
      <c r="R859" s="154"/>
      <c r="S859" s="179"/>
      <c r="T859" s="837"/>
      <c r="U859" s="837"/>
      <c r="V859" s="837"/>
      <c r="W859" s="837"/>
      <c r="X859" s="837"/>
      <c r="Y859" s="255">
        <f>B859*280+C859*280+D859*280+E859*280+F859*130+G859*130+H859*90+I859*35+J859*35+K859*400+L859*400+M859*400+N859*381.25+O859*387.5+P859*80+Q859*200+R859*260+S859*41+T859*30+U859*60</f>
        <v>0</v>
      </c>
      <c r="Z859" s="308"/>
      <c r="AA859" s="263">
        <f t="shared" ref="AA859:AA889" si="470">Y859+Z859</f>
        <v>0</v>
      </c>
      <c r="AB859" s="308"/>
      <c r="AC859" s="308"/>
      <c r="AD859" s="319">
        <f t="shared" ref="AD859:AD889" si="471">AA859-AB859-AC859</f>
        <v>0</v>
      </c>
      <c r="AF859" s="11"/>
      <c r="AG859" s="24"/>
      <c r="AH859" s="63">
        <f>AH821</f>
        <v>43374</v>
      </c>
      <c r="AI859" s="694"/>
      <c r="AJ859" s="695"/>
      <c r="AK859" s="695"/>
      <c r="AL859" s="695"/>
      <c r="AM859" s="695"/>
      <c r="AN859" s="695"/>
      <c r="AO859" s="695"/>
      <c r="AP859" s="695"/>
      <c r="AQ859" s="695"/>
      <c r="AR859" s="695"/>
      <c r="AS859" s="695"/>
      <c r="AT859" s="695"/>
      <c r="AU859" s="695"/>
      <c r="AV859" s="695"/>
      <c r="AW859" s="695"/>
      <c r="AX859" s="696"/>
      <c r="AY859" s="696"/>
      <c r="AZ859" s="697"/>
    </row>
    <row r="860" spans="1:52" ht="29.25" customHeight="1" thickBot="1">
      <c r="A860" s="67">
        <f>A859+1</f>
        <v>44867</v>
      </c>
      <c r="B860" s="155"/>
      <c r="C860" s="155"/>
      <c r="D860" s="155"/>
      <c r="E860" s="155"/>
      <c r="F860" s="155"/>
      <c r="G860" s="155"/>
      <c r="H860" s="155"/>
      <c r="I860" s="155"/>
      <c r="J860" s="155"/>
      <c r="K860" s="155"/>
      <c r="L860" s="155"/>
      <c r="M860" s="155"/>
      <c r="N860" s="155"/>
      <c r="O860" s="155"/>
      <c r="P860" s="155"/>
      <c r="Q860" s="155"/>
      <c r="R860" s="156"/>
      <c r="S860" s="180"/>
      <c r="T860" s="838"/>
      <c r="U860" s="838"/>
      <c r="V860" s="838"/>
      <c r="W860" s="838"/>
      <c r="X860" s="838"/>
      <c r="Y860" s="255">
        <f t="shared" ref="Y860:Y889" si="472">B860*280+C860*280+D860*280+E860*280+F860*130+G860*130+H860*90+I860*35+J860*35+K860*400+L860*400+M860*400+N860*381.25+O860*387.5+P860*80+Q860*200+R860*260+S860*41+T860*30+U860*60</f>
        <v>0</v>
      </c>
      <c r="Z860" s="309">
        <f t="shared" ref="Z860:Z889" si="473">AD859</f>
        <v>0</v>
      </c>
      <c r="AA860" s="256">
        <f t="shared" si="470"/>
        <v>0</v>
      </c>
      <c r="AB860" s="309"/>
      <c r="AC860" s="309"/>
      <c r="AD860" s="320">
        <f t="shared" si="471"/>
        <v>0</v>
      </c>
      <c r="AF860" s="11"/>
      <c r="AG860" s="24"/>
      <c r="AH860" s="64">
        <f>AH859+1</f>
        <v>43375</v>
      </c>
      <c r="AI860" s="698"/>
      <c r="AJ860" s="699"/>
      <c r="AK860" s="699"/>
      <c r="AL860" s="699"/>
      <c r="AM860" s="699"/>
      <c r="AN860" s="699"/>
      <c r="AO860" s="699"/>
      <c r="AP860" s="699"/>
      <c r="AQ860" s="699"/>
      <c r="AR860" s="699"/>
      <c r="AS860" s="699"/>
      <c r="AT860" s="699"/>
      <c r="AU860" s="699"/>
      <c r="AV860" s="699"/>
      <c r="AW860" s="699"/>
      <c r="AX860" s="700"/>
      <c r="AY860" s="700"/>
      <c r="AZ860" s="701"/>
    </row>
    <row r="861" spans="1:52" ht="29.25" customHeight="1" thickBot="1">
      <c r="A861" s="67">
        <f t="shared" ref="A861:A889" si="474">A860+1</f>
        <v>44868</v>
      </c>
      <c r="B861" s="155"/>
      <c r="C861" s="155"/>
      <c r="D861" s="155"/>
      <c r="E861" s="155"/>
      <c r="F861" s="155"/>
      <c r="G861" s="155"/>
      <c r="H861" s="155"/>
      <c r="I861" s="155"/>
      <c r="J861" s="155"/>
      <c r="K861" s="155"/>
      <c r="L861" s="155"/>
      <c r="M861" s="155"/>
      <c r="N861" s="155"/>
      <c r="O861" s="155"/>
      <c r="P861" s="155"/>
      <c r="Q861" s="155"/>
      <c r="R861" s="156"/>
      <c r="S861" s="180"/>
      <c r="T861" s="838"/>
      <c r="U861" s="838"/>
      <c r="V861" s="838"/>
      <c r="W861" s="838"/>
      <c r="X861" s="838"/>
      <c r="Y861" s="255">
        <f t="shared" si="472"/>
        <v>0</v>
      </c>
      <c r="Z861" s="309">
        <f t="shared" si="473"/>
        <v>0</v>
      </c>
      <c r="AA861" s="256">
        <f t="shared" si="470"/>
        <v>0</v>
      </c>
      <c r="AB861" s="309"/>
      <c r="AC861" s="309"/>
      <c r="AD861" s="320">
        <f t="shared" si="471"/>
        <v>0</v>
      </c>
      <c r="AF861" s="11"/>
      <c r="AG861" s="24"/>
      <c r="AH861" s="64">
        <f t="shared" ref="AH861:AH889" si="475">AH860+1</f>
        <v>43376</v>
      </c>
      <c r="AI861" s="698"/>
      <c r="AJ861" s="699"/>
      <c r="AK861" s="699"/>
      <c r="AL861" s="699"/>
      <c r="AM861" s="699"/>
      <c r="AN861" s="699"/>
      <c r="AO861" s="699"/>
      <c r="AP861" s="699"/>
      <c r="AQ861" s="699"/>
      <c r="AR861" s="699"/>
      <c r="AS861" s="699"/>
      <c r="AT861" s="699"/>
      <c r="AU861" s="699"/>
      <c r="AV861" s="699"/>
      <c r="AW861" s="699"/>
      <c r="AX861" s="700"/>
      <c r="AY861" s="700"/>
      <c r="AZ861" s="701"/>
    </row>
    <row r="862" spans="1:52" ht="29.25" customHeight="1" thickBot="1">
      <c r="A862" s="67">
        <f t="shared" si="474"/>
        <v>44869</v>
      </c>
      <c r="B862" s="155"/>
      <c r="C862" s="155"/>
      <c r="D862" s="155"/>
      <c r="E862" s="155"/>
      <c r="F862" s="155"/>
      <c r="G862" s="155"/>
      <c r="H862" s="155"/>
      <c r="I862" s="155"/>
      <c r="J862" s="155"/>
      <c r="K862" s="155"/>
      <c r="L862" s="155"/>
      <c r="M862" s="155"/>
      <c r="N862" s="155"/>
      <c r="O862" s="155"/>
      <c r="P862" s="155"/>
      <c r="Q862" s="155"/>
      <c r="R862" s="156"/>
      <c r="S862" s="180"/>
      <c r="T862" s="838"/>
      <c r="U862" s="838"/>
      <c r="V862" s="838"/>
      <c r="W862" s="838"/>
      <c r="X862" s="838"/>
      <c r="Y862" s="255">
        <f t="shared" si="472"/>
        <v>0</v>
      </c>
      <c r="Z862" s="309">
        <f t="shared" si="473"/>
        <v>0</v>
      </c>
      <c r="AA862" s="256">
        <f t="shared" si="470"/>
        <v>0</v>
      </c>
      <c r="AB862" s="309"/>
      <c r="AC862" s="309"/>
      <c r="AD862" s="320">
        <f t="shared" si="471"/>
        <v>0</v>
      </c>
      <c r="AF862" s="11"/>
      <c r="AG862" s="24"/>
      <c r="AH862" s="64">
        <f t="shared" si="475"/>
        <v>43377</v>
      </c>
      <c r="AI862" s="698"/>
      <c r="AJ862" s="699"/>
      <c r="AK862" s="699"/>
      <c r="AL862" s="699"/>
      <c r="AM862" s="699"/>
      <c r="AN862" s="699"/>
      <c r="AO862" s="699"/>
      <c r="AP862" s="699"/>
      <c r="AQ862" s="699"/>
      <c r="AR862" s="699"/>
      <c r="AS862" s="699"/>
      <c r="AT862" s="699"/>
      <c r="AU862" s="699"/>
      <c r="AV862" s="699"/>
      <c r="AW862" s="699"/>
      <c r="AX862" s="700"/>
      <c r="AY862" s="700"/>
      <c r="AZ862" s="701"/>
    </row>
    <row r="863" spans="1:52" ht="29.25" customHeight="1" thickBot="1">
      <c r="A863" s="67">
        <f t="shared" si="474"/>
        <v>44870</v>
      </c>
      <c r="B863" s="155"/>
      <c r="C863" s="155"/>
      <c r="D863" s="155"/>
      <c r="E863" s="155"/>
      <c r="F863" s="155"/>
      <c r="G863" s="155"/>
      <c r="H863" s="155"/>
      <c r="I863" s="155"/>
      <c r="J863" s="155"/>
      <c r="K863" s="155"/>
      <c r="L863" s="155"/>
      <c r="M863" s="155"/>
      <c r="N863" s="155"/>
      <c r="O863" s="155"/>
      <c r="P863" s="155"/>
      <c r="Q863" s="155"/>
      <c r="R863" s="156"/>
      <c r="S863" s="180"/>
      <c r="T863" s="838"/>
      <c r="U863" s="838"/>
      <c r="V863" s="838"/>
      <c r="W863" s="838"/>
      <c r="X863" s="838"/>
      <c r="Y863" s="255">
        <f t="shared" si="472"/>
        <v>0</v>
      </c>
      <c r="Z863" s="309">
        <f t="shared" si="473"/>
        <v>0</v>
      </c>
      <c r="AA863" s="256">
        <f t="shared" si="470"/>
        <v>0</v>
      </c>
      <c r="AB863" s="309"/>
      <c r="AC863" s="309"/>
      <c r="AD863" s="320">
        <f t="shared" si="471"/>
        <v>0</v>
      </c>
      <c r="AF863" s="11"/>
      <c r="AG863" s="24"/>
      <c r="AH863" s="64">
        <f t="shared" si="475"/>
        <v>43378</v>
      </c>
      <c r="AI863" s="698"/>
      <c r="AJ863" s="699"/>
      <c r="AK863" s="699"/>
      <c r="AL863" s="699"/>
      <c r="AM863" s="699"/>
      <c r="AN863" s="699"/>
      <c r="AO863" s="699"/>
      <c r="AP863" s="699"/>
      <c r="AQ863" s="699"/>
      <c r="AR863" s="699"/>
      <c r="AS863" s="699"/>
      <c r="AT863" s="699"/>
      <c r="AU863" s="699"/>
      <c r="AV863" s="699"/>
      <c r="AW863" s="699"/>
      <c r="AX863" s="700"/>
      <c r="AY863" s="700"/>
      <c r="AZ863" s="701"/>
    </row>
    <row r="864" spans="1:52" ht="29.25" customHeight="1" thickBot="1">
      <c r="A864" s="67">
        <f t="shared" si="474"/>
        <v>44871</v>
      </c>
      <c r="B864" s="155"/>
      <c r="C864" s="155"/>
      <c r="D864" s="155"/>
      <c r="E864" s="155"/>
      <c r="F864" s="155"/>
      <c r="G864" s="155"/>
      <c r="H864" s="155"/>
      <c r="I864" s="155"/>
      <c r="J864" s="155"/>
      <c r="K864" s="155"/>
      <c r="L864" s="155"/>
      <c r="M864" s="155"/>
      <c r="N864" s="155"/>
      <c r="O864" s="155"/>
      <c r="P864" s="155"/>
      <c r="Q864" s="155"/>
      <c r="R864" s="156"/>
      <c r="S864" s="180"/>
      <c r="T864" s="838"/>
      <c r="U864" s="838"/>
      <c r="V864" s="838"/>
      <c r="W864" s="838"/>
      <c r="X864" s="838"/>
      <c r="Y864" s="255">
        <f t="shared" si="472"/>
        <v>0</v>
      </c>
      <c r="Z864" s="309">
        <f t="shared" si="473"/>
        <v>0</v>
      </c>
      <c r="AA864" s="256">
        <f t="shared" si="470"/>
        <v>0</v>
      </c>
      <c r="AB864" s="309"/>
      <c r="AC864" s="309"/>
      <c r="AD864" s="320">
        <f t="shared" si="471"/>
        <v>0</v>
      </c>
      <c r="AF864" s="11"/>
      <c r="AG864" s="24"/>
      <c r="AH864" s="64">
        <f t="shared" si="475"/>
        <v>43379</v>
      </c>
      <c r="AI864" s="698"/>
      <c r="AJ864" s="699"/>
      <c r="AK864" s="699"/>
      <c r="AL864" s="699"/>
      <c r="AM864" s="699"/>
      <c r="AN864" s="699"/>
      <c r="AO864" s="699"/>
      <c r="AP864" s="699"/>
      <c r="AQ864" s="699"/>
      <c r="AR864" s="699"/>
      <c r="AS864" s="699"/>
      <c r="AT864" s="699"/>
      <c r="AU864" s="699"/>
      <c r="AV864" s="699"/>
      <c r="AW864" s="699"/>
      <c r="AX864" s="700"/>
      <c r="AY864" s="700"/>
      <c r="AZ864" s="701"/>
    </row>
    <row r="865" spans="1:52" ht="29.25" customHeight="1" thickBot="1">
      <c r="A865" s="67">
        <f t="shared" si="474"/>
        <v>44872</v>
      </c>
      <c r="B865" s="155"/>
      <c r="C865" s="155"/>
      <c r="D865" s="155"/>
      <c r="E865" s="155"/>
      <c r="F865" s="155"/>
      <c r="G865" s="155"/>
      <c r="H865" s="155"/>
      <c r="I865" s="155"/>
      <c r="J865" s="155"/>
      <c r="K865" s="155"/>
      <c r="L865" s="155"/>
      <c r="M865" s="155"/>
      <c r="N865" s="155"/>
      <c r="O865" s="155"/>
      <c r="P865" s="155"/>
      <c r="Q865" s="155"/>
      <c r="R865" s="156"/>
      <c r="S865" s="180"/>
      <c r="T865" s="838"/>
      <c r="U865" s="838"/>
      <c r="V865" s="838"/>
      <c r="W865" s="838"/>
      <c r="X865" s="838"/>
      <c r="Y865" s="255">
        <f t="shared" si="472"/>
        <v>0</v>
      </c>
      <c r="Z865" s="309">
        <f t="shared" si="473"/>
        <v>0</v>
      </c>
      <c r="AA865" s="256">
        <f t="shared" si="470"/>
        <v>0</v>
      </c>
      <c r="AB865" s="309"/>
      <c r="AC865" s="309"/>
      <c r="AD865" s="320">
        <f t="shared" si="471"/>
        <v>0</v>
      </c>
      <c r="AF865" s="11"/>
      <c r="AG865" s="24"/>
      <c r="AH865" s="64">
        <f t="shared" si="475"/>
        <v>43380</v>
      </c>
      <c r="AI865" s="698"/>
      <c r="AJ865" s="699"/>
      <c r="AK865" s="699"/>
      <c r="AL865" s="699"/>
      <c r="AM865" s="699"/>
      <c r="AN865" s="699"/>
      <c r="AO865" s="699"/>
      <c r="AP865" s="699"/>
      <c r="AQ865" s="699"/>
      <c r="AR865" s="699"/>
      <c r="AS865" s="699"/>
      <c r="AT865" s="699"/>
      <c r="AU865" s="699"/>
      <c r="AV865" s="699"/>
      <c r="AW865" s="699"/>
      <c r="AX865" s="700"/>
      <c r="AY865" s="700"/>
      <c r="AZ865" s="701"/>
    </row>
    <row r="866" spans="1:52" ht="29.25" customHeight="1" thickBot="1">
      <c r="A866" s="67">
        <f t="shared" si="474"/>
        <v>44873</v>
      </c>
      <c r="B866" s="155"/>
      <c r="C866" s="155"/>
      <c r="D866" s="155"/>
      <c r="E866" s="155"/>
      <c r="F866" s="155"/>
      <c r="G866" s="155"/>
      <c r="H866" s="155"/>
      <c r="I866" s="155"/>
      <c r="J866" s="155"/>
      <c r="K866" s="155"/>
      <c r="L866" s="155"/>
      <c r="M866" s="155"/>
      <c r="N866" s="155"/>
      <c r="O866" s="155"/>
      <c r="P866" s="155"/>
      <c r="Q866" s="155"/>
      <c r="R866" s="156"/>
      <c r="S866" s="180"/>
      <c r="T866" s="838"/>
      <c r="U866" s="838"/>
      <c r="V866" s="838"/>
      <c r="W866" s="838"/>
      <c r="X866" s="838"/>
      <c r="Y866" s="255">
        <f t="shared" si="472"/>
        <v>0</v>
      </c>
      <c r="Z866" s="309">
        <f t="shared" si="473"/>
        <v>0</v>
      </c>
      <c r="AA866" s="256">
        <f t="shared" si="470"/>
        <v>0</v>
      </c>
      <c r="AB866" s="309"/>
      <c r="AC866" s="309"/>
      <c r="AD866" s="320">
        <f t="shared" si="471"/>
        <v>0</v>
      </c>
      <c r="AF866" s="11"/>
      <c r="AG866" s="24"/>
      <c r="AH866" s="64">
        <f t="shared" si="475"/>
        <v>43381</v>
      </c>
      <c r="AI866" s="698"/>
      <c r="AJ866" s="699"/>
      <c r="AK866" s="699"/>
      <c r="AL866" s="699"/>
      <c r="AM866" s="699"/>
      <c r="AN866" s="699"/>
      <c r="AO866" s="699"/>
      <c r="AP866" s="699"/>
      <c r="AQ866" s="699"/>
      <c r="AR866" s="699"/>
      <c r="AS866" s="699"/>
      <c r="AT866" s="699"/>
      <c r="AU866" s="699"/>
      <c r="AV866" s="699"/>
      <c r="AW866" s="699"/>
      <c r="AX866" s="700"/>
      <c r="AY866" s="700"/>
      <c r="AZ866" s="701"/>
    </row>
    <row r="867" spans="1:52" ht="29.25" customHeight="1" thickBot="1">
      <c r="A867" s="67">
        <f t="shared" si="474"/>
        <v>44874</v>
      </c>
      <c r="B867" s="155"/>
      <c r="C867" s="155"/>
      <c r="D867" s="155"/>
      <c r="E867" s="155"/>
      <c r="F867" s="155"/>
      <c r="G867" s="155"/>
      <c r="H867" s="155"/>
      <c r="I867" s="155"/>
      <c r="J867" s="155"/>
      <c r="K867" s="155"/>
      <c r="L867" s="155"/>
      <c r="M867" s="155"/>
      <c r="N867" s="155"/>
      <c r="O867" s="155"/>
      <c r="P867" s="155"/>
      <c r="Q867" s="155"/>
      <c r="R867" s="156"/>
      <c r="S867" s="180"/>
      <c r="T867" s="838"/>
      <c r="U867" s="838"/>
      <c r="V867" s="838"/>
      <c r="W867" s="838"/>
      <c r="X867" s="838"/>
      <c r="Y867" s="255">
        <f t="shared" si="472"/>
        <v>0</v>
      </c>
      <c r="Z867" s="309">
        <f t="shared" si="473"/>
        <v>0</v>
      </c>
      <c r="AA867" s="256">
        <f t="shared" si="470"/>
        <v>0</v>
      </c>
      <c r="AB867" s="309"/>
      <c r="AC867" s="309"/>
      <c r="AD867" s="320">
        <f t="shared" si="471"/>
        <v>0</v>
      </c>
      <c r="AF867" s="11"/>
      <c r="AG867" s="24"/>
      <c r="AH867" s="64">
        <f t="shared" si="475"/>
        <v>43382</v>
      </c>
      <c r="AI867" s="698"/>
      <c r="AJ867" s="699"/>
      <c r="AK867" s="699"/>
      <c r="AL867" s="699"/>
      <c r="AM867" s="699"/>
      <c r="AN867" s="699"/>
      <c r="AO867" s="699"/>
      <c r="AP867" s="699"/>
      <c r="AQ867" s="699"/>
      <c r="AR867" s="699"/>
      <c r="AS867" s="699"/>
      <c r="AT867" s="699"/>
      <c r="AU867" s="699"/>
      <c r="AV867" s="699"/>
      <c r="AW867" s="699"/>
      <c r="AX867" s="700"/>
      <c r="AY867" s="700"/>
      <c r="AZ867" s="701"/>
    </row>
    <row r="868" spans="1:52" ht="29.25" customHeight="1" thickBot="1">
      <c r="A868" s="67">
        <f t="shared" si="474"/>
        <v>44875</v>
      </c>
      <c r="B868" s="155"/>
      <c r="C868" s="155"/>
      <c r="D868" s="155"/>
      <c r="E868" s="157"/>
      <c r="F868" s="157"/>
      <c r="G868" s="155"/>
      <c r="H868" s="155"/>
      <c r="I868" s="155"/>
      <c r="J868" s="155"/>
      <c r="K868" s="155"/>
      <c r="L868" s="155"/>
      <c r="M868" s="155"/>
      <c r="N868" s="155"/>
      <c r="O868" s="155"/>
      <c r="P868" s="155"/>
      <c r="Q868" s="155"/>
      <c r="R868" s="156"/>
      <c r="S868" s="180"/>
      <c r="T868" s="838"/>
      <c r="U868" s="838"/>
      <c r="V868" s="838"/>
      <c r="W868" s="838"/>
      <c r="X868" s="838"/>
      <c r="Y868" s="255">
        <f t="shared" si="472"/>
        <v>0</v>
      </c>
      <c r="Z868" s="309">
        <f t="shared" si="473"/>
        <v>0</v>
      </c>
      <c r="AA868" s="256">
        <f t="shared" si="470"/>
        <v>0</v>
      </c>
      <c r="AB868" s="309"/>
      <c r="AC868" s="309"/>
      <c r="AD868" s="320">
        <f t="shared" si="471"/>
        <v>0</v>
      </c>
      <c r="AF868" s="11"/>
      <c r="AG868" s="24"/>
      <c r="AH868" s="64">
        <f t="shared" si="475"/>
        <v>43383</v>
      </c>
      <c r="AI868" s="698"/>
      <c r="AJ868" s="699"/>
      <c r="AK868" s="699"/>
      <c r="AL868" s="699"/>
      <c r="AM868" s="699"/>
      <c r="AN868" s="699"/>
      <c r="AO868" s="699"/>
      <c r="AP868" s="699"/>
      <c r="AQ868" s="699"/>
      <c r="AR868" s="699"/>
      <c r="AS868" s="699"/>
      <c r="AT868" s="699"/>
      <c r="AU868" s="699"/>
      <c r="AV868" s="699"/>
      <c r="AW868" s="699"/>
      <c r="AX868" s="700"/>
      <c r="AY868" s="700"/>
      <c r="AZ868" s="701"/>
    </row>
    <row r="869" spans="1:52" ht="29.25" customHeight="1" thickBot="1">
      <c r="A869" s="67">
        <f t="shared" si="474"/>
        <v>44876</v>
      </c>
      <c r="B869" s="155"/>
      <c r="C869" s="155"/>
      <c r="D869" s="155"/>
      <c r="E869" s="155"/>
      <c r="F869" s="155"/>
      <c r="G869" s="155"/>
      <c r="H869" s="155"/>
      <c r="I869" s="155"/>
      <c r="J869" s="155"/>
      <c r="K869" s="155"/>
      <c r="L869" s="155"/>
      <c r="M869" s="155"/>
      <c r="N869" s="155"/>
      <c r="O869" s="155"/>
      <c r="P869" s="155"/>
      <c r="Q869" s="155"/>
      <c r="R869" s="156"/>
      <c r="S869" s="180"/>
      <c r="T869" s="838"/>
      <c r="U869" s="838"/>
      <c r="V869" s="838"/>
      <c r="W869" s="838"/>
      <c r="X869" s="838"/>
      <c r="Y869" s="255">
        <f t="shared" si="472"/>
        <v>0</v>
      </c>
      <c r="Z869" s="309">
        <f t="shared" si="473"/>
        <v>0</v>
      </c>
      <c r="AA869" s="256">
        <f t="shared" si="470"/>
        <v>0</v>
      </c>
      <c r="AB869" s="309"/>
      <c r="AC869" s="309"/>
      <c r="AD869" s="320">
        <f t="shared" si="471"/>
        <v>0</v>
      </c>
      <c r="AF869" s="11"/>
      <c r="AG869" s="24"/>
      <c r="AH869" s="64">
        <f t="shared" si="475"/>
        <v>43384</v>
      </c>
      <c r="AI869" s="698"/>
      <c r="AJ869" s="699"/>
      <c r="AK869" s="699"/>
      <c r="AL869" s="699"/>
      <c r="AM869" s="699"/>
      <c r="AN869" s="699"/>
      <c r="AO869" s="699"/>
      <c r="AP869" s="699"/>
      <c r="AQ869" s="699"/>
      <c r="AR869" s="699"/>
      <c r="AS869" s="699"/>
      <c r="AT869" s="699"/>
      <c r="AU869" s="699"/>
      <c r="AV869" s="699"/>
      <c r="AW869" s="699"/>
      <c r="AX869" s="700"/>
      <c r="AY869" s="700"/>
      <c r="AZ869" s="701"/>
    </row>
    <row r="870" spans="1:52" ht="29.25" customHeight="1" thickBot="1">
      <c r="A870" s="67">
        <f t="shared" si="474"/>
        <v>44877</v>
      </c>
      <c r="B870" s="155"/>
      <c r="C870" s="155"/>
      <c r="D870" s="155"/>
      <c r="E870" s="155"/>
      <c r="F870" s="155"/>
      <c r="G870" s="155"/>
      <c r="H870" s="155"/>
      <c r="I870" s="155"/>
      <c r="J870" s="155"/>
      <c r="K870" s="155"/>
      <c r="L870" s="155"/>
      <c r="M870" s="155"/>
      <c r="N870" s="155"/>
      <c r="O870" s="155"/>
      <c r="P870" s="155"/>
      <c r="Q870" s="155"/>
      <c r="R870" s="156"/>
      <c r="S870" s="180"/>
      <c r="T870" s="838"/>
      <c r="U870" s="838"/>
      <c r="V870" s="838"/>
      <c r="W870" s="838"/>
      <c r="X870" s="838"/>
      <c r="Y870" s="255">
        <f t="shared" si="472"/>
        <v>0</v>
      </c>
      <c r="Z870" s="309">
        <f t="shared" si="473"/>
        <v>0</v>
      </c>
      <c r="AA870" s="256">
        <f t="shared" si="470"/>
        <v>0</v>
      </c>
      <c r="AB870" s="309"/>
      <c r="AC870" s="309"/>
      <c r="AD870" s="320">
        <f t="shared" si="471"/>
        <v>0</v>
      </c>
      <c r="AF870" s="11"/>
      <c r="AG870" s="24"/>
      <c r="AH870" s="64">
        <f t="shared" si="475"/>
        <v>43385</v>
      </c>
      <c r="AI870" s="698"/>
      <c r="AJ870" s="699"/>
      <c r="AK870" s="699"/>
      <c r="AL870" s="699"/>
      <c r="AM870" s="699"/>
      <c r="AN870" s="699"/>
      <c r="AO870" s="699"/>
      <c r="AP870" s="699"/>
      <c r="AQ870" s="699"/>
      <c r="AR870" s="699"/>
      <c r="AS870" s="699"/>
      <c r="AT870" s="699"/>
      <c r="AU870" s="699"/>
      <c r="AV870" s="699"/>
      <c r="AW870" s="699"/>
      <c r="AX870" s="700"/>
      <c r="AY870" s="700"/>
      <c r="AZ870" s="701"/>
    </row>
    <row r="871" spans="1:52" ht="29.25" customHeight="1" thickBot="1">
      <c r="A871" s="67">
        <f t="shared" si="474"/>
        <v>44878</v>
      </c>
      <c r="B871" s="155"/>
      <c r="C871" s="155"/>
      <c r="D871" s="155"/>
      <c r="E871" s="155"/>
      <c r="F871" s="155"/>
      <c r="G871" s="155"/>
      <c r="H871" s="155"/>
      <c r="I871" s="155"/>
      <c r="J871" s="155"/>
      <c r="K871" s="155"/>
      <c r="L871" s="155"/>
      <c r="M871" s="155"/>
      <c r="N871" s="155"/>
      <c r="O871" s="155"/>
      <c r="P871" s="155"/>
      <c r="Q871" s="155"/>
      <c r="R871" s="156"/>
      <c r="S871" s="180"/>
      <c r="T871" s="838"/>
      <c r="U871" s="838"/>
      <c r="V871" s="838"/>
      <c r="W871" s="838"/>
      <c r="X871" s="838"/>
      <c r="Y871" s="255">
        <f t="shared" si="472"/>
        <v>0</v>
      </c>
      <c r="Z871" s="309">
        <f t="shared" si="473"/>
        <v>0</v>
      </c>
      <c r="AA871" s="256">
        <f t="shared" si="470"/>
        <v>0</v>
      </c>
      <c r="AB871" s="309"/>
      <c r="AC871" s="309"/>
      <c r="AD871" s="320">
        <f t="shared" si="471"/>
        <v>0</v>
      </c>
      <c r="AF871" s="11"/>
      <c r="AG871" s="24"/>
      <c r="AH871" s="64">
        <f t="shared" si="475"/>
        <v>43386</v>
      </c>
      <c r="AI871" s="698"/>
      <c r="AJ871" s="699"/>
      <c r="AK871" s="699"/>
      <c r="AL871" s="699"/>
      <c r="AM871" s="699"/>
      <c r="AN871" s="699"/>
      <c r="AO871" s="699"/>
      <c r="AP871" s="699"/>
      <c r="AQ871" s="699"/>
      <c r="AR871" s="699"/>
      <c r="AS871" s="699"/>
      <c r="AT871" s="699"/>
      <c r="AU871" s="699"/>
      <c r="AV871" s="699"/>
      <c r="AW871" s="699"/>
      <c r="AX871" s="700"/>
      <c r="AY871" s="700"/>
      <c r="AZ871" s="701"/>
    </row>
    <row r="872" spans="1:52" ht="29.25" customHeight="1" thickBot="1">
      <c r="A872" s="67">
        <f t="shared" si="474"/>
        <v>44879</v>
      </c>
      <c r="B872" s="155"/>
      <c r="C872" s="155"/>
      <c r="D872" s="155"/>
      <c r="E872" s="155"/>
      <c r="F872" s="155"/>
      <c r="G872" s="155"/>
      <c r="H872" s="155"/>
      <c r="I872" s="155"/>
      <c r="J872" s="155"/>
      <c r="K872" s="155"/>
      <c r="L872" s="155"/>
      <c r="M872" s="155"/>
      <c r="N872" s="155"/>
      <c r="O872" s="155"/>
      <c r="P872" s="155"/>
      <c r="Q872" s="155"/>
      <c r="R872" s="156"/>
      <c r="S872" s="180"/>
      <c r="T872" s="838"/>
      <c r="U872" s="838"/>
      <c r="V872" s="838"/>
      <c r="W872" s="838"/>
      <c r="X872" s="838"/>
      <c r="Y872" s="255">
        <f t="shared" si="472"/>
        <v>0</v>
      </c>
      <c r="Z872" s="309">
        <f t="shared" si="473"/>
        <v>0</v>
      </c>
      <c r="AA872" s="256">
        <f t="shared" si="470"/>
        <v>0</v>
      </c>
      <c r="AB872" s="309"/>
      <c r="AC872" s="309"/>
      <c r="AD872" s="320">
        <f t="shared" si="471"/>
        <v>0</v>
      </c>
      <c r="AF872" s="11"/>
      <c r="AG872" s="24"/>
      <c r="AH872" s="64">
        <f t="shared" si="475"/>
        <v>43387</v>
      </c>
      <c r="AI872" s="698"/>
      <c r="AJ872" s="699"/>
      <c r="AK872" s="699"/>
      <c r="AL872" s="699"/>
      <c r="AM872" s="699"/>
      <c r="AN872" s="699"/>
      <c r="AO872" s="699"/>
      <c r="AP872" s="699"/>
      <c r="AQ872" s="699"/>
      <c r="AR872" s="699"/>
      <c r="AS872" s="699"/>
      <c r="AT872" s="699"/>
      <c r="AU872" s="699"/>
      <c r="AV872" s="699"/>
      <c r="AW872" s="699"/>
      <c r="AX872" s="700"/>
      <c r="AY872" s="700"/>
      <c r="AZ872" s="701"/>
    </row>
    <row r="873" spans="1:52" ht="29.25" customHeight="1" thickBot="1">
      <c r="A873" s="67">
        <f t="shared" si="474"/>
        <v>44880</v>
      </c>
      <c r="B873" s="155"/>
      <c r="C873" s="155"/>
      <c r="D873" s="155"/>
      <c r="E873" s="155"/>
      <c r="F873" s="155"/>
      <c r="G873" s="155"/>
      <c r="H873" s="155"/>
      <c r="I873" s="155"/>
      <c r="J873" s="155"/>
      <c r="K873" s="155"/>
      <c r="L873" s="155"/>
      <c r="M873" s="155"/>
      <c r="N873" s="155"/>
      <c r="O873" s="155"/>
      <c r="P873" s="155"/>
      <c r="Q873" s="155"/>
      <c r="R873" s="156"/>
      <c r="S873" s="180"/>
      <c r="T873" s="838"/>
      <c r="U873" s="838"/>
      <c r="V873" s="838"/>
      <c r="W873" s="838"/>
      <c r="X873" s="838"/>
      <c r="Y873" s="255">
        <f t="shared" si="472"/>
        <v>0</v>
      </c>
      <c r="Z873" s="309">
        <f t="shared" si="473"/>
        <v>0</v>
      </c>
      <c r="AA873" s="256">
        <f t="shared" si="470"/>
        <v>0</v>
      </c>
      <c r="AB873" s="309"/>
      <c r="AC873" s="309"/>
      <c r="AD873" s="320">
        <f t="shared" si="471"/>
        <v>0</v>
      </c>
      <c r="AF873" s="11"/>
      <c r="AG873" s="24"/>
      <c r="AH873" s="64">
        <f t="shared" si="475"/>
        <v>43388</v>
      </c>
      <c r="AI873" s="698"/>
      <c r="AJ873" s="699"/>
      <c r="AK873" s="699"/>
      <c r="AL873" s="699"/>
      <c r="AM873" s="699"/>
      <c r="AN873" s="699"/>
      <c r="AO873" s="699"/>
      <c r="AP873" s="699"/>
      <c r="AQ873" s="699"/>
      <c r="AR873" s="699"/>
      <c r="AS873" s="699"/>
      <c r="AT873" s="699"/>
      <c r="AU873" s="699"/>
      <c r="AV873" s="699"/>
      <c r="AW873" s="699"/>
      <c r="AX873" s="700"/>
      <c r="AY873" s="700"/>
      <c r="AZ873" s="701"/>
    </row>
    <row r="874" spans="1:52" ht="29.25" customHeight="1" thickBot="1">
      <c r="A874" s="67">
        <f t="shared" si="474"/>
        <v>44881</v>
      </c>
      <c r="B874" s="155"/>
      <c r="C874" s="155"/>
      <c r="D874" s="155"/>
      <c r="E874" s="155"/>
      <c r="F874" s="155"/>
      <c r="G874" s="155"/>
      <c r="H874" s="155"/>
      <c r="I874" s="155"/>
      <c r="J874" s="155"/>
      <c r="K874" s="155"/>
      <c r="L874" s="155"/>
      <c r="M874" s="155"/>
      <c r="N874" s="155"/>
      <c r="O874" s="155"/>
      <c r="P874" s="155"/>
      <c r="Q874" s="155"/>
      <c r="R874" s="156"/>
      <c r="S874" s="180"/>
      <c r="T874" s="838"/>
      <c r="U874" s="838"/>
      <c r="V874" s="838"/>
      <c r="W874" s="838"/>
      <c r="X874" s="838"/>
      <c r="Y874" s="255">
        <f t="shared" si="472"/>
        <v>0</v>
      </c>
      <c r="Z874" s="309">
        <f t="shared" si="473"/>
        <v>0</v>
      </c>
      <c r="AA874" s="256">
        <f t="shared" si="470"/>
        <v>0</v>
      </c>
      <c r="AB874" s="309"/>
      <c r="AC874" s="309"/>
      <c r="AD874" s="320">
        <f t="shared" si="471"/>
        <v>0</v>
      </c>
      <c r="AF874" s="11"/>
      <c r="AG874" s="24"/>
      <c r="AH874" s="64">
        <f t="shared" si="475"/>
        <v>43389</v>
      </c>
      <c r="AI874" s="698"/>
      <c r="AJ874" s="699"/>
      <c r="AK874" s="699"/>
      <c r="AL874" s="699"/>
      <c r="AM874" s="699"/>
      <c r="AN874" s="699"/>
      <c r="AO874" s="699"/>
      <c r="AP874" s="699"/>
      <c r="AQ874" s="699"/>
      <c r="AR874" s="699"/>
      <c r="AS874" s="699"/>
      <c r="AT874" s="699"/>
      <c r="AU874" s="699"/>
      <c r="AV874" s="699"/>
      <c r="AW874" s="699"/>
      <c r="AX874" s="700"/>
      <c r="AY874" s="700"/>
      <c r="AZ874" s="701"/>
    </row>
    <row r="875" spans="1:52" ht="29.25" customHeight="1" thickBot="1">
      <c r="A875" s="67">
        <f t="shared" si="474"/>
        <v>44882</v>
      </c>
      <c r="B875" s="155"/>
      <c r="C875" s="155"/>
      <c r="D875" s="155"/>
      <c r="E875" s="155"/>
      <c r="F875" s="155"/>
      <c r="G875" s="155"/>
      <c r="H875" s="155"/>
      <c r="I875" s="155"/>
      <c r="J875" s="155"/>
      <c r="K875" s="155"/>
      <c r="L875" s="155"/>
      <c r="M875" s="155"/>
      <c r="N875" s="155"/>
      <c r="O875" s="155"/>
      <c r="P875" s="155"/>
      <c r="Q875" s="155"/>
      <c r="R875" s="156"/>
      <c r="S875" s="180"/>
      <c r="T875" s="838"/>
      <c r="U875" s="838"/>
      <c r="V875" s="838"/>
      <c r="W875" s="838"/>
      <c r="X875" s="838"/>
      <c r="Y875" s="255">
        <f t="shared" si="472"/>
        <v>0</v>
      </c>
      <c r="Z875" s="309">
        <f t="shared" si="473"/>
        <v>0</v>
      </c>
      <c r="AA875" s="256">
        <f t="shared" si="470"/>
        <v>0</v>
      </c>
      <c r="AB875" s="309"/>
      <c r="AC875" s="309"/>
      <c r="AD875" s="320">
        <f t="shared" si="471"/>
        <v>0</v>
      </c>
      <c r="AF875" s="11"/>
      <c r="AG875" s="24"/>
      <c r="AH875" s="64">
        <f t="shared" si="475"/>
        <v>43390</v>
      </c>
      <c r="AI875" s="698"/>
      <c r="AJ875" s="699"/>
      <c r="AK875" s="699"/>
      <c r="AL875" s="699"/>
      <c r="AM875" s="699"/>
      <c r="AN875" s="699"/>
      <c r="AO875" s="699"/>
      <c r="AP875" s="699"/>
      <c r="AQ875" s="699"/>
      <c r="AR875" s="699"/>
      <c r="AS875" s="699"/>
      <c r="AT875" s="699"/>
      <c r="AU875" s="699"/>
      <c r="AV875" s="699"/>
      <c r="AW875" s="699"/>
      <c r="AX875" s="700"/>
      <c r="AY875" s="700"/>
      <c r="AZ875" s="701"/>
    </row>
    <row r="876" spans="1:52" ht="29.25" customHeight="1" thickBot="1">
      <c r="A876" s="67">
        <f t="shared" si="474"/>
        <v>44883</v>
      </c>
      <c r="B876" s="155"/>
      <c r="C876" s="155"/>
      <c r="D876" s="155"/>
      <c r="E876" s="155"/>
      <c r="F876" s="155"/>
      <c r="G876" s="155"/>
      <c r="H876" s="155"/>
      <c r="I876" s="155"/>
      <c r="J876" s="155"/>
      <c r="K876" s="155"/>
      <c r="L876" s="155"/>
      <c r="M876" s="155"/>
      <c r="N876" s="155"/>
      <c r="O876" s="155"/>
      <c r="P876" s="155"/>
      <c r="Q876" s="155"/>
      <c r="R876" s="156"/>
      <c r="S876" s="180"/>
      <c r="T876" s="838"/>
      <c r="U876" s="838"/>
      <c r="V876" s="838"/>
      <c r="W876" s="838"/>
      <c r="X876" s="838"/>
      <c r="Y876" s="255">
        <f t="shared" si="472"/>
        <v>0</v>
      </c>
      <c r="Z876" s="309">
        <f t="shared" si="473"/>
        <v>0</v>
      </c>
      <c r="AA876" s="256">
        <f t="shared" si="470"/>
        <v>0</v>
      </c>
      <c r="AB876" s="309"/>
      <c r="AC876" s="309"/>
      <c r="AD876" s="320">
        <f t="shared" si="471"/>
        <v>0</v>
      </c>
      <c r="AF876" s="11"/>
      <c r="AG876" s="24"/>
      <c r="AH876" s="64">
        <f t="shared" si="475"/>
        <v>43391</v>
      </c>
      <c r="AI876" s="698"/>
      <c r="AJ876" s="699"/>
      <c r="AK876" s="699"/>
      <c r="AL876" s="699"/>
      <c r="AM876" s="699"/>
      <c r="AN876" s="699"/>
      <c r="AO876" s="699"/>
      <c r="AP876" s="699"/>
      <c r="AQ876" s="699"/>
      <c r="AR876" s="699"/>
      <c r="AS876" s="699"/>
      <c r="AT876" s="699"/>
      <c r="AU876" s="699"/>
      <c r="AV876" s="699"/>
      <c r="AW876" s="699"/>
      <c r="AX876" s="700"/>
      <c r="AY876" s="700"/>
      <c r="AZ876" s="701"/>
    </row>
    <row r="877" spans="1:52" ht="29.25" customHeight="1" thickBot="1">
      <c r="A877" s="67">
        <f t="shared" si="474"/>
        <v>44884</v>
      </c>
      <c r="B877" s="155"/>
      <c r="C877" s="155"/>
      <c r="D877" s="155"/>
      <c r="E877" s="155"/>
      <c r="F877" s="155"/>
      <c r="G877" s="155"/>
      <c r="H877" s="155"/>
      <c r="I877" s="155"/>
      <c r="J877" s="155"/>
      <c r="K877" s="155"/>
      <c r="L877" s="155"/>
      <c r="M877" s="155"/>
      <c r="N877" s="155"/>
      <c r="O877" s="155"/>
      <c r="P877" s="155"/>
      <c r="Q877" s="155"/>
      <c r="R877" s="156"/>
      <c r="S877" s="180"/>
      <c r="T877" s="838"/>
      <c r="U877" s="838"/>
      <c r="V877" s="838"/>
      <c r="W877" s="838"/>
      <c r="X877" s="838"/>
      <c r="Y877" s="255">
        <f t="shared" si="472"/>
        <v>0</v>
      </c>
      <c r="Z877" s="309">
        <f t="shared" si="473"/>
        <v>0</v>
      </c>
      <c r="AA877" s="256">
        <f t="shared" si="470"/>
        <v>0</v>
      </c>
      <c r="AB877" s="309"/>
      <c r="AC877" s="309"/>
      <c r="AD877" s="320">
        <f t="shared" si="471"/>
        <v>0</v>
      </c>
      <c r="AF877" s="11"/>
      <c r="AG877" s="24"/>
      <c r="AH877" s="64">
        <f t="shared" si="475"/>
        <v>43392</v>
      </c>
      <c r="AI877" s="698"/>
      <c r="AJ877" s="699"/>
      <c r="AK877" s="699"/>
      <c r="AL877" s="699"/>
      <c r="AM877" s="699"/>
      <c r="AN877" s="699"/>
      <c r="AO877" s="699"/>
      <c r="AP877" s="699"/>
      <c r="AQ877" s="699"/>
      <c r="AR877" s="699"/>
      <c r="AS877" s="699"/>
      <c r="AT877" s="699"/>
      <c r="AU877" s="699"/>
      <c r="AV877" s="699"/>
      <c r="AW877" s="699"/>
      <c r="AX877" s="700"/>
      <c r="AY877" s="700"/>
      <c r="AZ877" s="701"/>
    </row>
    <row r="878" spans="1:52" ht="29.25" customHeight="1" thickBot="1">
      <c r="A878" s="67">
        <f t="shared" si="474"/>
        <v>44885</v>
      </c>
      <c r="B878" s="155"/>
      <c r="C878" s="155"/>
      <c r="D878" s="155"/>
      <c r="E878" s="155"/>
      <c r="F878" s="155"/>
      <c r="G878" s="155"/>
      <c r="H878" s="155"/>
      <c r="I878" s="155"/>
      <c r="J878" s="155"/>
      <c r="K878" s="155"/>
      <c r="L878" s="155"/>
      <c r="M878" s="155"/>
      <c r="N878" s="155"/>
      <c r="O878" s="155"/>
      <c r="P878" s="155"/>
      <c r="Q878" s="155"/>
      <c r="R878" s="156"/>
      <c r="S878" s="180"/>
      <c r="T878" s="838"/>
      <c r="U878" s="838"/>
      <c r="V878" s="838"/>
      <c r="W878" s="838"/>
      <c r="X878" s="838"/>
      <c r="Y878" s="255">
        <f t="shared" si="472"/>
        <v>0</v>
      </c>
      <c r="Z878" s="309">
        <f t="shared" si="473"/>
        <v>0</v>
      </c>
      <c r="AA878" s="256">
        <f t="shared" si="470"/>
        <v>0</v>
      </c>
      <c r="AB878" s="309"/>
      <c r="AC878" s="309"/>
      <c r="AD878" s="320">
        <f t="shared" si="471"/>
        <v>0</v>
      </c>
      <c r="AF878" s="11"/>
      <c r="AG878" s="24"/>
      <c r="AH878" s="64">
        <f t="shared" si="475"/>
        <v>43393</v>
      </c>
      <c r="AI878" s="698"/>
      <c r="AJ878" s="699"/>
      <c r="AK878" s="699"/>
      <c r="AL878" s="699"/>
      <c r="AM878" s="699"/>
      <c r="AN878" s="699"/>
      <c r="AO878" s="699"/>
      <c r="AP878" s="699"/>
      <c r="AQ878" s="699"/>
      <c r="AR878" s="699"/>
      <c r="AS878" s="699"/>
      <c r="AT878" s="699"/>
      <c r="AU878" s="699"/>
      <c r="AV878" s="699"/>
      <c r="AW878" s="699"/>
      <c r="AX878" s="700"/>
      <c r="AY878" s="700"/>
      <c r="AZ878" s="701"/>
    </row>
    <row r="879" spans="1:52" ht="29.25" customHeight="1" thickBot="1">
      <c r="A879" s="67">
        <f t="shared" si="474"/>
        <v>44886</v>
      </c>
      <c r="B879" s="155"/>
      <c r="C879" s="155"/>
      <c r="D879" s="155"/>
      <c r="E879" s="155"/>
      <c r="F879" s="155"/>
      <c r="G879" s="155"/>
      <c r="H879" s="155"/>
      <c r="I879" s="155"/>
      <c r="J879" s="155"/>
      <c r="K879" s="155"/>
      <c r="L879" s="155"/>
      <c r="M879" s="155"/>
      <c r="N879" s="155"/>
      <c r="O879" s="155"/>
      <c r="P879" s="155"/>
      <c r="Q879" s="155"/>
      <c r="R879" s="156"/>
      <c r="S879" s="180"/>
      <c r="T879" s="838"/>
      <c r="U879" s="838"/>
      <c r="V879" s="838"/>
      <c r="W879" s="838"/>
      <c r="X879" s="838"/>
      <c r="Y879" s="255">
        <f t="shared" si="472"/>
        <v>0</v>
      </c>
      <c r="Z879" s="309">
        <f t="shared" si="473"/>
        <v>0</v>
      </c>
      <c r="AA879" s="256">
        <f t="shared" si="470"/>
        <v>0</v>
      </c>
      <c r="AB879" s="309"/>
      <c r="AC879" s="309"/>
      <c r="AD879" s="320">
        <f t="shared" si="471"/>
        <v>0</v>
      </c>
      <c r="AF879" s="11"/>
      <c r="AG879" s="24"/>
      <c r="AH879" s="64">
        <f t="shared" si="475"/>
        <v>43394</v>
      </c>
      <c r="AI879" s="698"/>
      <c r="AJ879" s="699"/>
      <c r="AK879" s="699"/>
      <c r="AL879" s="699"/>
      <c r="AM879" s="699"/>
      <c r="AN879" s="699"/>
      <c r="AO879" s="699"/>
      <c r="AP879" s="699"/>
      <c r="AQ879" s="699"/>
      <c r="AR879" s="699"/>
      <c r="AS879" s="699"/>
      <c r="AT879" s="699"/>
      <c r="AU879" s="699"/>
      <c r="AV879" s="699"/>
      <c r="AW879" s="699"/>
      <c r="AX879" s="700"/>
      <c r="AY879" s="700"/>
      <c r="AZ879" s="701"/>
    </row>
    <row r="880" spans="1:52" ht="29.25" customHeight="1" thickBot="1">
      <c r="A880" s="67">
        <f t="shared" si="474"/>
        <v>44887</v>
      </c>
      <c r="B880" s="155"/>
      <c r="C880" s="155"/>
      <c r="D880" s="155"/>
      <c r="E880" s="155"/>
      <c r="F880" s="155"/>
      <c r="G880" s="155"/>
      <c r="H880" s="155"/>
      <c r="I880" s="155"/>
      <c r="J880" s="155"/>
      <c r="K880" s="155"/>
      <c r="L880" s="155"/>
      <c r="M880" s="155"/>
      <c r="N880" s="155"/>
      <c r="O880" s="155"/>
      <c r="P880" s="155"/>
      <c r="Q880" s="155"/>
      <c r="R880" s="156"/>
      <c r="S880" s="180"/>
      <c r="T880" s="838"/>
      <c r="U880" s="838"/>
      <c r="V880" s="838"/>
      <c r="W880" s="838"/>
      <c r="X880" s="838"/>
      <c r="Y880" s="255">
        <f t="shared" si="472"/>
        <v>0</v>
      </c>
      <c r="Z880" s="309">
        <f t="shared" si="473"/>
        <v>0</v>
      </c>
      <c r="AA880" s="256">
        <f t="shared" si="470"/>
        <v>0</v>
      </c>
      <c r="AB880" s="309"/>
      <c r="AC880" s="309"/>
      <c r="AD880" s="320">
        <f t="shared" si="471"/>
        <v>0</v>
      </c>
      <c r="AF880" s="11"/>
      <c r="AG880" s="24"/>
      <c r="AH880" s="64">
        <f t="shared" si="475"/>
        <v>43395</v>
      </c>
      <c r="AI880" s="698"/>
      <c r="AJ880" s="699"/>
      <c r="AK880" s="699"/>
      <c r="AL880" s="699"/>
      <c r="AM880" s="699"/>
      <c r="AN880" s="699"/>
      <c r="AO880" s="699"/>
      <c r="AP880" s="699"/>
      <c r="AQ880" s="699"/>
      <c r="AR880" s="699"/>
      <c r="AS880" s="699"/>
      <c r="AT880" s="699"/>
      <c r="AU880" s="699"/>
      <c r="AV880" s="699"/>
      <c r="AW880" s="699"/>
      <c r="AX880" s="700"/>
      <c r="AY880" s="700"/>
      <c r="AZ880" s="701"/>
    </row>
    <row r="881" spans="1:52" ht="29.25" customHeight="1" thickBot="1">
      <c r="A881" s="67">
        <f t="shared" si="474"/>
        <v>44888</v>
      </c>
      <c r="B881" s="155"/>
      <c r="C881" s="155"/>
      <c r="D881" s="155"/>
      <c r="E881" s="155"/>
      <c r="F881" s="155"/>
      <c r="G881" s="155"/>
      <c r="H881" s="155"/>
      <c r="I881" s="155"/>
      <c r="J881" s="155"/>
      <c r="K881" s="155"/>
      <c r="L881" s="155"/>
      <c r="M881" s="155"/>
      <c r="N881" s="155"/>
      <c r="O881" s="155"/>
      <c r="P881" s="155"/>
      <c r="Q881" s="155"/>
      <c r="R881" s="156"/>
      <c r="S881" s="180"/>
      <c r="T881" s="838"/>
      <c r="U881" s="838"/>
      <c r="V881" s="838"/>
      <c r="W881" s="838"/>
      <c r="X881" s="838"/>
      <c r="Y881" s="255">
        <f t="shared" si="472"/>
        <v>0</v>
      </c>
      <c r="Z881" s="309">
        <f t="shared" si="473"/>
        <v>0</v>
      </c>
      <c r="AA881" s="256">
        <f t="shared" si="470"/>
        <v>0</v>
      </c>
      <c r="AB881" s="309"/>
      <c r="AC881" s="309"/>
      <c r="AD881" s="320">
        <f t="shared" si="471"/>
        <v>0</v>
      </c>
      <c r="AF881" s="11"/>
      <c r="AG881" s="24"/>
      <c r="AH881" s="64">
        <f t="shared" si="475"/>
        <v>43396</v>
      </c>
      <c r="AI881" s="698"/>
      <c r="AJ881" s="699"/>
      <c r="AK881" s="699"/>
      <c r="AL881" s="699"/>
      <c r="AM881" s="699"/>
      <c r="AN881" s="699"/>
      <c r="AO881" s="699"/>
      <c r="AP881" s="699"/>
      <c r="AQ881" s="699"/>
      <c r="AR881" s="699"/>
      <c r="AS881" s="699"/>
      <c r="AT881" s="699"/>
      <c r="AU881" s="699"/>
      <c r="AV881" s="699"/>
      <c r="AW881" s="699"/>
      <c r="AX881" s="700"/>
      <c r="AY881" s="700"/>
      <c r="AZ881" s="701"/>
    </row>
    <row r="882" spans="1:52" ht="29.25" customHeight="1" thickBot="1">
      <c r="A882" s="67">
        <f t="shared" si="474"/>
        <v>44889</v>
      </c>
      <c r="B882" s="155"/>
      <c r="C882" s="155"/>
      <c r="D882" s="155"/>
      <c r="E882" s="155"/>
      <c r="F882" s="155"/>
      <c r="G882" s="155"/>
      <c r="H882" s="155"/>
      <c r="I882" s="155"/>
      <c r="J882" s="155"/>
      <c r="K882" s="155"/>
      <c r="L882" s="155"/>
      <c r="M882" s="155"/>
      <c r="N882" s="155"/>
      <c r="O882" s="155"/>
      <c r="P882" s="155"/>
      <c r="Q882" s="155"/>
      <c r="R882" s="156"/>
      <c r="S882" s="180"/>
      <c r="T882" s="838"/>
      <c r="U882" s="838"/>
      <c r="V882" s="838"/>
      <c r="W882" s="838"/>
      <c r="X882" s="838"/>
      <c r="Y882" s="255">
        <f t="shared" si="472"/>
        <v>0</v>
      </c>
      <c r="Z882" s="309">
        <f t="shared" si="473"/>
        <v>0</v>
      </c>
      <c r="AA882" s="256">
        <f t="shared" si="470"/>
        <v>0</v>
      </c>
      <c r="AB882" s="309"/>
      <c r="AC882" s="309"/>
      <c r="AD882" s="320">
        <f t="shared" si="471"/>
        <v>0</v>
      </c>
      <c r="AF882" s="11"/>
      <c r="AG882" s="24"/>
      <c r="AH882" s="64">
        <f t="shared" si="475"/>
        <v>43397</v>
      </c>
      <c r="AI882" s="698"/>
      <c r="AJ882" s="699"/>
      <c r="AK882" s="699"/>
      <c r="AL882" s="699"/>
      <c r="AM882" s="699"/>
      <c r="AN882" s="699"/>
      <c r="AO882" s="699"/>
      <c r="AP882" s="699"/>
      <c r="AQ882" s="699"/>
      <c r="AR882" s="699"/>
      <c r="AS882" s="699"/>
      <c r="AT882" s="699"/>
      <c r="AU882" s="699"/>
      <c r="AV882" s="699"/>
      <c r="AW882" s="699"/>
      <c r="AX882" s="700"/>
      <c r="AY882" s="700"/>
      <c r="AZ882" s="701"/>
    </row>
    <row r="883" spans="1:52" ht="29.25" customHeight="1" thickBot="1">
      <c r="A883" s="67">
        <f t="shared" si="474"/>
        <v>44890</v>
      </c>
      <c r="B883" s="155"/>
      <c r="C883" s="155"/>
      <c r="D883" s="155"/>
      <c r="E883" s="155"/>
      <c r="F883" s="155"/>
      <c r="G883" s="155"/>
      <c r="H883" s="155"/>
      <c r="I883" s="155"/>
      <c r="J883" s="155"/>
      <c r="K883" s="155"/>
      <c r="L883" s="155"/>
      <c r="M883" s="155"/>
      <c r="N883" s="155"/>
      <c r="O883" s="155"/>
      <c r="P883" s="155"/>
      <c r="Q883" s="155"/>
      <c r="R883" s="156"/>
      <c r="S883" s="180"/>
      <c r="T883" s="838"/>
      <c r="U883" s="838"/>
      <c r="V883" s="838"/>
      <c r="W883" s="838"/>
      <c r="X883" s="838"/>
      <c r="Y883" s="255">
        <f t="shared" si="472"/>
        <v>0</v>
      </c>
      <c r="Z883" s="309">
        <f t="shared" si="473"/>
        <v>0</v>
      </c>
      <c r="AA883" s="256">
        <f t="shared" si="470"/>
        <v>0</v>
      </c>
      <c r="AB883" s="309"/>
      <c r="AC883" s="309"/>
      <c r="AD883" s="320">
        <f t="shared" si="471"/>
        <v>0</v>
      </c>
      <c r="AF883" s="11"/>
      <c r="AG883" s="24"/>
      <c r="AH883" s="64">
        <f t="shared" si="475"/>
        <v>43398</v>
      </c>
      <c r="AI883" s="698"/>
      <c r="AJ883" s="699"/>
      <c r="AK883" s="699"/>
      <c r="AL883" s="699"/>
      <c r="AM883" s="699"/>
      <c r="AN883" s="699"/>
      <c r="AO883" s="699"/>
      <c r="AP883" s="699"/>
      <c r="AQ883" s="699"/>
      <c r="AR883" s="699"/>
      <c r="AS883" s="699"/>
      <c r="AT883" s="699"/>
      <c r="AU883" s="699"/>
      <c r="AV883" s="699"/>
      <c r="AW883" s="699"/>
      <c r="AX883" s="700"/>
      <c r="AY883" s="700"/>
      <c r="AZ883" s="701"/>
    </row>
    <row r="884" spans="1:52" ht="29.25" customHeight="1" thickBot="1">
      <c r="A884" s="67">
        <f t="shared" si="474"/>
        <v>44891</v>
      </c>
      <c r="B884" s="155"/>
      <c r="C884" s="155"/>
      <c r="D884" s="155"/>
      <c r="E884" s="155"/>
      <c r="F884" s="155"/>
      <c r="G884" s="155"/>
      <c r="H884" s="155"/>
      <c r="I884" s="155"/>
      <c r="J884" s="155"/>
      <c r="K884" s="155"/>
      <c r="L884" s="155"/>
      <c r="M884" s="155"/>
      <c r="N884" s="155"/>
      <c r="O884" s="155"/>
      <c r="P884" s="155"/>
      <c r="Q884" s="155"/>
      <c r="R884" s="156"/>
      <c r="S884" s="180"/>
      <c r="T884" s="838"/>
      <c r="U884" s="838"/>
      <c r="V884" s="838"/>
      <c r="W884" s="838"/>
      <c r="X884" s="838"/>
      <c r="Y884" s="255">
        <f t="shared" si="472"/>
        <v>0</v>
      </c>
      <c r="Z884" s="309">
        <f t="shared" si="473"/>
        <v>0</v>
      </c>
      <c r="AA884" s="256">
        <f t="shared" si="470"/>
        <v>0</v>
      </c>
      <c r="AB884" s="309"/>
      <c r="AC884" s="309"/>
      <c r="AD884" s="320">
        <f t="shared" si="471"/>
        <v>0</v>
      </c>
      <c r="AF884" s="11"/>
      <c r="AG884" s="24"/>
      <c r="AH884" s="64">
        <f t="shared" si="475"/>
        <v>43399</v>
      </c>
      <c r="AI884" s="698"/>
      <c r="AJ884" s="699"/>
      <c r="AK884" s="699"/>
      <c r="AL884" s="699"/>
      <c r="AM884" s="699"/>
      <c r="AN884" s="699"/>
      <c r="AO884" s="699"/>
      <c r="AP884" s="699"/>
      <c r="AQ884" s="699"/>
      <c r="AR884" s="699"/>
      <c r="AS884" s="699"/>
      <c r="AT884" s="699"/>
      <c r="AU884" s="699"/>
      <c r="AV884" s="699"/>
      <c r="AW884" s="699"/>
      <c r="AX884" s="700"/>
      <c r="AY884" s="700"/>
      <c r="AZ884" s="701"/>
    </row>
    <row r="885" spans="1:52" ht="29.25" customHeight="1" thickBot="1">
      <c r="A885" s="67">
        <f t="shared" si="474"/>
        <v>44892</v>
      </c>
      <c r="B885" s="155"/>
      <c r="C885" s="155"/>
      <c r="D885" s="155"/>
      <c r="E885" s="155"/>
      <c r="F885" s="155"/>
      <c r="G885" s="155"/>
      <c r="H885" s="155"/>
      <c r="I885" s="155"/>
      <c r="J885" s="155"/>
      <c r="K885" s="155"/>
      <c r="L885" s="155"/>
      <c r="M885" s="155"/>
      <c r="N885" s="155"/>
      <c r="O885" s="155"/>
      <c r="P885" s="155"/>
      <c r="Q885" s="155"/>
      <c r="R885" s="156"/>
      <c r="S885" s="180"/>
      <c r="T885" s="838"/>
      <c r="U885" s="838"/>
      <c r="V885" s="838"/>
      <c r="W885" s="838"/>
      <c r="X885" s="838"/>
      <c r="Y885" s="255">
        <f t="shared" si="472"/>
        <v>0</v>
      </c>
      <c r="Z885" s="309">
        <f t="shared" si="473"/>
        <v>0</v>
      </c>
      <c r="AA885" s="256">
        <f t="shared" si="470"/>
        <v>0</v>
      </c>
      <c r="AB885" s="309"/>
      <c r="AC885" s="309"/>
      <c r="AD885" s="320">
        <f t="shared" si="471"/>
        <v>0</v>
      </c>
      <c r="AF885" s="11"/>
      <c r="AG885" s="24"/>
      <c r="AH885" s="64">
        <f t="shared" si="475"/>
        <v>43400</v>
      </c>
      <c r="AI885" s="698"/>
      <c r="AJ885" s="699"/>
      <c r="AK885" s="699"/>
      <c r="AL885" s="699"/>
      <c r="AM885" s="699"/>
      <c r="AN885" s="699"/>
      <c r="AO885" s="699"/>
      <c r="AP885" s="699"/>
      <c r="AQ885" s="699"/>
      <c r="AR885" s="699"/>
      <c r="AS885" s="699"/>
      <c r="AT885" s="699"/>
      <c r="AU885" s="699"/>
      <c r="AV885" s="699"/>
      <c r="AW885" s="699"/>
      <c r="AX885" s="700"/>
      <c r="AY885" s="700"/>
      <c r="AZ885" s="701"/>
    </row>
    <row r="886" spans="1:52" ht="29.25" customHeight="1" thickBot="1">
      <c r="A886" s="67">
        <f t="shared" si="474"/>
        <v>44893</v>
      </c>
      <c r="B886" s="155"/>
      <c r="C886" s="155"/>
      <c r="D886" s="155"/>
      <c r="E886" s="155"/>
      <c r="F886" s="155"/>
      <c r="G886" s="155"/>
      <c r="H886" s="155"/>
      <c r="I886" s="155"/>
      <c r="J886" s="155"/>
      <c r="K886" s="155"/>
      <c r="L886" s="155"/>
      <c r="M886" s="155"/>
      <c r="N886" s="155"/>
      <c r="O886" s="155"/>
      <c r="P886" s="155"/>
      <c r="Q886" s="155"/>
      <c r="R886" s="156"/>
      <c r="S886" s="180"/>
      <c r="T886" s="838"/>
      <c r="U886" s="838"/>
      <c r="V886" s="838"/>
      <c r="W886" s="838"/>
      <c r="X886" s="838"/>
      <c r="Y886" s="255">
        <f t="shared" si="472"/>
        <v>0</v>
      </c>
      <c r="Z886" s="309">
        <f t="shared" si="473"/>
        <v>0</v>
      </c>
      <c r="AA886" s="256">
        <f t="shared" si="470"/>
        <v>0</v>
      </c>
      <c r="AB886" s="309"/>
      <c r="AC886" s="309"/>
      <c r="AD886" s="320">
        <f t="shared" si="471"/>
        <v>0</v>
      </c>
      <c r="AF886" s="11"/>
      <c r="AG886" s="24"/>
      <c r="AH886" s="64">
        <f t="shared" si="475"/>
        <v>43401</v>
      </c>
      <c r="AI886" s="698"/>
      <c r="AJ886" s="699"/>
      <c r="AK886" s="699"/>
      <c r="AL886" s="699"/>
      <c r="AM886" s="699"/>
      <c r="AN886" s="699"/>
      <c r="AO886" s="699"/>
      <c r="AP886" s="699"/>
      <c r="AQ886" s="699"/>
      <c r="AR886" s="699"/>
      <c r="AS886" s="699"/>
      <c r="AT886" s="699"/>
      <c r="AU886" s="699"/>
      <c r="AV886" s="699"/>
      <c r="AW886" s="699"/>
      <c r="AX886" s="700"/>
      <c r="AY886" s="700"/>
      <c r="AZ886" s="701"/>
    </row>
    <row r="887" spans="1:52" ht="29.25" customHeight="1" thickBot="1">
      <c r="A887" s="67">
        <f t="shared" si="474"/>
        <v>44894</v>
      </c>
      <c r="B887" s="155"/>
      <c r="C887" s="155"/>
      <c r="D887" s="155"/>
      <c r="E887" s="155"/>
      <c r="F887" s="155"/>
      <c r="G887" s="155"/>
      <c r="H887" s="155"/>
      <c r="I887" s="155"/>
      <c r="J887" s="155"/>
      <c r="K887" s="155"/>
      <c r="L887" s="155"/>
      <c r="M887" s="155"/>
      <c r="N887" s="155"/>
      <c r="O887" s="155"/>
      <c r="P887" s="162"/>
      <c r="Q887" s="162"/>
      <c r="R887" s="156"/>
      <c r="S887" s="180"/>
      <c r="T887" s="838"/>
      <c r="U887" s="838"/>
      <c r="V887" s="838"/>
      <c r="W887" s="838"/>
      <c r="X887" s="838"/>
      <c r="Y887" s="255">
        <f t="shared" si="472"/>
        <v>0</v>
      </c>
      <c r="Z887" s="309">
        <f t="shared" si="473"/>
        <v>0</v>
      </c>
      <c r="AA887" s="256">
        <f t="shared" si="470"/>
        <v>0</v>
      </c>
      <c r="AB887" s="309"/>
      <c r="AC887" s="309"/>
      <c r="AD887" s="320">
        <f t="shared" si="471"/>
        <v>0</v>
      </c>
      <c r="AF887" s="11"/>
      <c r="AG887" s="24"/>
      <c r="AH887" s="64">
        <f>AH886+1</f>
        <v>43402</v>
      </c>
      <c r="AI887" s="698"/>
      <c r="AJ887" s="699"/>
      <c r="AK887" s="699"/>
      <c r="AL887" s="699"/>
      <c r="AM887" s="699"/>
      <c r="AN887" s="699"/>
      <c r="AO887" s="699"/>
      <c r="AP887" s="699"/>
      <c r="AQ887" s="699"/>
      <c r="AR887" s="699"/>
      <c r="AS887" s="699"/>
      <c r="AT887" s="699"/>
      <c r="AU887" s="699"/>
      <c r="AV887" s="699"/>
      <c r="AW887" s="699"/>
      <c r="AX887" s="700"/>
      <c r="AY887" s="700"/>
      <c r="AZ887" s="701"/>
    </row>
    <row r="888" spans="1:52" ht="29.25" customHeight="1" thickBot="1">
      <c r="A888" s="67">
        <f t="shared" si="474"/>
        <v>44895</v>
      </c>
      <c r="B888" s="155"/>
      <c r="C888" s="155"/>
      <c r="D888" s="155"/>
      <c r="E888" s="155"/>
      <c r="F888" s="155"/>
      <c r="G888" s="155"/>
      <c r="H888" s="155"/>
      <c r="I888" s="155"/>
      <c r="J888" s="155"/>
      <c r="K888" s="155"/>
      <c r="L888" s="155"/>
      <c r="M888" s="155"/>
      <c r="N888" s="155"/>
      <c r="O888" s="155"/>
      <c r="P888" s="155"/>
      <c r="Q888" s="163"/>
      <c r="R888" s="156"/>
      <c r="S888" s="180"/>
      <c r="T888" s="838"/>
      <c r="U888" s="838"/>
      <c r="V888" s="838"/>
      <c r="W888" s="838"/>
      <c r="X888" s="838"/>
      <c r="Y888" s="255">
        <f t="shared" si="472"/>
        <v>0</v>
      </c>
      <c r="Z888" s="309">
        <f t="shared" si="473"/>
        <v>0</v>
      </c>
      <c r="AA888" s="256">
        <f t="shared" si="470"/>
        <v>0</v>
      </c>
      <c r="AB888" s="309"/>
      <c r="AC888" s="309"/>
      <c r="AD888" s="320">
        <f t="shared" si="471"/>
        <v>0</v>
      </c>
      <c r="AF888" s="11"/>
      <c r="AG888" s="24"/>
      <c r="AH888" s="64">
        <f t="shared" si="475"/>
        <v>43403</v>
      </c>
      <c r="AI888" s="698"/>
      <c r="AJ888" s="699"/>
      <c r="AK888" s="699"/>
      <c r="AL888" s="699"/>
      <c r="AM888" s="699"/>
      <c r="AN888" s="699"/>
      <c r="AO888" s="699"/>
      <c r="AP888" s="699"/>
      <c r="AQ888" s="699"/>
      <c r="AR888" s="699"/>
      <c r="AS888" s="699"/>
      <c r="AT888" s="699"/>
      <c r="AU888" s="699"/>
      <c r="AV888" s="699"/>
      <c r="AW888" s="699"/>
      <c r="AX888" s="700"/>
      <c r="AY888" s="700"/>
      <c r="AZ888" s="701"/>
    </row>
    <row r="889" spans="1:52" ht="29.25" customHeight="1" thickBot="1">
      <c r="A889" s="102">
        <f t="shared" si="474"/>
        <v>44896</v>
      </c>
      <c r="B889" s="162"/>
      <c r="C889" s="162"/>
      <c r="D889" s="162"/>
      <c r="E889" s="162"/>
      <c r="F889" s="162"/>
      <c r="G889" s="162"/>
      <c r="H889" s="162"/>
      <c r="I889" s="162"/>
      <c r="J889" s="162"/>
      <c r="K889" s="162"/>
      <c r="L889" s="162"/>
      <c r="M889" s="162"/>
      <c r="N889" s="162"/>
      <c r="O889" s="162"/>
      <c r="P889" s="157"/>
      <c r="Q889" s="157"/>
      <c r="R889" s="164"/>
      <c r="S889" s="181"/>
      <c r="T889" s="839"/>
      <c r="U889" s="839"/>
      <c r="V889" s="839"/>
      <c r="W889" s="839"/>
      <c r="X889" s="839"/>
      <c r="Y889" s="255">
        <f t="shared" si="472"/>
        <v>0</v>
      </c>
      <c r="Z889" s="309">
        <f t="shared" si="473"/>
        <v>0</v>
      </c>
      <c r="AA889" s="256">
        <f t="shared" si="470"/>
        <v>0</v>
      </c>
      <c r="AB889" s="309"/>
      <c r="AC889" s="309">
        <f>Y892</f>
        <v>0</v>
      </c>
      <c r="AD889" s="320">
        <f t="shared" si="471"/>
        <v>0</v>
      </c>
      <c r="AF889" s="11"/>
      <c r="AG889" s="24"/>
      <c r="AH889" s="65">
        <f t="shared" si="475"/>
        <v>43404</v>
      </c>
      <c r="AI889" s="702"/>
      <c r="AJ889" s="703"/>
      <c r="AK889" s="703"/>
      <c r="AL889" s="703"/>
      <c r="AM889" s="703"/>
      <c r="AN889" s="703"/>
      <c r="AO889" s="703"/>
      <c r="AP889" s="703"/>
      <c r="AQ889" s="703"/>
      <c r="AR889" s="703"/>
      <c r="AS889" s="703"/>
      <c r="AT889" s="703"/>
      <c r="AU889" s="703"/>
      <c r="AV889" s="703"/>
      <c r="AW889" s="703"/>
      <c r="AX889" s="704"/>
      <c r="AY889" s="704"/>
      <c r="AZ889" s="705"/>
    </row>
    <row r="890" spans="1:52" ht="50.1" customHeight="1" thickTop="1" thickBot="1">
      <c r="A890" s="96" t="s">
        <v>74</v>
      </c>
      <c r="B890" s="104">
        <f>SUM(B859:B889)</f>
        <v>0</v>
      </c>
      <c r="C890" s="104">
        <f t="shared" ref="C890:S890" si="476">SUM(C859:C889)</f>
        <v>0</v>
      </c>
      <c r="D890" s="104">
        <f t="shared" si="476"/>
        <v>0</v>
      </c>
      <c r="E890" s="104"/>
      <c r="F890" s="104">
        <f t="shared" si="476"/>
        <v>0</v>
      </c>
      <c r="G890" s="104">
        <f t="shared" si="476"/>
        <v>0</v>
      </c>
      <c r="H890" s="104">
        <f t="shared" si="476"/>
        <v>0</v>
      </c>
      <c r="I890" s="104">
        <f t="shared" si="476"/>
        <v>0</v>
      </c>
      <c r="J890" s="104">
        <f t="shared" si="476"/>
        <v>0</v>
      </c>
      <c r="K890" s="104">
        <f t="shared" si="476"/>
        <v>0</v>
      </c>
      <c r="L890" s="104">
        <f t="shared" si="476"/>
        <v>0</v>
      </c>
      <c r="M890" s="104">
        <f t="shared" si="476"/>
        <v>0</v>
      </c>
      <c r="N890" s="104">
        <f t="shared" si="476"/>
        <v>0</v>
      </c>
      <c r="O890" s="104">
        <f t="shared" si="476"/>
        <v>0</v>
      </c>
      <c r="P890" s="104"/>
      <c r="Q890" s="104">
        <f t="shared" si="476"/>
        <v>0</v>
      </c>
      <c r="R890" s="104">
        <f t="shared" si="476"/>
        <v>0</v>
      </c>
      <c r="S890" s="104">
        <f t="shared" si="476"/>
        <v>0</v>
      </c>
      <c r="T890" s="104"/>
      <c r="U890" s="104"/>
      <c r="V890" s="104"/>
      <c r="W890" s="104"/>
      <c r="X890" s="104"/>
      <c r="Y890" s="292">
        <f>SUM(Y859:Y889)</f>
        <v>0</v>
      </c>
      <c r="Z890" s="258"/>
      <c r="AA890" s="259"/>
      <c r="AB890" s="316">
        <f>SUM(AB859:AB889)</f>
        <v>0</v>
      </c>
      <c r="AC890" s="316"/>
      <c r="AD890" s="260"/>
      <c r="AF890" s="9"/>
      <c r="AG890" s="16"/>
      <c r="AH890" s="706" t="s">
        <v>101</v>
      </c>
      <c r="AI890" s="707">
        <f>SUM(AI859:AI889)</f>
        <v>0</v>
      </c>
      <c r="AJ890" s="707">
        <f>SUM(AJ859:AJ889)</f>
        <v>0</v>
      </c>
      <c r="AK890" s="707">
        <f t="shared" ref="AK890:AZ890" si="477">SUM(AK859:AK889)</f>
        <v>0</v>
      </c>
      <c r="AL890" s="707">
        <f t="shared" si="477"/>
        <v>0</v>
      </c>
      <c r="AM890" s="707">
        <f t="shared" si="477"/>
        <v>0</v>
      </c>
      <c r="AN890" s="707">
        <f t="shared" si="477"/>
        <v>0</v>
      </c>
      <c r="AO890" s="707">
        <f t="shared" si="477"/>
        <v>0</v>
      </c>
      <c r="AP890" s="707">
        <f t="shared" si="477"/>
        <v>0</v>
      </c>
      <c r="AQ890" s="707">
        <f t="shared" si="477"/>
        <v>0</v>
      </c>
      <c r="AR890" s="707">
        <f t="shared" si="477"/>
        <v>0</v>
      </c>
      <c r="AS890" s="707">
        <f t="shared" si="477"/>
        <v>0</v>
      </c>
      <c r="AT890" s="707">
        <f t="shared" si="477"/>
        <v>0</v>
      </c>
      <c r="AU890" s="707">
        <f t="shared" si="477"/>
        <v>0</v>
      </c>
      <c r="AV890" s="707">
        <f t="shared" si="477"/>
        <v>0</v>
      </c>
      <c r="AW890" s="707">
        <f t="shared" si="477"/>
        <v>0</v>
      </c>
      <c r="AX890" s="707">
        <f t="shared" si="477"/>
        <v>0</v>
      </c>
      <c r="AY890" s="707">
        <f t="shared" si="477"/>
        <v>0</v>
      </c>
      <c r="AZ890" s="707">
        <f t="shared" si="477"/>
        <v>0</v>
      </c>
    </row>
    <row r="891" spans="1:52" ht="50.1" customHeight="1" thickTop="1" thickBot="1">
      <c r="A891" s="148" t="s">
        <v>102</v>
      </c>
      <c r="B891" s="477"/>
      <c r="C891" s="477"/>
      <c r="D891" s="477"/>
      <c r="E891" s="477"/>
      <c r="F891" s="477"/>
      <c r="G891" s="477"/>
      <c r="H891" s="477"/>
      <c r="I891" s="477"/>
      <c r="J891" s="477"/>
      <c r="K891" s="477"/>
      <c r="L891" s="477"/>
      <c r="M891" s="477"/>
      <c r="N891" s="477"/>
      <c r="O891" s="477"/>
      <c r="P891" s="477"/>
      <c r="Q891" s="477"/>
      <c r="R891" s="477"/>
      <c r="S891" s="477"/>
      <c r="T891" s="477"/>
      <c r="U891" s="477"/>
      <c r="V891" s="477"/>
      <c r="W891" s="477"/>
      <c r="X891" s="477"/>
      <c r="Y891" s="301"/>
      <c r="Z891" s="272"/>
      <c r="AA891" s="272"/>
      <c r="AB891" s="272"/>
      <c r="AC891" s="269"/>
      <c r="AD891" s="270"/>
      <c r="AF891" s="2"/>
      <c r="AG891" s="2"/>
      <c r="AH891" s="706" t="s">
        <v>45</v>
      </c>
      <c r="AI891" s="707">
        <v>220</v>
      </c>
      <c r="AJ891" s="707">
        <v>220</v>
      </c>
      <c r="AK891" s="707">
        <v>220</v>
      </c>
      <c r="AL891" s="707">
        <v>100</v>
      </c>
      <c r="AM891" s="707">
        <v>100</v>
      </c>
      <c r="AN891" s="707">
        <v>80</v>
      </c>
      <c r="AO891" s="707">
        <v>25</v>
      </c>
      <c r="AP891" s="707">
        <v>25</v>
      </c>
      <c r="AQ891" s="707">
        <v>25</v>
      </c>
      <c r="AR891" s="707">
        <v>400</v>
      </c>
      <c r="AS891" s="707">
        <v>400</v>
      </c>
      <c r="AT891" s="707">
        <v>400</v>
      </c>
      <c r="AU891" s="707">
        <v>0</v>
      </c>
      <c r="AV891" s="707">
        <v>0</v>
      </c>
      <c r="AW891" s="707">
        <v>200</v>
      </c>
      <c r="AX891" s="707">
        <v>200</v>
      </c>
      <c r="AY891" s="707">
        <v>0</v>
      </c>
      <c r="AZ891" s="707">
        <v>0</v>
      </c>
    </row>
    <row r="892" spans="1:52" ht="50.1" customHeight="1" thickTop="1" thickBot="1">
      <c r="A892" s="108"/>
      <c r="B892" s="107">
        <f>B890*B891</f>
        <v>0</v>
      </c>
      <c r="C892" s="107">
        <f t="shared" ref="C892:S892" si="478">C890*C891</f>
        <v>0</v>
      </c>
      <c r="D892" s="107">
        <f t="shared" si="478"/>
        <v>0</v>
      </c>
      <c r="E892" s="107"/>
      <c r="F892" s="107">
        <f t="shared" si="478"/>
        <v>0</v>
      </c>
      <c r="G892" s="107">
        <f t="shared" si="478"/>
        <v>0</v>
      </c>
      <c r="H892" s="107">
        <f t="shared" si="478"/>
        <v>0</v>
      </c>
      <c r="I892" s="107">
        <f t="shared" si="478"/>
        <v>0</v>
      </c>
      <c r="J892" s="107">
        <f t="shared" si="478"/>
        <v>0</v>
      </c>
      <c r="K892" s="107">
        <f t="shared" si="478"/>
        <v>0</v>
      </c>
      <c r="L892" s="107">
        <f t="shared" si="478"/>
        <v>0</v>
      </c>
      <c r="M892" s="107">
        <f t="shared" si="478"/>
        <v>0</v>
      </c>
      <c r="N892" s="107">
        <f t="shared" si="478"/>
        <v>0</v>
      </c>
      <c r="O892" s="107">
        <f t="shared" si="478"/>
        <v>0</v>
      </c>
      <c r="P892" s="107"/>
      <c r="Q892" s="107">
        <f t="shared" si="478"/>
        <v>0</v>
      </c>
      <c r="R892" s="107">
        <f t="shared" si="478"/>
        <v>0</v>
      </c>
      <c r="S892" s="107">
        <f t="shared" si="478"/>
        <v>0</v>
      </c>
      <c r="T892" s="107"/>
      <c r="U892" s="107"/>
      <c r="V892" s="107"/>
      <c r="W892" s="107"/>
      <c r="X892" s="107"/>
      <c r="Y892" s="301">
        <f>SUM(B892:S892)</f>
        <v>0</v>
      </c>
      <c r="Z892" s="268"/>
      <c r="AA892" s="288"/>
      <c r="AB892" s="288"/>
      <c r="AC892" s="269"/>
      <c r="AD892" s="270"/>
      <c r="AF892" s="2"/>
      <c r="AG892" s="2"/>
      <c r="AH892" s="706" t="s">
        <v>46</v>
      </c>
      <c r="AI892" s="707">
        <f>AI890*AI891</f>
        <v>0</v>
      </c>
      <c r="AJ892" s="707">
        <f t="shared" ref="AJ892" si="479">AJ890*AJ891</f>
        <v>0</v>
      </c>
      <c r="AK892" s="707">
        <f t="shared" ref="AK892" si="480">AK890*AK891</f>
        <v>0</v>
      </c>
      <c r="AL892" s="707">
        <f t="shared" ref="AL892" si="481">AL890*AL891</f>
        <v>0</v>
      </c>
      <c r="AM892" s="707">
        <f t="shared" ref="AM892" si="482">AM890*AM891</f>
        <v>0</v>
      </c>
      <c r="AN892" s="707">
        <f t="shared" ref="AN892" si="483">AN890*AN891</f>
        <v>0</v>
      </c>
      <c r="AO892" s="707">
        <f t="shared" ref="AO892" si="484">AO890*AO891</f>
        <v>0</v>
      </c>
      <c r="AP892" s="707">
        <f t="shared" ref="AP892" si="485">AP890*AP891</f>
        <v>0</v>
      </c>
      <c r="AQ892" s="707">
        <f t="shared" ref="AQ892" si="486">AQ890*AQ891</f>
        <v>0</v>
      </c>
      <c r="AR892" s="707">
        <f t="shared" ref="AR892" si="487">AR890*AR891</f>
        <v>0</v>
      </c>
      <c r="AS892" s="707">
        <f t="shared" ref="AS892" si="488">AS890*AS891</f>
        <v>0</v>
      </c>
      <c r="AT892" s="707">
        <f t="shared" ref="AT892" si="489">AT890*AT891</f>
        <v>0</v>
      </c>
      <c r="AU892" s="707">
        <f t="shared" ref="AU892" si="490">AU890*AU891</f>
        <v>0</v>
      </c>
      <c r="AV892" s="707">
        <f t="shared" ref="AV892" si="491">AV890*AV891</f>
        <v>0</v>
      </c>
      <c r="AW892" s="707">
        <f t="shared" ref="AW892" si="492">AW890*AW891</f>
        <v>0</v>
      </c>
      <c r="AX892" s="707">
        <f t="shared" ref="AX892" si="493">AX890*AX891</f>
        <v>0</v>
      </c>
      <c r="AY892" s="707">
        <f t="shared" ref="AY892" si="494">AY890*AY891</f>
        <v>0</v>
      </c>
      <c r="AZ892" s="707">
        <f t="shared" ref="AZ892" si="495">AZ890*AZ891</f>
        <v>0</v>
      </c>
    </row>
    <row r="893" spans="1:52" ht="27.75" thickTop="1" thickBot="1">
      <c r="A893" s="9"/>
      <c r="B893" s="579"/>
      <c r="C893" s="579"/>
      <c r="D893" s="579"/>
      <c r="E893" s="844"/>
      <c r="F893" s="579"/>
      <c r="G893" s="579"/>
      <c r="H893" s="579"/>
      <c r="I893" s="579"/>
      <c r="J893" s="579"/>
      <c r="K893" s="579"/>
      <c r="L893" s="579"/>
      <c r="M893" s="579"/>
      <c r="N893" s="579"/>
      <c r="O893" s="579"/>
      <c r="P893" s="844"/>
      <c r="Q893" s="579"/>
      <c r="R893" s="579"/>
      <c r="S893" s="579"/>
      <c r="T893" s="828"/>
      <c r="U893" s="828"/>
      <c r="V893" s="828"/>
      <c r="W893" s="935"/>
      <c r="X893" s="828"/>
      <c r="Y893" s="274">
        <f>Y890-Y892</f>
        <v>0</v>
      </c>
      <c r="Z893" s="268"/>
      <c r="AA893" s="288"/>
      <c r="AB893" s="288"/>
      <c r="AC893" s="270" t="s">
        <v>1</v>
      </c>
      <c r="AD893" s="270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714">
        <f>SUM(AI892:AZ892)</f>
        <v>0</v>
      </c>
    </row>
    <row r="894" spans="1:52" ht="16.5" thickTop="1" thickBot="1">
      <c r="A894" s="9"/>
      <c r="B894" s="579"/>
      <c r="C894" s="579"/>
      <c r="D894" s="579"/>
      <c r="E894" s="844"/>
      <c r="F894" s="579"/>
      <c r="G894" s="579"/>
      <c r="H894" s="579"/>
      <c r="I894" s="579"/>
      <c r="J894" s="579"/>
      <c r="K894" s="579"/>
      <c r="L894" s="579"/>
      <c r="M894" s="579"/>
      <c r="N894" s="579"/>
      <c r="O894" s="579"/>
      <c r="P894" s="844"/>
      <c r="Q894" s="579"/>
      <c r="R894" s="579"/>
      <c r="S894" s="579"/>
      <c r="T894" s="828"/>
      <c r="U894" s="828"/>
      <c r="V894" s="828"/>
      <c r="W894" s="935"/>
      <c r="X894" s="828"/>
      <c r="Y894" s="579"/>
      <c r="Z894" s="579"/>
      <c r="AA894" s="8"/>
      <c r="AB894" s="8"/>
      <c r="AC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</row>
    <row r="895" spans="1:52" ht="39.950000000000003" customHeight="1" thickBot="1">
      <c r="A895" s="109">
        <f>A5</f>
        <v>2022</v>
      </c>
      <c r="B895" s="1447"/>
      <c r="C895" s="1448"/>
      <c r="D895" s="1448"/>
      <c r="E895" s="1448"/>
      <c r="F895" s="1448"/>
      <c r="G895" s="1448"/>
      <c r="H895" s="1448"/>
      <c r="I895" s="1448"/>
      <c r="J895" s="1448"/>
      <c r="K895" s="1448"/>
      <c r="L895" s="1448"/>
      <c r="M895" s="1448"/>
      <c r="N895" s="1448"/>
      <c r="O895" s="1448"/>
      <c r="P895" s="1448"/>
      <c r="Q895" s="1448"/>
      <c r="R895" s="1448"/>
      <c r="S895" s="1448"/>
      <c r="T895" s="1448"/>
      <c r="U895" s="1448"/>
      <c r="V895" s="1448"/>
      <c r="W895" s="1448"/>
      <c r="X895" s="1448"/>
      <c r="Y895" s="1449"/>
      <c r="Z895" s="21"/>
      <c r="AA895" s="21"/>
      <c r="AB895" s="21"/>
      <c r="AC895" s="2"/>
      <c r="AD895" t="s">
        <v>1</v>
      </c>
      <c r="AF895" s="10"/>
      <c r="AG895" s="34"/>
      <c r="AH895" s="109">
        <v>2018</v>
      </c>
      <c r="AI895" s="1424">
        <f>B895</f>
        <v>0</v>
      </c>
      <c r="AJ895" s="1425"/>
      <c r="AK895" s="1425"/>
      <c r="AL895" s="1425"/>
      <c r="AM895" s="1425"/>
      <c r="AN895" s="1425"/>
      <c r="AO895" s="1425"/>
      <c r="AP895" s="1425"/>
      <c r="AQ895" s="1425"/>
      <c r="AR895" s="1425"/>
      <c r="AS895" s="1425"/>
      <c r="AT895" s="1425"/>
      <c r="AU895" s="1425"/>
      <c r="AV895" s="1425"/>
      <c r="AW895" s="1425"/>
      <c r="AX895" s="1425"/>
      <c r="AY895" s="1425"/>
      <c r="AZ895" s="1425"/>
    </row>
    <row r="896" spans="1:52" ht="60" customHeight="1" thickTop="1" thickBot="1">
      <c r="A896" s="1468" t="s">
        <v>94</v>
      </c>
      <c r="B896" s="1402" t="s">
        <v>95</v>
      </c>
      <c r="C896" s="1403"/>
      <c r="D896" s="1403"/>
      <c r="E896" s="1404"/>
      <c r="F896" s="1402" t="s">
        <v>7</v>
      </c>
      <c r="G896" s="1403"/>
      <c r="H896" s="1404"/>
      <c r="I896" s="1402" t="s">
        <v>8</v>
      </c>
      <c r="J896" s="1404"/>
      <c r="K896" s="1402" t="s">
        <v>9</v>
      </c>
      <c r="L896" s="1403"/>
      <c r="M896" s="1403"/>
      <c r="N896" s="1403"/>
      <c r="O896" s="1403"/>
      <c r="P896" s="1403"/>
      <c r="Q896" s="1403"/>
      <c r="R896" s="1405" t="s">
        <v>10</v>
      </c>
      <c r="S896" s="1406"/>
      <c r="T896" s="1400" t="s">
        <v>289</v>
      </c>
      <c r="U896" s="1401"/>
      <c r="V896" s="842" t="s">
        <v>258</v>
      </c>
      <c r="W896" s="842"/>
      <c r="X896" s="842"/>
      <c r="Y896" s="211"/>
      <c r="Z896" s="21"/>
      <c r="AA896" s="21"/>
      <c r="AB896" s="21"/>
      <c r="AC896" s="21"/>
      <c r="AF896" s="10"/>
      <c r="AG896" s="34"/>
      <c r="AH896" s="1422" t="s">
        <v>94</v>
      </c>
      <c r="AI896" s="1402" t="s">
        <v>95</v>
      </c>
      <c r="AJ896" s="1403"/>
      <c r="AK896" s="1404"/>
      <c r="AL896" s="1402" t="s">
        <v>7</v>
      </c>
      <c r="AM896" s="1403"/>
      <c r="AN896" s="1404"/>
      <c r="AO896" s="1402" t="s">
        <v>8</v>
      </c>
      <c r="AP896" s="1403"/>
      <c r="AQ896" s="1404"/>
      <c r="AR896" s="1402" t="s">
        <v>9</v>
      </c>
      <c r="AS896" s="1403"/>
      <c r="AT896" s="1404"/>
      <c r="AU896" s="1403" t="s">
        <v>9</v>
      </c>
      <c r="AV896" s="1404"/>
      <c r="AW896" s="1429" t="s">
        <v>10</v>
      </c>
      <c r="AX896" s="1430"/>
      <c r="AY896" s="690"/>
      <c r="AZ896" s="404" t="s">
        <v>11</v>
      </c>
    </row>
    <row r="897" spans="1:52" ht="42" thickTop="1" thickBot="1">
      <c r="A897" s="1428"/>
      <c r="B897" s="482" t="s">
        <v>12</v>
      </c>
      <c r="C897" s="482" t="s">
        <v>13</v>
      </c>
      <c r="D897" s="482" t="s">
        <v>14</v>
      </c>
      <c r="E897" s="688" t="s">
        <v>198</v>
      </c>
      <c r="F897" s="482" t="s">
        <v>12</v>
      </c>
      <c r="G897" s="482" t="s">
        <v>13</v>
      </c>
      <c r="H897" s="482" t="s">
        <v>282</v>
      </c>
      <c r="I897" s="482" t="s">
        <v>12</v>
      </c>
      <c r="J897" s="482" t="s">
        <v>16</v>
      </c>
      <c r="K897" s="482" t="s">
        <v>17</v>
      </c>
      <c r="L897" s="482" t="s">
        <v>18</v>
      </c>
      <c r="M897" s="482" t="s">
        <v>19</v>
      </c>
      <c r="N897" s="484" t="s">
        <v>96</v>
      </c>
      <c r="O897" s="484" t="s">
        <v>257</v>
      </c>
      <c r="P897" s="484" t="s">
        <v>254</v>
      </c>
      <c r="Q897" s="484" t="s">
        <v>20</v>
      </c>
      <c r="R897" s="483" t="s">
        <v>14</v>
      </c>
      <c r="S897" s="482" t="s">
        <v>13</v>
      </c>
      <c r="T897" s="846" t="s">
        <v>284</v>
      </c>
      <c r="U897" s="846" t="s">
        <v>288</v>
      </c>
      <c r="V897" s="484" t="s">
        <v>259</v>
      </c>
      <c r="W897" s="484"/>
      <c r="X897" s="484"/>
      <c r="Y897" s="209" t="s">
        <v>90</v>
      </c>
      <c r="Z897" s="210" t="s">
        <v>97</v>
      </c>
      <c r="AA897" s="210" t="s">
        <v>74</v>
      </c>
      <c r="AB897" s="210" t="s">
        <v>98</v>
      </c>
      <c r="AC897" s="210" t="s">
        <v>99</v>
      </c>
      <c r="AD897" s="210" t="s">
        <v>100</v>
      </c>
      <c r="AF897" s="578" t="s">
        <v>1</v>
      </c>
      <c r="AG897" s="4"/>
      <c r="AH897" s="1428"/>
      <c r="AI897" s="482" t="s">
        <v>12</v>
      </c>
      <c r="AJ897" s="482" t="s">
        <v>13</v>
      </c>
      <c r="AK897" s="482" t="s">
        <v>14</v>
      </c>
      <c r="AL897" s="482" t="s">
        <v>12</v>
      </c>
      <c r="AM897" s="482" t="s">
        <v>13</v>
      </c>
      <c r="AN897" s="482" t="s">
        <v>15</v>
      </c>
      <c r="AO897" s="482" t="s">
        <v>12</v>
      </c>
      <c r="AP897" s="482" t="s">
        <v>205</v>
      </c>
      <c r="AQ897" s="482" t="s">
        <v>16</v>
      </c>
      <c r="AR897" s="482" t="s">
        <v>17</v>
      </c>
      <c r="AS897" s="482" t="s">
        <v>18</v>
      </c>
      <c r="AT897" s="482" t="s">
        <v>19</v>
      </c>
      <c r="AU897" s="482" t="s">
        <v>201</v>
      </c>
      <c r="AV897" s="482" t="s">
        <v>20</v>
      </c>
      <c r="AW897" s="482" t="s">
        <v>12</v>
      </c>
      <c r="AX897" s="483" t="s">
        <v>13</v>
      </c>
      <c r="AY897" s="688" t="s">
        <v>198</v>
      </c>
      <c r="AZ897" s="484" t="s">
        <v>96</v>
      </c>
    </row>
    <row r="898" spans="1:52" ht="29.25" customHeight="1" thickBot="1">
      <c r="A898" s="67">
        <f>A859</f>
        <v>44866</v>
      </c>
      <c r="B898" s="153"/>
      <c r="C898" s="153"/>
      <c r="D898" s="153"/>
      <c r="E898" s="153"/>
      <c r="F898" s="153"/>
      <c r="G898" s="153"/>
      <c r="H898" s="153"/>
      <c r="I898" s="153"/>
      <c r="J898" s="153"/>
      <c r="K898" s="153"/>
      <c r="L898" s="153"/>
      <c r="M898" s="153"/>
      <c r="N898" s="153"/>
      <c r="O898" s="153"/>
      <c r="P898" s="153"/>
      <c r="Q898" s="153"/>
      <c r="R898" s="154"/>
      <c r="S898" s="179"/>
      <c r="T898" s="837"/>
      <c r="U898" s="837"/>
      <c r="V898" s="837"/>
      <c r="W898" s="837"/>
      <c r="X898" s="837"/>
      <c r="Y898" s="255">
        <f>B898*380+C898*380+D898*380+E898*380+F898*130+G898*130+H898*90+I898*50+J898*42+K898*390+L898*400+M898*400+N898*390+O898*387.5+P898*80+Q898*200+R898*260+S898*380+T898*30+U898*60</f>
        <v>0</v>
      </c>
      <c r="Z898" s="308"/>
      <c r="AA898" s="263">
        <f t="shared" ref="AA898:AA928" si="496">Y898+Z898</f>
        <v>0</v>
      </c>
      <c r="AB898" s="308"/>
      <c r="AC898" s="308"/>
      <c r="AD898" s="319">
        <f t="shared" ref="AD898:AD928" si="497">AA898-AB898-AC898</f>
        <v>0</v>
      </c>
      <c r="AF898" s="11"/>
      <c r="AG898" s="24"/>
      <c r="AH898" s="63">
        <f>AH859</f>
        <v>43374</v>
      </c>
      <c r="AI898" s="694"/>
      <c r="AJ898" s="695"/>
      <c r="AK898" s="695"/>
      <c r="AL898" s="695"/>
      <c r="AM898" s="695"/>
      <c r="AN898" s="695"/>
      <c r="AO898" s="695"/>
      <c r="AP898" s="695"/>
      <c r="AQ898" s="695"/>
      <c r="AR898" s="695"/>
      <c r="AS898" s="695"/>
      <c r="AT898" s="695"/>
      <c r="AU898" s="695"/>
      <c r="AV898" s="695"/>
      <c r="AW898" s="695"/>
      <c r="AX898" s="696"/>
      <c r="AY898" s="696"/>
      <c r="AZ898" s="697"/>
    </row>
    <row r="899" spans="1:52" ht="29.25" customHeight="1" thickBot="1">
      <c r="A899" s="67">
        <f>A898+1</f>
        <v>44867</v>
      </c>
      <c r="B899" s="153"/>
      <c r="C899" s="153"/>
      <c r="D899" s="153"/>
      <c r="E899" s="153"/>
      <c r="F899" s="153"/>
      <c r="G899" s="153"/>
      <c r="H899" s="153"/>
      <c r="I899" s="153"/>
      <c r="J899" s="153"/>
      <c r="K899" s="153"/>
      <c r="L899" s="153"/>
      <c r="M899" s="153"/>
      <c r="N899" s="153"/>
      <c r="O899" s="153"/>
      <c r="P899" s="153"/>
      <c r="Q899" s="153"/>
      <c r="R899" s="154"/>
      <c r="S899" s="180"/>
      <c r="T899" s="838"/>
      <c r="U899" s="838"/>
      <c r="V899" s="838"/>
      <c r="W899" s="838"/>
      <c r="X899" s="838"/>
      <c r="Y899" s="255">
        <f t="shared" ref="Y899:Y928" si="498">B899*380+C899*380+D899*380+E899*380+F899*130+G899*130+H899*90+I899*50+J899*42+K899*390+L899*400+M899*400+N899*390+O899*387.5+P899*80+Q899*200+R899*260+S899*380+T899*30+U899*60</f>
        <v>0</v>
      </c>
      <c r="Z899" s="309">
        <f t="shared" ref="Z899:Z928" si="499">AD898</f>
        <v>0</v>
      </c>
      <c r="AA899" s="256">
        <f t="shared" si="496"/>
        <v>0</v>
      </c>
      <c r="AB899" s="309"/>
      <c r="AC899" s="309"/>
      <c r="AD899" s="320">
        <f t="shared" si="497"/>
        <v>0</v>
      </c>
      <c r="AF899" s="18"/>
      <c r="AG899" s="29"/>
      <c r="AH899" s="64">
        <f>AH898+1</f>
        <v>43375</v>
      </c>
      <c r="AI899" s="698"/>
      <c r="AJ899" s="699"/>
      <c r="AK899" s="699"/>
      <c r="AL899" s="699"/>
      <c r="AM899" s="699"/>
      <c r="AN899" s="699"/>
      <c r="AO899" s="699"/>
      <c r="AP899" s="699"/>
      <c r="AQ899" s="699"/>
      <c r="AR899" s="699"/>
      <c r="AS899" s="699"/>
      <c r="AT899" s="699"/>
      <c r="AU899" s="699"/>
      <c r="AV899" s="699"/>
      <c r="AW899" s="699"/>
      <c r="AX899" s="700"/>
      <c r="AY899" s="700"/>
      <c r="AZ899" s="701"/>
    </row>
    <row r="900" spans="1:52" ht="29.25" customHeight="1" thickBot="1">
      <c r="A900" s="67">
        <f t="shared" ref="A900:A928" si="500">A899+1</f>
        <v>44868</v>
      </c>
      <c r="B900" s="155"/>
      <c r="C900" s="155"/>
      <c r="D900" s="155"/>
      <c r="E900" s="155"/>
      <c r="F900" s="155"/>
      <c r="G900" s="155"/>
      <c r="H900" s="155"/>
      <c r="I900" s="155"/>
      <c r="J900" s="155"/>
      <c r="K900" s="155"/>
      <c r="L900" s="155"/>
      <c r="M900" s="155"/>
      <c r="N900" s="155"/>
      <c r="O900" s="155"/>
      <c r="P900" s="155"/>
      <c r="Q900" s="155"/>
      <c r="R900" s="156"/>
      <c r="S900" s="180"/>
      <c r="T900" s="838"/>
      <c r="U900" s="838"/>
      <c r="V900" s="838"/>
      <c r="W900" s="838"/>
      <c r="X900" s="838"/>
      <c r="Y900" s="255">
        <f t="shared" si="498"/>
        <v>0</v>
      </c>
      <c r="Z900" s="309">
        <f t="shared" si="499"/>
        <v>0</v>
      </c>
      <c r="AA900" s="256">
        <f t="shared" si="496"/>
        <v>0</v>
      </c>
      <c r="AB900" s="309"/>
      <c r="AC900" s="309"/>
      <c r="AD900" s="320">
        <f t="shared" si="497"/>
        <v>0</v>
      </c>
      <c r="AF900" s="11"/>
      <c r="AG900" s="24"/>
      <c r="AH900" s="64">
        <f t="shared" ref="AH900:AH928" si="501">AH899+1</f>
        <v>43376</v>
      </c>
      <c r="AI900" s="698"/>
      <c r="AJ900" s="699"/>
      <c r="AK900" s="699"/>
      <c r="AL900" s="699"/>
      <c r="AM900" s="699"/>
      <c r="AN900" s="699"/>
      <c r="AO900" s="699"/>
      <c r="AP900" s="699"/>
      <c r="AQ900" s="699"/>
      <c r="AR900" s="699"/>
      <c r="AS900" s="699"/>
      <c r="AT900" s="699"/>
      <c r="AU900" s="699"/>
      <c r="AV900" s="699"/>
      <c r="AW900" s="699"/>
      <c r="AX900" s="700"/>
      <c r="AY900" s="700"/>
      <c r="AZ900" s="701"/>
    </row>
    <row r="901" spans="1:52" ht="29.25" customHeight="1" thickBot="1">
      <c r="A901" s="67">
        <f t="shared" si="500"/>
        <v>44869</v>
      </c>
      <c r="B901" s="155"/>
      <c r="C901" s="155"/>
      <c r="D901" s="155"/>
      <c r="E901" s="155"/>
      <c r="F901" s="155"/>
      <c r="G901" s="155"/>
      <c r="H901" s="155"/>
      <c r="I901" s="155"/>
      <c r="J901" s="155"/>
      <c r="K901" s="155"/>
      <c r="L901" s="155"/>
      <c r="M901" s="155"/>
      <c r="N901" s="155"/>
      <c r="O901" s="155"/>
      <c r="P901" s="155"/>
      <c r="Q901" s="155"/>
      <c r="R901" s="156"/>
      <c r="S901" s="180"/>
      <c r="T901" s="838"/>
      <c r="U901" s="838"/>
      <c r="V901" s="838"/>
      <c r="W901" s="838"/>
      <c r="X901" s="838"/>
      <c r="Y901" s="255">
        <f t="shared" si="498"/>
        <v>0</v>
      </c>
      <c r="Z901" s="309">
        <f t="shared" si="499"/>
        <v>0</v>
      </c>
      <c r="AA901" s="256">
        <f t="shared" si="496"/>
        <v>0</v>
      </c>
      <c r="AB901" s="309"/>
      <c r="AC901" s="309"/>
      <c r="AD901" s="320">
        <f t="shared" si="497"/>
        <v>0</v>
      </c>
      <c r="AF901" s="11"/>
      <c r="AG901" s="24"/>
      <c r="AH901" s="64">
        <f t="shared" si="501"/>
        <v>43377</v>
      </c>
      <c r="AI901" s="698"/>
      <c r="AJ901" s="699"/>
      <c r="AK901" s="699"/>
      <c r="AL901" s="699"/>
      <c r="AM901" s="699"/>
      <c r="AN901" s="699"/>
      <c r="AO901" s="699"/>
      <c r="AP901" s="699"/>
      <c r="AQ901" s="699"/>
      <c r="AR901" s="699"/>
      <c r="AS901" s="699"/>
      <c r="AT901" s="699"/>
      <c r="AU901" s="699"/>
      <c r="AV901" s="699"/>
      <c r="AW901" s="699"/>
      <c r="AX901" s="700"/>
      <c r="AY901" s="700"/>
      <c r="AZ901" s="701"/>
    </row>
    <row r="902" spans="1:52" ht="29.25" customHeight="1" thickBot="1">
      <c r="A902" s="67">
        <f t="shared" si="500"/>
        <v>44870</v>
      </c>
      <c r="B902" s="155"/>
      <c r="C902" s="155"/>
      <c r="D902" s="155"/>
      <c r="E902" s="155"/>
      <c r="F902" s="155"/>
      <c r="G902" s="155"/>
      <c r="H902" s="155"/>
      <c r="I902" s="155"/>
      <c r="J902" s="155"/>
      <c r="K902" s="155"/>
      <c r="L902" s="155"/>
      <c r="M902" s="155"/>
      <c r="N902" s="155"/>
      <c r="O902" s="155"/>
      <c r="P902" s="155"/>
      <c r="Q902" s="155"/>
      <c r="R902" s="156"/>
      <c r="S902" s="180"/>
      <c r="T902" s="838"/>
      <c r="U902" s="838"/>
      <c r="V902" s="838"/>
      <c r="W902" s="838"/>
      <c r="X902" s="838"/>
      <c r="Y902" s="255">
        <f t="shared" si="498"/>
        <v>0</v>
      </c>
      <c r="Z902" s="309">
        <f t="shared" si="499"/>
        <v>0</v>
      </c>
      <c r="AA902" s="256">
        <f t="shared" si="496"/>
        <v>0</v>
      </c>
      <c r="AB902" s="309"/>
      <c r="AC902" s="309"/>
      <c r="AD902" s="320">
        <f t="shared" si="497"/>
        <v>0</v>
      </c>
      <c r="AF902" s="11"/>
      <c r="AG902" s="24"/>
      <c r="AH902" s="64">
        <f t="shared" si="501"/>
        <v>43378</v>
      </c>
      <c r="AI902" s="698"/>
      <c r="AJ902" s="699"/>
      <c r="AK902" s="699"/>
      <c r="AL902" s="699"/>
      <c r="AM902" s="699"/>
      <c r="AN902" s="699"/>
      <c r="AO902" s="699"/>
      <c r="AP902" s="699"/>
      <c r="AQ902" s="699"/>
      <c r="AR902" s="699"/>
      <c r="AS902" s="699"/>
      <c r="AT902" s="699"/>
      <c r="AU902" s="699"/>
      <c r="AV902" s="699"/>
      <c r="AW902" s="699"/>
      <c r="AX902" s="700"/>
      <c r="AY902" s="700"/>
      <c r="AZ902" s="701"/>
    </row>
    <row r="903" spans="1:52" ht="29.25" customHeight="1" thickBot="1">
      <c r="A903" s="67">
        <f t="shared" si="500"/>
        <v>44871</v>
      </c>
      <c r="B903" s="155"/>
      <c r="C903" s="155"/>
      <c r="D903" s="155"/>
      <c r="E903" s="155"/>
      <c r="F903" s="155"/>
      <c r="G903" s="155"/>
      <c r="H903" s="155"/>
      <c r="I903" s="155"/>
      <c r="J903" s="155"/>
      <c r="K903" s="155"/>
      <c r="L903" s="155"/>
      <c r="M903" s="155"/>
      <c r="N903" s="155"/>
      <c r="O903" s="155"/>
      <c r="P903" s="155"/>
      <c r="Q903" s="155"/>
      <c r="R903" s="156"/>
      <c r="S903" s="180"/>
      <c r="T903" s="838"/>
      <c r="U903" s="838"/>
      <c r="V903" s="838"/>
      <c r="W903" s="838"/>
      <c r="X903" s="838"/>
      <c r="Y903" s="255">
        <f t="shared" si="498"/>
        <v>0</v>
      </c>
      <c r="Z903" s="309">
        <f t="shared" si="499"/>
        <v>0</v>
      </c>
      <c r="AA903" s="256">
        <f t="shared" si="496"/>
        <v>0</v>
      </c>
      <c r="AB903" s="309"/>
      <c r="AC903" s="309"/>
      <c r="AD903" s="320">
        <f t="shared" si="497"/>
        <v>0</v>
      </c>
      <c r="AF903" s="11"/>
      <c r="AG903" s="24"/>
      <c r="AH903" s="64">
        <f t="shared" si="501"/>
        <v>43379</v>
      </c>
      <c r="AI903" s="698"/>
      <c r="AJ903" s="699"/>
      <c r="AK903" s="699"/>
      <c r="AL903" s="699"/>
      <c r="AM903" s="699"/>
      <c r="AN903" s="699"/>
      <c r="AO903" s="699"/>
      <c r="AP903" s="699"/>
      <c r="AQ903" s="699"/>
      <c r="AR903" s="699"/>
      <c r="AS903" s="699"/>
      <c r="AT903" s="699"/>
      <c r="AU903" s="699"/>
      <c r="AV903" s="699"/>
      <c r="AW903" s="699"/>
      <c r="AX903" s="700"/>
      <c r="AY903" s="700"/>
      <c r="AZ903" s="701"/>
    </row>
    <row r="904" spans="1:52" ht="29.25" customHeight="1" thickBot="1">
      <c r="A904" s="67">
        <f t="shared" si="500"/>
        <v>44872</v>
      </c>
      <c r="B904" s="155"/>
      <c r="C904" s="155"/>
      <c r="D904" s="155"/>
      <c r="E904" s="155"/>
      <c r="F904" s="155"/>
      <c r="G904" s="155"/>
      <c r="H904" s="155"/>
      <c r="I904" s="155"/>
      <c r="J904" s="155"/>
      <c r="K904" s="155"/>
      <c r="L904" s="155"/>
      <c r="M904" s="155"/>
      <c r="N904" s="155"/>
      <c r="O904" s="155"/>
      <c r="P904" s="155"/>
      <c r="Q904" s="155"/>
      <c r="R904" s="156"/>
      <c r="S904" s="180"/>
      <c r="T904" s="838"/>
      <c r="U904" s="838"/>
      <c r="V904" s="838"/>
      <c r="W904" s="838"/>
      <c r="X904" s="838"/>
      <c r="Y904" s="255">
        <f t="shared" si="498"/>
        <v>0</v>
      </c>
      <c r="Z904" s="309">
        <f t="shared" si="499"/>
        <v>0</v>
      </c>
      <c r="AA904" s="256">
        <f t="shared" si="496"/>
        <v>0</v>
      </c>
      <c r="AB904" s="309"/>
      <c r="AC904" s="309"/>
      <c r="AD904" s="320">
        <f t="shared" si="497"/>
        <v>0</v>
      </c>
      <c r="AF904" s="11"/>
      <c r="AG904" s="24"/>
      <c r="AH904" s="64">
        <f t="shared" si="501"/>
        <v>43380</v>
      </c>
      <c r="AI904" s="698"/>
      <c r="AJ904" s="699"/>
      <c r="AK904" s="699"/>
      <c r="AL904" s="699"/>
      <c r="AM904" s="699"/>
      <c r="AN904" s="699"/>
      <c r="AO904" s="699"/>
      <c r="AP904" s="699"/>
      <c r="AQ904" s="699"/>
      <c r="AR904" s="699"/>
      <c r="AS904" s="699"/>
      <c r="AT904" s="699"/>
      <c r="AU904" s="699"/>
      <c r="AV904" s="699"/>
      <c r="AW904" s="699"/>
      <c r="AX904" s="700"/>
      <c r="AY904" s="700"/>
      <c r="AZ904" s="701"/>
    </row>
    <row r="905" spans="1:52" ht="29.25" customHeight="1" thickBot="1">
      <c r="A905" s="67">
        <f t="shared" si="500"/>
        <v>44873</v>
      </c>
      <c r="B905" s="155"/>
      <c r="C905" s="155"/>
      <c r="D905" s="155"/>
      <c r="E905" s="155"/>
      <c r="F905" s="155"/>
      <c r="G905" s="155"/>
      <c r="H905" s="155"/>
      <c r="I905" s="155"/>
      <c r="J905" s="155"/>
      <c r="K905" s="155"/>
      <c r="L905" s="155"/>
      <c r="M905" s="155"/>
      <c r="N905" s="155"/>
      <c r="O905" s="155"/>
      <c r="P905" s="155"/>
      <c r="Q905" s="155"/>
      <c r="R905" s="156"/>
      <c r="S905" s="180"/>
      <c r="T905" s="838"/>
      <c r="U905" s="838"/>
      <c r="V905" s="838"/>
      <c r="W905" s="838"/>
      <c r="X905" s="838"/>
      <c r="Y905" s="255">
        <f t="shared" si="498"/>
        <v>0</v>
      </c>
      <c r="Z905" s="309">
        <f t="shared" si="499"/>
        <v>0</v>
      </c>
      <c r="AA905" s="256">
        <f t="shared" si="496"/>
        <v>0</v>
      </c>
      <c r="AB905" s="309"/>
      <c r="AC905" s="309"/>
      <c r="AD905" s="320">
        <f t="shared" si="497"/>
        <v>0</v>
      </c>
      <c r="AF905" s="11"/>
      <c r="AG905" s="24"/>
      <c r="AH905" s="64">
        <f t="shared" si="501"/>
        <v>43381</v>
      </c>
      <c r="AI905" s="698"/>
      <c r="AJ905" s="699"/>
      <c r="AK905" s="699"/>
      <c r="AL905" s="699"/>
      <c r="AM905" s="699"/>
      <c r="AN905" s="699"/>
      <c r="AO905" s="699"/>
      <c r="AP905" s="699"/>
      <c r="AQ905" s="699"/>
      <c r="AR905" s="699"/>
      <c r="AS905" s="699"/>
      <c r="AT905" s="699"/>
      <c r="AU905" s="699"/>
      <c r="AV905" s="699"/>
      <c r="AW905" s="699"/>
      <c r="AX905" s="700"/>
      <c r="AY905" s="700"/>
      <c r="AZ905" s="701"/>
    </row>
    <row r="906" spans="1:52" ht="29.25" customHeight="1" thickBot="1">
      <c r="A906" s="67">
        <f t="shared" si="500"/>
        <v>44874</v>
      </c>
      <c r="B906" s="155"/>
      <c r="C906" s="155"/>
      <c r="D906" s="155"/>
      <c r="E906" s="155"/>
      <c r="F906" s="155"/>
      <c r="G906" s="155"/>
      <c r="H906" s="155"/>
      <c r="I906" s="155"/>
      <c r="J906" s="155"/>
      <c r="K906" s="155"/>
      <c r="L906" s="155"/>
      <c r="M906" s="155"/>
      <c r="N906" s="155"/>
      <c r="O906" s="155"/>
      <c r="P906" s="155"/>
      <c r="Q906" s="155"/>
      <c r="R906" s="156"/>
      <c r="S906" s="180"/>
      <c r="T906" s="838"/>
      <c r="U906" s="838"/>
      <c r="V906" s="838"/>
      <c r="W906" s="838"/>
      <c r="X906" s="838"/>
      <c r="Y906" s="255">
        <f t="shared" si="498"/>
        <v>0</v>
      </c>
      <c r="Z906" s="309">
        <f t="shared" si="499"/>
        <v>0</v>
      </c>
      <c r="AA906" s="256">
        <f t="shared" si="496"/>
        <v>0</v>
      </c>
      <c r="AB906" s="309"/>
      <c r="AC906" s="309"/>
      <c r="AD906" s="320">
        <f t="shared" si="497"/>
        <v>0</v>
      </c>
      <c r="AF906" s="11"/>
      <c r="AG906" s="24"/>
      <c r="AH906" s="64">
        <f t="shared" si="501"/>
        <v>43382</v>
      </c>
      <c r="AI906" s="698"/>
      <c r="AJ906" s="699"/>
      <c r="AK906" s="699"/>
      <c r="AL906" s="699"/>
      <c r="AM906" s="699"/>
      <c r="AN906" s="699"/>
      <c r="AO906" s="699"/>
      <c r="AP906" s="699"/>
      <c r="AQ906" s="699"/>
      <c r="AR906" s="699"/>
      <c r="AS906" s="699"/>
      <c r="AT906" s="699"/>
      <c r="AU906" s="699"/>
      <c r="AV906" s="699"/>
      <c r="AW906" s="699"/>
      <c r="AX906" s="700"/>
      <c r="AY906" s="700"/>
      <c r="AZ906" s="701"/>
    </row>
    <row r="907" spans="1:52" ht="29.25" customHeight="1" thickBot="1">
      <c r="A907" s="67">
        <f t="shared" si="500"/>
        <v>44875</v>
      </c>
      <c r="B907" s="155"/>
      <c r="C907" s="155"/>
      <c r="D907" s="155"/>
      <c r="E907" s="155"/>
      <c r="F907" s="155"/>
      <c r="G907" s="155"/>
      <c r="H907" s="155"/>
      <c r="I907" s="155"/>
      <c r="J907" s="155"/>
      <c r="K907" s="155"/>
      <c r="L907" s="155"/>
      <c r="M907" s="155"/>
      <c r="N907" s="155"/>
      <c r="O907" s="155"/>
      <c r="P907" s="155"/>
      <c r="Q907" s="155"/>
      <c r="R907" s="156"/>
      <c r="S907" s="180"/>
      <c r="T907" s="838"/>
      <c r="U907" s="838"/>
      <c r="V907" s="838"/>
      <c r="W907" s="838"/>
      <c r="X907" s="838"/>
      <c r="Y907" s="255">
        <f t="shared" si="498"/>
        <v>0</v>
      </c>
      <c r="Z907" s="309">
        <f t="shared" si="499"/>
        <v>0</v>
      </c>
      <c r="AA907" s="256">
        <f t="shared" si="496"/>
        <v>0</v>
      </c>
      <c r="AB907" s="309"/>
      <c r="AC907" s="309"/>
      <c r="AD907" s="320">
        <f t="shared" si="497"/>
        <v>0</v>
      </c>
      <c r="AF907" s="11"/>
      <c r="AG907" s="24"/>
      <c r="AH907" s="64">
        <f t="shared" si="501"/>
        <v>43383</v>
      </c>
      <c r="AI907" s="698"/>
      <c r="AJ907" s="699"/>
      <c r="AK907" s="699"/>
      <c r="AL907" s="699"/>
      <c r="AM907" s="699"/>
      <c r="AN907" s="699"/>
      <c r="AO907" s="699"/>
      <c r="AP907" s="699"/>
      <c r="AQ907" s="699"/>
      <c r="AR907" s="699"/>
      <c r="AS907" s="699"/>
      <c r="AT907" s="699"/>
      <c r="AU907" s="699"/>
      <c r="AV907" s="699"/>
      <c r="AW907" s="699"/>
      <c r="AX907" s="700"/>
      <c r="AY907" s="700"/>
      <c r="AZ907" s="701"/>
    </row>
    <row r="908" spans="1:52" ht="29.25" customHeight="1" thickBot="1">
      <c r="A908" s="67">
        <f t="shared" si="500"/>
        <v>44876</v>
      </c>
      <c r="B908" s="155"/>
      <c r="C908" s="155"/>
      <c r="D908" s="155"/>
      <c r="E908" s="155"/>
      <c r="F908" s="155"/>
      <c r="G908" s="155"/>
      <c r="H908" s="155"/>
      <c r="I908" s="155"/>
      <c r="J908" s="155"/>
      <c r="K908" s="155"/>
      <c r="L908" s="155"/>
      <c r="M908" s="155"/>
      <c r="N908" s="155"/>
      <c r="O908" s="155"/>
      <c r="P908" s="155"/>
      <c r="Q908" s="155"/>
      <c r="R908" s="156"/>
      <c r="S908" s="180"/>
      <c r="T908" s="838"/>
      <c r="U908" s="838"/>
      <c r="V908" s="838"/>
      <c r="W908" s="838"/>
      <c r="X908" s="838"/>
      <c r="Y908" s="255">
        <f t="shared" si="498"/>
        <v>0</v>
      </c>
      <c r="Z908" s="309">
        <f t="shared" si="499"/>
        <v>0</v>
      </c>
      <c r="AA908" s="256">
        <f t="shared" si="496"/>
        <v>0</v>
      </c>
      <c r="AB908" s="309"/>
      <c r="AC908" s="309"/>
      <c r="AD908" s="320">
        <f t="shared" si="497"/>
        <v>0</v>
      </c>
      <c r="AF908" s="11"/>
      <c r="AG908" s="24"/>
      <c r="AH908" s="64">
        <f t="shared" si="501"/>
        <v>43384</v>
      </c>
      <c r="AI908" s="698"/>
      <c r="AJ908" s="699"/>
      <c r="AK908" s="699"/>
      <c r="AL908" s="699"/>
      <c r="AM908" s="699"/>
      <c r="AN908" s="699"/>
      <c r="AO908" s="699"/>
      <c r="AP908" s="699"/>
      <c r="AQ908" s="699"/>
      <c r="AR908" s="699"/>
      <c r="AS908" s="699"/>
      <c r="AT908" s="699"/>
      <c r="AU908" s="699"/>
      <c r="AV908" s="699"/>
      <c r="AW908" s="699"/>
      <c r="AX908" s="700"/>
      <c r="AY908" s="700"/>
      <c r="AZ908" s="701"/>
    </row>
    <row r="909" spans="1:52" ht="29.25" customHeight="1" thickBot="1">
      <c r="A909" s="67">
        <f t="shared" si="500"/>
        <v>44877</v>
      </c>
      <c r="B909" s="155"/>
      <c r="C909" s="155"/>
      <c r="D909" s="155"/>
      <c r="E909" s="155"/>
      <c r="F909" s="155"/>
      <c r="G909" s="155"/>
      <c r="H909" s="155"/>
      <c r="I909" s="155"/>
      <c r="J909" s="155"/>
      <c r="K909" s="155"/>
      <c r="L909" s="155"/>
      <c r="M909" s="155"/>
      <c r="N909" s="155"/>
      <c r="O909" s="155"/>
      <c r="P909" s="155"/>
      <c r="Q909" s="155"/>
      <c r="R909" s="156"/>
      <c r="S909" s="180"/>
      <c r="T909" s="838"/>
      <c r="U909" s="838"/>
      <c r="V909" s="838"/>
      <c r="W909" s="838"/>
      <c r="X909" s="838"/>
      <c r="Y909" s="255">
        <f t="shared" si="498"/>
        <v>0</v>
      </c>
      <c r="Z909" s="309">
        <f t="shared" si="499"/>
        <v>0</v>
      </c>
      <c r="AA909" s="256">
        <f t="shared" si="496"/>
        <v>0</v>
      </c>
      <c r="AB909" s="309"/>
      <c r="AC909" s="309"/>
      <c r="AD909" s="320">
        <f t="shared" si="497"/>
        <v>0</v>
      </c>
      <c r="AF909" s="11"/>
      <c r="AG909" s="24"/>
      <c r="AH909" s="64">
        <f t="shared" si="501"/>
        <v>43385</v>
      </c>
      <c r="AI909" s="698"/>
      <c r="AJ909" s="699"/>
      <c r="AK909" s="699"/>
      <c r="AL909" s="699"/>
      <c r="AM909" s="699"/>
      <c r="AN909" s="699"/>
      <c r="AO909" s="699"/>
      <c r="AP909" s="699"/>
      <c r="AQ909" s="699"/>
      <c r="AR909" s="699"/>
      <c r="AS909" s="699"/>
      <c r="AT909" s="699"/>
      <c r="AU909" s="699"/>
      <c r="AV909" s="699"/>
      <c r="AW909" s="699"/>
      <c r="AX909" s="700"/>
      <c r="AY909" s="700"/>
      <c r="AZ909" s="701"/>
    </row>
    <row r="910" spans="1:52" ht="29.25" customHeight="1" thickBot="1">
      <c r="A910" s="67">
        <f t="shared" si="500"/>
        <v>44878</v>
      </c>
      <c r="B910" s="155"/>
      <c r="C910" s="155"/>
      <c r="D910" s="155"/>
      <c r="E910" s="155"/>
      <c r="F910" s="155"/>
      <c r="G910" s="155"/>
      <c r="H910" s="155"/>
      <c r="I910" s="155"/>
      <c r="J910" s="155"/>
      <c r="K910" s="155"/>
      <c r="L910" s="155"/>
      <c r="M910" s="155"/>
      <c r="N910" s="155"/>
      <c r="O910" s="155"/>
      <c r="P910" s="155"/>
      <c r="Q910" s="155"/>
      <c r="R910" s="156"/>
      <c r="S910" s="180"/>
      <c r="T910" s="838"/>
      <c r="U910" s="838"/>
      <c r="V910" s="838"/>
      <c r="W910" s="838"/>
      <c r="X910" s="838"/>
      <c r="Y910" s="255">
        <f t="shared" si="498"/>
        <v>0</v>
      </c>
      <c r="Z910" s="309">
        <f t="shared" si="499"/>
        <v>0</v>
      </c>
      <c r="AA910" s="256">
        <f t="shared" si="496"/>
        <v>0</v>
      </c>
      <c r="AB910" s="309"/>
      <c r="AC910" s="309"/>
      <c r="AD910" s="320">
        <f t="shared" si="497"/>
        <v>0</v>
      </c>
      <c r="AF910" s="11"/>
      <c r="AG910" s="24"/>
      <c r="AH910" s="64">
        <f t="shared" si="501"/>
        <v>43386</v>
      </c>
      <c r="AI910" s="698"/>
      <c r="AJ910" s="699"/>
      <c r="AK910" s="699"/>
      <c r="AL910" s="699"/>
      <c r="AM910" s="699"/>
      <c r="AN910" s="699"/>
      <c r="AO910" s="699"/>
      <c r="AP910" s="699"/>
      <c r="AQ910" s="699"/>
      <c r="AR910" s="699"/>
      <c r="AS910" s="699"/>
      <c r="AT910" s="699"/>
      <c r="AU910" s="699"/>
      <c r="AV910" s="699"/>
      <c r="AW910" s="699"/>
      <c r="AX910" s="700"/>
      <c r="AY910" s="700"/>
      <c r="AZ910" s="701"/>
    </row>
    <row r="911" spans="1:52" ht="29.25" customHeight="1" thickBot="1">
      <c r="A911" s="67">
        <f t="shared" si="500"/>
        <v>44879</v>
      </c>
      <c r="B911" s="155"/>
      <c r="C911" s="155"/>
      <c r="D911" s="155"/>
      <c r="E911" s="155"/>
      <c r="F911" s="155"/>
      <c r="G911" s="155"/>
      <c r="H911" s="155"/>
      <c r="I911" s="155"/>
      <c r="J911" s="155"/>
      <c r="K911" s="155"/>
      <c r="L911" s="155"/>
      <c r="M911" s="155"/>
      <c r="N911" s="155"/>
      <c r="O911" s="155"/>
      <c r="P911" s="155"/>
      <c r="Q911" s="155"/>
      <c r="R911" s="156"/>
      <c r="S911" s="180"/>
      <c r="T911" s="838"/>
      <c r="U911" s="838"/>
      <c r="V911" s="838"/>
      <c r="W911" s="838"/>
      <c r="X911" s="838"/>
      <c r="Y911" s="255">
        <f t="shared" si="498"/>
        <v>0</v>
      </c>
      <c r="Z911" s="309">
        <f t="shared" si="499"/>
        <v>0</v>
      </c>
      <c r="AA911" s="256">
        <f t="shared" si="496"/>
        <v>0</v>
      </c>
      <c r="AB911" s="309"/>
      <c r="AC911" s="309"/>
      <c r="AD911" s="320">
        <f t="shared" si="497"/>
        <v>0</v>
      </c>
      <c r="AF911" s="11"/>
      <c r="AG911" s="24"/>
      <c r="AH911" s="64">
        <f t="shared" si="501"/>
        <v>43387</v>
      </c>
      <c r="AI911" s="698"/>
      <c r="AJ911" s="699"/>
      <c r="AK911" s="699"/>
      <c r="AL911" s="699"/>
      <c r="AM911" s="699"/>
      <c r="AN911" s="699"/>
      <c r="AO911" s="699"/>
      <c r="AP911" s="699"/>
      <c r="AQ911" s="699"/>
      <c r="AR911" s="699"/>
      <c r="AS911" s="699"/>
      <c r="AT911" s="699"/>
      <c r="AU911" s="699"/>
      <c r="AV911" s="699"/>
      <c r="AW911" s="699"/>
      <c r="AX911" s="700"/>
      <c r="AY911" s="700"/>
      <c r="AZ911" s="701"/>
    </row>
    <row r="912" spans="1:52" ht="29.25" customHeight="1" thickBot="1">
      <c r="A912" s="67">
        <f t="shared" si="500"/>
        <v>44880</v>
      </c>
      <c r="B912" s="155"/>
      <c r="C912" s="155"/>
      <c r="D912" s="155"/>
      <c r="E912" s="155"/>
      <c r="F912" s="155"/>
      <c r="G912" s="155"/>
      <c r="H912" s="155"/>
      <c r="I912" s="155"/>
      <c r="J912" s="155"/>
      <c r="K912" s="155"/>
      <c r="L912" s="155"/>
      <c r="M912" s="155"/>
      <c r="N912" s="155"/>
      <c r="O912" s="155"/>
      <c r="P912" s="155"/>
      <c r="Q912" s="155"/>
      <c r="R912" s="156"/>
      <c r="S912" s="180"/>
      <c r="T912" s="838"/>
      <c r="U912" s="838"/>
      <c r="V912" s="838"/>
      <c r="W912" s="838"/>
      <c r="X912" s="838"/>
      <c r="Y912" s="255">
        <f t="shared" si="498"/>
        <v>0</v>
      </c>
      <c r="Z912" s="309">
        <f t="shared" si="499"/>
        <v>0</v>
      </c>
      <c r="AA912" s="256">
        <f t="shared" si="496"/>
        <v>0</v>
      </c>
      <c r="AB912" s="309"/>
      <c r="AC912" s="309"/>
      <c r="AD912" s="320">
        <f t="shared" si="497"/>
        <v>0</v>
      </c>
      <c r="AF912" s="11"/>
      <c r="AG912" s="24"/>
      <c r="AH912" s="64">
        <f t="shared" si="501"/>
        <v>43388</v>
      </c>
      <c r="AI912" s="698"/>
      <c r="AJ912" s="699"/>
      <c r="AK912" s="699"/>
      <c r="AL912" s="699"/>
      <c r="AM912" s="699"/>
      <c r="AN912" s="699"/>
      <c r="AO912" s="699"/>
      <c r="AP912" s="699"/>
      <c r="AQ912" s="699"/>
      <c r="AR912" s="699"/>
      <c r="AS912" s="699"/>
      <c r="AT912" s="699"/>
      <c r="AU912" s="699"/>
      <c r="AV912" s="699"/>
      <c r="AW912" s="699"/>
      <c r="AX912" s="700"/>
      <c r="AY912" s="700"/>
      <c r="AZ912" s="701"/>
    </row>
    <row r="913" spans="1:52" ht="29.25" customHeight="1" thickBot="1">
      <c r="A913" s="67">
        <f t="shared" si="500"/>
        <v>44881</v>
      </c>
      <c r="B913" s="155"/>
      <c r="C913" s="155"/>
      <c r="D913" s="155"/>
      <c r="E913" s="155"/>
      <c r="F913" s="155"/>
      <c r="G913" s="155"/>
      <c r="H913" s="155"/>
      <c r="I913" s="155"/>
      <c r="J913" s="155"/>
      <c r="K913" s="155"/>
      <c r="L913" s="155"/>
      <c r="M913" s="155"/>
      <c r="N913" s="155"/>
      <c r="O913" s="155"/>
      <c r="P913" s="155"/>
      <c r="Q913" s="155"/>
      <c r="R913" s="156"/>
      <c r="S913" s="180"/>
      <c r="T913" s="838"/>
      <c r="U913" s="838"/>
      <c r="V913" s="838"/>
      <c r="W913" s="838"/>
      <c r="X913" s="838"/>
      <c r="Y913" s="255">
        <f t="shared" si="498"/>
        <v>0</v>
      </c>
      <c r="Z913" s="309">
        <f t="shared" si="499"/>
        <v>0</v>
      </c>
      <c r="AA913" s="256">
        <f t="shared" si="496"/>
        <v>0</v>
      </c>
      <c r="AB913" s="309"/>
      <c r="AC913" s="309"/>
      <c r="AD913" s="320">
        <f t="shared" si="497"/>
        <v>0</v>
      </c>
      <c r="AF913" s="11"/>
      <c r="AG913" s="24"/>
      <c r="AH913" s="64">
        <f t="shared" si="501"/>
        <v>43389</v>
      </c>
      <c r="AI913" s="698"/>
      <c r="AJ913" s="699"/>
      <c r="AK913" s="699"/>
      <c r="AL913" s="699"/>
      <c r="AM913" s="699"/>
      <c r="AN913" s="699"/>
      <c r="AO913" s="699"/>
      <c r="AP913" s="699"/>
      <c r="AQ913" s="699"/>
      <c r="AR913" s="699"/>
      <c r="AS913" s="699"/>
      <c r="AT913" s="699"/>
      <c r="AU913" s="699"/>
      <c r="AV913" s="699"/>
      <c r="AW913" s="699"/>
      <c r="AX913" s="700"/>
      <c r="AY913" s="700"/>
      <c r="AZ913" s="701"/>
    </row>
    <row r="914" spans="1:52" ht="29.25" customHeight="1" thickBot="1">
      <c r="A914" s="67">
        <f t="shared" si="500"/>
        <v>44882</v>
      </c>
      <c r="B914" s="155"/>
      <c r="C914" s="155"/>
      <c r="D914" s="155"/>
      <c r="E914" s="155"/>
      <c r="F914" s="155"/>
      <c r="G914" s="155"/>
      <c r="H914" s="155"/>
      <c r="I914" s="155"/>
      <c r="J914" s="155"/>
      <c r="K914" s="155"/>
      <c r="L914" s="155"/>
      <c r="M914" s="155"/>
      <c r="N914" s="155"/>
      <c r="O914" s="155"/>
      <c r="P914" s="155"/>
      <c r="Q914" s="155"/>
      <c r="R914" s="156"/>
      <c r="S914" s="180"/>
      <c r="T914" s="838"/>
      <c r="U914" s="838"/>
      <c r="V914" s="838"/>
      <c r="W914" s="838"/>
      <c r="X914" s="838"/>
      <c r="Y914" s="255">
        <f t="shared" si="498"/>
        <v>0</v>
      </c>
      <c r="Z914" s="309">
        <f t="shared" si="499"/>
        <v>0</v>
      </c>
      <c r="AA914" s="256">
        <f t="shared" si="496"/>
        <v>0</v>
      </c>
      <c r="AB914" s="309"/>
      <c r="AC914" s="309"/>
      <c r="AD914" s="320">
        <f t="shared" si="497"/>
        <v>0</v>
      </c>
      <c r="AF914" s="11"/>
      <c r="AG914" s="24"/>
      <c r="AH914" s="64">
        <f t="shared" si="501"/>
        <v>43390</v>
      </c>
      <c r="AI914" s="698"/>
      <c r="AJ914" s="699"/>
      <c r="AK914" s="699"/>
      <c r="AL914" s="699"/>
      <c r="AM914" s="699"/>
      <c r="AN914" s="699"/>
      <c r="AO914" s="699"/>
      <c r="AP914" s="699"/>
      <c r="AQ914" s="699"/>
      <c r="AR914" s="699"/>
      <c r="AS914" s="699"/>
      <c r="AT914" s="699"/>
      <c r="AU914" s="699"/>
      <c r="AV914" s="699"/>
      <c r="AW914" s="699"/>
      <c r="AX914" s="700"/>
      <c r="AY914" s="700"/>
      <c r="AZ914" s="701"/>
    </row>
    <row r="915" spans="1:52" ht="29.25" customHeight="1" thickBot="1">
      <c r="A915" s="67">
        <f t="shared" si="500"/>
        <v>44883</v>
      </c>
      <c r="B915" s="155"/>
      <c r="C915" s="155"/>
      <c r="D915" s="155"/>
      <c r="E915" s="155"/>
      <c r="F915" s="155"/>
      <c r="G915" s="155"/>
      <c r="H915" s="155"/>
      <c r="I915" s="155"/>
      <c r="J915" s="155"/>
      <c r="K915" s="155"/>
      <c r="L915" s="155"/>
      <c r="M915" s="155"/>
      <c r="N915" s="155"/>
      <c r="O915" s="155"/>
      <c r="P915" s="155"/>
      <c r="Q915" s="155"/>
      <c r="R915" s="156"/>
      <c r="S915" s="180"/>
      <c r="T915" s="838"/>
      <c r="U915" s="838"/>
      <c r="V915" s="838"/>
      <c r="W915" s="838"/>
      <c r="X915" s="838"/>
      <c r="Y915" s="255">
        <f t="shared" si="498"/>
        <v>0</v>
      </c>
      <c r="Z915" s="309">
        <f t="shared" si="499"/>
        <v>0</v>
      </c>
      <c r="AA915" s="256">
        <f t="shared" si="496"/>
        <v>0</v>
      </c>
      <c r="AB915" s="309"/>
      <c r="AC915" s="309"/>
      <c r="AD915" s="320">
        <f t="shared" si="497"/>
        <v>0</v>
      </c>
      <c r="AF915" s="11"/>
      <c r="AG915" s="24"/>
      <c r="AH915" s="64">
        <f t="shared" si="501"/>
        <v>43391</v>
      </c>
      <c r="AI915" s="698"/>
      <c r="AJ915" s="699"/>
      <c r="AK915" s="699"/>
      <c r="AL915" s="699"/>
      <c r="AM915" s="699"/>
      <c r="AN915" s="699"/>
      <c r="AO915" s="699"/>
      <c r="AP915" s="699"/>
      <c r="AQ915" s="699"/>
      <c r="AR915" s="699"/>
      <c r="AS915" s="699"/>
      <c r="AT915" s="699"/>
      <c r="AU915" s="699"/>
      <c r="AV915" s="699"/>
      <c r="AW915" s="699"/>
      <c r="AX915" s="700"/>
      <c r="AY915" s="700"/>
      <c r="AZ915" s="701"/>
    </row>
    <row r="916" spans="1:52" ht="29.25" customHeight="1" thickBot="1">
      <c r="A916" s="67">
        <f t="shared" si="500"/>
        <v>44884</v>
      </c>
      <c r="B916" s="155"/>
      <c r="C916" s="155"/>
      <c r="D916" s="155"/>
      <c r="E916" s="155"/>
      <c r="F916" s="155"/>
      <c r="G916" s="155"/>
      <c r="H916" s="155"/>
      <c r="I916" s="155"/>
      <c r="J916" s="155"/>
      <c r="K916" s="155"/>
      <c r="L916" s="155"/>
      <c r="M916" s="155"/>
      <c r="N916" s="155"/>
      <c r="O916" s="155"/>
      <c r="P916" s="155"/>
      <c r="Q916" s="155"/>
      <c r="R916" s="156"/>
      <c r="S916" s="180"/>
      <c r="T916" s="838"/>
      <c r="U916" s="838"/>
      <c r="V916" s="838"/>
      <c r="W916" s="838"/>
      <c r="X916" s="838"/>
      <c r="Y916" s="255">
        <f t="shared" si="498"/>
        <v>0</v>
      </c>
      <c r="Z916" s="309">
        <f t="shared" si="499"/>
        <v>0</v>
      </c>
      <c r="AA916" s="256">
        <f t="shared" si="496"/>
        <v>0</v>
      </c>
      <c r="AB916" s="309"/>
      <c r="AC916" s="309"/>
      <c r="AD916" s="320">
        <f t="shared" si="497"/>
        <v>0</v>
      </c>
      <c r="AF916" s="11"/>
      <c r="AG916" s="24"/>
      <c r="AH916" s="64">
        <f t="shared" si="501"/>
        <v>43392</v>
      </c>
      <c r="AI916" s="698"/>
      <c r="AJ916" s="699"/>
      <c r="AK916" s="699"/>
      <c r="AL916" s="699"/>
      <c r="AM916" s="699"/>
      <c r="AN916" s="699"/>
      <c r="AO916" s="699"/>
      <c r="AP916" s="699"/>
      <c r="AQ916" s="699"/>
      <c r="AR916" s="699"/>
      <c r="AS916" s="699"/>
      <c r="AT916" s="699"/>
      <c r="AU916" s="699"/>
      <c r="AV916" s="699"/>
      <c r="AW916" s="699"/>
      <c r="AX916" s="700"/>
      <c r="AY916" s="700"/>
      <c r="AZ916" s="701"/>
    </row>
    <row r="917" spans="1:52" ht="29.25" customHeight="1" thickBot="1">
      <c r="A917" s="67">
        <f t="shared" si="500"/>
        <v>44885</v>
      </c>
      <c r="B917" s="155"/>
      <c r="C917" s="155"/>
      <c r="D917" s="155"/>
      <c r="E917" s="155"/>
      <c r="F917" s="155"/>
      <c r="G917" s="155"/>
      <c r="H917" s="155"/>
      <c r="I917" s="155"/>
      <c r="J917" s="155"/>
      <c r="K917" s="155"/>
      <c r="L917" s="155"/>
      <c r="M917" s="155"/>
      <c r="N917" s="155"/>
      <c r="O917" s="155"/>
      <c r="P917" s="155"/>
      <c r="Q917" s="155"/>
      <c r="R917" s="156"/>
      <c r="S917" s="180"/>
      <c r="T917" s="838"/>
      <c r="U917" s="838"/>
      <c r="V917" s="838"/>
      <c r="W917" s="838"/>
      <c r="X917" s="838"/>
      <c r="Y917" s="255">
        <f t="shared" si="498"/>
        <v>0</v>
      </c>
      <c r="Z917" s="309">
        <f t="shared" si="499"/>
        <v>0</v>
      </c>
      <c r="AA917" s="256">
        <f t="shared" si="496"/>
        <v>0</v>
      </c>
      <c r="AB917" s="309"/>
      <c r="AC917" s="309"/>
      <c r="AD917" s="320">
        <f t="shared" si="497"/>
        <v>0</v>
      </c>
      <c r="AF917" s="11"/>
      <c r="AG917" s="24"/>
      <c r="AH917" s="64">
        <f t="shared" si="501"/>
        <v>43393</v>
      </c>
      <c r="AI917" s="698"/>
      <c r="AJ917" s="699"/>
      <c r="AK917" s="699"/>
      <c r="AL917" s="699"/>
      <c r="AM917" s="699"/>
      <c r="AN917" s="699"/>
      <c r="AO917" s="699"/>
      <c r="AP917" s="699"/>
      <c r="AQ917" s="699"/>
      <c r="AR917" s="699"/>
      <c r="AS917" s="699"/>
      <c r="AT917" s="699"/>
      <c r="AU917" s="699"/>
      <c r="AV917" s="699"/>
      <c r="AW917" s="699"/>
      <c r="AX917" s="700"/>
      <c r="AY917" s="700"/>
      <c r="AZ917" s="701"/>
    </row>
    <row r="918" spans="1:52" ht="29.25" customHeight="1" thickBot="1">
      <c r="A918" s="67">
        <f t="shared" si="500"/>
        <v>44886</v>
      </c>
      <c r="B918" s="155"/>
      <c r="C918" s="155"/>
      <c r="D918" s="155"/>
      <c r="E918" s="155"/>
      <c r="F918" s="155"/>
      <c r="G918" s="155"/>
      <c r="H918" s="155"/>
      <c r="I918" s="155"/>
      <c r="J918" s="155"/>
      <c r="K918" s="155"/>
      <c r="L918" s="155"/>
      <c r="M918" s="155"/>
      <c r="N918" s="155"/>
      <c r="O918" s="155"/>
      <c r="P918" s="155"/>
      <c r="Q918" s="155"/>
      <c r="R918" s="156"/>
      <c r="S918" s="180"/>
      <c r="T918" s="838"/>
      <c r="U918" s="838"/>
      <c r="V918" s="838"/>
      <c r="W918" s="838"/>
      <c r="X918" s="838"/>
      <c r="Y918" s="255">
        <f t="shared" si="498"/>
        <v>0</v>
      </c>
      <c r="Z918" s="309">
        <f t="shared" si="499"/>
        <v>0</v>
      </c>
      <c r="AA918" s="256">
        <f t="shared" si="496"/>
        <v>0</v>
      </c>
      <c r="AB918" s="309"/>
      <c r="AC918" s="309"/>
      <c r="AD918" s="320">
        <f t="shared" si="497"/>
        <v>0</v>
      </c>
      <c r="AF918" s="11"/>
      <c r="AG918" s="24"/>
      <c r="AH918" s="64">
        <f t="shared" si="501"/>
        <v>43394</v>
      </c>
      <c r="AI918" s="698"/>
      <c r="AJ918" s="699"/>
      <c r="AK918" s="699"/>
      <c r="AL918" s="699"/>
      <c r="AM918" s="699"/>
      <c r="AN918" s="699"/>
      <c r="AO918" s="699"/>
      <c r="AP918" s="699"/>
      <c r="AQ918" s="699"/>
      <c r="AR918" s="699"/>
      <c r="AS918" s="699"/>
      <c r="AT918" s="699"/>
      <c r="AU918" s="699"/>
      <c r="AV918" s="699"/>
      <c r="AW918" s="699"/>
      <c r="AX918" s="700"/>
      <c r="AY918" s="700"/>
      <c r="AZ918" s="701"/>
    </row>
    <row r="919" spans="1:52" ht="29.25" customHeight="1" thickBot="1">
      <c r="A919" s="67">
        <f t="shared" si="500"/>
        <v>44887</v>
      </c>
      <c r="B919" s="155"/>
      <c r="C919" s="155"/>
      <c r="D919" s="155"/>
      <c r="E919" s="155"/>
      <c r="F919" s="155"/>
      <c r="G919" s="155"/>
      <c r="H919" s="155"/>
      <c r="I919" s="155"/>
      <c r="J919" s="155"/>
      <c r="K919" s="155"/>
      <c r="L919" s="155"/>
      <c r="M919" s="155"/>
      <c r="N919" s="155"/>
      <c r="O919" s="155"/>
      <c r="P919" s="155"/>
      <c r="Q919" s="155"/>
      <c r="R919" s="156"/>
      <c r="S919" s="180"/>
      <c r="T919" s="838"/>
      <c r="U919" s="838"/>
      <c r="V919" s="838"/>
      <c r="W919" s="838"/>
      <c r="X919" s="838"/>
      <c r="Y919" s="255">
        <f t="shared" si="498"/>
        <v>0</v>
      </c>
      <c r="Z919" s="309">
        <f t="shared" si="499"/>
        <v>0</v>
      </c>
      <c r="AA919" s="256">
        <f t="shared" si="496"/>
        <v>0</v>
      </c>
      <c r="AB919" s="309"/>
      <c r="AC919" s="309"/>
      <c r="AD919" s="320">
        <f t="shared" si="497"/>
        <v>0</v>
      </c>
      <c r="AF919" s="11"/>
      <c r="AG919" s="24"/>
      <c r="AH919" s="64">
        <f t="shared" si="501"/>
        <v>43395</v>
      </c>
      <c r="AI919" s="698"/>
      <c r="AJ919" s="699"/>
      <c r="AK919" s="699"/>
      <c r="AL919" s="699"/>
      <c r="AM919" s="699"/>
      <c r="AN919" s="699"/>
      <c r="AO919" s="699"/>
      <c r="AP919" s="699"/>
      <c r="AQ919" s="699"/>
      <c r="AR919" s="699"/>
      <c r="AS919" s="699"/>
      <c r="AT919" s="699"/>
      <c r="AU919" s="699"/>
      <c r="AV919" s="699"/>
      <c r="AW919" s="699"/>
      <c r="AX919" s="700"/>
      <c r="AY919" s="700"/>
      <c r="AZ919" s="701"/>
    </row>
    <row r="920" spans="1:52" ht="29.25" customHeight="1" thickBot="1">
      <c r="A920" s="67">
        <f t="shared" si="500"/>
        <v>44888</v>
      </c>
      <c r="B920" s="155"/>
      <c r="C920" s="155"/>
      <c r="D920" s="155"/>
      <c r="E920" s="155"/>
      <c r="F920" s="155"/>
      <c r="G920" s="155"/>
      <c r="H920" s="155"/>
      <c r="I920" s="155"/>
      <c r="J920" s="155"/>
      <c r="K920" s="155"/>
      <c r="L920" s="155"/>
      <c r="M920" s="155"/>
      <c r="N920" s="155"/>
      <c r="O920" s="155"/>
      <c r="P920" s="155"/>
      <c r="Q920" s="155"/>
      <c r="R920" s="156"/>
      <c r="S920" s="180"/>
      <c r="T920" s="838"/>
      <c r="U920" s="838"/>
      <c r="V920" s="838"/>
      <c r="W920" s="838"/>
      <c r="X920" s="838"/>
      <c r="Y920" s="255">
        <f t="shared" si="498"/>
        <v>0</v>
      </c>
      <c r="Z920" s="309">
        <f t="shared" si="499"/>
        <v>0</v>
      </c>
      <c r="AA920" s="256">
        <f t="shared" si="496"/>
        <v>0</v>
      </c>
      <c r="AB920" s="309"/>
      <c r="AC920" s="309"/>
      <c r="AD920" s="320">
        <f t="shared" si="497"/>
        <v>0</v>
      </c>
      <c r="AF920" s="11"/>
      <c r="AG920" s="24"/>
      <c r="AH920" s="64">
        <f t="shared" si="501"/>
        <v>43396</v>
      </c>
      <c r="AI920" s="698"/>
      <c r="AJ920" s="699"/>
      <c r="AK920" s="699"/>
      <c r="AL920" s="699"/>
      <c r="AM920" s="699"/>
      <c r="AN920" s="699"/>
      <c r="AO920" s="699"/>
      <c r="AP920" s="699"/>
      <c r="AQ920" s="699"/>
      <c r="AR920" s="699"/>
      <c r="AS920" s="699"/>
      <c r="AT920" s="699"/>
      <c r="AU920" s="699"/>
      <c r="AV920" s="699"/>
      <c r="AW920" s="699"/>
      <c r="AX920" s="700"/>
      <c r="AY920" s="700"/>
      <c r="AZ920" s="701"/>
    </row>
    <row r="921" spans="1:52" ht="29.25" customHeight="1" thickBot="1">
      <c r="A921" s="67">
        <f t="shared" si="500"/>
        <v>44889</v>
      </c>
      <c r="B921" s="155"/>
      <c r="C921" s="155"/>
      <c r="D921" s="155"/>
      <c r="E921" s="155"/>
      <c r="F921" s="155"/>
      <c r="G921" s="155"/>
      <c r="H921" s="155"/>
      <c r="I921" s="155"/>
      <c r="J921" s="155"/>
      <c r="K921" s="155"/>
      <c r="L921" s="155"/>
      <c r="M921" s="155"/>
      <c r="N921" s="155"/>
      <c r="O921" s="155"/>
      <c r="P921" s="155"/>
      <c r="Q921" s="155"/>
      <c r="R921" s="156"/>
      <c r="S921" s="180"/>
      <c r="T921" s="838"/>
      <c r="U921" s="838"/>
      <c r="V921" s="838"/>
      <c r="W921" s="838"/>
      <c r="X921" s="838"/>
      <c r="Y921" s="255">
        <f t="shared" si="498"/>
        <v>0</v>
      </c>
      <c r="Z921" s="309">
        <f t="shared" si="499"/>
        <v>0</v>
      </c>
      <c r="AA921" s="256">
        <f t="shared" si="496"/>
        <v>0</v>
      </c>
      <c r="AB921" s="309"/>
      <c r="AC921" s="309"/>
      <c r="AD921" s="320">
        <f t="shared" si="497"/>
        <v>0</v>
      </c>
      <c r="AF921" s="11"/>
      <c r="AG921" s="24"/>
      <c r="AH921" s="64">
        <f t="shared" si="501"/>
        <v>43397</v>
      </c>
      <c r="AI921" s="698"/>
      <c r="AJ921" s="699"/>
      <c r="AK921" s="699"/>
      <c r="AL921" s="699"/>
      <c r="AM921" s="699"/>
      <c r="AN921" s="699"/>
      <c r="AO921" s="699"/>
      <c r="AP921" s="699"/>
      <c r="AQ921" s="699"/>
      <c r="AR921" s="699"/>
      <c r="AS921" s="699"/>
      <c r="AT921" s="699"/>
      <c r="AU921" s="699"/>
      <c r="AV921" s="699"/>
      <c r="AW921" s="699"/>
      <c r="AX921" s="700"/>
      <c r="AY921" s="700"/>
      <c r="AZ921" s="701"/>
    </row>
    <row r="922" spans="1:52" ht="29.25" customHeight="1" thickBot="1">
      <c r="A922" s="67">
        <f t="shared" si="500"/>
        <v>44890</v>
      </c>
      <c r="B922" s="155"/>
      <c r="C922" s="155"/>
      <c r="D922" s="155"/>
      <c r="E922" s="155"/>
      <c r="F922" s="155"/>
      <c r="G922" s="155"/>
      <c r="H922" s="155"/>
      <c r="I922" s="155"/>
      <c r="J922" s="155"/>
      <c r="K922" s="155"/>
      <c r="L922" s="155"/>
      <c r="M922" s="155"/>
      <c r="N922" s="155"/>
      <c r="O922" s="155"/>
      <c r="P922" s="155"/>
      <c r="Q922" s="155"/>
      <c r="R922" s="156"/>
      <c r="S922" s="180"/>
      <c r="T922" s="838"/>
      <c r="U922" s="838"/>
      <c r="V922" s="838"/>
      <c r="W922" s="838"/>
      <c r="X922" s="838"/>
      <c r="Y922" s="255">
        <f t="shared" si="498"/>
        <v>0</v>
      </c>
      <c r="Z922" s="309">
        <f t="shared" si="499"/>
        <v>0</v>
      </c>
      <c r="AA922" s="256">
        <f t="shared" si="496"/>
        <v>0</v>
      </c>
      <c r="AB922" s="309"/>
      <c r="AC922" s="309"/>
      <c r="AD922" s="320">
        <f t="shared" si="497"/>
        <v>0</v>
      </c>
      <c r="AF922" s="11"/>
      <c r="AG922" s="24"/>
      <c r="AH922" s="64">
        <f t="shared" si="501"/>
        <v>43398</v>
      </c>
      <c r="AI922" s="698"/>
      <c r="AJ922" s="699"/>
      <c r="AK922" s="699"/>
      <c r="AL922" s="699"/>
      <c r="AM922" s="699"/>
      <c r="AN922" s="699"/>
      <c r="AO922" s="699"/>
      <c r="AP922" s="699"/>
      <c r="AQ922" s="699"/>
      <c r="AR922" s="699"/>
      <c r="AS922" s="699"/>
      <c r="AT922" s="699"/>
      <c r="AU922" s="699"/>
      <c r="AV922" s="699"/>
      <c r="AW922" s="699"/>
      <c r="AX922" s="700"/>
      <c r="AY922" s="700"/>
      <c r="AZ922" s="701"/>
    </row>
    <row r="923" spans="1:52" ht="29.25" customHeight="1" thickBot="1">
      <c r="A923" s="67">
        <f t="shared" si="500"/>
        <v>44891</v>
      </c>
      <c r="B923" s="155"/>
      <c r="C923" s="155"/>
      <c r="D923" s="155"/>
      <c r="E923" s="155"/>
      <c r="F923" s="155"/>
      <c r="G923" s="155"/>
      <c r="H923" s="155"/>
      <c r="I923" s="155"/>
      <c r="J923" s="155"/>
      <c r="K923" s="155"/>
      <c r="L923" s="155"/>
      <c r="M923" s="155"/>
      <c r="N923" s="155"/>
      <c r="O923" s="155"/>
      <c r="P923" s="155"/>
      <c r="Q923" s="155"/>
      <c r="R923" s="156"/>
      <c r="S923" s="180"/>
      <c r="T923" s="838"/>
      <c r="U923" s="838"/>
      <c r="V923" s="838"/>
      <c r="W923" s="838"/>
      <c r="X923" s="838"/>
      <c r="Y923" s="255">
        <f t="shared" si="498"/>
        <v>0</v>
      </c>
      <c r="Z923" s="309">
        <f t="shared" si="499"/>
        <v>0</v>
      </c>
      <c r="AA923" s="256">
        <f t="shared" si="496"/>
        <v>0</v>
      </c>
      <c r="AB923" s="309"/>
      <c r="AC923" s="309"/>
      <c r="AD923" s="320">
        <f t="shared" si="497"/>
        <v>0</v>
      </c>
      <c r="AF923" s="11"/>
      <c r="AG923" s="24"/>
      <c r="AH923" s="64">
        <f t="shared" si="501"/>
        <v>43399</v>
      </c>
      <c r="AI923" s="698"/>
      <c r="AJ923" s="699"/>
      <c r="AK923" s="699"/>
      <c r="AL923" s="699"/>
      <c r="AM923" s="699"/>
      <c r="AN923" s="699"/>
      <c r="AO923" s="699"/>
      <c r="AP923" s="699"/>
      <c r="AQ923" s="699"/>
      <c r="AR923" s="699"/>
      <c r="AS923" s="699"/>
      <c r="AT923" s="699"/>
      <c r="AU923" s="699"/>
      <c r="AV923" s="699"/>
      <c r="AW923" s="699"/>
      <c r="AX923" s="700"/>
      <c r="AY923" s="700"/>
      <c r="AZ923" s="701"/>
    </row>
    <row r="924" spans="1:52" ht="29.25" customHeight="1" thickBot="1">
      <c r="A924" s="67">
        <f t="shared" si="500"/>
        <v>44892</v>
      </c>
      <c r="B924" s="155"/>
      <c r="C924" s="155"/>
      <c r="D924" s="155"/>
      <c r="E924" s="155"/>
      <c r="F924" s="155"/>
      <c r="G924" s="155"/>
      <c r="H924" s="155"/>
      <c r="I924" s="155"/>
      <c r="J924" s="155"/>
      <c r="K924" s="155"/>
      <c r="L924" s="155"/>
      <c r="M924" s="155"/>
      <c r="N924" s="155"/>
      <c r="O924" s="155"/>
      <c r="P924" s="155"/>
      <c r="Q924" s="155"/>
      <c r="R924" s="156"/>
      <c r="S924" s="180"/>
      <c r="T924" s="838"/>
      <c r="U924" s="838"/>
      <c r="V924" s="838"/>
      <c r="W924" s="838"/>
      <c r="X924" s="838"/>
      <c r="Y924" s="255">
        <f t="shared" si="498"/>
        <v>0</v>
      </c>
      <c r="Z924" s="309">
        <f t="shared" si="499"/>
        <v>0</v>
      </c>
      <c r="AA924" s="256">
        <f t="shared" si="496"/>
        <v>0</v>
      </c>
      <c r="AB924" s="309"/>
      <c r="AC924" s="309"/>
      <c r="AD924" s="320">
        <f t="shared" si="497"/>
        <v>0</v>
      </c>
      <c r="AF924" s="11"/>
      <c r="AG924" s="24"/>
      <c r="AH924" s="64">
        <f t="shared" si="501"/>
        <v>43400</v>
      </c>
      <c r="AI924" s="698"/>
      <c r="AJ924" s="699"/>
      <c r="AK924" s="699"/>
      <c r="AL924" s="699"/>
      <c r="AM924" s="699"/>
      <c r="AN924" s="699"/>
      <c r="AO924" s="699"/>
      <c r="AP924" s="699"/>
      <c r="AQ924" s="699"/>
      <c r="AR924" s="699"/>
      <c r="AS924" s="699"/>
      <c r="AT924" s="699"/>
      <c r="AU924" s="699"/>
      <c r="AV924" s="699"/>
      <c r="AW924" s="699"/>
      <c r="AX924" s="700"/>
      <c r="AY924" s="700"/>
      <c r="AZ924" s="701"/>
    </row>
    <row r="925" spans="1:52" ht="29.25" customHeight="1" thickBot="1">
      <c r="A925" s="67">
        <f t="shared" si="500"/>
        <v>44893</v>
      </c>
      <c r="B925" s="155"/>
      <c r="C925" s="155"/>
      <c r="D925" s="155"/>
      <c r="E925" s="155"/>
      <c r="F925" s="155"/>
      <c r="G925" s="155"/>
      <c r="H925" s="155"/>
      <c r="I925" s="155"/>
      <c r="J925" s="155"/>
      <c r="K925" s="155"/>
      <c r="L925" s="155"/>
      <c r="M925" s="155"/>
      <c r="N925" s="155"/>
      <c r="O925" s="155"/>
      <c r="P925" s="155"/>
      <c r="Q925" s="155"/>
      <c r="R925" s="156"/>
      <c r="S925" s="180"/>
      <c r="T925" s="838"/>
      <c r="U925" s="838"/>
      <c r="V925" s="838"/>
      <c r="W925" s="838"/>
      <c r="X925" s="838"/>
      <c r="Y925" s="255">
        <f t="shared" si="498"/>
        <v>0</v>
      </c>
      <c r="Z925" s="309">
        <f t="shared" si="499"/>
        <v>0</v>
      </c>
      <c r="AA925" s="256">
        <f t="shared" si="496"/>
        <v>0</v>
      </c>
      <c r="AB925" s="309"/>
      <c r="AC925" s="309"/>
      <c r="AD925" s="320">
        <f t="shared" si="497"/>
        <v>0</v>
      </c>
      <c r="AF925" s="11"/>
      <c r="AG925" s="24"/>
      <c r="AH925" s="64">
        <f t="shared" si="501"/>
        <v>43401</v>
      </c>
      <c r="AI925" s="698"/>
      <c r="AJ925" s="699"/>
      <c r="AK925" s="699"/>
      <c r="AL925" s="699"/>
      <c r="AM925" s="699"/>
      <c r="AN925" s="699"/>
      <c r="AO925" s="699"/>
      <c r="AP925" s="699"/>
      <c r="AQ925" s="699"/>
      <c r="AR925" s="699"/>
      <c r="AS925" s="699"/>
      <c r="AT925" s="699"/>
      <c r="AU925" s="699"/>
      <c r="AV925" s="699"/>
      <c r="AW925" s="699"/>
      <c r="AX925" s="700"/>
      <c r="AY925" s="700"/>
      <c r="AZ925" s="701"/>
    </row>
    <row r="926" spans="1:52" ht="29.25" customHeight="1" thickBot="1">
      <c r="A926" s="67">
        <f t="shared" si="500"/>
        <v>44894</v>
      </c>
      <c r="B926" s="155"/>
      <c r="C926" s="155"/>
      <c r="D926" s="155"/>
      <c r="E926" s="155"/>
      <c r="F926" s="155"/>
      <c r="G926" s="155"/>
      <c r="H926" s="155"/>
      <c r="I926" s="155"/>
      <c r="J926" s="155"/>
      <c r="K926" s="155"/>
      <c r="L926" s="155"/>
      <c r="M926" s="155"/>
      <c r="N926" s="155"/>
      <c r="O926" s="155"/>
      <c r="P926" s="155"/>
      <c r="Q926" s="155"/>
      <c r="R926" s="156"/>
      <c r="S926" s="180"/>
      <c r="T926" s="838"/>
      <c r="U926" s="838"/>
      <c r="V926" s="838"/>
      <c r="W926" s="838"/>
      <c r="X926" s="838"/>
      <c r="Y926" s="255">
        <f t="shared" si="498"/>
        <v>0</v>
      </c>
      <c r="Z926" s="309">
        <f t="shared" si="499"/>
        <v>0</v>
      </c>
      <c r="AA926" s="256">
        <f t="shared" si="496"/>
        <v>0</v>
      </c>
      <c r="AB926" s="309"/>
      <c r="AC926" s="309"/>
      <c r="AD926" s="320">
        <f t="shared" si="497"/>
        <v>0</v>
      </c>
      <c r="AF926" s="11"/>
      <c r="AG926" s="24"/>
      <c r="AH926" s="64">
        <f>AH925+1</f>
        <v>43402</v>
      </c>
      <c r="AI926" s="698"/>
      <c r="AJ926" s="699"/>
      <c r="AK926" s="699"/>
      <c r="AL926" s="699"/>
      <c r="AM926" s="699"/>
      <c r="AN926" s="699"/>
      <c r="AO926" s="699"/>
      <c r="AP926" s="699"/>
      <c r="AQ926" s="699"/>
      <c r="AR926" s="699"/>
      <c r="AS926" s="699"/>
      <c r="AT926" s="699"/>
      <c r="AU926" s="699"/>
      <c r="AV926" s="699"/>
      <c r="AW926" s="699"/>
      <c r="AX926" s="700"/>
      <c r="AY926" s="700"/>
      <c r="AZ926" s="701"/>
    </row>
    <row r="927" spans="1:52" ht="29.25" customHeight="1" thickBot="1">
      <c r="A927" s="67">
        <f t="shared" si="500"/>
        <v>44895</v>
      </c>
      <c r="B927" s="155"/>
      <c r="C927" s="155"/>
      <c r="D927" s="155"/>
      <c r="E927" s="155"/>
      <c r="F927" s="155"/>
      <c r="G927" s="155"/>
      <c r="H927" s="155"/>
      <c r="I927" s="155"/>
      <c r="J927" s="155"/>
      <c r="K927" s="155"/>
      <c r="L927" s="155"/>
      <c r="M927" s="155"/>
      <c r="N927" s="155"/>
      <c r="O927" s="155"/>
      <c r="P927" s="155"/>
      <c r="Q927" s="155"/>
      <c r="R927" s="156"/>
      <c r="S927" s="180"/>
      <c r="T927" s="838"/>
      <c r="U927" s="838"/>
      <c r="V927" s="838"/>
      <c r="W927" s="838"/>
      <c r="X927" s="838"/>
      <c r="Y927" s="255">
        <f t="shared" si="498"/>
        <v>0</v>
      </c>
      <c r="Z927" s="309">
        <f t="shared" si="499"/>
        <v>0</v>
      </c>
      <c r="AA927" s="256">
        <f t="shared" si="496"/>
        <v>0</v>
      </c>
      <c r="AB927" s="309"/>
      <c r="AC927" s="309"/>
      <c r="AD927" s="320">
        <f t="shared" si="497"/>
        <v>0</v>
      </c>
      <c r="AF927" s="11"/>
      <c r="AG927" s="24"/>
      <c r="AH927" s="64">
        <f t="shared" si="501"/>
        <v>43403</v>
      </c>
      <c r="AI927" s="698"/>
      <c r="AJ927" s="699"/>
      <c r="AK927" s="699"/>
      <c r="AL927" s="699"/>
      <c r="AM927" s="699"/>
      <c r="AN927" s="699"/>
      <c r="AO927" s="699"/>
      <c r="AP927" s="699"/>
      <c r="AQ927" s="699"/>
      <c r="AR927" s="699"/>
      <c r="AS927" s="699"/>
      <c r="AT927" s="699"/>
      <c r="AU927" s="699"/>
      <c r="AV927" s="699"/>
      <c r="AW927" s="699"/>
      <c r="AX927" s="700"/>
      <c r="AY927" s="700"/>
      <c r="AZ927" s="701"/>
    </row>
    <row r="928" spans="1:52" ht="29.25" customHeight="1" thickBot="1">
      <c r="A928" s="102">
        <f t="shared" si="500"/>
        <v>44896</v>
      </c>
      <c r="B928" s="162"/>
      <c r="C928" s="162"/>
      <c r="D928" s="162"/>
      <c r="E928" s="162"/>
      <c r="F928" s="162"/>
      <c r="G928" s="162"/>
      <c r="H928" s="162"/>
      <c r="I928" s="162"/>
      <c r="J928" s="162"/>
      <c r="K928" s="162"/>
      <c r="L928" s="162"/>
      <c r="M928" s="162"/>
      <c r="N928" s="162"/>
      <c r="O928" s="162"/>
      <c r="P928" s="162"/>
      <c r="Q928" s="162"/>
      <c r="R928" s="164"/>
      <c r="S928" s="181"/>
      <c r="T928" s="839"/>
      <c r="U928" s="839"/>
      <c r="V928" s="839"/>
      <c r="W928" s="839"/>
      <c r="X928" s="839"/>
      <c r="Y928" s="255">
        <f t="shared" si="498"/>
        <v>0</v>
      </c>
      <c r="Z928" s="309">
        <f t="shared" si="499"/>
        <v>0</v>
      </c>
      <c r="AA928" s="256">
        <f t="shared" si="496"/>
        <v>0</v>
      </c>
      <c r="AB928" s="309"/>
      <c r="AC928" s="309"/>
      <c r="AD928" s="320">
        <f t="shared" si="497"/>
        <v>0</v>
      </c>
      <c r="AF928" s="11"/>
      <c r="AG928" s="24"/>
      <c r="AH928" s="65">
        <f t="shared" si="501"/>
        <v>43404</v>
      </c>
      <c r="AI928" s="702"/>
      <c r="AJ928" s="703"/>
      <c r="AK928" s="703"/>
      <c r="AL928" s="703"/>
      <c r="AM928" s="703"/>
      <c r="AN928" s="703"/>
      <c r="AO928" s="703"/>
      <c r="AP928" s="703"/>
      <c r="AQ928" s="703"/>
      <c r="AR928" s="703"/>
      <c r="AS928" s="703"/>
      <c r="AT928" s="703"/>
      <c r="AU928" s="703"/>
      <c r="AV928" s="703"/>
      <c r="AW928" s="703"/>
      <c r="AX928" s="704"/>
      <c r="AY928" s="704"/>
      <c r="AZ928" s="705"/>
    </row>
    <row r="929" spans="1:52" ht="50.1" customHeight="1" thickTop="1" thickBot="1">
      <c r="A929" s="96" t="s">
        <v>74</v>
      </c>
      <c r="B929" s="104">
        <f>SUM(B898:B928)</f>
        <v>0</v>
      </c>
      <c r="C929" s="104">
        <f t="shared" ref="C929:Y929" si="502">SUM(C898:C928)</f>
        <v>0</v>
      </c>
      <c r="D929" s="104">
        <f t="shared" si="502"/>
        <v>0</v>
      </c>
      <c r="E929" s="104"/>
      <c r="F929" s="104">
        <f t="shared" si="502"/>
        <v>0</v>
      </c>
      <c r="G929" s="104">
        <f t="shared" si="502"/>
        <v>0</v>
      </c>
      <c r="H929" s="104">
        <f t="shared" si="502"/>
        <v>0</v>
      </c>
      <c r="I929" s="104">
        <f t="shared" si="502"/>
        <v>0</v>
      </c>
      <c r="J929" s="104">
        <f t="shared" si="502"/>
        <v>0</v>
      </c>
      <c r="K929" s="104">
        <f t="shared" si="502"/>
        <v>0</v>
      </c>
      <c r="L929" s="104">
        <f t="shared" si="502"/>
        <v>0</v>
      </c>
      <c r="M929" s="104">
        <f t="shared" si="502"/>
        <v>0</v>
      </c>
      <c r="N929" s="104">
        <f t="shared" si="502"/>
        <v>0</v>
      </c>
      <c r="O929" s="104">
        <f t="shared" si="502"/>
        <v>0</v>
      </c>
      <c r="P929" s="104"/>
      <c r="Q929" s="104">
        <f t="shared" si="502"/>
        <v>0</v>
      </c>
      <c r="R929" s="104">
        <f t="shared" si="502"/>
        <v>0</v>
      </c>
      <c r="S929" s="104">
        <f t="shared" si="502"/>
        <v>0</v>
      </c>
      <c r="T929" s="104"/>
      <c r="U929" s="104"/>
      <c r="V929" s="104"/>
      <c r="W929" s="104"/>
      <c r="X929" s="104"/>
      <c r="Y929" s="292">
        <f t="shared" si="502"/>
        <v>0</v>
      </c>
      <c r="Z929" s="259"/>
      <c r="AA929" s="259"/>
      <c r="AB929" s="316">
        <f>SUM(AB898:AB928)</f>
        <v>0</v>
      </c>
      <c r="AC929" s="316"/>
      <c r="AD929" s="260"/>
      <c r="AF929" s="9"/>
      <c r="AG929" s="16"/>
      <c r="AH929" s="706" t="s">
        <v>101</v>
      </c>
      <c r="AI929" s="707">
        <f>SUM(AI898:AI928)</f>
        <v>0</v>
      </c>
      <c r="AJ929" s="707">
        <f>SUM(AJ898:AJ928)</f>
        <v>0</v>
      </c>
      <c r="AK929" s="707">
        <f t="shared" ref="AK929:AZ929" si="503">SUM(AK898:AK928)</f>
        <v>0</v>
      </c>
      <c r="AL929" s="707">
        <f t="shared" si="503"/>
        <v>0</v>
      </c>
      <c r="AM929" s="707">
        <f t="shared" si="503"/>
        <v>0</v>
      </c>
      <c r="AN929" s="707">
        <f t="shared" si="503"/>
        <v>0</v>
      </c>
      <c r="AO929" s="707">
        <f t="shared" si="503"/>
        <v>0</v>
      </c>
      <c r="AP929" s="707">
        <f t="shared" si="503"/>
        <v>0</v>
      </c>
      <c r="AQ929" s="707">
        <f t="shared" si="503"/>
        <v>0</v>
      </c>
      <c r="AR929" s="707">
        <f t="shared" si="503"/>
        <v>0</v>
      </c>
      <c r="AS929" s="707">
        <f t="shared" si="503"/>
        <v>0</v>
      </c>
      <c r="AT929" s="707">
        <f t="shared" si="503"/>
        <v>0</v>
      </c>
      <c r="AU929" s="707">
        <f t="shared" si="503"/>
        <v>0</v>
      </c>
      <c r="AV929" s="707">
        <f t="shared" si="503"/>
        <v>0</v>
      </c>
      <c r="AW929" s="707">
        <f t="shared" si="503"/>
        <v>0</v>
      </c>
      <c r="AX929" s="707">
        <f t="shared" si="503"/>
        <v>0</v>
      </c>
      <c r="AY929" s="707">
        <f t="shared" si="503"/>
        <v>0</v>
      </c>
      <c r="AZ929" s="707">
        <f t="shared" si="503"/>
        <v>0</v>
      </c>
    </row>
    <row r="930" spans="1:52" ht="27.75" thickTop="1" thickBot="1">
      <c r="A930" s="12"/>
      <c r="B930" s="579"/>
      <c r="C930" s="579"/>
      <c r="D930" s="579"/>
      <c r="E930" s="844"/>
      <c r="F930" s="579"/>
      <c r="G930" s="579"/>
      <c r="H930" s="579"/>
      <c r="I930" s="579"/>
      <c r="J930" s="579"/>
      <c r="K930" s="8"/>
      <c r="L930" s="740"/>
      <c r="M930" s="579"/>
      <c r="N930" s="579"/>
      <c r="O930" s="579"/>
      <c r="P930" s="844"/>
      <c r="Q930" s="579"/>
      <c r="R930" s="579"/>
      <c r="S930" s="579"/>
      <c r="T930" s="828"/>
      <c r="U930" s="828"/>
      <c r="V930" s="828"/>
      <c r="W930" s="935"/>
      <c r="X930" s="828"/>
      <c r="Y930" s="579"/>
      <c r="Z930" s="579"/>
      <c r="AA930" s="579"/>
      <c r="AB930" s="579"/>
      <c r="AC930" s="2"/>
      <c r="AF930" s="2"/>
      <c r="AG930" s="2"/>
      <c r="AH930" s="706" t="s">
        <v>45</v>
      </c>
      <c r="AI930" s="707">
        <v>220</v>
      </c>
      <c r="AJ930" s="707">
        <v>220</v>
      </c>
      <c r="AK930" s="707">
        <v>220</v>
      </c>
      <c r="AL930" s="707">
        <v>100</v>
      </c>
      <c r="AM930" s="707">
        <v>100</v>
      </c>
      <c r="AN930" s="707">
        <v>80</v>
      </c>
      <c r="AO930" s="707">
        <v>25</v>
      </c>
      <c r="AP930" s="707">
        <v>25</v>
      </c>
      <c r="AQ930" s="707">
        <v>25</v>
      </c>
      <c r="AR930" s="707">
        <v>400</v>
      </c>
      <c r="AS930" s="707">
        <v>400</v>
      </c>
      <c r="AT930" s="707">
        <v>400</v>
      </c>
      <c r="AU930" s="707">
        <v>0</v>
      </c>
      <c r="AV930" s="707">
        <v>0</v>
      </c>
      <c r="AW930" s="707">
        <v>200</v>
      </c>
      <c r="AX930" s="707">
        <v>200</v>
      </c>
      <c r="AY930" s="707">
        <v>0</v>
      </c>
      <c r="AZ930" s="707">
        <v>0</v>
      </c>
    </row>
    <row r="931" spans="1:52" ht="27.75" thickTop="1" thickBot="1">
      <c r="A931" s="9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 t="s">
        <v>1</v>
      </c>
      <c r="AB931" s="10"/>
      <c r="AF931" s="2"/>
      <c r="AG931" s="2"/>
      <c r="AH931" s="706" t="s">
        <v>46</v>
      </c>
      <c r="AI931" s="707">
        <f>AI929*AI930</f>
        <v>0</v>
      </c>
      <c r="AJ931" s="707">
        <f t="shared" ref="AJ931" si="504">AJ929*AJ930</f>
        <v>0</v>
      </c>
      <c r="AK931" s="707">
        <f t="shared" ref="AK931" si="505">AK929*AK930</f>
        <v>0</v>
      </c>
      <c r="AL931" s="707">
        <f t="shared" ref="AL931" si="506">AL929*AL930</f>
        <v>0</v>
      </c>
      <c r="AM931" s="707">
        <f t="shared" ref="AM931" si="507">AM929*AM930</f>
        <v>0</v>
      </c>
      <c r="AN931" s="707">
        <f t="shared" ref="AN931" si="508">AN929*AN930</f>
        <v>0</v>
      </c>
      <c r="AO931" s="707">
        <f t="shared" ref="AO931" si="509">AO929*AO930</f>
        <v>0</v>
      </c>
      <c r="AP931" s="707">
        <f t="shared" ref="AP931" si="510">AP929*AP930</f>
        <v>0</v>
      </c>
      <c r="AQ931" s="707">
        <f t="shared" ref="AQ931" si="511">AQ929*AQ930</f>
        <v>0</v>
      </c>
      <c r="AR931" s="707">
        <f t="shared" ref="AR931" si="512">AR929*AR930</f>
        <v>0</v>
      </c>
      <c r="AS931" s="707">
        <f t="shared" ref="AS931" si="513">AS929*AS930</f>
        <v>0</v>
      </c>
      <c r="AT931" s="707">
        <f t="shared" ref="AT931" si="514">AT929*AT930</f>
        <v>0</v>
      </c>
      <c r="AU931" s="707">
        <f t="shared" ref="AU931" si="515">AU929*AU930</f>
        <v>0</v>
      </c>
      <c r="AV931" s="707">
        <f t="shared" ref="AV931" si="516">AV929*AV930</f>
        <v>0</v>
      </c>
      <c r="AW931" s="707">
        <f t="shared" ref="AW931" si="517">AW929*AW930</f>
        <v>0</v>
      </c>
      <c r="AX931" s="707">
        <f t="shared" ref="AX931" si="518">AX929*AX930</f>
        <v>0</v>
      </c>
      <c r="AY931" s="707">
        <f t="shared" ref="AY931" si="519">AY929*AY930</f>
        <v>0</v>
      </c>
      <c r="AZ931" s="707">
        <f t="shared" ref="AZ931" si="520">AZ929*AZ930</f>
        <v>0</v>
      </c>
    </row>
    <row r="932" spans="1:52" ht="24" thickTop="1">
      <c r="A932" s="13"/>
      <c r="B932" s="579"/>
      <c r="C932" s="579"/>
      <c r="D932" s="579"/>
      <c r="E932" s="844"/>
      <c r="F932" s="579"/>
      <c r="G932" s="579"/>
      <c r="H932" s="579"/>
      <c r="I932" s="579"/>
      <c r="J932" s="579"/>
      <c r="K932" s="579"/>
      <c r="L932" s="14"/>
      <c r="M932" s="579"/>
      <c r="N932" s="579"/>
      <c r="O932" s="579"/>
      <c r="P932" s="844"/>
      <c r="Q932" s="579" t="s">
        <v>1</v>
      </c>
      <c r="R932" s="579"/>
      <c r="S932" s="579"/>
      <c r="T932" s="828"/>
      <c r="U932" s="828"/>
      <c r="V932" s="828"/>
      <c r="W932" s="935"/>
      <c r="X932" s="828"/>
      <c r="Y932" s="579"/>
      <c r="Z932" s="579"/>
      <c r="AA932" s="579" t="s">
        <v>1</v>
      </c>
      <c r="AB932" s="579"/>
      <c r="AD932" t="s">
        <v>1</v>
      </c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714">
        <f>SUM(AI931:AZ931)</f>
        <v>0</v>
      </c>
    </row>
    <row r="933" spans="1:52" ht="15.75" thickBot="1">
      <c r="A933" s="8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8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</row>
    <row r="934" spans="1:52" ht="43.5" thickBot="1">
      <c r="A934" s="109">
        <f>A5</f>
        <v>2022</v>
      </c>
      <c r="B934" s="1447"/>
      <c r="C934" s="1448"/>
      <c r="D934" s="1448"/>
      <c r="E934" s="1448"/>
      <c r="F934" s="1448"/>
      <c r="G934" s="1448"/>
      <c r="H934" s="1448"/>
      <c r="I934" s="1448"/>
      <c r="J934" s="1448"/>
      <c r="K934" s="1448"/>
      <c r="L934" s="1448"/>
      <c r="M934" s="1448"/>
      <c r="N934" s="1448"/>
      <c r="O934" s="1448"/>
      <c r="P934" s="1448"/>
      <c r="Q934" s="1448"/>
      <c r="R934" s="1448"/>
      <c r="S934" s="1448"/>
      <c r="T934" s="1448"/>
      <c r="U934" s="1448"/>
      <c r="V934" s="1448"/>
      <c r="W934" s="1448"/>
      <c r="X934" s="1448"/>
      <c r="Y934" s="1449"/>
      <c r="Z934" s="21"/>
      <c r="AA934" s="21"/>
      <c r="AB934" s="21"/>
      <c r="AC934" s="2"/>
      <c r="AD934" t="s">
        <v>1</v>
      </c>
      <c r="AF934" s="2"/>
      <c r="AG934" s="2"/>
      <c r="AH934" s="109">
        <v>2018</v>
      </c>
      <c r="AI934" s="1424">
        <f>B934</f>
        <v>0</v>
      </c>
      <c r="AJ934" s="1425"/>
      <c r="AK934" s="1425"/>
      <c r="AL934" s="1425"/>
      <c r="AM934" s="1425"/>
      <c r="AN934" s="1425"/>
      <c r="AO934" s="1425"/>
      <c r="AP934" s="1425"/>
      <c r="AQ934" s="1425"/>
      <c r="AR934" s="1425"/>
      <c r="AS934" s="1425"/>
      <c r="AT934" s="1425"/>
      <c r="AU934" s="1425"/>
      <c r="AV934" s="1425"/>
      <c r="AW934" s="1425"/>
      <c r="AX934" s="1425"/>
      <c r="AY934" s="1425"/>
      <c r="AZ934" s="1425"/>
    </row>
    <row r="935" spans="1:52" ht="60" customHeight="1" thickTop="1" thickBot="1">
      <c r="A935" s="1468" t="s">
        <v>94</v>
      </c>
      <c r="B935" s="1402" t="s">
        <v>95</v>
      </c>
      <c r="C935" s="1403"/>
      <c r="D935" s="1403"/>
      <c r="E935" s="1404"/>
      <c r="F935" s="1402" t="s">
        <v>7</v>
      </c>
      <c r="G935" s="1403"/>
      <c r="H935" s="1404"/>
      <c r="I935" s="1402" t="s">
        <v>8</v>
      </c>
      <c r="J935" s="1404"/>
      <c r="K935" s="1402" t="s">
        <v>9</v>
      </c>
      <c r="L935" s="1403"/>
      <c r="M935" s="1403"/>
      <c r="N935" s="1403"/>
      <c r="O935" s="1403"/>
      <c r="P935" s="1403"/>
      <c r="Q935" s="1403"/>
      <c r="R935" s="1405" t="s">
        <v>10</v>
      </c>
      <c r="S935" s="1406"/>
      <c r="T935" s="1400" t="s">
        <v>289</v>
      </c>
      <c r="U935" s="1401"/>
      <c r="V935" s="842" t="s">
        <v>258</v>
      </c>
      <c r="W935" s="842"/>
      <c r="X935" s="842"/>
      <c r="Y935" s="211"/>
      <c r="Z935" s="21"/>
      <c r="AA935" s="21"/>
      <c r="AB935" s="21"/>
      <c r="AC935" s="21"/>
      <c r="AH935" s="1422" t="s">
        <v>94</v>
      </c>
      <c r="AI935" s="1402" t="s">
        <v>95</v>
      </c>
      <c r="AJ935" s="1403"/>
      <c r="AK935" s="1404"/>
      <c r="AL935" s="1402" t="s">
        <v>7</v>
      </c>
      <c r="AM935" s="1403"/>
      <c r="AN935" s="1404"/>
      <c r="AO935" s="1402" t="s">
        <v>8</v>
      </c>
      <c r="AP935" s="1403"/>
      <c r="AQ935" s="1404"/>
      <c r="AR935" s="1402" t="s">
        <v>9</v>
      </c>
      <c r="AS935" s="1403"/>
      <c r="AT935" s="1404"/>
      <c r="AU935" s="1403" t="s">
        <v>9</v>
      </c>
      <c r="AV935" s="1404"/>
      <c r="AW935" s="1429" t="s">
        <v>10</v>
      </c>
      <c r="AX935" s="1430"/>
      <c r="AY935" s="690"/>
      <c r="AZ935" s="404" t="s">
        <v>11</v>
      </c>
    </row>
    <row r="936" spans="1:52" ht="42" thickTop="1" thickBot="1">
      <c r="A936" s="1428"/>
      <c r="B936" s="482" t="s">
        <v>12</v>
      </c>
      <c r="C936" s="482" t="s">
        <v>13</v>
      </c>
      <c r="D936" s="482" t="s">
        <v>14</v>
      </c>
      <c r="E936" s="688" t="s">
        <v>198</v>
      </c>
      <c r="F936" s="482" t="s">
        <v>12</v>
      </c>
      <c r="G936" s="482" t="s">
        <v>13</v>
      </c>
      <c r="H936" s="482" t="s">
        <v>282</v>
      </c>
      <c r="I936" s="482" t="s">
        <v>12</v>
      </c>
      <c r="J936" s="482" t="s">
        <v>16</v>
      </c>
      <c r="K936" s="482" t="s">
        <v>17</v>
      </c>
      <c r="L936" s="482" t="s">
        <v>18</v>
      </c>
      <c r="M936" s="482" t="s">
        <v>19</v>
      </c>
      <c r="N936" s="484" t="s">
        <v>96</v>
      </c>
      <c r="O936" s="484" t="s">
        <v>257</v>
      </c>
      <c r="P936" s="484" t="s">
        <v>254</v>
      </c>
      <c r="Q936" s="484" t="s">
        <v>20</v>
      </c>
      <c r="R936" s="483" t="s">
        <v>14</v>
      </c>
      <c r="S936" s="482" t="s">
        <v>13</v>
      </c>
      <c r="T936" s="846" t="s">
        <v>284</v>
      </c>
      <c r="U936" s="846" t="s">
        <v>288</v>
      </c>
      <c r="V936" s="484" t="s">
        <v>259</v>
      </c>
      <c r="W936" s="484"/>
      <c r="X936" s="484"/>
      <c r="Y936" s="209" t="s">
        <v>90</v>
      </c>
      <c r="Z936" s="210" t="s">
        <v>97</v>
      </c>
      <c r="AA936" s="210" t="s">
        <v>74</v>
      </c>
      <c r="AB936" s="210" t="s">
        <v>98</v>
      </c>
      <c r="AC936" s="210" t="s">
        <v>99</v>
      </c>
      <c r="AD936" s="210" t="s">
        <v>100</v>
      </c>
      <c r="AF936" s="578" t="s">
        <v>1</v>
      </c>
      <c r="AG936" s="4"/>
      <c r="AH936" s="1428"/>
      <c r="AI936" s="482" t="s">
        <v>12</v>
      </c>
      <c r="AJ936" s="482" t="s">
        <v>13</v>
      </c>
      <c r="AK936" s="482" t="s">
        <v>14</v>
      </c>
      <c r="AL936" s="482" t="s">
        <v>12</v>
      </c>
      <c r="AM936" s="482" t="s">
        <v>13</v>
      </c>
      <c r="AN936" s="482" t="s">
        <v>15</v>
      </c>
      <c r="AO936" s="482" t="s">
        <v>12</v>
      </c>
      <c r="AP936" s="482" t="s">
        <v>205</v>
      </c>
      <c r="AQ936" s="482" t="s">
        <v>16</v>
      </c>
      <c r="AR936" s="482" t="s">
        <v>17</v>
      </c>
      <c r="AS936" s="482" t="s">
        <v>18</v>
      </c>
      <c r="AT936" s="482" t="s">
        <v>19</v>
      </c>
      <c r="AU936" s="482" t="s">
        <v>201</v>
      </c>
      <c r="AV936" s="482" t="s">
        <v>20</v>
      </c>
      <c r="AW936" s="482" t="s">
        <v>12</v>
      </c>
      <c r="AX936" s="483" t="s">
        <v>13</v>
      </c>
      <c r="AY936" s="688" t="s">
        <v>198</v>
      </c>
      <c r="AZ936" s="484" t="s">
        <v>96</v>
      </c>
    </row>
    <row r="937" spans="1:52" ht="29.25" customHeight="1" thickBot="1">
      <c r="A937" s="67">
        <f>A898</f>
        <v>44866</v>
      </c>
      <c r="B937" s="153"/>
      <c r="C937" s="153"/>
      <c r="D937" s="153"/>
      <c r="E937" s="153"/>
      <c r="F937" s="153"/>
      <c r="G937" s="153"/>
      <c r="H937" s="153"/>
      <c r="I937" s="153"/>
      <c r="J937" s="153"/>
      <c r="K937" s="153"/>
      <c r="L937" s="153"/>
      <c r="M937" s="153"/>
      <c r="N937" s="153"/>
      <c r="O937" s="153"/>
      <c r="P937" s="153"/>
      <c r="Q937" s="153"/>
      <c r="R937" s="154"/>
      <c r="S937" s="179"/>
      <c r="T937" s="837"/>
      <c r="U937" s="837"/>
      <c r="V937" s="837"/>
      <c r="W937" s="837"/>
      <c r="X937" s="837"/>
      <c r="Y937" s="255">
        <f>B937*280+C937*280+D937*280+E937*280+F937*130+G937*130+H937*90+I937*35+J937*35+K937*400+L937*400+M937*400+N937*393.75+O937*387.5+P937*80+Q937*200+R937*260+S937*41+T937*30+U937*60</f>
        <v>0</v>
      </c>
      <c r="Z937" s="308"/>
      <c r="AA937" s="263">
        <f t="shared" ref="AA937:AA967" si="521">Y937+Z937</f>
        <v>0</v>
      </c>
      <c r="AB937" s="308"/>
      <c r="AC937" s="308"/>
      <c r="AD937" s="319">
        <f t="shared" ref="AD937:AD967" si="522">AA937-AB937-AC937</f>
        <v>0</v>
      </c>
      <c r="AH937" s="63">
        <f>AH898</f>
        <v>43374</v>
      </c>
      <c r="AI937" s="694"/>
      <c r="AJ937" s="695"/>
      <c r="AK937" s="695"/>
      <c r="AL937" s="695"/>
      <c r="AM937" s="695"/>
      <c r="AN937" s="695"/>
      <c r="AO937" s="695"/>
      <c r="AP937" s="695"/>
      <c r="AQ937" s="695"/>
      <c r="AR937" s="695"/>
      <c r="AS937" s="695"/>
      <c r="AT937" s="695"/>
      <c r="AU937" s="695"/>
      <c r="AV937" s="695"/>
      <c r="AW937" s="695"/>
      <c r="AX937" s="696"/>
      <c r="AY937" s="696"/>
      <c r="AZ937" s="697"/>
    </row>
    <row r="938" spans="1:52" ht="29.25" customHeight="1" thickBot="1">
      <c r="A938" s="67">
        <f>A937+1</f>
        <v>44867</v>
      </c>
      <c r="B938" s="155"/>
      <c r="C938" s="155"/>
      <c r="D938" s="155"/>
      <c r="E938" s="155"/>
      <c r="F938" s="155"/>
      <c r="G938" s="155"/>
      <c r="H938" s="155"/>
      <c r="I938" s="155"/>
      <c r="J938" s="155"/>
      <c r="K938" s="155"/>
      <c r="L938" s="155"/>
      <c r="M938" s="155"/>
      <c r="N938" s="155"/>
      <c r="O938" s="155"/>
      <c r="P938" s="155"/>
      <c r="Q938" s="155"/>
      <c r="R938" s="156"/>
      <c r="S938" s="180"/>
      <c r="T938" s="838"/>
      <c r="U938" s="838"/>
      <c r="V938" s="838"/>
      <c r="W938" s="838"/>
      <c r="X938" s="838"/>
      <c r="Y938" s="255">
        <f t="shared" ref="Y938:Y967" si="523">B938*280+C938*280+D938*280+E938*280+F938*130+G938*130+H938*90+I938*35+J938*35+K938*400+L938*400+M938*400+N938*393.75+O938*387.5+P938*80+Q938*200+R938*260+S938*41+T938*30+U938*60</f>
        <v>0</v>
      </c>
      <c r="Z938" s="309">
        <f t="shared" ref="Z938:Z967" si="524">AD937</f>
        <v>0</v>
      </c>
      <c r="AA938" s="256">
        <f t="shared" si="521"/>
        <v>0</v>
      </c>
      <c r="AB938" s="309"/>
      <c r="AC938" s="309"/>
      <c r="AD938" s="320">
        <f t="shared" si="522"/>
        <v>0</v>
      </c>
      <c r="AH938" s="64">
        <f>AH937+1</f>
        <v>43375</v>
      </c>
      <c r="AI938" s="698"/>
      <c r="AJ938" s="699"/>
      <c r="AK938" s="699"/>
      <c r="AL938" s="699"/>
      <c r="AM938" s="699"/>
      <c r="AN938" s="699"/>
      <c r="AO938" s="699"/>
      <c r="AP938" s="699"/>
      <c r="AQ938" s="699"/>
      <c r="AR938" s="699"/>
      <c r="AS938" s="699"/>
      <c r="AT938" s="699"/>
      <c r="AU938" s="699"/>
      <c r="AV938" s="699"/>
      <c r="AW938" s="699"/>
      <c r="AX938" s="700"/>
      <c r="AY938" s="700"/>
      <c r="AZ938" s="701"/>
    </row>
    <row r="939" spans="1:52" ht="29.25" customHeight="1" thickBot="1">
      <c r="A939" s="67">
        <f t="shared" ref="A939:A967" si="525">A938+1</f>
        <v>44868</v>
      </c>
      <c r="B939" s="155"/>
      <c r="C939" s="155"/>
      <c r="D939" s="155"/>
      <c r="E939" s="155"/>
      <c r="F939" s="155"/>
      <c r="G939" s="155"/>
      <c r="H939" s="155"/>
      <c r="I939" s="155"/>
      <c r="J939" s="155"/>
      <c r="K939" s="155"/>
      <c r="L939" s="155"/>
      <c r="M939" s="155"/>
      <c r="N939" s="155"/>
      <c r="O939" s="155"/>
      <c r="P939" s="155"/>
      <c r="Q939" s="155"/>
      <c r="R939" s="156"/>
      <c r="S939" s="180"/>
      <c r="T939" s="838"/>
      <c r="U939" s="838"/>
      <c r="V939" s="838"/>
      <c r="W939" s="838"/>
      <c r="X939" s="838"/>
      <c r="Y939" s="255">
        <f t="shared" si="523"/>
        <v>0</v>
      </c>
      <c r="Z939" s="309">
        <f t="shared" si="524"/>
        <v>0</v>
      </c>
      <c r="AA939" s="256">
        <f t="shared" si="521"/>
        <v>0</v>
      </c>
      <c r="AB939" s="309"/>
      <c r="AC939" s="309"/>
      <c r="AD939" s="320">
        <f t="shared" si="522"/>
        <v>0</v>
      </c>
      <c r="AH939" s="64">
        <f t="shared" ref="AH939:AH967" si="526">AH938+1</f>
        <v>43376</v>
      </c>
      <c r="AI939" s="698"/>
      <c r="AJ939" s="699"/>
      <c r="AK939" s="699"/>
      <c r="AL939" s="699"/>
      <c r="AM939" s="699"/>
      <c r="AN939" s="699"/>
      <c r="AO939" s="699"/>
      <c r="AP939" s="699"/>
      <c r="AQ939" s="699"/>
      <c r="AR939" s="699"/>
      <c r="AS939" s="699"/>
      <c r="AT939" s="699"/>
      <c r="AU939" s="699"/>
      <c r="AV939" s="699"/>
      <c r="AW939" s="699"/>
      <c r="AX939" s="700"/>
      <c r="AY939" s="700"/>
      <c r="AZ939" s="701"/>
    </row>
    <row r="940" spans="1:52" ht="29.25" customHeight="1" thickBot="1">
      <c r="A940" s="67">
        <f t="shared" si="525"/>
        <v>44869</v>
      </c>
      <c r="B940" s="155"/>
      <c r="C940" s="155"/>
      <c r="D940" s="155"/>
      <c r="E940" s="155"/>
      <c r="F940" s="155"/>
      <c r="G940" s="155"/>
      <c r="H940" s="155"/>
      <c r="I940" s="155"/>
      <c r="J940" s="155"/>
      <c r="K940" s="155"/>
      <c r="L940" s="155"/>
      <c r="M940" s="155"/>
      <c r="N940" s="155"/>
      <c r="O940" s="155"/>
      <c r="P940" s="155"/>
      <c r="Q940" s="155"/>
      <c r="R940" s="156"/>
      <c r="S940" s="180"/>
      <c r="T940" s="838"/>
      <c r="U940" s="838"/>
      <c r="V940" s="838"/>
      <c r="W940" s="838"/>
      <c r="X940" s="838"/>
      <c r="Y940" s="255">
        <f t="shared" si="523"/>
        <v>0</v>
      </c>
      <c r="Z940" s="309">
        <f t="shared" si="524"/>
        <v>0</v>
      </c>
      <c r="AA940" s="256">
        <f t="shared" si="521"/>
        <v>0</v>
      </c>
      <c r="AB940" s="309"/>
      <c r="AC940" s="309"/>
      <c r="AD940" s="320">
        <f t="shared" si="522"/>
        <v>0</v>
      </c>
      <c r="AH940" s="64">
        <f t="shared" si="526"/>
        <v>43377</v>
      </c>
      <c r="AI940" s="698"/>
      <c r="AJ940" s="699"/>
      <c r="AK940" s="699"/>
      <c r="AL940" s="699"/>
      <c r="AM940" s="699"/>
      <c r="AN940" s="699"/>
      <c r="AO940" s="699"/>
      <c r="AP940" s="699"/>
      <c r="AQ940" s="699"/>
      <c r="AR940" s="699"/>
      <c r="AS940" s="699"/>
      <c r="AT940" s="699"/>
      <c r="AU940" s="699"/>
      <c r="AV940" s="699"/>
      <c r="AW940" s="699"/>
      <c r="AX940" s="700"/>
      <c r="AY940" s="700"/>
      <c r="AZ940" s="701"/>
    </row>
    <row r="941" spans="1:52" ht="29.25" customHeight="1" thickBot="1">
      <c r="A941" s="67">
        <f t="shared" si="525"/>
        <v>44870</v>
      </c>
      <c r="B941" s="155"/>
      <c r="C941" s="155"/>
      <c r="D941" s="155"/>
      <c r="E941" s="155"/>
      <c r="F941" s="155"/>
      <c r="G941" s="155"/>
      <c r="H941" s="155"/>
      <c r="I941" s="155"/>
      <c r="J941" s="155"/>
      <c r="K941" s="155"/>
      <c r="L941" s="155"/>
      <c r="M941" s="155"/>
      <c r="N941" s="155"/>
      <c r="O941" s="155"/>
      <c r="P941" s="155"/>
      <c r="Q941" s="155"/>
      <c r="R941" s="156"/>
      <c r="S941" s="180"/>
      <c r="T941" s="838"/>
      <c r="U941" s="838"/>
      <c r="V941" s="838"/>
      <c r="W941" s="838"/>
      <c r="X941" s="838"/>
      <c r="Y941" s="255">
        <f t="shared" si="523"/>
        <v>0</v>
      </c>
      <c r="Z941" s="309">
        <f t="shared" si="524"/>
        <v>0</v>
      </c>
      <c r="AA941" s="256">
        <f t="shared" si="521"/>
        <v>0</v>
      </c>
      <c r="AB941" s="309"/>
      <c r="AC941" s="309"/>
      <c r="AD941" s="320">
        <f t="shared" si="522"/>
        <v>0</v>
      </c>
      <c r="AH941" s="64">
        <f t="shared" si="526"/>
        <v>43378</v>
      </c>
      <c r="AI941" s="698"/>
      <c r="AJ941" s="699"/>
      <c r="AK941" s="699"/>
      <c r="AL941" s="699"/>
      <c r="AM941" s="699"/>
      <c r="AN941" s="699"/>
      <c r="AO941" s="699"/>
      <c r="AP941" s="699"/>
      <c r="AQ941" s="699"/>
      <c r="AR941" s="699"/>
      <c r="AS941" s="699"/>
      <c r="AT941" s="699"/>
      <c r="AU941" s="699"/>
      <c r="AV941" s="699"/>
      <c r="AW941" s="699"/>
      <c r="AX941" s="700"/>
      <c r="AY941" s="700"/>
      <c r="AZ941" s="701"/>
    </row>
    <row r="942" spans="1:52" ht="29.25" customHeight="1" thickBot="1">
      <c r="A942" s="67">
        <f t="shared" si="525"/>
        <v>44871</v>
      </c>
      <c r="B942" s="155"/>
      <c r="C942" s="155"/>
      <c r="D942" s="155"/>
      <c r="E942" s="155"/>
      <c r="F942" s="155"/>
      <c r="G942" s="155"/>
      <c r="H942" s="155"/>
      <c r="I942" s="155"/>
      <c r="J942" s="155"/>
      <c r="K942" s="155"/>
      <c r="L942" s="155"/>
      <c r="M942" s="155"/>
      <c r="N942" s="155"/>
      <c r="O942" s="155"/>
      <c r="P942" s="155"/>
      <c r="Q942" s="155"/>
      <c r="R942" s="156"/>
      <c r="S942" s="180"/>
      <c r="T942" s="838"/>
      <c r="U942" s="838"/>
      <c r="V942" s="838"/>
      <c r="W942" s="838"/>
      <c r="X942" s="838"/>
      <c r="Y942" s="255">
        <f t="shared" si="523"/>
        <v>0</v>
      </c>
      <c r="Z942" s="309">
        <f t="shared" si="524"/>
        <v>0</v>
      </c>
      <c r="AA942" s="256">
        <f t="shared" si="521"/>
        <v>0</v>
      </c>
      <c r="AB942" s="309"/>
      <c r="AC942" s="309"/>
      <c r="AD942" s="320">
        <f t="shared" si="522"/>
        <v>0</v>
      </c>
      <c r="AH942" s="64">
        <f t="shared" si="526"/>
        <v>43379</v>
      </c>
      <c r="AI942" s="698"/>
      <c r="AJ942" s="699"/>
      <c r="AK942" s="699"/>
      <c r="AL942" s="699"/>
      <c r="AM942" s="699"/>
      <c r="AN942" s="699"/>
      <c r="AO942" s="699"/>
      <c r="AP942" s="699"/>
      <c r="AQ942" s="699"/>
      <c r="AR942" s="699"/>
      <c r="AS942" s="699"/>
      <c r="AT942" s="699"/>
      <c r="AU942" s="699"/>
      <c r="AV942" s="699"/>
      <c r="AW942" s="699"/>
      <c r="AX942" s="700"/>
      <c r="AY942" s="700"/>
      <c r="AZ942" s="701"/>
    </row>
    <row r="943" spans="1:52" ht="29.25" customHeight="1" thickBot="1">
      <c r="A943" s="67">
        <f t="shared" si="525"/>
        <v>44872</v>
      </c>
      <c r="B943" s="155"/>
      <c r="C943" s="155"/>
      <c r="D943" s="155"/>
      <c r="E943" s="155"/>
      <c r="F943" s="155"/>
      <c r="G943" s="155"/>
      <c r="H943" s="155"/>
      <c r="I943" s="155"/>
      <c r="J943" s="155"/>
      <c r="K943" s="155"/>
      <c r="L943" s="155"/>
      <c r="M943" s="155"/>
      <c r="N943" s="155"/>
      <c r="O943" s="155"/>
      <c r="P943" s="155"/>
      <c r="Q943" s="155"/>
      <c r="R943" s="156"/>
      <c r="S943" s="180"/>
      <c r="T943" s="838"/>
      <c r="U943" s="838"/>
      <c r="V943" s="838"/>
      <c r="W943" s="838"/>
      <c r="X943" s="838"/>
      <c r="Y943" s="255">
        <f t="shared" si="523"/>
        <v>0</v>
      </c>
      <c r="Z943" s="309">
        <f t="shared" si="524"/>
        <v>0</v>
      </c>
      <c r="AA943" s="256">
        <f t="shared" si="521"/>
        <v>0</v>
      </c>
      <c r="AB943" s="309"/>
      <c r="AC943" s="309"/>
      <c r="AD943" s="320">
        <f t="shared" si="522"/>
        <v>0</v>
      </c>
      <c r="AH943" s="64">
        <f t="shared" si="526"/>
        <v>43380</v>
      </c>
      <c r="AI943" s="698"/>
      <c r="AJ943" s="699"/>
      <c r="AK943" s="699"/>
      <c r="AL943" s="699"/>
      <c r="AM943" s="699"/>
      <c r="AN943" s="699"/>
      <c r="AO943" s="699"/>
      <c r="AP943" s="699"/>
      <c r="AQ943" s="699"/>
      <c r="AR943" s="699"/>
      <c r="AS943" s="699"/>
      <c r="AT943" s="699"/>
      <c r="AU943" s="699"/>
      <c r="AV943" s="699"/>
      <c r="AW943" s="699"/>
      <c r="AX943" s="700"/>
      <c r="AY943" s="700"/>
      <c r="AZ943" s="701"/>
    </row>
    <row r="944" spans="1:52" ht="29.25" customHeight="1" thickBot="1">
      <c r="A944" s="67">
        <f t="shared" si="525"/>
        <v>44873</v>
      </c>
      <c r="B944" s="155"/>
      <c r="C944" s="155"/>
      <c r="D944" s="155"/>
      <c r="E944" s="155"/>
      <c r="F944" s="155"/>
      <c r="G944" s="155"/>
      <c r="H944" s="155"/>
      <c r="I944" s="155"/>
      <c r="J944" s="155"/>
      <c r="K944" s="155"/>
      <c r="L944" s="155"/>
      <c r="M944" s="155"/>
      <c r="N944" s="155"/>
      <c r="O944" s="155"/>
      <c r="P944" s="155"/>
      <c r="Q944" s="155"/>
      <c r="R944" s="156"/>
      <c r="S944" s="180"/>
      <c r="T944" s="838"/>
      <c r="U944" s="838"/>
      <c r="V944" s="838"/>
      <c r="W944" s="838"/>
      <c r="X944" s="838"/>
      <c r="Y944" s="255">
        <f t="shared" si="523"/>
        <v>0</v>
      </c>
      <c r="Z944" s="309">
        <f t="shared" si="524"/>
        <v>0</v>
      </c>
      <c r="AA944" s="256">
        <f t="shared" si="521"/>
        <v>0</v>
      </c>
      <c r="AB944" s="309"/>
      <c r="AC944" s="309"/>
      <c r="AD944" s="320">
        <f t="shared" si="522"/>
        <v>0</v>
      </c>
      <c r="AH944" s="64">
        <f t="shared" si="526"/>
        <v>43381</v>
      </c>
      <c r="AI944" s="698"/>
      <c r="AJ944" s="699"/>
      <c r="AK944" s="699"/>
      <c r="AL944" s="699"/>
      <c r="AM944" s="699"/>
      <c r="AN944" s="699"/>
      <c r="AO944" s="699"/>
      <c r="AP944" s="699"/>
      <c r="AQ944" s="699"/>
      <c r="AR944" s="699"/>
      <c r="AS944" s="699"/>
      <c r="AT944" s="699"/>
      <c r="AU944" s="699"/>
      <c r="AV944" s="699"/>
      <c r="AW944" s="699"/>
      <c r="AX944" s="700"/>
      <c r="AY944" s="700"/>
      <c r="AZ944" s="701"/>
    </row>
    <row r="945" spans="1:52" ht="29.25" customHeight="1" thickBot="1">
      <c r="A945" s="67">
        <f t="shared" si="525"/>
        <v>44874</v>
      </c>
      <c r="B945" s="155"/>
      <c r="C945" s="155"/>
      <c r="D945" s="155"/>
      <c r="E945" s="155"/>
      <c r="F945" s="155"/>
      <c r="G945" s="155"/>
      <c r="H945" s="155"/>
      <c r="I945" s="155"/>
      <c r="J945" s="155"/>
      <c r="K945" s="155"/>
      <c r="L945" s="155"/>
      <c r="M945" s="155"/>
      <c r="N945" s="155"/>
      <c r="O945" s="155"/>
      <c r="P945" s="155"/>
      <c r="Q945" s="155"/>
      <c r="R945" s="156"/>
      <c r="S945" s="180"/>
      <c r="T945" s="838"/>
      <c r="U945" s="838"/>
      <c r="V945" s="838"/>
      <c r="W945" s="838"/>
      <c r="X945" s="838"/>
      <c r="Y945" s="255">
        <f t="shared" si="523"/>
        <v>0</v>
      </c>
      <c r="Z945" s="309">
        <f t="shared" si="524"/>
        <v>0</v>
      </c>
      <c r="AA945" s="256">
        <f t="shared" si="521"/>
        <v>0</v>
      </c>
      <c r="AB945" s="309"/>
      <c r="AC945" s="309"/>
      <c r="AD945" s="320">
        <f t="shared" si="522"/>
        <v>0</v>
      </c>
      <c r="AH945" s="64">
        <f t="shared" si="526"/>
        <v>43382</v>
      </c>
      <c r="AI945" s="698"/>
      <c r="AJ945" s="699"/>
      <c r="AK945" s="699"/>
      <c r="AL945" s="699"/>
      <c r="AM945" s="699"/>
      <c r="AN945" s="699"/>
      <c r="AO945" s="699"/>
      <c r="AP945" s="699"/>
      <c r="AQ945" s="699"/>
      <c r="AR945" s="699"/>
      <c r="AS945" s="699"/>
      <c r="AT945" s="699"/>
      <c r="AU945" s="699"/>
      <c r="AV945" s="699"/>
      <c r="AW945" s="699"/>
      <c r="AX945" s="700"/>
      <c r="AY945" s="700"/>
      <c r="AZ945" s="701"/>
    </row>
    <row r="946" spans="1:52" ht="29.25" customHeight="1" thickBot="1">
      <c r="A946" s="67">
        <f t="shared" si="525"/>
        <v>44875</v>
      </c>
      <c r="B946" s="155"/>
      <c r="C946" s="155"/>
      <c r="D946" s="155"/>
      <c r="E946" s="155"/>
      <c r="F946" s="155"/>
      <c r="G946" s="155"/>
      <c r="H946" s="155"/>
      <c r="I946" s="155"/>
      <c r="J946" s="155"/>
      <c r="K946" s="155"/>
      <c r="L946" s="155"/>
      <c r="M946" s="155"/>
      <c r="N946" s="155"/>
      <c r="O946" s="155"/>
      <c r="P946" s="155"/>
      <c r="Q946" s="155"/>
      <c r="R946" s="156"/>
      <c r="S946" s="180"/>
      <c r="T946" s="838"/>
      <c r="U946" s="838"/>
      <c r="V946" s="838"/>
      <c r="W946" s="838"/>
      <c r="X946" s="838"/>
      <c r="Y946" s="255">
        <f t="shared" si="523"/>
        <v>0</v>
      </c>
      <c r="Z946" s="309">
        <f t="shared" si="524"/>
        <v>0</v>
      </c>
      <c r="AA946" s="256">
        <f t="shared" si="521"/>
        <v>0</v>
      </c>
      <c r="AB946" s="309"/>
      <c r="AC946" s="309"/>
      <c r="AD946" s="320">
        <f t="shared" si="522"/>
        <v>0</v>
      </c>
      <c r="AH946" s="64">
        <f t="shared" si="526"/>
        <v>43383</v>
      </c>
      <c r="AI946" s="698"/>
      <c r="AJ946" s="699"/>
      <c r="AK946" s="699"/>
      <c r="AL946" s="699"/>
      <c r="AM946" s="699"/>
      <c r="AN946" s="699"/>
      <c r="AO946" s="699"/>
      <c r="AP946" s="699"/>
      <c r="AQ946" s="699"/>
      <c r="AR946" s="699"/>
      <c r="AS946" s="699"/>
      <c r="AT946" s="699"/>
      <c r="AU946" s="699"/>
      <c r="AV946" s="699"/>
      <c r="AW946" s="699"/>
      <c r="AX946" s="700"/>
      <c r="AY946" s="700"/>
      <c r="AZ946" s="701"/>
    </row>
    <row r="947" spans="1:52" ht="29.25" customHeight="1" thickBot="1">
      <c r="A947" s="67">
        <f t="shared" si="525"/>
        <v>44876</v>
      </c>
      <c r="B947" s="155"/>
      <c r="C947" s="155"/>
      <c r="D947" s="155"/>
      <c r="E947" s="155"/>
      <c r="F947" s="155"/>
      <c r="G947" s="155"/>
      <c r="H947" s="155"/>
      <c r="I947" s="155"/>
      <c r="J947" s="155"/>
      <c r="K947" s="155"/>
      <c r="L947" s="155"/>
      <c r="M947" s="155"/>
      <c r="N947" s="155"/>
      <c r="O947" s="155"/>
      <c r="P947" s="155"/>
      <c r="Q947" s="155"/>
      <c r="R947" s="156"/>
      <c r="S947" s="180"/>
      <c r="T947" s="838"/>
      <c r="U947" s="838"/>
      <c r="V947" s="838"/>
      <c r="W947" s="838"/>
      <c r="X947" s="838"/>
      <c r="Y947" s="255">
        <f t="shared" si="523"/>
        <v>0</v>
      </c>
      <c r="Z947" s="309">
        <f t="shared" si="524"/>
        <v>0</v>
      </c>
      <c r="AA947" s="256">
        <f t="shared" si="521"/>
        <v>0</v>
      </c>
      <c r="AB947" s="309"/>
      <c r="AC947" s="309"/>
      <c r="AD947" s="320">
        <f t="shared" si="522"/>
        <v>0</v>
      </c>
      <c r="AH947" s="64">
        <f t="shared" si="526"/>
        <v>43384</v>
      </c>
      <c r="AI947" s="698"/>
      <c r="AJ947" s="699"/>
      <c r="AK947" s="699"/>
      <c r="AL947" s="699"/>
      <c r="AM947" s="699"/>
      <c r="AN947" s="699"/>
      <c r="AO947" s="699"/>
      <c r="AP947" s="699"/>
      <c r="AQ947" s="699"/>
      <c r="AR947" s="699"/>
      <c r="AS947" s="699"/>
      <c r="AT947" s="699"/>
      <c r="AU947" s="699"/>
      <c r="AV947" s="699"/>
      <c r="AW947" s="699"/>
      <c r="AX947" s="700"/>
      <c r="AY947" s="700"/>
      <c r="AZ947" s="701"/>
    </row>
    <row r="948" spans="1:52" ht="29.25" customHeight="1" thickBot="1">
      <c r="A948" s="67">
        <f t="shared" si="525"/>
        <v>44877</v>
      </c>
      <c r="B948" s="155"/>
      <c r="C948" s="155"/>
      <c r="D948" s="155"/>
      <c r="E948" s="155"/>
      <c r="F948" s="155"/>
      <c r="G948" s="155"/>
      <c r="H948" s="155"/>
      <c r="I948" s="155"/>
      <c r="J948" s="155"/>
      <c r="K948" s="155"/>
      <c r="L948" s="155"/>
      <c r="M948" s="155"/>
      <c r="N948" s="155"/>
      <c r="O948" s="155"/>
      <c r="P948" s="155"/>
      <c r="Q948" s="155"/>
      <c r="R948" s="156"/>
      <c r="S948" s="180"/>
      <c r="T948" s="838"/>
      <c r="U948" s="838"/>
      <c r="V948" s="838"/>
      <c r="W948" s="838"/>
      <c r="X948" s="838"/>
      <c r="Y948" s="255">
        <f t="shared" si="523"/>
        <v>0</v>
      </c>
      <c r="Z948" s="309">
        <f t="shared" si="524"/>
        <v>0</v>
      </c>
      <c r="AA948" s="256">
        <f t="shared" si="521"/>
        <v>0</v>
      </c>
      <c r="AB948" s="309"/>
      <c r="AC948" s="309"/>
      <c r="AD948" s="320">
        <f t="shared" si="522"/>
        <v>0</v>
      </c>
      <c r="AH948" s="64">
        <f t="shared" si="526"/>
        <v>43385</v>
      </c>
      <c r="AI948" s="698"/>
      <c r="AJ948" s="699"/>
      <c r="AK948" s="699"/>
      <c r="AL948" s="699"/>
      <c r="AM948" s="699"/>
      <c r="AN948" s="699"/>
      <c r="AO948" s="699"/>
      <c r="AP948" s="699"/>
      <c r="AQ948" s="699"/>
      <c r="AR948" s="699"/>
      <c r="AS948" s="699"/>
      <c r="AT948" s="699"/>
      <c r="AU948" s="699"/>
      <c r="AV948" s="699"/>
      <c r="AW948" s="699"/>
      <c r="AX948" s="700"/>
      <c r="AY948" s="700"/>
      <c r="AZ948" s="701"/>
    </row>
    <row r="949" spans="1:52" ht="29.25" customHeight="1" thickBot="1">
      <c r="A949" s="67">
        <f t="shared" si="525"/>
        <v>44878</v>
      </c>
      <c r="B949" s="155"/>
      <c r="C949" s="155"/>
      <c r="D949" s="155"/>
      <c r="E949" s="155"/>
      <c r="F949" s="155"/>
      <c r="G949" s="155"/>
      <c r="H949" s="155"/>
      <c r="I949" s="155"/>
      <c r="J949" s="155"/>
      <c r="K949" s="155"/>
      <c r="L949" s="155"/>
      <c r="M949" s="155"/>
      <c r="N949" s="155"/>
      <c r="O949" s="155"/>
      <c r="P949" s="155"/>
      <c r="Q949" s="155"/>
      <c r="R949" s="156"/>
      <c r="S949" s="180"/>
      <c r="T949" s="838"/>
      <c r="U949" s="838"/>
      <c r="V949" s="838"/>
      <c r="W949" s="838"/>
      <c r="X949" s="838"/>
      <c r="Y949" s="255">
        <f t="shared" si="523"/>
        <v>0</v>
      </c>
      <c r="Z949" s="309">
        <f t="shared" si="524"/>
        <v>0</v>
      </c>
      <c r="AA949" s="256">
        <f t="shared" si="521"/>
        <v>0</v>
      </c>
      <c r="AB949" s="309"/>
      <c r="AC949" s="309"/>
      <c r="AD949" s="320">
        <f t="shared" si="522"/>
        <v>0</v>
      </c>
      <c r="AH949" s="64">
        <f t="shared" si="526"/>
        <v>43386</v>
      </c>
      <c r="AI949" s="698"/>
      <c r="AJ949" s="699"/>
      <c r="AK949" s="699"/>
      <c r="AL949" s="699"/>
      <c r="AM949" s="699"/>
      <c r="AN949" s="699"/>
      <c r="AO949" s="699"/>
      <c r="AP949" s="699"/>
      <c r="AQ949" s="699"/>
      <c r="AR949" s="699"/>
      <c r="AS949" s="699"/>
      <c r="AT949" s="699"/>
      <c r="AU949" s="699"/>
      <c r="AV949" s="699"/>
      <c r="AW949" s="699"/>
      <c r="AX949" s="700"/>
      <c r="AY949" s="700"/>
      <c r="AZ949" s="701"/>
    </row>
    <row r="950" spans="1:52" ht="29.25" customHeight="1" thickBot="1">
      <c r="A950" s="67">
        <f t="shared" si="525"/>
        <v>44879</v>
      </c>
      <c r="B950" s="155"/>
      <c r="C950" s="155"/>
      <c r="D950" s="155"/>
      <c r="E950" s="155"/>
      <c r="F950" s="155"/>
      <c r="G950" s="155"/>
      <c r="H950" s="155"/>
      <c r="I950" s="155"/>
      <c r="J950" s="155"/>
      <c r="K950" s="155"/>
      <c r="L950" s="155"/>
      <c r="M950" s="155"/>
      <c r="N950" s="155"/>
      <c r="O950" s="155"/>
      <c r="P950" s="155"/>
      <c r="Q950" s="155"/>
      <c r="R950" s="156"/>
      <c r="S950" s="180"/>
      <c r="T950" s="838"/>
      <c r="U950" s="838"/>
      <c r="V950" s="838"/>
      <c r="W950" s="838"/>
      <c r="X950" s="838"/>
      <c r="Y950" s="255">
        <f t="shared" si="523"/>
        <v>0</v>
      </c>
      <c r="Z950" s="309">
        <f t="shared" si="524"/>
        <v>0</v>
      </c>
      <c r="AA950" s="256">
        <f t="shared" si="521"/>
        <v>0</v>
      </c>
      <c r="AB950" s="309"/>
      <c r="AC950" s="309"/>
      <c r="AD950" s="320">
        <f t="shared" si="522"/>
        <v>0</v>
      </c>
      <c r="AH950" s="64">
        <f t="shared" si="526"/>
        <v>43387</v>
      </c>
      <c r="AI950" s="698"/>
      <c r="AJ950" s="699"/>
      <c r="AK950" s="699"/>
      <c r="AL950" s="699"/>
      <c r="AM950" s="699"/>
      <c r="AN950" s="699"/>
      <c r="AO950" s="699"/>
      <c r="AP950" s="699"/>
      <c r="AQ950" s="699"/>
      <c r="AR950" s="699"/>
      <c r="AS950" s="699"/>
      <c r="AT950" s="699"/>
      <c r="AU950" s="699"/>
      <c r="AV950" s="699"/>
      <c r="AW950" s="699"/>
      <c r="AX950" s="700"/>
      <c r="AY950" s="700"/>
      <c r="AZ950" s="701"/>
    </row>
    <row r="951" spans="1:52" ht="29.25" customHeight="1" thickBot="1">
      <c r="A951" s="67">
        <f t="shared" si="525"/>
        <v>44880</v>
      </c>
      <c r="B951" s="155"/>
      <c r="C951" s="155"/>
      <c r="D951" s="155"/>
      <c r="E951" s="155"/>
      <c r="F951" s="155"/>
      <c r="G951" s="155"/>
      <c r="H951" s="155"/>
      <c r="I951" s="155"/>
      <c r="J951" s="155"/>
      <c r="K951" s="155"/>
      <c r="L951" s="155"/>
      <c r="M951" s="155"/>
      <c r="N951" s="155"/>
      <c r="O951" s="155"/>
      <c r="P951" s="155"/>
      <c r="Q951" s="155"/>
      <c r="R951" s="156"/>
      <c r="S951" s="180"/>
      <c r="T951" s="838"/>
      <c r="U951" s="838"/>
      <c r="V951" s="838"/>
      <c r="W951" s="838"/>
      <c r="X951" s="838"/>
      <c r="Y951" s="255">
        <f t="shared" si="523"/>
        <v>0</v>
      </c>
      <c r="Z951" s="309">
        <f t="shared" si="524"/>
        <v>0</v>
      </c>
      <c r="AA951" s="256">
        <f t="shared" si="521"/>
        <v>0</v>
      </c>
      <c r="AB951" s="309"/>
      <c r="AC951" s="309"/>
      <c r="AD951" s="320">
        <f t="shared" si="522"/>
        <v>0</v>
      </c>
      <c r="AH951" s="64">
        <f t="shared" si="526"/>
        <v>43388</v>
      </c>
      <c r="AI951" s="698"/>
      <c r="AJ951" s="699"/>
      <c r="AK951" s="699"/>
      <c r="AL951" s="699"/>
      <c r="AM951" s="699"/>
      <c r="AN951" s="699"/>
      <c r="AO951" s="699"/>
      <c r="AP951" s="699"/>
      <c r="AQ951" s="699"/>
      <c r="AR951" s="699"/>
      <c r="AS951" s="699"/>
      <c r="AT951" s="699"/>
      <c r="AU951" s="699"/>
      <c r="AV951" s="699"/>
      <c r="AW951" s="699"/>
      <c r="AX951" s="700"/>
      <c r="AY951" s="700"/>
      <c r="AZ951" s="701"/>
    </row>
    <row r="952" spans="1:52" ht="29.25" customHeight="1" thickBot="1">
      <c r="A952" s="67">
        <f t="shared" si="525"/>
        <v>44881</v>
      </c>
      <c r="B952" s="155"/>
      <c r="C952" s="155"/>
      <c r="D952" s="155"/>
      <c r="E952" s="155"/>
      <c r="F952" s="155"/>
      <c r="G952" s="155"/>
      <c r="H952" s="155"/>
      <c r="I952" s="155"/>
      <c r="J952" s="155"/>
      <c r="K952" s="155"/>
      <c r="L952" s="155"/>
      <c r="M952" s="155"/>
      <c r="N952" s="155"/>
      <c r="O952" s="155"/>
      <c r="P952" s="155"/>
      <c r="Q952" s="155"/>
      <c r="R952" s="156"/>
      <c r="S952" s="180"/>
      <c r="T952" s="838"/>
      <c r="U952" s="838"/>
      <c r="V952" s="838"/>
      <c r="W952" s="838"/>
      <c r="X952" s="838"/>
      <c r="Y952" s="255">
        <f t="shared" si="523"/>
        <v>0</v>
      </c>
      <c r="Z952" s="309">
        <f t="shared" si="524"/>
        <v>0</v>
      </c>
      <c r="AA952" s="256">
        <f t="shared" si="521"/>
        <v>0</v>
      </c>
      <c r="AB952" s="309"/>
      <c r="AC952" s="309"/>
      <c r="AD952" s="320">
        <f t="shared" si="522"/>
        <v>0</v>
      </c>
      <c r="AH952" s="64">
        <f t="shared" si="526"/>
        <v>43389</v>
      </c>
      <c r="AI952" s="698"/>
      <c r="AJ952" s="699"/>
      <c r="AK952" s="699"/>
      <c r="AL952" s="699"/>
      <c r="AM952" s="699"/>
      <c r="AN952" s="699"/>
      <c r="AO952" s="699"/>
      <c r="AP952" s="699"/>
      <c r="AQ952" s="699"/>
      <c r="AR952" s="699"/>
      <c r="AS952" s="699"/>
      <c r="AT952" s="699"/>
      <c r="AU952" s="699"/>
      <c r="AV952" s="699"/>
      <c r="AW952" s="699"/>
      <c r="AX952" s="700"/>
      <c r="AY952" s="700"/>
      <c r="AZ952" s="701"/>
    </row>
    <row r="953" spans="1:52" ht="29.25" customHeight="1" thickBot="1">
      <c r="A953" s="67">
        <f t="shared" si="525"/>
        <v>44882</v>
      </c>
      <c r="B953" s="155"/>
      <c r="C953" s="155"/>
      <c r="D953" s="155"/>
      <c r="E953" s="155"/>
      <c r="F953" s="155"/>
      <c r="G953" s="155"/>
      <c r="H953" s="155"/>
      <c r="I953" s="155"/>
      <c r="J953" s="155"/>
      <c r="K953" s="155"/>
      <c r="L953" s="155"/>
      <c r="M953" s="155"/>
      <c r="N953" s="155"/>
      <c r="O953" s="155"/>
      <c r="P953" s="155"/>
      <c r="Q953" s="155"/>
      <c r="R953" s="156"/>
      <c r="S953" s="180"/>
      <c r="T953" s="838"/>
      <c r="U953" s="838"/>
      <c r="V953" s="838"/>
      <c r="W953" s="838"/>
      <c r="X953" s="838"/>
      <c r="Y953" s="255">
        <f t="shared" si="523"/>
        <v>0</v>
      </c>
      <c r="Z953" s="309">
        <f t="shared" si="524"/>
        <v>0</v>
      </c>
      <c r="AA953" s="256">
        <f t="shared" si="521"/>
        <v>0</v>
      </c>
      <c r="AB953" s="309"/>
      <c r="AC953" s="309"/>
      <c r="AD953" s="320">
        <f t="shared" si="522"/>
        <v>0</v>
      </c>
      <c r="AH953" s="64">
        <f t="shared" si="526"/>
        <v>43390</v>
      </c>
      <c r="AI953" s="698"/>
      <c r="AJ953" s="699"/>
      <c r="AK953" s="699"/>
      <c r="AL953" s="699"/>
      <c r="AM953" s="699"/>
      <c r="AN953" s="699"/>
      <c r="AO953" s="699"/>
      <c r="AP953" s="699"/>
      <c r="AQ953" s="699"/>
      <c r="AR953" s="699"/>
      <c r="AS953" s="699"/>
      <c r="AT953" s="699"/>
      <c r="AU953" s="699"/>
      <c r="AV953" s="699"/>
      <c r="AW953" s="699"/>
      <c r="AX953" s="700"/>
      <c r="AY953" s="700"/>
      <c r="AZ953" s="701"/>
    </row>
    <row r="954" spans="1:52" ht="29.25" customHeight="1" thickBot="1">
      <c r="A954" s="67">
        <f t="shared" si="525"/>
        <v>44883</v>
      </c>
      <c r="B954" s="155"/>
      <c r="C954" s="155"/>
      <c r="D954" s="155"/>
      <c r="E954" s="155"/>
      <c r="F954" s="155"/>
      <c r="G954" s="155"/>
      <c r="H954" s="155"/>
      <c r="I954" s="155"/>
      <c r="J954" s="155"/>
      <c r="K954" s="155"/>
      <c r="L954" s="155"/>
      <c r="M954" s="155"/>
      <c r="N954" s="155"/>
      <c r="O954" s="155"/>
      <c r="P954" s="155"/>
      <c r="Q954" s="155"/>
      <c r="R954" s="156"/>
      <c r="S954" s="180"/>
      <c r="T954" s="838"/>
      <c r="U954" s="838"/>
      <c r="V954" s="838"/>
      <c r="W954" s="838"/>
      <c r="X954" s="838"/>
      <c r="Y954" s="255">
        <f t="shared" si="523"/>
        <v>0</v>
      </c>
      <c r="Z954" s="309">
        <f t="shared" si="524"/>
        <v>0</v>
      </c>
      <c r="AA954" s="256">
        <f t="shared" si="521"/>
        <v>0</v>
      </c>
      <c r="AB954" s="309"/>
      <c r="AC954" s="309"/>
      <c r="AD954" s="320">
        <f t="shared" si="522"/>
        <v>0</v>
      </c>
      <c r="AH954" s="64">
        <f t="shared" si="526"/>
        <v>43391</v>
      </c>
      <c r="AI954" s="698"/>
      <c r="AJ954" s="699"/>
      <c r="AK954" s="699"/>
      <c r="AL954" s="699"/>
      <c r="AM954" s="699"/>
      <c r="AN954" s="699"/>
      <c r="AO954" s="699"/>
      <c r="AP954" s="699"/>
      <c r="AQ954" s="699"/>
      <c r="AR954" s="699"/>
      <c r="AS954" s="699"/>
      <c r="AT954" s="699"/>
      <c r="AU954" s="699"/>
      <c r="AV954" s="699"/>
      <c r="AW954" s="699"/>
      <c r="AX954" s="700"/>
      <c r="AY954" s="700"/>
      <c r="AZ954" s="701"/>
    </row>
    <row r="955" spans="1:52" ht="29.25" customHeight="1" thickBot="1">
      <c r="A955" s="67">
        <f t="shared" si="525"/>
        <v>44884</v>
      </c>
      <c r="B955" s="155"/>
      <c r="C955" s="155"/>
      <c r="D955" s="155"/>
      <c r="E955" s="155"/>
      <c r="F955" s="155"/>
      <c r="G955" s="155"/>
      <c r="H955" s="155"/>
      <c r="I955" s="155"/>
      <c r="J955" s="155"/>
      <c r="K955" s="155"/>
      <c r="L955" s="155"/>
      <c r="M955" s="155"/>
      <c r="N955" s="155"/>
      <c r="O955" s="155"/>
      <c r="P955" s="155"/>
      <c r="Q955" s="155"/>
      <c r="R955" s="156"/>
      <c r="S955" s="180"/>
      <c r="T955" s="838"/>
      <c r="U955" s="838"/>
      <c r="V955" s="838"/>
      <c r="W955" s="838"/>
      <c r="X955" s="838"/>
      <c r="Y955" s="255">
        <f t="shared" si="523"/>
        <v>0</v>
      </c>
      <c r="Z955" s="309">
        <f t="shared" si="524"/>
        <v>0</v>
      </c>
      <c r="AA955" s="256">
        <f t="shared" si="521"/>
        <v>0</v>
      </c>
      <c r="AB955" s="309"/>
      <c r="AC955" s="309"/>
      <c r="AD955" s="320">
        <f t="shared" si="522"/>
        <v>0</v>
      </c>
      <c r="AH955" s="64">
        <f t="shared" si="526"/>
        <v>43392</v>
      </c>
      <c r="AI955" s="698"/>
      <c r="AJ955" s="699"/>
      <c r="AK955" s="699"/>
      <c r="AL955" s="699"/>
      <c r="AM955" s="699"/>
      <c r="AN955" s="699"/>
      <c r="AO955" s="699"/>
      <c r="AP955" s="699"/>
      <c r="AQ955" s="699"/>
      <c r="AR955" s="699"/>
      <c r="AS955" s="699"/>
      <c r="AT955" s="699"/>
      <c r="AU955" s="699"/>
      <c r="AV955" s="699"/>
      <c r="AW955" s="699"/>
      <c r="AX955" s="700"/>
      <c r="AY955" s="700"/>
      <c r="AZ955" s="701"/>
    </row>
    <row r="956" spans="1:52" ht="29.25" customHeight="1" thickBot="1">
      <c r="A956" s="67">
        <f t="shared" si="525"/>
        <v>44885</v>
      </c>
      <c r="B956" s="155"/>
      <c r="C956" s="155"/>
      <c r="D956" s="155"/>
      <c r="E956" s="155"/>
      <c r="F956" s="155"/>
      <c r="G956" s="155"/>
      <c r="H956" s="155"/>
      <c r="I956" s="155"/>
      <c r="J956" s="155"/>
      <c r="K956" s="155"/>
      <c r="L956" s="155"/>
      <c r="M956" s="155"/>
      <c r="N956" s="155"/>
      <c r="O956" s="155"/>
      <c r="P956" s="155"/>
      <c r="Q956" s="155"/>
      <c r="R956" s="156"/>
      <c r="S956" s="180"/>
      <c r="T956" s="838"/>
      <c r="U956" s="838"/>
      <c r="V956" s="838"/>
      <c r="W956" s="838"/>
      <c r="X956" s="838"/>
      <c r="Y956" s="255">
        <f t="shared" si="523"/>
        <v>0</v>
      </c>
      <c r="Z956" s="309">
        <f t="shared" si="524"/>
        <v>0</v>
      </c>
      <c r="AA956" s="256">
        <f t="shared" si="521"/>
        <v>0</v>
      </c>
      <c r="AB956" s="309"/>
      <c r="AC956" s="309"/>
      <c r="AD956" s="320">
        <f t="shared" si="522"/>
        <v>0</v>
      </c>
      <c r="AH956" s="64">
        <f t="shared" si="526"/>
        <v>43393</v>
      </c>
      <c r="AI956" s="698"/>
      <c r="AJ956" s="699"/>
      <c r="AK956" s="699"/>
      <c r="AL956" s="699"/>
      <c r="AM956" s="699"/>
      <c r="AN956" s="699"/>
      <c r="AO956" s="699"/>
      <c r="AP956" s="699"/>
      <c r="AQ956" s="699"/>
      <c r="AR956" s="699"/>
      <c r="AS956" s="699"/>
      <c r="AT956" s="699"/>
      <c r="AU956" s="699"/>
      <c r="AV956" s="699"/>
      <c r="AW956" s="699"/>
      <c r="AX956" s="700"/>
      <c r="AY956" s="700"/>
      <c r="AZ956" s="701"/>
    </row>
    <row r="957" spans="1:52" ht="29.25" customHeight="1" thickBot="1">
      <c r="A957" s="67">
        <f t="shared" si="525"/>
        <v>44886</v>
      </c>
      <c r="B957" s="155"/>
      <c r="C957" s="155"/>
      <c r="D957" s="155"/>
      <c r="E957" s="155"/>
      <c r="F957" s="155"/>
      <c r="G957" s="155"/>
      <c r="H957" s="155"/>
      <c r="I957" s="155"/>
      <c r="J957" s="155"/>
      <c r="K957" s="155"/>
      <c r="L957" s="155"/>
      <c r="M957" s="155"/>
      <c r="N957" s="155"/>
      <c r="O957" s="155"/>
      <c r="P957" s="155"/>
      <c r="Q957" s="155"/>
      <c r="R957" s="156"/>
      <c r="S957" s="180"/>
      <c r="T957" s="838"/>
      <c r="U957" s="838"/>
      <c r="V957" s="838"/>
      <c r="W957" s="838"/>
      <c r="X957" s="838"/>
      <c r="Y957" s="255">
        <f t="shared" si="523"/>
        <v>0</v>
      </c>
      <c r="Z957" s="309">
        <f t="shared" si="524"/>
        <v>0</v>
      </c>
      <c r="AA957" s="256">
        <f t="shared" si="521"/>
        <v>0</v>
      </c>
      <c r="AB957" s="309"/>
      <c r="AC957" s="309"/>
      <c r="AD957" s="320">
        <f t="shared" si="522"/>
        <v>0</v>
      </c>
      <c r="AH957" s="64">
        <f t="shared" si="526"/>
        <v>43394</v>
      </c>
      <c r="AI957" s="698"/>
      <c r="AJ957" s="699"/>
      <c r="AK957" s="699"/>
      <c r="AL957" s="699"/>
      <c r="AM957" s="699"/>
      <c r="AN957" s="699"/>
      <c r="AO957" s="699"/>
      <c r="AP957" s="699"/>
      <c r="AQ957" s="699"/>
      <c r="AR957" s="699"/>
      <c r="AS957" s="699"/>
      <c r="AT957" s="699"/>
      <c r="AU957" s="699"/>
      <c r="AV957" s="699"/>
      <c r="AW957" s="699"/>
      <c r="AX957" s="700"/>
      <c r="AY957" s="700"/>
      <c r="AZ957" s="701"/>
    </row>
    <row r="958" spans="1:52" ht="29.25" customHeight="1" thickBot="1">
      <c r="A958" s="67">
        <f t="shared" si="525"/>
        <v>44887</v>
      </c>
      <c r="B958" s="155"/>
      <c r="C958" s="155"/>
      <c r="D958" s="155"/>
      <c r="E958" s="155"/>
      <c r="F958" s="155"/>
      <c r="G958" s="155"/>
      <c r="H958" s="155"/>
      <c r="I958" s="155"/>
      <c r="J958" s="155"/>
      <c r="K958" s="155"/>
      <c r="L958" s="155"/>
      <c r="M958" s="155"/>
      <c r="N958" s="155"/>
      <c r="O958" s="155"/>
      <c r="P958" s="155"/>
      <c r="Q958" s="155"/>
      <c r="R958" s="156"/>
      <c r="S958" s="180"/>
      <c r="T958" s="838"/>
      <c r="U958" s="838"/>
      <c r="V958" s="838"/>
      <c r="W958" s="838"/>
      <c r="X958" s="838"/>
      <c r="Y958" s="255">
        <f t="shared" si="523"/>
        <v>0</v>
      </c>
      <c r="Z958" s="309">
        <f t="shared" si="524"/>
        <v>0</v>
      </c>
      <c r="AA958" s="256">
        <f t="shared" si="521"/>
        <v>0</v>
      </c>
      <c r="AB958" s="309"/>
      <c r="AC958" s="309"/>
      <c r="AD958" s="320">
        <f t="shared" si="522"/>
        <v>0</v>
      </c>
      <c r="AH958" s="64">
        <f t="shared" si="526"/>
        <v>43395</v>
      </c>
      <c r="AI958" s="698"/>
      <c r="AJ958" s="699"/>
      <c r="AK958" s="699"/>
      <c r="AL958" s="699"/>
      <c r="AM958" s="699"/>
      <c r="AN958" s="699"/>
      <c r="AO958" s="699"/>
      <c r="AP958" s="699"/>
      <c r="AQ958" s="699"/>
      <c r="AR958" s="699"/>
      <c r="AS958" s="699"/>
      <c r="AT958" s="699"/>
      <c r="AU958" s="699"/>
      <c r="AV958" s="699"/>
      <c r="AW958" s="699"/>
      <c r="AX958" s="700"/>
      <c r="AY958" s="700"/>
      <c r="AZ958" s="701"/>
    </row>
    <row r="959" spans="1:52" ht="29.25" customHeight="1" thickBot="1">
      <c r="A959" s="67">
        <f t="shared" si="525"/>
        <v>44888</v>
      </c>
      <c r="B959" s="155"/>
      <c r="C959" s="155"/>
      <c r="D959" s="155"/>
      <c r="E959" s="155"/>
      <c r="F959" s="155"/>
      <c r="G959" s="155"/>
      <c r="H959" s="155"/>
      <c r="I959" s="155"/>
      <c r="J959" s="155"/>
      <c r="K959" s="155"/>
      <c r="L959" s="155"/>
      <c r="M959" s="155"/>
      <c r="N959" s="155"/>
      <c r="O959" s="155"/>
      <c r="P959" s="155"/>
      <c r="Q959" s="155"/>
      <c r="R959" s="156"/>
      <c r="S959" s="180"/>
      <c r="T959" s="838"/>
      <c r="U959" s="838"/>
      <c r="V959" s="838"/>
      <c r="W959" s="838"/>
      <c r="X959" s="838"/>
      <c r="Y959" s="255">
        <f t="shared" si="523"/>
        <v>0</v>
      </c>
      <c r="Z959" s="309">
        <f t="shared" si="524"/>
        <v>0</v>
      </c>
      <c r="AA959" s="256">
        <f t="shared" si="521"/>
        <v>0</v>
      </c>
      <c r="AB959" s="309"/>
      <c r="AC959" s="309"/>
      <c r="AD959" s="320">
        <f t="shared" si="522"/>
        <v>0</v>
      </c>
      <c r="AH959" s="64">
        <f t="shared" si="526"/>
        <v>43396</v>
      </c>
      <c r="AI959" s="698"/>
      <c r="AJ959" s="699"/>
      <c r="AK959" s="699"/>
      <c r="AL959" s="699"/>
      <c r="AM959" s="699"/>
      <c r="AN959" s="699"/>
      <c r="AO959" s="699"/>
      <c r="AP959" s="699"/>
      <c r="AQ959" s="699"/>
      <c r="AR959" s="699"/>
      <c r="AS959" s="699"/>
      <c r="AT959" s="699"/>
      <c r="AU959" s="699"/>
      <c r="AV959" s="699"/>
      <c r="AW959" s="699"/>
      <c r="AX959" s="700"/>
      <c r="AY959" s="700"/>
      <c r="AZ959" s="701"/>
    </row>
    <row r="960" spans="1:52" ht="29.25" customHeight="1" thickBot="1">
      <c r="A960" s="67">
        <f t="shared" si="525"/>
        <v>44889</v>
      </c>
      <c r="B960" s="155"/>
      <c r="C960" s="155"/>
      <c r="D960" s="155"/>
      <c r="E960" s="155"/>
      <c r="F960" s="155"/>
      <c r="G960" s="155"/>
      <c r="H960" s="155"/>
      <c r="I960" s="155"/>
      <c r="J960" s="155"/>
      <c r="K960" s="155"/>
      <c r="L960" s="155"/>
      <c r="M960" s="155"/>
      <c r="N960" s="155"/>
      <c r="O960" s="155"/>
      <c r="P960" s="155"/>
      <c r="Q960" s="155"/>
      <c r="R960" s="156"/>
      <c r="S960" s="180"/>
      <c r="T960" s="838"/>
      <c r="U960" s="838"/>
      <c r="V960" s="838"/>
      <c r="W960" s="838"/>
      <c r="X960" s="838"/>
      <c r="Y960" s="255">
        <f t="shared" si="523"/>
        <v>0</v>
      </c>
      <c r="Z960" s="309">
        <f t="shared" si="524"/>
        <v>0</v>
      </c>
      <c r="AA960" s="256">
        <f t="shared" si="521"/>
        <v>0</v>
      </c>
      <c r="AB960" s="309"/>
      <c r="AC960" s="309"/>
      <c r="AD960" s="320">
        <f t="shared" si="522"/>
        <v>0</v>
      </c>
      <c r="AH960" s="64">
        <f t="shared" si="526"/>
        <v>43397</v>
      </c>
      <c r="AI960" s="698"/>
      <c r="AJ960" s="699"/>
      <c r="AK960" s="699"/>
      <c r="AL960" s="699"/>
      <c r="AM960" s="699"/>
      <c r="AN960" s="699"/>
      <c r="AO960" s="699"/>
      <c r="AP960" s="699"/>
      <c r="AQ960" s="699"/>
      <c r="AR960" s="699"/>
      <c r="AS960" s="699"/>
      <c r="AT960" s="699"/>
      <c r="AU960" s="699"/>
      <c r="AV960" s="699"/>
      <c r="AW960" s="699"/>
      <c r="AX960" s="700"/>
      <c r="AY960" s="700"/>
      <c r="AZ960" s="701"/>
    </row>
    <row r="961" spans="1:52" ht="29.25" customHeight="1" thickBot="1">
      <c r="A961" s="67">
        <f t="shared" si="525"/>
        <v>44890</v>
      </c>
      <c r="B961" s="155"/>
      <c r="C961" s="155"/>
      <c r="D961" s="155"/>
      <c r="E961" s="155"/>
      <c r="F961" s="155"/>
      <c r="G961" s="155"/>
      <c r="H961" s="155"/>
      <c r="I961" s="155"/>
      <c r="J961" s="155"/>
      <c r="K961" s="155"/>
      <c r="L961" s="155"/>
      <c r="M961" s="155"/>
      <c r="N961" s="155"/>
      <c r="O961" s="155"/>
      <c r="P961" s="155"/>
      <c r="Q961" s="155"/>
      <c r="R961" s="156"/>
      <c r="S961" s="180"/>
      <c r="T961" s="838"/>
      <c r="U961" s="838"/>
      <c r="V961" s="838"/>
      <c r="W961" s="838"/>
      <c r="X961" s="838"/>
      <c r="Y961" s="255">
        <f t="shared" si="523"/>
        <v>0</v>
      </c>
      <c r="Z961" s="309">
        <f t="shared" si="524"/>
        <v>0</v>
      </c>
      <c r="AA961" s="256">
        <f t="shared" si="521"/>
        <v>0</v>
      </c>
      <c r="AB961" s="309"/>
      <c r="AC961" s="309"/>
      <c r="AD961" s="320">
        <f t="shared" si="522"/>
        <v>0</v>
      </c>
      <c r="AH961" s="64">
        <f t="shared" si="526"/>
        <v>43398</v>
      </c>
      <c r="AI961" s="698"/>
      <c r="AJ961" s="699"/>
      <c r="AK961" s="699"/>
      <c r="AL961" s="699"/>
      <c r="AM961" s="699"/>
      <c r="AN961" s="699"/>
      <c r="AO961" s="699"/>
      <c r="AP961" s="699"/>
      <c r="AQ961" s="699"/>
      <c r="AR961" s="699"/>
      <c r="AS961" s="699"/>
      <c r="AT961" s="699"/>
      <c r="AU961" s="699"/>
      <c r="AV961" s="699"/>
      <c r="AW961" s="699"/>
      <c r="AX961" s="700"/>
      <c r="AY961" s="700"/>
      <c r="AZ961" s="701"/>
    </row>
    <row r="962" spans="1:52" ht="29.25" customHeight="1" thickBot="1">
      <c r="A962" s="67">
        <f t="shared" si="525"/>
        <v>44891</v>
      </c>
      <c r="B962" s="155"/>
      <c r="C962" s="155"/>
      <c r="D962" s="155"/>
      <c r="E962" s="155"/>
      <c r="F962" s="155"/>
      <c r="G962" s="155"/>
      <c r="H962" s="155"/>
      <c r="I962" s="155"/>
      <c r="J962" s="155"/>
      <c r="K962" s="155"/>
      <c r="L962" s="155"/>
      <c r="M962" s="155"/>
      <c r="N962" s="155"/>
      <c r="O962" s="155"/>
      <c r="P962" s="155"/>
      <c r="Q962" s="155"/>
      <c r="R962" s="156"/>
      <c r="S962" s="180"/>
      <c r="T962" s="838"/>
      <c r="U962" s="838"/>
      <c r="V962" s="838"/>
      <c r="W962" s="838"/>
      <c r="X962" s="838"/>
      <c r="Y962" s="255">
        <f t="shared" si="523"/>
        <v>0</v>
      </c>
      <c r="Z962" s="309">
        <f t="shared" si="524"/>
        <v>0</v>
      </c>
      <c r="AA962" s="256">
        <f t="shared" si="521"/>
        <v>0</v>
      </c>
      <c r="AB962" s="309"/>
      <c r="AC962" s="309"/>
      <c r="AD962" s="320">
        <f t="shared" si="522"/>
        <v>0</v>
      </c>
      <c r="AH962" s="64">
        <f t="shared" si="526"/>
        <v>43399</v>
      </c>
      <c r="AI962" s="698"/>
      <c r="AJ962" s="699"/>
      <c r="AK962" s="699"/>
      <c r="AL962" s="699"/>
      <c r="AM962" s="699"/>
      <c r="AN962" s="699"/>
      <c r="AO962" s="699"/>
      <c r="AP962" s="699"/>
      <c r="AQ962" s="699"/>
      <c r="AR962" s="699"/>
      <c r="AS962" s="699"/>
      <c r="AT962" s="699"/>
      <c r="AU962" s="699"/>
      <c r="AV962" s="699"/>
      <c r="AW962" s="699"/>
      <c r="AX962" s="700"/>
      <c r="AY962" s="700"/>
      <c r="AZ962" s="701"/>
    </row>
    <row r="963" spans="1:52" ht="29.25" customHeight="1" thickBot="1">
      <c r="A963" s="67">
        <f t="shared" si="525"/>
        <v>44892</v>
      </c>
      <c r="B963" s="155"/>
      <c r="C963" s="155"/>
      <c r="D963" s="155"/>
      <c r="E963" s="155"/>
      <c r="F963" s="155"/>
      <c r="G963" s="155"/>
      <c r="H963" s="155"/>
      <c r="I963" s="155"/>
      <c r="J963" s="155"/>
      <c r="K963" s="155"/>
      <c r="L963" s="155"/>
      <c r="M963" s="155"/>
      <c r="N963" s="155"/>
      <c r="O963" s="155"/>
      <c r="P963" s="155"/>
      <c r="Q963" s="155"/>
      <c r="R963" s="156"/>
      <c r="S963" s="180"/>
      <c r="T963" s="838"/>
      <c r="U963" s="838"/>
      <c r="V963" s="838"/>
      <c r="W963" s="838"/>
      <c r="X963" s="838"/>
      <c r="Y963" s="255">
        <f t="shared" si="523"/>
        <v>0</v>
      </c>
      <c r="Z963" s="309">
        <f t="shared" si="524"/>
        <v>0</v>
      </c>
      <c r="AA963" s="256">
        <f t="shared" si="521"/>
        <v>0</v>
      </c>
      <c r="AB963" s="309"/>
      <c r="AC963" s="309"/>
      <c r="AD963" s="320">
        <f t="shared" si="522"/>
        <v>0</v>
      </c>
      <c r="AH963" s="64">
        <f t="shared" si="526"/>
        <v>43400</v>
      </c>
      <c r="AI963" s="698"/>
      <c r="AJ963" s="699"/>
      <c r="AK963" s="699"/>
      <c r="AL963" s="699"/>
      <c r="AM963" s="699"/>
      <c r="AN963" s="699"/>
      <c r="AO963" s="699"/>
      <c r="AP963" s="699"/>
      <c r="AQ963" s="699"/>
      <c r="AR963" s="699"/>
      <c r="AS963" s="699"/>
      <c r="AT963" s="699"/>
      <c r="AU963" s="699"/>
      <c r="AV963" s="699"/>
      <c r="AW963" s="699"/>
      <c r="AX963" s="700"/>
      <c r="AY963" s="700"/>
      <c r="AZ963" s="701"/>
    </row>
    <row r="964" spans="1:52" ht="29.25" customHeight="1" thickBot="1">
      <c r="A964" s="67">
        <f t="shared" si="525"/>
        <v>44893</v>
      </c>
      <c r="B964" s="155"/>
      <c r="C964" s="155"/>
      <c r="D964" s="155"/>
      <c r="E964" s="155"/>
      <c r="F964" s="155"/>
      <c r="G964" s="155"/>
      <c r="H964" s="155"/>
      <c r="I964" s="155"/>
      <c r="J964" s="155"/>
      <c r="K964" s="155"/>
      <c r="L964" s="155"/>
      <c r="M964" s="155"/>
      <c r="N964" s="155"/>
      <c r="O964" s="155"/>
      <c r="P964" s="155"/>
      <c r="Q964" s="155"/>
      <c r="R964" s="156"/>
      <c r="S964" s="180"/>
      <c r="T964" s="838"/>
      <c r="U964" s="838"/>
      <c r="V964" s="838"/>
      <c r="W964" s="838"/>
      <c r="X964" s="838"/>
      <c r="Y964" s="255">
        <f t="shared" si="523"/>
        <v>0</v>
      </c>
      <c r="Z964" s="309">
        <f t="shared" si="524"/>
        <v>0</v>
      </c>
      <c r="AA964" s="256">
        <f t="shared" si="521"/>
        <v>0</v>
      </c>
      <c r="AB964" s="309"/>
      <c r="AC964" s="309"/>
      <c r="AD964" s="320">
        <f t="shared" si="522"/>
        <v>0</v>
      </c>
      <c r="AH964" s="64">
        <f t="shared" si="526"/>
        <v>43401</v>
      </c>
      <c r="AI964" s="698"/>
      <c r="AJ964" s="699"/>
      <c r="AK964" s="699"/>
      <c r="AL964" s="699"/>
      <c r="AM964" s="699"/>
      <c r="AN964" s="699"/>
      <c r="AO964" s="699"/>
      <c r="AP964" s="699"/>
      <c r="AQ964" s="699"/>
      <c r="AR964" s="699"/>
      <c r="AS964" s="699"/>
      <c r="AT964" s="699"/>
      <c r="AU964" s="699"/>
      <c r="AV964" s="699"/>
      <c r="AW964" s="699"/>
      <c r="AX964" s="700"/>
      <c r="AY964" s="700"/>
      <c r="AZ964" s="701"/>
    </row>
    <row r="965" spans="1:52" ht="29.25" customHeight="1" thickBot="1">
      <c r="A965" s="67">
        <f t="shared" si="525"/>
        <v>44894</v>
      </c>
      <c r="B965" s="155"/>
      <c r="C965" s="155"/>
      <c r="D965" s="155"/>
      <c r="E965" s="155"/>
      <c r="F965" s="155"/>
      <c r="G965" s="155"/>
      <c r="H965" s="155"/>
      <c r="I965" s="155"/>
      <c r="J965" s="155"/>
      <c r="K965" s="155"/>
      <c r="L965" s="155"/>
      <c r="M965" s="155"/>
      <c r="N965" s="155"/>
      <c r="O965" s="155"/>
      <c r="P965" s="155"/>
      <c r="Q965" s="155"/>
      <c r="R965" s="156"/>
      <c r="S965" s="180"/>
      <c r="T965" s="838"/>
      <c r="U965" s="838"/>
      <c r="V965" s="838"/>
      <c r="W965" s="838"/>
      <c r="X965" s="838"/>
      <c r="Y965" s="255">
        <f t="shared" si="523"/>
        <v>0</v>
      </c>
      <c r="Z965" s="309">
        <f t="shared" si="524"/>
        <v>0</v>
      </c>
      <c r="AA965" s="256">
        <f t="shared" si="521"/>
        <v>0</v>
      </c>
      <c r="AB965" s="309"/>
      <c r="AC965" s="309"/>
      <c r="AD965" s="320">
        <f t="shared" si="522"/>
        <v>0</v>
      </c>
      <c r="AH965" s="64">
        <f>AH964+1</f>
        <v>43402</v>
      </c>
      <c r="AI965" s="698"/>
      <c r="AJ965" s="699"/>
      <c r="AK965" s="699"/>
      <c r="AL965" s="699"/>
      <c r="AM965" s="699"/>
      <c r="AN965" s="699"/>
      <c r="AO965" s="699"/>
      <c r="AP965" s="699"/>
      <c r="AQ965" s="699"/>
      <c r="AR965" s="699"/>
      <c r="AS965" s="699"/>
      <c r="AT965" s="699"/>
      <c r="AU965" s="699"/>
      <c r="AV965" s="699"/>
      <c r="AW965" s="699"/>
      <c r="AX965" s="700"/>
      <c r="AY965" s="700"/>
      <c r="AZ965" s="701"/>
    </row>
    <row r="966" spans="1:52" ht="29.25" customHeight="1" thickBot="1">
      <c r="A966" s="67">
        <f t="shared" si="525"/>
        <v>44895</v>
      </c>
      <c r="B966" s="155"/>
      <c r="C966" s="155"/>
      <c r="D966" s="155"/>
      <c r="E966" s="155"/>
      <c r="F966" s="155"/>
      <c r="G966" s="155"/>
      <c r="H966" s="155"/>
      <c r="I966" s="155"/>
      <c r="J966" s="155"/>
      <c r="K966" s="155"/>
      <c r="L966" s="155"/>
      <c r="M966" s="155"/>
      <c r="N966" s="155"/>
      <c r="O966" s="155"/>
      <c r="P966" s="155"/>
      <c r="Q966" s="155"/>
      <c r="R966" s="156"/>
      <c r="S966" s="180"/>
      <c r="T966" s="838"/>
      <c r="U966" s="838"/>
      <c r="V966" s="838"/>
      <c r="W966" s="838"/>
      <c r="X966" s="838"/>
      <c r="Y966" s="255">
        <f t="shared" si="523"/>
        <v>0</v>
      </c>
      <c r="Z966" s="309">
        <f t="shared" si="524"/>
        <v>0</v>
      </c>
      <c r="AA966" s="256">
        <f t="shared" si="521"/>
        <v>0</v>
      </c>
      <c r="AB966" s="309"/>
      <c r="AC966" s="309"/>
      <c r="AD966" s="320">
        <f t="shared" si="522"/>
        <v>0</v>
      </c>
      <c r="AH966" s="64">
        <f t="shared" si="526"/>
        <v>43403</v>
      </c>
      <c r="AI966" s="698"/>
      <c r="AJ966" s="699"/>
      <c r="AK966" s="699"/>
      <c r="AL966" s="699"/>
      <c r="AM966" s="699"/>
      <c r="AN966" s="699"/>
      <c r="AO966" s="699"/>
      <c r="AP966" s="699"/>
      <c r="AQ966" s="699"/>
      <c r="AR966" s="699"/>
      <c r="AS966" s="699"/>
      <c r="AT966" s="699"/>
      <c r="AU966" s="699"/>
      <c r="AV966" s="699"/>
      <c r="AW966" s="699"/>
      <c r="AX966" s="700"/>
      <c r="AY966" s="700"/>
      <c r="AZ966" s="701"/>
    </row>
    <row r="967" spans="1:52" ht="29.25" customHeight="1" thickBot="1">
      <c r="A967" s="102">
        <f t="shared" si="525"/>
        <v>44896</v>
      </c>
      <c r="B967" s="165"/>
      <c r="C967" s="162"/>
      <c r="D967" s="162"/>
      <c r="E967" s="162"/>
      <c r="F967" s="162"/>
      <c r="G967" s="162"/>
      <c r="H967" s="162"/>
      <c r="I967" s="162"/>
      <c r="J967" s="162"/>
      <c r="K967" s="162"/>
      <c r="L967" s="165"/>
      <c r="M967" s="162"/>
      <c r="N967" s="162"/>
      <c r="O967" s="162"/>
      <c r="P967" s="162"/>
      <c r="Q967" s="162"/>
      <c r="R967" s="164"/>
      <c r="S967" s="181"/>
      <c r="T967" s="839"/>
      <c r="U967" s="839"/>
      <c r="V967" s="839"/>
      <c r="W967" s="839"/>
      <c r="X967" s="839"/>
      <c r="Y967" s="255">
        <f t="shared" si="523"/>
        <v>0</v>
      </c>
      <c r="Z967" s="309">
        <f t="shared" si="524"/>
        <v>0</v>
      </c>
      <c r="AA967" s="256">
        <f t="shared" si="521"/>
        <v>0</v>
      </c>
      <c r="AB967" s="309"/>
      <c r="AC967" s="309"/>
      <c r="AD967" s="320">
        <f t="shared" si="522"/>
        <v>0</v>
      </c>
      <c r="AH967" s="65">
        <f t="shared" si="526"/>
        <v>43404</v>
      </c>
      <c r="AI967" s="702"/>
      <c r="AJ967" s="703"/>
      <c r="AK967" s="703"/>
      <c r="AL967" s="703"/>
      <c r="AM967" s="703"/>
      <c r="AN967" s="703"/>
      <c r="AO967" s="703"/>
      <c r="AP967" s="703"/>
      <c r="AQ967" s="703"/>
      <c r="AR967" s="703"/>
      <c r="AS967" s="703"/>
      <c r="AT967" s="703"/>
      <c r="AU967" s="703"/>
      <c r="AV967" s="703"/>
      <c r="AW967" s="703"/>
      <c r="AX967" s="704"/>
      <c r="AY967" s="704"/>
      <c r="AZ967" s="705"/>
    </row>
    <row r="968" spans="1:52" ht="50.1" customHeight="1" thickTop="1" thickBot="1">
      <c r="A968" s="96" t="s">
        <v>74</v>
      </c>
      <c r="B968" s="104">
        <f>SUM(B937:B967)</f>
        <v>0</v>
      </c>
      <c r="C968" s="104">
        <f t="shared" ref="C968:Y968" si="527">SUM(C937:C967)</f>
        <v>0</v>
      </c>
      <c r="D968" s="104">
        <f t="shared" si="527"/>
        <v>0</v>
      </c>
      <c r="E968" s="104"/>
      <c r="F968" s="104">
        <f t="shared" si="527"/>
        <v>0</v>
      </c>
      <c r="G968" s="104">
        <f t="shared" si="527"/>
        <v>0</v>
      </c>
      <c r="H968" s="104">
        <f t="shared" si="527"/>
        <v>0</v>
      </c>
      <c r="I968" s="104">
        <f t="shared" si="527"/>
        <v>0</v>
      </c>
      <c r="J968" s="104">
        <f t="shared" si="527"/>
        <v>0</v>
      </c>
      <c r="K968" s="104">
        <f t="shared" si="527"/>
        <v>0</v>
      </c>
      <c r="L968" s="104">
        <f t="shared" si="527"/>
        <v>0</v>
      </c>
      <c r="M968" s="104">
        <f t="shared" si="527"/>
        <v>0</v>
      </c>
      <c r="N968" s="104">
        <f t="shared" si="527"/>
        <v>0</v>
      </c>
      <c r="O968" s="104">
        <f t="shared" si="527"/>
        <v>0</v>
      </c>
      <c r="P968" s="104"/>
      <c r="Q968" s="104">
        <f t="shared" si="527"/>
        <v>0</v>
      </c>
      <c r="R968" s="104">
        <f t="shared" si="527"/>
        <v>0</v>
      </c>
      <c r="S968" s="104">
        <f t="shared" si="527"/>
        <v>0</v>
      </c>
      <c r="T968" s="104"/>
      <c r="U968" s="104"/>
      <c r="V968" s="104"/>
      <c r="W968" s="104"/>
      <c r="X968" s="104"/>
      <c r="Y968" s="292">
        <f t="shared" si="527"/>
        <v>0</v>
      </c>
      <c r="Z968" s="259"/>
      <c r="AA968" s="259"/>
      <c r="AB968" s="316">
        <f>SUM(AB937:AB967)</f>
        <v>0</v>
      </c>
      <c r="AC968" s="316"/>
      <c r="AD968" s="260"/>
      <c r="AH968" s="706" t="s">
        <v>101</v>
      </c>
      <c r="AI968" s="707">
        <f>SUM(AI937:AI967)</f>
        <v>0</v>
      </c>
      <c r="AJ968" s="707">
        <f>SUM(AJ937:AJ967)</f>
        <v>0</v>
      </c>
      <c r="AK968" s="707">
        <f t="shared" ref="AK968:AZ968" si="528">SUM(AK937:AK967)</f>
        <v>0</v>
      </c>
      <c r="AL968" s="707">
        <f t="shared" si="528"/>
        <v>0</v>
      </c>
      <c r="AM968" s="707">
        <f t="shared" si="528"/>
        <v>0</v>
      </c>
      <c r="AN968" s="707">
        <f t="shared" si="528"/>
        <v>0</v>
      </c>
      <c r="AO968" s="707">
        <f t="shared" si="528"/>
        <v>0</v>
      </c>
      <c r="AP968" s="707">
        <f t="shared" si="528"/>
        <v>0</v>
      </c>
      <c r="AQ968" s="707">
        <f t="shared" si="528"/>
        <v>0</v>
      </c>
      <c r="AR968" s="707">
        <f t="shared" si="528"/>
        <v>0</v>
      </c>
      <c r="AS968" s="707">
        <f t="shared" si="528"/>
        <v>0</v>
      </c>
      <c r="AT968" s="707">
        <f t="shared" si="528"/>
        <v>0</v>
      </c>
      <c r="AU968" s="707">
        <f t="shared" si="528"/>
        <v>0</v>
      </c>
      <c r="AV968" s="707">
        <f t="shared" si="528"/>
        <v>0</v>
      </c>
      <c r="AW968" s="707">
        <f t="shared" si="528"/>
        <v>0</v>
      </c>
      <c r="AX968" s="707">
        <f t="shared" si="528"/>
        <v>0</v>
      </c>
      <c r="AY968" s="707">
        <f t="shared" si="528"/>
        <v>0</v>
      </c>
      <c r="AZ968" s="707">
        <f t="shared" si="528"/>
        <v>0</v>
      </c>
    </row>
    <row r="969" spans="1:52" ht="50.1" customHeight="1" thickTop="1" thickBot="1">
      <c r="A969" s="9"/>
      <c r="B969" s="712"/>
      <c r="C969" s="712"/>
      <c r="D969" s="712"/>
      <c r="E969" s="712"/>
      <c r="F969" s="712"/>
      <c r="G969" s="712"/>
      <c r="H969" s="712"/>
      <c r="I969" s="712"/>
      <c r="J969" s="712"/>
      <c r="K969" s="712"/>
      <c r="L969" s="712"/>
      <c r="M969" s="712"/>
      <c r="N969" s="712"/>
      <c r="O969" s="712"/>
      <c r="P969" s="712"/>
      <c r="Q969" s="712"/>
      <c r="R969" s="712"/>
      <c r="S969" s="712"/>
      <c r="T969" s="712"/>
      <c r="U969" s="712"/>
      <c r="V969" s="712"/>
      <c r="W969" s="712"/>
      <c r="X969" s="712"/>
      <c r="Y969" s="302"/>
      <c r="Z969" s="709"/>
      <c r="AA969" s="709"/>
      <c r="AB969" s="710"/>
      <c r="AC969" s="710"/>
      <c r="AD969" s="711"/>
      <c r="AH969" s="706" t="s">
        <v>45</v>
      </c>
      <c r="AI969" s="707">
        <v>220</v>
      </c>
      <c r="AJ969" s="707">
        <v>220</v>
      </c>
      <c r="AK969" s="707">
        <v>220</v>
      </c>
      <c r="AL969" s="707">
        <v>100</v>
      </c>
      <c r="AM969" s="707">
        <v>100</v>
      </c>
      <c r="AN969" s="707">
        <v>80</v>
      </c>
      <c r="AO969" s="707">
        <v>25</v>
      </c>
      <c r="AP969" s="707">
        <v>25</v>
      </c>
      <c r="AQ969" s="707">
        <v>25</v>
      </c>
      <c r="AR969" s="707">
        <v>400</v>
      </c>
      <c r="AS969" s="707">
        <v>400</v>
      </c>
      <c r="AT969" s="707">
        <v>400</v>
      </c>
      <c r="AU969" s="707">
        <v>0</v>
      </c>
      <c r="AV969" s="707">
        <v>0</v>
      </c>
      <c r="AW969" s="707">
        <v>200</v>
      </c>
      <c r="AX969" s="707">
        <v>200</v>
      </c>
      <c r="AY969" s="707">
        <v>0</v>
      </c>
      <c r="AZ969" s="707">
        <v>0</v>
      </c>
    </row>
    <row r="970" spans="1:52" ht="50.1" customHeight="1" thickTop="1" thickBot="1">
      <c r="A970" s="9"/>
      <c r="B970" s="712"/>
      <c r="C970" s="712"/>
      <c r="D970" s="712"/>
      <c r="E970" s="712"/>
      <c r="F970" s="712"/>
      <c r="G970" s="712"/>
      <c r="H970" s="712"/>
      <c r="I970" s="712"/>
      <c r="J970" s="712"/>
      <c r="K970" s="712"/>
      <c r="L970" s="712"/>
      <c r="M970" s="712"/>
      <c r="N970" s="712"/>
      <c r="O970" s="712"/>
      <c r="P970" s="712"/>
      <c r="Q970" s="712"/>
      <c r="R970" s="712"/>
      <c r="S970" s="712"/>
      <c r="T970" s="712"/>
      <c r="U970" s="712"/>
      <c r="V970" s="712"/>
      <c r="W970" s="712"/>
      <c r="X970" s="712"/>
      <c r="Y970" s="302"/>
      <c r="Z970" s="709"/>
      <c r="AA970" s="709"/>
      <c r="AB970" s="710"/>
      <c r="AC970" s="710"/>
      <c r="AD970" s="711"/>
      <c r="AH970" s="706" t="s">
        <v>46</v>
      </c>
      <c r="AI970" s="707">
        <f>AI968*AI969</f>
        <v>0</v>
      </c>
      <c r="AJ970" s="707">
        <f t="shared" ref="AJ970" si="529">AJ968*AJ969</f>
        <v>0</v>
      </c>
      <c r="AK970" s="707">
        <f t="shared" ref="AK970" si="530">AK968*AK969</f>
        <v>0</v>
      </c>
      <c r="AL970" s="707">
        <f t="shared" ref="AL970" si="531">AL968*AL969</f>
        <v>0</v>
      </c>
      <c r="AM970" s="707">
        <f t="shared" ref="AM970" si="532">AM968*AM969</f>
        <v>0</v>
      </c>
      <c r="AN970" s="707">
        <f t="shared" ref="AN970" si="533">AN968*AN969</f>
        <v>0</v>
      </c>
      <c r="AO970" s="707">
        <f t="shared" ref="AO970" si="534">AO968*AO969</f>
        <v>0</v>
      </c>
      <c r="AP970" s="707">
        <f t="shared" ref="AP970" si="535">AP968*AP969</f>
        <v>0</v>
      </c>
      <c r="AQ970" s="707">
        <f t="shared" ref="AQ970" si="536">AQ968*AQ969</f>
        <v>0</v>
      </c>
      <c r="AR970" s="707">
        <f t="shared" ref="AR970" si="537">AR968*AR969</f>
        <v>0</v>
      </c>
      <c r="AS970" s="707">
        <f t="shared" ref="AS970" si="538">AS968*AS969</f>
        <v>0</v>
      </c>
      <c r="AT970" s="707">
        <f t="shared" ref="AT970" si="539">AT968*AT969</f>
        <v>0</v>
      </c>
      <c r="AU970" s="707">
        <f t="shared" ref="AU970" si="540">AU968*AU969</f>
        <v>0</v>
      </c>
      <c r="AV970" s="707">
        <f t="shared" ref="AV970" si="541">AV968*AV969</f>
        <v>0</v>
      </c>
      <c r="AW970" s="707">
        <f t="shared" ref="AW970" si="542">AW968*AW969</f>
        <v>0</v>
      </c>
      <c r="AX970" s="707">
        <f t="shared" ref="AX970" si="543">AX968*AX969</f>
        <v>0</v>
      </c>
      <c r="AY970" s="707">
        <f t="shared" ref="AY970" si="544">AY968*AY969</f>
        <v>0</v>
      </c>
      <c r="AZ970" s="707">
        <f t="shared" ref="AZ970" si="545">AZ968*AZ969</f>
        <v>0</v>
      </c>
    </row>
    <row r="971" spans="1:52" ht="24.75" thickTop="1" thickBot="1"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714">
        <f>SUM(AI970:AZ970)</f>
        <v>0</v>
      </c>
    </row>
    <row r="972" spans="1:52" ht="43.5" thickBot="1">
      <c r="A972" s="109">
        <f>A5</f>
        <v>2022</v>
      </c>
      <c r="B972" s="1447"/>
      <c r="C972" s="1448"/>
      <c r="D972" s="1448"/>
      <c r="E972" s="1448"/>
      <c r="F972" s="1448"/>
      <c r="G972" s="1448"/>
      <c r="H972" s="1448"/>
      <c r="I972" s="1448"/>
      <c r="J972" s="1448"/>
      <c r="K972" s="1448"/>
      <c r="L972" s="1448"/>
      <c r="M972" s="1448"/>
      <c r="N972" s="1448"/>
      <c r="O972" s="1448"/>
      <c r="P972" s="1448"/>
      <c r="Q972" s="1448"/>
      <c r="R972" s="1448"/>
      <c r="S972" s="1448"/>
      <c r="T972" s="1448"/>
      <c r="U972" s="1448"/>
      <c r="V972" s="1448"/>
      <c r="W972" s="1448"/>
      <c r="X972" s="1448"/>
      <c r="Y972" s="1449"/>
      <c r="Z972" s="21"/>
      <c r="AA972" s="21"/>
      <c r="AB972" s="21"/>
      <c r="AC972" s="2"/>
      <c r="AD972" t="s">
        <v>1</v>
      </c>
      <c r="AH972" s="109">
        <v>2018</v>
      </c>
      <c r="AI972" s="1424">
        <f>B972</f>
        <v>0</v>
      </c>
      <c r="AJ972" s="1425"/>
      <c r="AK972" s="1425"/>
      <c r="AL972" s="1425"/>
      <c r="AM972" s="1425"/>
      <c r="AN972" s="1425"/>
      <c r="AO972" s="1425"/>
      <c r="AP972" s="1425"/>
      <c r="AQ972" s="1425"/>
      <c r="AR972" s="1425"/>
      <c r="AS972" s="1425"/>
      <c r="AT972" s="1425"/>
      <c r="AU972" s="1425"/>
      <c r="AV972" s="1425"/>
      <c r="AW972" s="1425"/>
      <c r="AX972" s="1425"/>
      <c r="AY972" s="1425"/>
      <c r="AZ972" s="1425"/>
    </row>
    <row r="973" spans="1:52" ht="60" customHeight="1" thickTop="1" thickBot="1">
      <c r="A973" s="1468" t="s">
        <v>94</v>
      </c>
      <c r="B973" s="1402" t="s">
        <v>95</v>
      </c>
      <c r="C973" s="1403"/>
      <c r="D973" s="1403"/>
      <c r="E973" s="1404"/>
      <c r="F973" s="1402" t="s">
        <v>7</v>
      </c>
      <c r="G973" s="1403"/>
      <c r="H973" s="1404"/>
      <c r="I973" s="1402" t="s">
        <v>8</v>
      </c>
      <c r="J973" s="1404"/>
      <c r="K973" s="1402" t="s">
        <v>9</v>
      </c>
      <c r="L973" s="1403"/>
      <c r="M973" s="1403"/>
      <c r="N973" s="1403"/>
      <c r="O973" s="1403"/>
      <c r="P973" s="1403"/>
      <c r="Q973" s="1403"/>
      <c r="R973" s="1405" t="s">
        <v>10</v>
      </c>
      <c r="S973" s="1406"/>
      <c r="T973" s="1400" t="s">
        <v>289</v>
      </c>
      <c r="U973" s="1401"/>
      <c r="V973" s="842" t="s">
        <v>258</v>
      </c>
      <c r="W973" s="842"/>
      <c r="X973" s="842"/>
      <c r="Y973" s="211"/>
      <c r="Z973" s="21"/>
      <c r="AA973" s="21"/>
      <c r="AB973" s="21"/>
      <c r="AC973" s="21"/>
      <c r="AH973" s="1422" t="s">
        <v>94</v>
      </c>
      <c r="AI973" s="1402" t="s">
        <v>95</v>
      </c>
      <c r="AJ973" s="1403"/>
      <c r="AK973" s="1404"/>
      <c r="AL973" s="1402" t="s">
        <v>7</v>
      </c>
      <c r="AM973" s="1403"/>
      <c r="AN973" s="1404"/>
      <c r="AO973" s="1402" t="s">
        <v>8</v>
      </c>
      <c r="AP973" s="1403"/>
      <c r="AQ973" s="1404"/>
      <c r="AR973" s="1402" t="s">
        <v>9</v>
      </c>
      <c r="AS973" s="1403"/>
      <c r="AT973" s="1404"/>
      <c r="AU973" s="1403" t="s">
        <v>9</v>
      </c>
      <c r="AV973" s="1404"/>
      <c r="AW973" s="1429" t="s">
        <v>10</v>
      </c>
      <c r="AX973" s="1430"/>
      <c r="AY973" s="690"/>
      <c r="AZ973" s="404" t="s">
        <v>11</v>
      </c>
    </row>
    <row r="974" spans="1:52" ht="42" thickTop="1" thickBot="1">
      <c r="A974" s="1428"/>
      <c r="B974" s="482" t="s">
        <v>12</v>
      </c>
      <c r="C974" s="482" t="s">
        <v>13</v>
      </c>
      <c r="D974" s="482" t="s">
        <v>14</v>
      </c>
      <c r="E974" s="688" t="s">
        <v>198</v>
      </c>
      <c r="F974" s="482" t="s">
        <v>12</v>
      </c>
      <c r="G974" s="482" t="s">
        <v>13</v>
      </c>
      <c r="H974" s="482" t="s">
        <v>282</v>
      </c>
      <c r="I974" s="482" t="s">
        <v>12</v>
      </c>
      <c r="J974" s="482" t="s">
        <v>16</v>
      </c>
      <c r="K974" s="482" t="s">
        <v>17</v>
      </c>
      <c r="L974" s="482" t="s">
        <v>18</v>
      </c>
      <c r="M974" s="482" t="s">
        <v>19</v>
      </c>
      <c r="N974" s="484" t="s">
        <v>96</v>
      </c>
      <c r="O974" s="484" t="s">
        <v>257</v>
      </c>
      <c r="P974" s="484" t="s">
        <v>254</v>
      </c>
      <c r="Q974" s="484" t="s">
        <v>20</v>
      </c>
      <c r="R974" s="483" t="s">
        <v>14</v>
      </c>
      <c r="S974" s="482" t="s">
        <v>13</v>
      </c>
      <c r="T974" s="846" t="s">
        <v>284</v>
      </c>
      <c r="U974" s="846" t="s">
        <v>288</v>
      </c>
      <c r="V974" s="484" t="s">
        <v>259</v>
      </c>
      <c r="W974" s="484"/>
      <c r="X974" s="484"/>
      <c r="Y974" s="209" t="s">
        <v>90</v>
      </c>
      <c r="Z974" s="210" t="s">
        <v>97</v>
      </c>
      <c r="AA974" s="210" t="s">
        <v>74</v>
      </c>
      <c r="AB974" s="210" t="s">
        <v>98</v>
      </c>
      <c r="AC974" s="210" t="s">
        <v>99</v>
      </c>
      <c r="AD974" s="210" t="s">
        <v>100</v>
      </c>
      <c r="AH974" s="1428"/>
      <c r="AI974" s="482" t="s">
        <v>12</v>
      </c>
      <c r="AJ974" s="482" t="s">
        <v>13</v>
      </c>
      <c r="AK974" s="482" t="s">
        <v>14</v>
      </c>
      <c r="AL974" s="482" t="s">
        <v>12</v>
      </c>
      <c r="AM974" s="482" t="s">
        <v>13</v>
      </c>
      <c r="AN974" s="482" t="s">
        <v>15</v>
      </c>
      <c r="AO974" s="482" t="s">
        <v>12</v>
      </c>
      <c r="AP974" s="482" t="s">
        <v>205</v>
      </c>
      <c r="AQ974" s="482" t="s">
        <v>16</v>
      </c>
      <c r="AR974" s="482" t="s">
        <v>17</v>
      </c>
      <c r="AS974" s="482" t="s">
        <v>18</v>
      </c>
      <c r="AT974" s="482" t="s">
        <v>19</v>
      </c>
      <c r="AU974" s="482" t="s">
        <v>201</v>
      </c>
      <c r="AV974" s="482" t="s">
        <v>20</v>
      </c>
      <c r="AW974" s="482" t="s">
        <v>12</v>
      </c>
      <c r="AX974" s="483" t="s">
        <v>13</v>
      </c>
      <c r="AY974" s="688" t="s">
        <v>198</v>
      </c>
      <c r="AZ974" s="484" t="s">
        <v>96</v>
      </c>
    </row>
    <row r="975" spans="1:52" ht="30.75" customHeight="1" thickBot="1">
      <c r="A975" s="67">
        <f>A937</f>
        <v>44866</v>
      </c>
      <c r="B975" s="153"/>
      <c r="C975" s="153"/>
      <c r="D975" s="153"/>
      <c r="E975" s="153"/>
      <c r="F975" s="153"/>
      <c r="G975" s="153"/>
      <c r="H975" s="153"/>
      <c r="I975" s="153"/>
      <c r="J975" s="153"/>
      <c r="K975" s="153"/>
      <c r="L975" s="153"/>
      <c r="M975" s="153"/>
      <c r="N975" s="153"/>
      <c r="O975" s="153"/>
      <c r="P975" s="153"/>
      <c r="Q975" s="153"/>
      <c r="R975" s="154"/>
      <c r="S975" s="179"/>
      <c r="T975" s="837"/>
      <c r="U975" s="837"/>
      <c r="V975" s="837"/>
      <c r="W975" s="837"/>
      <c r="X975" s="837"/>
      <c r="Y975" s="255">
        <f>B975*280+C975*280+D975*280+E975*280+F975*130+G975*130+H975*90+I975*35+J975*35+K975*400+L975*400+M975*400+N975*381.25+O975*387.5+P975*80+Q975*200+R975*260+S975*41+T975*30+U975*60</f>
        <v>0</v>
      </c>
      <c r="Z975" s="308"/>
      <c r="AA975" s="263">
        <f t="shared" ref="AA975:AA1005" si="546">Y975+Z975</f>
        <v>0</v>
      </c>
      <c r="AB975" s="308"/>
      <c r="AC975" s="308"/>
      <c r="AD975" s="319">
        <f t="shared" ref="AD975:AD1005" si="547">AA975-AB975-AC975</f>
        <v>0</v>
      </c>
      <c r="AH975" s="63">
        <f>AH937</f>
        <v>43374</v>
      </c>
      <c r="AI975" s="694"/>
      <c r="AJ975" s="695"/>
      <c r="AK975" s="695"/>
      <c r="AL975" s="695"/>
      <c r="AM975" s="695"/>
      <c r="AN975" s="695"/>
      <c r="AO975" s="695"/>
      <c r="AP975" s="695"/>
      <c r="AQ975" s="695"/>
      <c r="AR975" s="695"/>
      <c r="AS975" s="695"/>
      <c r="AT975" s="695"/>
      <c r="AU975" s="695"/>
      <c r="AV975" s="695"/>
      <c r="AW975" s="695"/>
      <c r="AX975" s="696"/>
      <c r="AY975" s="696"/>
      <c r="AZ975" s="697"/>
    </row>
    <row r="976" spans="1:52" ht="30.75" thickBot="1">
      <c r="A976" s="67">
        <f>A975+1</f>
        <v>44867</v>
      </c>
      <c r="B976" s="155"/>
      <c r="C976" s="155"/>
      <c r="D976" s="155"/>
      <c r="E976" s="155"/>
      <c r="F976" s="155"/>
      <c r="G976" s="155"/>
      <c r="H976" s="155"/>
      <c r="I976" s="155"/>
      <c r="J976" s="155"/>
      <c r="K976" s="155"/>
      <c r="L976" s="155"/>
      <c r="M976" s="155"/>
      <c r="N976" s="155"/>
      <c r="O976" s="155"/>
      <c r="P976" s="155"/>
      <c r="Q976" s="155"/>
      <c r="R976" s="156"/>
      <c r="S976" s="180"/>
      <c r="T976" s="838"/>
      <c r="U976" s="838"/>
      <c r="V976" s="838"/>
      <c r="W976" s="838"/>
      <c r="X976" s="838"/>
      <c r="Y976" s="255">
        <f t="shared" ref="Y976:Y1005" si="548">B976*280+C976*280+D976*280+E976*280+F976*130+G976*130+H976*90+I976*35+J976*35+K976*400+L976*400+M976*400+N976*381.25+O976*387.5+P976*80+Q976*200+R976*260+S976*41+T976*30+U976*60</f>
        <v>0</v>
      </c>
      <c r="Z976" s="309">
        <f t="shared" ref="Z976:Z1005" si="549">AD975</f>
        <v>0</v>
      </c>
      <c r="AA976" s="256">
        <f t="shared" si="546"/>
        <v>0</v>
      </c>
      <c r="AB976" s="309"/>
      <c r="AC976" s="309"/>
      <c r="AD976" s="320">
        <f t="shared" si="547"/>
        <v>0</v>
      </c>
      <c r="AF976" s="578" t="s">
        <v>1</v>
      </c>
      <c r="AG976" s="4"/>
      <c r="AH976" s="64">
        <f>AH975+1</f>
        <v>43375</v>
      </c>
      <c r="AI976" s="698"/>
      <c r="AJ976" s="699"/>
      <c r="AK976" s="699"/>
      <c r="AL976" s="699"/>
      <c r="AM976" s="699"/>
      <c r="AN976" s="699"/>
      <c r="AO976" s="699"/>
      <c r="AP976" s="699"/>
      <c r="AQ976" s="699"/>
      <c r="AR976" s="699"/>
      <c r="AS976" s="699"/>
      <c r="AT976" s="699"/>
      <c r="AU976" s="699"/>
      <c r="AV976" s="699"/>
      <c r="AW976" s="699"/>
      <c r="AX976" s="700"/>
      <c r="AY976" s="700"/>
      <c r="AZ976" s="701"/>
    </row>
    <row r="977" spans="1:52" ht="30.75" thickBot="1">
      <c r="A977" s="67">
        <f t="shared" ref="A977:A1005" si="550">A976+1</f>
        <v>44868</v>
      </c>
      <c r="B977" s="155"/>
      <c r="C977" s="155"/>
      <c r="D977" s="155"/>
      <c r="E977" s="155"/>
      <c r="F977" s="155"/>
      <c r="G977" s="155"/>
      <c r="H977" s="155"/>
      <c r="I977" s="155"/>
      <c r="J977" s="155"/>
      <c r="K977" s="155"/>
      <c r="L977" s="155"/>
      <c r="M977" s="155"/>
      <c r="N977" s="155"/>
      <c r="O977" s="155"/>
      <c r="P977" s="155"/>
      <c r="Q977" s="155"/>
      <c r="R977" s="156"/>
      <c r="S977" s="180"/>
      <c r="T977" s="838"/>
      <c r="U977" s="838"/>
      <c r="V977" s="838"/>
      <c r="W977" s="838"/>
      <c r="X977" s="838"/>
      <c r="Y977" s="255">
        <f t="shared" si="548"/>
        <v>0</v>
      </c>
      <c r="Z977" s="309">
        <f t="shared" si="549"/>
        <v>0</v>
      </c>
      <c r="AA977" s="256">
        <f t="shared" si="546"/>
        <v>0</v>
      </c>
      <c r="AB977" s="309"/>
      <c r="AC977" s="309"/>
      <c r="AD977" s="320">
        <f t="shared" si="547"/>
        <v>0</v>
      </c>
      <c r="AH977" s="64">
        <f t="shared" ref="AH977:AH1005" si="551">AH976+1</f>
        <v>43376</v>
      </c>
      <c r="AI977" s="698"/>
      <c r="AJ977" s="699"/>
      <c r="AK977" s="699"/>
      <c r="AL977" s="699"/>
      <c r="AM977" s="699"/>
      <c r="AN977" s="699"/>
      <c r="AO977" s="699"/>
      <c r="AP977" s="699"/>
      <c r="AQ977" s="699"/>
      <c r="AR977" s="699"/>
      <c r="AS977" s="699"/>
      <c r="AT977" s="699"/>
      <c r="AU977" s="699"/>
      <c r="AV977" s="699"/>
      <c r="AW977" s="699"/>
      <c r="AX977" s="700"/>
      <c r="AY977" s="700"/>
      <c r="AZ977" s="701"/>
    </row>
    <row r="978" spans="1:52" ht="30.75" thickBot="1">
      <c r="A978" s="67">
        <f t="shared" si="550"/>
        <v>44869</v>
      </c>
      <c r="B978" s="155"/>
      <c r="C978" s="155"/>
      <c r="D978" s="155"/>
      <c r="E978" s="155"/>
      <c r="F978" s="155"/>
      <c r="G978" s="155"/>
      <c r="H978" s="155"/>
      <c r="I978" s="155"/>
      <c r="J978" s="155"/>
      <c r="K978" s="155"/>
      <c r="L978" s="155"/>
      <c r="M978" s="155"/>
      <c r="N978" s="155"/>
      <c r="O978" s="155"/>
      <c r="P978" s="155"/>
      <c r="Q978" s="155"/>
      <c r="R978" s="156"/>
      <c r="S978" s="180"/>
      <c r="T978" s="838"/>
      <c r="U978" s="838"/>
      <c r="V978" s="838"/>
      <c r="W978" s="838"/>
      <c r="X978" s="838"/>
      <c r="Y978" s="255">
        <f t="shared" si="548"/>
        <v>0</v>
      </c>
      <c r="Z978" s="309">
        <f t="shared" si="549"/>
        <v>0</v>
      </c>
      <c r="AA978" s="256">
        <f t="shared" si="546"/>
        <v>0</v>
      </c>
      <c r="AB978" s="309"/>
      <c r="AC978" s="309"/>
      <c r="AD978" s="320">
        <f t="shared" si="547"/>
        <v>0</v>
      </c>
      <c r="AH978" s="64">
        <f t="shared" si="551"/>
        <v>43377</v>
      </c>
      <c r="AI978" s="698"/>
      <c r="AJ978" s="699"/>
      <c r="AK978" s="699"/>
      <c r="AL978" s="699"/>
      <c r="AM978" s="699"/>
      <c r="AN978" s="699"/>
      <c r="AO978" s="699"/>
      <c r="AP978" s="699"/>
      <c r="AQ978" s="699"/>
      <c r="AR978" s="699"/>
      <c r="AS978" s="699"/>
      <c r="AT978" s="699"/>
      <c r="AU978" s="699"/>
      <c r="AV978" s="699"/>
      <c r="AW978" s="699"/>
      <c r="AX978" s="700"/>
      <c r="AY978" s="700"/>
      <c r="AZ978" s="701"/>
    </row>
    <row r="979" spans="1:52" ht="30.75" thickBot="1">
      <c r="A979" s="67">
        <f t="shared" si="550"/>
        <v>44870</v>
      </c>
      <c r="B979" s="155"/>
      <c r="C979" s="155"/>
      <c r="D979" s="155"/>
      <c r="E979" s="155"/>
      <c r="F979" s="155"/>
      <c r="G979" s="155"/>
      <c r="H979" s="155"/>
      <c r="I979" s="155"/>
      <c r="J979" s="155"/>
      <c r="K979" s="155"/>
      <c r="L979" s="155"/>
      <c r="M979" s="155"/>
      <c r="N979" s="155"/>
      <c r="O979" s="155"/>
      <c r="P979" s="155"/>
      <c r="Q979" s="155"/>
      <c r="R979" s="156"/>
      <c r="S979" s="180"/>
      <c r="T979" s="838"/>
      <c r="U979" s="838"/>
      <c r="V979" s="838"/>
      <c r="W979" s="838"/>
      <c r="X979" s="838"/>
      <c r="Y979" s="255">
        <f>B979*280+C979*280+D979*280+E979*280+F979*130+G979*130+H979*90+I979*35+J979*35+K979*400+L979*400+M979*400+N979*380+O979*387.5+P979*80+Q979*200+R979*260+S979*41+T979*30+U979*60</f>
        <v>0</v>
      </c>
      <c r="Z979" s="309">
        <f t="shared" si="549"/>
        <v>0</v>
      </c>
      <c r="AA979" s="256">
        <f t="shared" si="546"/>
        <v>0</v>
      </c>
      <c r="AB979" s="309"/>
      <c r="AC979" s="309"/>
      <c r="AD979" s="320">
        <f t="shared" si="547"/>
        <v>0</v>
      </c>
      <c r="AH979" s="64">
        <f t="shared" si="551"/>
        <v>43378</v>
      </c>
      <c r="AI979" s="698"/>
      <c r="AJ979" s="699"/>
      <c r="AK979" s="699"/>
      <c r="AL979" s="699"/>
      <c r="AM979" s="699"/>
      <c r="AN979" s="699"/>
      <c r="AO979" s="699"/>
      <c r="AP979" s="699"/>
      <c r="AQ979" s="699"/>
      <c r="AR979" s="699"/>
      <c r="AS979" s="699"/>
      <c r="AT979" s="699"/>
      <c r="AU979" s="699"/>
      <c r="AV979" s="699"/>
      <c r="AW979" s="699"/>
      <c r="AX979" s="700"/>
      <c r="AY979" s="700"/>
      <c r="AZ979" s="701"/>
    </row>
    <row r="980" spans="1:52" ht="30.75" thickBot="1">
      <c r="A980" s="67">
        <f t="shared" si="550"/>
        <v>44871</v>
      </c>
      <c r="B980" s="155"/>
      <c r="C980" s="155"/>
      <c r="D980" s="155"/>
      <c r="E980" s="155"/>
      <c r="F980" s="155"/>
      <c r="G980" s="155"/>
      <c r="H980" s="155"/>
      <c r="I980" s="155"/>
      <c r="J980" s="155"/>
      <c r="K980" s="155"/>
      <c r="L980" s="155"/>
      <c r="M980" s="155"/>
      <c r="N980" s="155"/>
      <c r="O980" s="155"/>
      <c r="P980" s="155"/>
      <c r="Q980" s="155"/>
      <c r="R980" s="156"/>
      <c r="S980" s="180"/>
      <c r="T980" s="838"/>
      <c r="U980" s="838"/>
      <c r="V980" s="838"/>
      <c r="W980" s="838"/>
      <c r="X980" s="838"/>
      <c r="Y980" s="255">
        <f t="shared" si="548"/>
        <v>0</v>
      </c>
      <c r="Z980" s="309">
        <f t="shared" si="549"/>
        <v>0</v>
      </c>
      <c r="AA980" s="256">
        <f t="shared" si="546"/>
        <v>0</v>
      </c>
      <c r="AB980" s="309"/>
      <c r="AC980" s="309"/>
      <c r="AD980" s="320">
        <f t="shared" si="547"/>
        <v>0</v>
      </c>
      <c r="AH980" s="64">
        <f t="shared" si="551"/>
        <v>43379</v>
      </c>
      <c r="AI980" s="698"/>
      <c r="AJ980" s="699"/>
      <c r="AK980" s="699"/>
      <c r="AL980" s="699"/>
      <c r="AM980" s="699"/>
      <c r="AN980" s="699"/>
      <c r="AO980" s="699"/>
      <c r="AP980" s="699"/>
      <c r="AQ980" s="699"/>
      <c r="AR980" s="699"/>
      <c r="AS980" s="699"/>
      <c r="AT980" s="699"/>
      <c r="AU980" s="699"/>
      <c r="AV980" s="699"/>
      <c r="AW980" s="699"/>
      <c r="AX980" s="700"/>
      <c r="AY980" s="700"/>
      <c r="AZ980" s="701"/>
    </row>
    <row r="981" spans="1:52" ht="30.75" thickBot="1">
      <c r="A981" s="67">
        <f t="shared" si="550"/>
        <v>44872</v>
      </c>
      <c r="B981" s="155"/>
      <c r="C981" s="155"/>
      <c r="D981" s="155"/>
      <c r="E981" s="155"/>
      <c r="F981" s="155"/>
      <c r="G981" s="155"/>
      <c r="H981" s="155"/>
      <c r="I981" s="155"/>
      <c r="J981" s="155"/>
      <c r="K981" s="155"/>
      <c r="L981" s="155"/>
      <c r="M981" s="155"/>
      <c r="N981" s="155"/>
      <c r="O981" s="155"/>
      <c r="P981" s="155"/>
      <c r="Q981" s="155"/>
      <c r="R981" s="156"/>
      <c r="S981" s="180"/>
      <c r="T981" s="838"/>
      <c r="U981" s="838"/>
      <c r="V981" s="838"/>
      <c r="W981" s="838"/>
      <c r="X981" s="838"/>
      <c r="Y981" s="255">
        <f t="shared" si="548"/>
        <v>0</v>
      </c>
      <c r="Z981" s="309">
        <f t="shared" si="549"/>
        <v>0</v>
      </c>
      <c r="AA981" s="256">
        <f t="shared" si="546"/>
        <v>0</v>
      </c>
      <c r="AB981" s="309"/>
      <c r="AC981" s="309"/>
      <c r="AD981" s="320">
        <f t="shared" si="547"/>
        <v>0</v>
      </c>
      <c r="AH981" s="64">
        <f t="shared" si="551"/>
        <v>43380</v>
      </c>
      <c r="AI981" s="698"/>
      <c r="AJ981" s="699"/>
      <c r="AK981" s="699"/>
      <c r="AL981" s="699"/>
      <c r="AM981" s="699"/>
      <c r="AN981" s="699"/>
      <c r="AO981" s="699"/>
      <c r="AP981" s="699"/>
      <c r="AQ981" s="699"/>
      <c r="AR981" s="699"/>
      <c r="AS981" s="699"/>
      <c r="AT981" s="699"/>
      <c r="AU981" s="699"/>
      <c r="AV981" s="699"/>
      <c r="AW981" s="699"/>
      <c r="AX981" s="700"/>
      <c r="AY981" s="700"/>
      <c r="AZ981" s="701"/>
    </row>
    <row r="982" spans="1:52" ht="30.75" thickBot="1">
      <c r="A982" s="67">
        <f t="shared" si="550"/>
        <v>44873</v>
      </c>
      <c r="B982" s="155"/>
      <c r="C982" s="155"/>
      <c r="D982" s="155"/>
      <c r="E982" s="155"/>
      <c r="F982" s="155"/>
      <c r="G982" s="155"/>
      <c r="H982" s="155"/>
      <c r="I982" s="155"/>
      <c r="J982" s="155"/>
      <c r="K982" s="155"/>
      <c r="L982" s="155"/>
      <c r="M982" s="155"/>
      <c r="N982" s="155"/>
      <c r="O982" s="155"/>
      <c r="P982" s="155"/>
      <c r="Q982" s="155"/>
      <c r="R982" s="156"/>
      <c r="S982" s="180"/>
      <c r="T982" s="838"/>
      <c r="U982" s="838"/>
      <c r="V982" s="838"/>
      <c r="W982" s="838"/>
      <c r="X982" s="838"/>
      <c r="Y982" s="255">
        <f t="shared" si="548"/>
        <v>0</v>
      </c>
      <c r="Z982" s="309">
        <f t="shared" si="549"/>
        <v>0</v>
      </c>
      <c r="AA982" s="256">
        <f t="shared" si="546"/>
        <v>0</v>
      </c>
      <c r="AB982" s="309"/>
      <c r="AC982" s="309"/>
      <c r="AD982" s="320">
        <f t="shared" si="547"/>
        <v>0</v>
      </c>
      <c r="AH982" s="64">
        <f t="shared" si="551"/>
        <v>43381</v>
      </c>
      <c r="AI982" s="698"/>
      <c r="AJ982" s="699"/>
      <c r="AK982" s="699"/>
      <c r="AL982" s="699"/>
      <c r="AM982" s="699"/>
      <c r="AN982" s="699"/>
      <c r="AO982" s="699"/>
      <c r="AP982" s="699"/>
      <c r="AQ982" s="699"/>
      <c r="AR982" s="699"/>
      <c r="AS982" s="699"/>
      <c r="AT982" s="699"/>
      <c r="AU982" s="699"/>
      <c r="AV982" s="699"/>
      <c r="AW982" s="699"/>
      <c r="AX982" s="700"/>
      <c r="AY982" s="700"/>
      <c r="AZ982" s="701"/>
    </row>
    <row r="983" spans="1:52" ht="30.75" thickBot="1">
      <c r="A983" s="67">
        <f t="shared" si="550"/>
        <v>44874</v>
      </c>
      <c r="B983" s="155"/>
      <c r="C983" s="155"/>
      <c r="D983" s="155"/>
      <c r="E983" s="155"/>
      <c r="F983" s="155"/>
      <c r="G983" s="155"/>
      <c r="H983" s="155"/>
      <c r="I983" s="155"/>
      <c r="J983" s="155"/>
      <c r="K983" s="155"/>
      <c r="L983" s="155"/>
      <c r="M983" s="155"/>
      <c r="N983" s="155"/>
      <c r="O983" s="155"/>
      <c r="P983" s="155"/>
      <c r="Q983" s="155"/>
      <c r="R983" s="156"/>
      <c r="S983" s="180"/>
      <c r="T983" s="838"/>
      <c r="U983" s="838"/>
      <c r="V983" s="838"/>
      <c r="W983" s="838"/>
      <c r="X983" s="838"/>
      <c r="Y983" s="255">
        <f t="shared" si="548"/>
        <v>0</v>
      </c>
      <c r="Z983" s="309">
        <f t="shared" si="549"/>
        <v>0</v>
      </c>
      <c r="AA983" s="256">
        <f t="shared" si="546"/>
        <v>0</v>
      </c>
      <c r="AB983" s="309"/>
      <c r="AC983" s="309"/>
      <c r="AD983" s="320">
        <f t="shared" si="547"/>
        <v>0</v>
      </c>
      <c r="AH983" s="64">
        <f t="shared" si="551"/>
        <v>43382</v>
      </c>
      <c r="AI983" s="698"/>
      <c r="AJ983" s="699"/>
      <c r="AK983" s="699"/>
      <c r="AL983" s="699"/>
      <c r="AM983" s="699"/>
      <c r="AN983" s="699"/>
      <c r="AO983" s="699"/>
      <c r="AP983" s="699"/>
      <c r="AQ983" s="699"/>
      <c r="AR983" s="699"/>
      <c r="AS983" s="699"/>
      <c r="AT983" s="699"/>
      <c r="AU983" s="699"/>
      <c r="AV983" s="699"/>
      <c r="AW983" s="699"/>
      <c r="AX983" s="700"/>
      <c r="AY983" s="700"/>
      <c r="AZ983" s="701"/>
    </row>
    <row r="984" spans="1:52" ht="30.75" thickBot="1">
      <c r="A984" s="67">
        <f t="shared" si="550"/>
        <v>44875</v>
      </c>
      <c r="B984" s="155"/>
      <c r="C984" s="155"/>
      <c r="D984" s="155"/>
      <c r="E984" s="155"/>
      <c r="F984" s="155"/>
      <c r="G984" s="155"/>
      <c r="H984" s="155"/>
      <c r="I984" s="155"/>
      <c r="J984" s="155"/>
      <c r="K984" s="155"/>
      <c r="L984" s="155"/>
      <c r="M984" s="155"/>
      <c r="N984" s="155"/>
      <c r="O984" s="155"/>
      <c r="P984" s="155"/>
      <c r="Q984" s="155"/>
      <c r="R984" s="156"/>
      <c r="S984" s="180"/>
      <c r="T984" s="838"/>
      <c r="U984" s="838"/>
      <c r="V984" s="838"/>
      <c r="W984" s="838"/>
      <c r="X984" s="838"/>
      <c r="Y984" s="255">
        <f>B984*280+C984*280+D984*280+E984*280+F984*130+G984*130+H984*90+I984*35+J984*35+K984*400+L984*400+M984*400+N984*380+O984*387.5+P984*80+Q984*200+R984*260+S984*41+T984*30+U984*60</f>
        <v>0</v>
      </c>
      <c r="Z984" s="309">
        <f t="shared" si="549"/>
        <v>0</v>
      </c>
      <c r="AA984" s="256">
        <f t="shared" si="546"/>
        <v>0</v>
      </c>
      <c r="AB984" s="309"/>
      <c r="AC984" s="309"/>
      <c r="AD984" s="320">
        <f t="shared" si="547"/>
        <v>0</v>
      </c>
      <c r="AH984" s="64">
        <f t="shared" si="551"/>
        <v>43383</v>
      </c>
      <c r="AI984" s="698"/>
      <c r="AJ984" s="699"/>
      <c r="AK984" s="699"/>
      <c r="AL984" s="699"/>
      <c r="AM984" s="699"/>
      <c r="AN984" s="699"/>
      <c r="AO984" s="699"/>
      <c r="AP984" s="699"/>
      <c r="AQ984" s="699"/>
      <c r="AR984" s="699"/>
      <c r="AS984" s="699"/>
      <c r="AT984" s="699"/>
      <c r="AU984" s="699"/>
      <c r="AV984" s="699"/>
      <c r="AW984" s="699"/>
      <c r="AX984" s="700"/>
      <c r="AY984" s="700"/>
      <c r="AZ984" s="701"/>
    </row>
    <row r="985" spans="1:52" ht="30.75" thickBot="1">
      <c r="A985" s="67">
        <f t="shared" si="550"/>
        <v>44876</v>
      </c>
      <c r="B985" s="155"/>
      <c r="C985" s="155"/>
      <c r="D985" s="155"/>
      <c r="E985" s="155"/>
      <c r="F985" s="155"/>
      <c r="G985" s="155"/>
      <c r="H985" s="155"/>
      <c r="I985" s="155"/>
      <c r="J985" s="155"/>
      <c r="K985" s="155"/>
      <c r="L985" s="155"/>
      <c r="M985" s="155"/>
      <c r="N985" s="155"/>
      <c r="O985" s="155"/>
      <c r="P985" s="155"/>
      <c r="Q985" s="155"/>
      <c r="R985" s="156"/>
      <c r="S985" s="180"/>
      <c r="T985" s="838"/>
      <c r="U985" s="838"/>
      <c r="V985" s="838"/>
      <c r="W985" s="838"/>
      <c r="X985" s="838"/>
      <c r="Y985" s="255">
        <f t="shared" si="548"/>
        <v>0</v>
      </c>
      <c r="Z985" s="309">
        <f t="shared" si="549"/>
        <v>0</v>
      </c>
      <c r="AA985" s="256">
        <f t="shared" si="546"/>
        <v>0</v>
      </c>
      <c r="AB985" s="309"/>
      <c r="AC985" s="309"/>
      <c r="AD985" s="320">
        <f t="shared" si="547"/>
        <v>0</v>
      </c>
      <c r="AH985" s="64">
        <f t="shared" si="551"/>
        <v>43384</v>
      </c>
      <c r="AI985" s="698"/>
      <c r="AJ985" s="699"/>
      <c r="AK985" s="699"/>
      <c r="AL985" s="699"/>
      <c r="AM985" s="699"/>
      <c r="AN985" s="699"/>
      <c r="AO985" s="699"/>
      <c r="AP985" s="699"/>
      <c r="AQ985" s="699"/>
      <c r="AR985" s="699"/>
      <c r="AS985" s="699"/>
      <c r="AT985" s="699"/>
      <c r="AU985" s="699"/>
      <c r="AV985" s="699"/>
      <c r="AW985" s="699"/>
      <c r="AX985" s="700"/>
      <c r="AY985" s="700"/>
      <c r="AZ985" s="701"/>
    </row>
    <row r="986" spans="1:52" ht="30.75" thickBot="1">
      <c r="A986" s="67">
        <f t="shared" si="550"/>
        <v>44877</v>
      </c>
      <c r="B986" s="155"/>
      <c r="C986" s="155"/>
      <c r="D986" s="155"/>
      <c r="E986" s="155"/>
      <c r="F986" s="155"/>
      <c r="G986" s="155"/>
      <c r="H986" s="155"/>
      <c r="I986" s="155"/>
      <c r="J986" s="155"/>
      <c r="K986" s="155"/>
      <c r="L986" s="155"/>
      <c r="M986" s="155"/>
      <c r="N986" s="155"/>
      <c r="O986" s="155"/>
      <c r="P986" s="155"/>
      <c r="Q986" s="155"/>
      <c r="R986" s="156"/>
      <c r="S986" s="180"/>
      <c r="T986" s="838"/>
      <c r="U986" s="838"/>
      <c r="V986" s="838"/>
      <c r="W986" s="838"/>
      <c r="X986" s="838"/>
      <c r="Y986" s="255">
        <f t="shared" si="548"/>
        <v>0</v>
      </c>
      <c r="Z986" s="309">
        <f t="shared" si="549"/>
        <v>0</v>
      </c>
      <c r="AA986" s="256">
        <f t="shared" si="546"/>
        <v>0</v>
      </c>
      <c r="AB986" s="309"/>
      <c r="AC986" s="309"/>
      <c r="AD986" s="320">
        <f t="shared" si="547"/>
        <v>0</v>
      </c>
      <c r="AH986" s="64">
        <f t="shared" si="551"/>
        <v>43385</v>
      </c>
      <c r="AI986" s="698"/>
      <c r="AJ986" s="699"/>
      <c r="AK986" s="699"/>
      <c r="AL986" s="699"/>
      <c r="AM986" s="699"/>
      <c r="AN986" s="699"/>
      <c r="AO986" s="699"/>
      <c r="AP986" s="699"/>
      <c r="AQ986" s="699"/>
      <c r="AR986" s="699"/>
      <c r="AS986" s="699"/>
      <c r="AT986" s="699"/>
      <c r="AU986" s="699"/>
      <c r="AV986" s="699"/>
      <c r="AW986" s="699"/>
      <c r="AX986" s="700"/>
      <c r="AY986" s="700"/>
      <c r="AZ986" s="701"/>
    </row>
    <row r="987" spans="1:52" ht="30.75" thickBot="1">
      <c r="A987" s="67">
        <f t="shared" si="550"/>
        <v>44878</v>
      </c>
      <c r="B987" s="155"/>
      <c r="C987" s="155"/>
      <c r="D987" s="155"/>
      <c r="E987" s="155"/>
      <c r="F987" s="155"/>
      <c r="G987" s="155"/>
      <c r="H987" s="155"/>
      <c r="I987" s="155"/>
      <c r="J987" s="155"/>
      <c r="K987" s="155"/>
      <c r="L987" s="155"/>
      <c r="M987" s="155"/>
      <c r="N987" s="155"/>
      <c r="O987" s="155"/>
      <c r="P987" s="155"/>
      <c r="Q987" s="155"/>
      <c r="R987" s="156"/>
      <c r="S987" s="180"/>
      <c r="T987" s="838"/>
      <c r="U987" s="838"/>
      <c r="V987" s="838"/>
      <c r="W987" s="838"/>
      <c r="X987" s="838"/>
      <c r="Y987" s="255">
        <f t="shared" si="548"/>
        <v>0</v>
      </c>
      <c r="Z987" s="309">
        <f t="shared" si="549"/>
        <v>0</v>
      </c>
      <c r="AA987" s="256">
        <f t="shared" si="546"/>
        <v>0</v>
      </c>
      <c r="AB987" s="309"/>
      <c r="AC987" s="309"/>
      <c r="AD987" s="320">
        <f t="shared" si="547"/>
        <v>0</v>
      </c>
      <c r="AH987" s="64">
        <f t="shared" si="551"/>
        <v>43386</v>
      </c>
      <c r="AI987" s="698"/>
      <c r="AJ987" s="699"/>
      <c r="AK987" s="699"/>
      <c r="AL987" s="699"/>
      <c r="AM987" s="699"/>
      <c r="AN987" s="699"/>
      <c r="AO987" s="699"/>
      <c r="AP987" s="699"/>
      <c r="AQ987" s="699"/>
      <c r="AR987" s="699"/>
      <c r="AS987" s="699"/>
      <c r="AT987" s="699"/>
      <c r="AU987" s="699"/>
      <c r="AV987" s="699"/>
      <c r="AW987" s="699"/>
      <c r="AX987" s="700"/>
      <c r="AY987" s="700"/>
      <c r="AZ987" s="701"/>
    </row>
    <row r="988" spans="1:52" ht="30.75" thickBot="1">
      <c r="A988" s="67">
        <f t="shared" si="550"/>
        <v>44879</v>
      </c>
      <c r="B988" s="155"/>
      <c r="C988" s="155"/>
      <c r="D988" s="155"/>
      <c r="E988" s="155"/>
      <c r="F988" s="155"/>
      <c r="G988" s="155"/>
      <c r="H988" s="155"/>
      <c r="I988" s="155"/>
      <c r="J988" s="155"/>
      <c r="K988" s="155"/>
      <c r="L988" s="155"/>
      <c r="M988" s="155"/>
      <c r="N988" s="155"/>
      <c r="O988" s="155"/>
      <c r="P988" s="155"/>
      <c r="Q988" s="155"/>
      <c r="R988" s="156"/>
      <c r="S988" s="180"/>
      <c r="T988" s="838"/>
      <c r="U988" s="838"/>
      <c r="V988" s="838"/>
      <c r="W988" s="838"/>
      <c r="X988" s="838"/>
      <c r="Y988" s="255">
        <f t="shared" si="548"/>
        <v>0</v>
      </c>
      <c r="Z988" s="309">
        <f t="shared" si="549"/>
        <v>0</v>
      </c>
      <c r="AA988" s="256">
        <f t="shared" si="546"/>
        <v>0</v>
      </c>
      <c r="AB988" s="309"/>
      <c r="AC988" s="309"/>
      <c r="AD988" s="320">
        <f t="shared" si="547"/>
        <v>0</v>
      </c>
      <c r="AH988" s="64">
        <f t="shared" si="551"/>
        <v>43387</v>
      </c>
      <c r="AI988" s="698"/>
      <c r="AJ988" s="699"/>
      <c r="AK988" s="699"/>
      <c r="AL988" s="699"/>
      <c r="AM988" s="699"/>
      <c r="AN988" s="699"/>
      <c r="AO988" s="699"/>
      <c r="AP988" s="699"/>
      <c r="AQ988" s="699"/>
      <c r="AR988" s="699"/>
      <c r="AS988" s="699"/>
      <c r="AT988" s="699"/>
      <c r="AU988" s="699"/>
      <c r="AV988" s="699"/>
      <c r="AW988" s="699"/>
      <c r="AX988" s="700"/>
      <c r="AY988" s="700"/>
      <c r="AZ988" s="701"/>
    </row>
    <row r="989" spans="1:52" ht="30.75" thickBot="1">
      <c r="A989" s="67">
        <f t="shared" si="550"/>
        <v>44880</v>
      </c>
      <c r="B989" s="155"/>
      <c r="C989" s="155"/>
      <c r="D989" s="155"/>
      <c r="E989" s="155"/>
      <c r="F989" s="155"/>
      <c r="G989" s="155"/>
      <c r="H989" s="155"/>
      <c r="I989" s="155"/>
      <c r="J989" s="155"/>
      <c r="K989" s="155"/>
      <c r="L989" s="155"/>
      <c r="M989" s="155"/>
      <c r="N989" s="155"/>
      <c r="O989" s="155"/>
      <c r="P989" s="155"/>
      <c r="Q989" s="155"/>
      <c r="R989" s="156"/>
      <c r="S989" s="180"/>
      <c r="T989" s="838"/>
      <c r="U989" s="838"/>
      <c r="V989" s="838"/>
      <c r="W989" s="838"/>
      <c r="X989" s="838"/>
      <c r="Y989" s="255">
        <f t="shared" si="548"/>
        <v>0</v>
      </c>
      <c r="Z989" s="309">
        <f t="shared" si="549"/>
        <v>0</v>
      </c>
      <c r="AA989" s="256">
        <f t="shared" si="546"/>
        <v>0</v>
      </c>
      <c r="AB989" s="309"/>
      <c r="AC989" s="309"/>
      <c r="AD989" s="320">
        <f t="shared" si="547"/>
        <v>0</v>
      </c>
      <c r="AH989" s="64">
        <f t="shared" si="551"/>
        <v>43388</v>
      </c>
      <c r="AI989" s="698"/>
      <c r="AJ989" s="699"/>
      <c r="AK989" s="699"/>
      <c r="AL989" s="699"/>
      <c r="AM989" s="699"/>
      <c r="AN989" s="699"/>
      <c r="AO989" s="699"/>
      <c r="AP989" s="699"/>
      <c r="AQ989" s="699"/>
      <c r="AR989" s="699"/>
      <c r="AS989" s="699"/>
      <c r="AT989" s="699"/>
      <c r="AU989" s="699"/>
      <c r="AV989" s="699"/>
      <c r="AW989" s="699"/>
      <c r="AX989" s="700"/>
      <c r="AY989" s="700"/>
      <c r="AZ989" s="701"/>
    </row>
    <row r="990" spans="1:52" ht="30.75" thickBot="1">
      <c r="A990" s="67">
        <f t="shared" si="550"/>
        <v>44881</v>
      </c>
      <c r="B990" s="155"/>
      <c r="C990" s="155"/>
      <c r="D990" s="155"/>
      <c r="E990" s="155"/>
      <c r="F990" s="155"/>
      <c r="G990" s="155"/>
      <c r="H990" s="155"/>
      <c r="I990" s="155"/>
      <c r="J990" s="155"/>
      <c r="K990" s="155"/>
      <c r="L990" s="155"/>
      <c r="M990" s="155"/>
      <c r="N990" s="155"/>
      <c r="O990" s="155"/>
      <c r="P990" s="155"/>
      <c r="Q990" s="155"/>
      <c r="R990" s="156"/>
      <c r="S990" s="180"/>
      <c r="T990" s="838"/>
      <c r="U990" s="838"/>
      <c r="V990" s="838"/>
      <c r="W990" s="838"/>
      <c r="X990" s="838"/>
      <c r="Y990" s="255">
        <f t="shared" si="548"/>
        <v>0</v>
      </c>
      <c r="Z990" s="309">
        <f t="shared" si="549"/>
        <v>0</v>
      </c>
      <c r="AA990" s="256">
        <f t="shared" si="546"/>
        <v>0</v>
      </c>
      <c r="AB990" s="309"/>
      <c r="AC990" s="309"/>
      <c r="AD990" s="320">
        <f t="shared" si="547"/>
        <v>0</v>
      </c>
      <c r="AH990" s="64">
        <f t="shared" si="551"/>
        <v>43389</v>
      </c>
      <c r="AI990" s="698"/>
      <c r="AJ990" s="699"/>
      <c r="AK990" s="699"/>
      <c r="AL990" s="699"/>
      <c r="AM990" s="699"/>
      <c r="AN990" s="699"/>
      <c r="AO990" s="699"/>
      <c r="AP990" s="699"/>
      <c r="AQ990" s="699"/>
      <c r="AR990" s="699"/>
      <c r="AS990" s="699"/>
      <c r="AT990" s="699"/>
      <c r="AU990" s="699"/>
      <c r="AV990" s="699"/>
      <c r="AW990" s="699"/>
      <c r="AX990" s="700"/>
      <c r="AY990" s="700"/>
      <c r="AZ990" s="701"/>
    </row>
    <row r="991" spans="1:52" ht="30.75" thickBot="1">
      <c r="A991" s="67">
        <f t="shared" si="550"/>
        <v>44882</v>
      </c>
      <c r="B991" s="155"/>
      <c r="C991" s="155"/>
      <c r="D991" s="155"/>
      <c r="E991" s="155"/>
      <c r="F991" s="155"/>
      <c r="G991" s="155"/>
      <c r="H991" s="155"/>
      <c r="I991" s="155"/>
      <c r="J991" s="155"/>
      <c r="K991" s="155"/>
      <c r="L991" s="155"/>
      <c r="M991" s="155"/>
      <c r="N991" s="155"/>
      <c r="O991" s="155"/>
      <c r="P991" s="155"/>
      <c r="Q991" s="155"/>
      <c r="R991" s="156"/>
      <c r="S991" s="180"/>
      <c r="T991" s="838"/>
      <c r="U991" s="838"/>
      <c r="V991" s="838"/>
      <c r="W991" s="838"/>
      <c r="X991" s="838"/>
      <c r="Y991" s="255">
        <f t="shared" si="548"/>
        <v>0</v>
      </c>
      <c r="Z991" s="309">
        <f t="shared" si="549"/>
        <v>0</v>
      </c>
      <c r="AA991" s="256">
        <f t="shared" si="546"/>
        <v>0</v>
      </c>
      <c r="AB991" s="309"/>
      <c r="AC991" s="309"/>
      <c r="AD991" s="320">
        <f t="shared" si="547"/>
        <v>0</v>
      </c>
      <c r="AH991" s="64">
        <f t="shared" si="551"/>
        <v>43390</v>
      </c>
      <c r="AI991" s="698"/>
      <c r="AJ991" s="699"/>
      <c r="AK991" s="699"/>
      <c r="AL991" s="699"/>
      <c r="AM991" s="699"/>
      <c r="AN991" s="699"/>
      <c r="AO991" s="699"/>
      <c r="AP991" s="699"/>
      <c r="AQ991" s="699"/>
      <c r="AR991" s="699"/>
      <c r="AS991" s="699"/>
      <c r="AT991" s="699"/>
      <c r="AU991" s="699"/>
      <c r="AV991" s="699"/>
      <c r="AW991" s="699"/>
      <c r="AX991" s="700"/>
      <c r="AY991" s="700"/>
      <c r="AZ991" s="701"/>
    </row>
    <row r="992" spans="1:52" ht="30.75" thickBot="1">
      <c r="A992" s="67">
        <f t="shared" si="550"/>
        <v>44883</v>
      </c>
      <c r="B992" s="155"/>
      <c r="C992" s="155"/>
      <c r="D992" s="155"/>
      <c r="E992" s="155"/>
      <c r="F992" s="155"/>
      <c r="G992" s="155"/>
      <c r="H992" s="155"/>
      <c r="I992" s="155"/>
      <c r="J992" s="155"/>
      <c r="K992" s="155"/>
      <c r="L992" s="155"/>
      <c r="M992" s="155"/>
      <c r="N992" s="155"/>
      <c r="O992" s="155"/>
      <c r="P992" s="155"/>
      <c r="Q992" s="155"/>
      <c r="R992" s="156"/>
      <c r="S992" s="180"/>
      <c r="T992" s="838"/>
      <c r="U992" s="838"/>
      <c r="V992" s="838"/>
      <c r="W992" s="838"/>
      <c r="X992" s="838"/>
      <c r="Y992" s="255">
        <f t="shared" si="548"/>
        <v>0</v>
      </c>
      <c r="Z992" s="309">
        <f t="shared" si="549"/>
        <v>0</v>
      </c>
      <c r="AA992" s="256">
        <f t="shared" si="546"/>
        <v>0</v>
      </c>
      <c r="AB992" s="309"/>
      <c r="AC992" s="309"/>
      <c r="AD992" s="320">
        <f t="shared" si="547"/>
        <v>0</v>
      </c>
      <c r="AH992" s="64">
        <f t="shared" si="551"/>
        <v>43391</v>
      </c>
      <c r="AI992" s="698"/>
      <c r="AJ992" s="699"/>
      <c r="AK992" s="699"/>
      <c r="AL992" s="699"/>
      <c r="AM992" s="699"/>
      <c r="AN992" s="699"/>
      <c r="AO992" s="699"/>
      <c r="AP992" s="699"/>
      <c r="AQ992" s="699"/>
      <c r="AR992" s="699"/>
      <c r="AS992" s="699"/>
      <c r="AT992" s="699"/>
      <c r="AU992" s="699"/>
      <c r="AV992" s="699"/>
      <c r="AW992" s="699"/>
      <c r="AX992" s="700"/>
      <c r="AY992" s="700"/>
      <c r="AZ992" s="701"/>
    </row>
    <row r="993" spans="1:52" ht="30.75" thickBot="1">
      <c r="A993" s="67">
        <f t="shared" si="550"/>
        <v>44884</v>
      </c>
      <c r="B993" s="155"/>
      <c r="C993" s="155"/>
      <c r="D993" s="155"/>
      <c r="E993" s="155"/>
      <c r="F993" s="155"/>
      <c r="G993" s="155"/>
      <c r="H993" s="155"/>
      <c r="I993" s="155"/>
      <c r="J993" s="155"/>
      <c r="K993" s="155"/>
      <c r="L993" s="155"/>
      <c r="M993" s="155"/>
      <c r="N993" s="155"/>
      <c r="O993" s="155"/>
      <c r="P993" s="155"/>
      <c r="Q993" s="155"/>
      <c r="R993" s="156"/>
      <c r="S993" s="180"/>
      <c r="T993" s="838"/>
      <c r="U993" s="838"/>
      <c r="V993" s="838"/>
      <c r="W993" s="838"/>
      <c r="X993" s="838"/>
      <c r="Y993" s="255">
        <f t="shared" si="548"/>
        <v>0</v>
      </c>
      <c r="Z993" s="309">
        <f t="shared" si="549"/>
        <v>0</v>
      </c>
      <c r="AA993" s="256">
        <f t="shared" si="546"/>
        <v>0</v>
      </c>
      <c r="AB993" s="309"/>
      <c r="AC993" s="309"/>
      <c r="AD993" s="320">
        <f t="shared" si="547"/>
        <v>0</v>
      </c>
      <c r="AH993" s="64">
        <f t="shared" si="551"/>
        <v>43392</v>
      </c>
      <c r="AI993" s="698"/>
      <c r="AJ993" s="699"/>
      <c r="AK993" s="699"/>
      <c r="AL993" s="699"/>
      <c r="AM993" s="699"/>
      <c r="AN993" s="699"/>
      <c r="AO993" s="699"/>
      <c r="AP993" s="699"/>
      <c r="AQ993" s="699"/>
      <c r="AR993" s="699"/>
      <c r="AS993" s="699"/>
      <c r="AT993" s="699"/>
      <c r="AU993" s="699"/>
      <c r="AV993" s="699"/>
      <c r="AW993" s="699"/>
      <c r="AX993" s="700"/>
      <c r="AY993" s="700"/>
      <c r="AZ993" s="701"/>
    </row>
    <row r="994" spans="1:52" ht="30.75" thickBot="1">
      <c r="A994" s="67">
        <f t="shared" si="550"/>
        <v>44885</v>
      </c>
      <c r="B994" s="155"/>
      <c r="C994" s="155"/>
      <c r="D994" s="155"/>
      <c r="E994" s="155"/>
      <c r="F994" s="155"/>
      <c r="G994" s="155"/>
      <c r="H994" s="155"/>
      <c r="I994" s="155"/>
      <c r="J994" s="155"/>
      <c r="K994" s="155"/>
      <c r="L994" s="155"/>
      <c r="M994" s="155"/>
      <c r="N994" s="155"/>
      <c r="O994" s="155"/>
      <c r="P994" s="155"/>
      <c r="Q994" s="155"/>
      <c r="R994" s="156"/>
      <c r="S994" s="180"/>
      <c r="T994" s="838"/>
      <c r="U994" s="838"/>
      <c r="V994" s="838"/>
      <c r="W994" s="838"/>
      <c r="X994" s="838"/>
      <c r="Y994" s="255">
        <f t="shared" si="548"/>
        <v>0</v>
      </c>
      <c r="Z994" s="309">
        <f t="shared" si="549"/>
        <v>0</v>
      </c>
      <c r="AA994" s="256">
        <f t="shared" si="546"/>
        <v>0</v>
      </c>
      <c r="AB994" s="309"/>
      <c r="AC994" s="309"/>
      <c r="AD994" s="320">
        <f t="shared" si="547"/>
        <v>0</v>
      </c>
      <c r="AH994" s="64">
        <f t="shared" si="551"/>
        <v>43393</v>
      </c>
      <c r="AI994" s="698"/>
      <c r="AJ994" s="699"/>
      <c r="AK994" s="699"/>
      <c r="AL994" s="699"/>
      <c r="AM994" s="699"/>
      <c r="AN994" s="699"/>
      <c r="AO994" s="699"/>
      <c r="AP994" s="699"/>
      <c r="AQ994" s="699"/>
      <c r="AR994" s="699"/>
      <c r="AS994" s="699"/>
      <c r="AT994" s="699"/>
      <c r="AU994" s="699"/>
      <c r="AV994" s="699"/>
      <c r="AW994" s="699"/>
      <c r="AX994" s="700"/>
      <c r="AY994" s="700"/>
      <c r="AZ994" s="701"/>
    </row>
    <row r="995" spans="1:52" ht="30.75" thickBot="1">
      <c r="A995" s="67">
        <f t="shared" si="550"/>
        <v>44886</v>
      </c>
      <c r="B995" s="155"/>
      <c r="C995" s="155"/>
      <c r="D995" s="155"/>
      <c r="E995" s="155"/>
      <c r="F995" s="155"/>
      <c r="G995" s="155"/>
      <c r="H995" s="155"/>
      <c r="I995" s="155"/>
      <c r="J995" s="155"/>
      <c r="K995" s="155"/>
      <c r="L995" s="155"/>
      <c r="M995" s="155"/>
      <c r="N995" s="155"/>
      <c r="O995" s="155"/>
      <c r="P995" s="155"/>
      <c r="Q995" s="155"/>
      <c r="R995" s="156"/>
      <c r="S995" s="180"/>
      <c r="T995" s="838"/>
      <c r="U995" s="838"/>
      <c r="V995" s="838"/>
      <c r="W995" s="838"/>
      <c r="X995" s="838"/>
      <c r="Y995" s="255">
        <f t="shared" si="548"/>
        <v>0</v>
      </c>
      <c r="Z995" s="309">
        <f t="shared" si="549"/>
        <v>0</v>
      </c>
      <c r="AA995" s="256">
        <f t="shared" si="546"/>
        <v>0</v>
      </c>
      <c r="AB995" s="309"/>
      <c r="AC995" s="309"/>
      <c r="AD995" s="320">
        <f t="shared" si="547"/>
        <v>0</v>
      </c>
      <c r="AH995" s="64">
        <f t="shared" si="551"/>
        <v>43394</v>
      </c>
      <c r="AI995" s="698"/>
      <c r="AJ995" s="699"/>
      <c r="AK995" s="699"/>
      <c r="AL995" s="699"/>
      <c r="AM995" s="699"/>
      <c r="AN995" s="699"/>
      <c r="AO995" s="699"/>
      <c r="AP995" s="699"/>
      <c r="AQ995" s="699"/>
      <c r="AR995" s="699"/>
      <c r="AS995" s="699"/>
      <c r="AT995" s="699"/>
      <c r="AU995" s="699"/>
      <c r="AV995" s="699"/>
      <c r="AW995" s="699"/>
      <c r="AX995" s="700"/>
      <c r="AY995" s="700"/>
      <c r="AZ995" s="701"/>
    </row>
    <row r="996" spans="1:52" ht="30.75" thickBot="1">
      <c r="A996" s="67">
        <f t="shared" si="550"/>
        <v>44887</v>
      </c>
      <c r="B996" s="155"/>
      <c r="C996" s="155"/>
      <c r="D996" s="155"/>
      <c r="E996" s="155"/>
      <c r="F996" s="155"/>
      <c r="G996" s="155"/>
      <c r="H996" s="155"/>
      <c r="I996" s="155"/>
      <c r="J996" s="155"/>
      <c r="K996" s="155"/>
      <c r="L996" s="155"/>
      <c r="M996" s="155"/>
      <c r="N996" s="155"/>
      <c r="O996" s="155"/>
      <c r="P996" s="155"/>
      <c r="Q996" s="155"/>
      <c r="R996" s="156"/>
      <c r="S996" s="180"/>
      <c r="T996" s="838"/>
      <c r="U996" s="838"/>
      <c r="V996" s="838"/>
      <c r="W996" s="838"/>
      <c r="X996" s="838"/>
      <c r="Y996" s="255">
        <f t="shared" si="548"/>
        <v>0</v>
      </c>
      <c r="Z996" s="309">
        <f t="shared" si="549"/>
        <v>0</v>
      </c>
      <c r="AA996" s="256">
        <f t="shared" si="546"/>
        <v>0</v>
      </c>
      <c r="AB996" s="309"/>
      <c r="AC996" s="309"/>
      <c r="AD996" s="320">
        <f t="shared" si="547"/>
        <v>0</v>
      </c>
      <c r="AH996" s="64">
        <f t="shared" si="551"/>
        <v>43395</v>
      </c>
      <c r="AI996" s="698"/>
      <c r="AJ996" s="699"/>
      <c r="AK996" s="699"/>
      <c r="AL996" s="699"/>
      <c r="AM996" s="699"/>
      <c r="AN996" s="699"/>
      <c r="AO996" s="699"/>
      <c r="AP996" s="699"/>
      <c r="AQ996" s="699"/>
      <c r="AR996" s="699"/>
      <c r="AS996" s="699"/>
      <c r="AT996" s="699"/>
      <c r="AU996" s="699"/>
      <c r="AV996" s="699"/>
      <c r="AW996" s="699"/>
      <c r="AX996" s="700"/>
      <c r="AY996" s="700"/>
      <c r="AZ996" s="701"/>
    </row>
    <row r="997" spans="1:52" ht="30.75" thickBot="1">
      <c r="A997" s="67">
        <f t="shared" si="550"/>
        <v>44888</v>
      </c>
      <c r="B997" s="155"/>
      <c r="C997" s="155"/>
      <c r="D997" s="155"/>
      <c r="E997" s="155"/>
      <c r="F997" s="155"/>
      <c r="G997" s="155"/>
      <c r="H997" s="155"/>
      <c r="I997" s="155"/>
      <c r="J997" s="155"/>
      <c r="K997" s="155"/>
      <c r="L997" s="155"/>
      <c r="M997" s="155"/>
      <c r="N997" s="155"/>
      <c r="O997" s="155"/>
      <c r="P997" s="155"/>
      <c r="Q997" s="155"/>
      <c r="R997" s="156"/>
      <c r="S997" s="180"/>
      <c r="T997" s="838"/>
      <c r="U997" s="838"/>
      <c r="V997" s="838"/>
      <c r="W997" s="838"/>
      <c r="X997" s="838"/>
      <c r="Y997" s="255">
        <f t="shared" si="548"/>
        <v>0</v>
      </c>
      <c r="Z997" s="309">
        <f t="shared" si="549"/>
        <v>0</v>
      </c>
      <c r="AA997" s="256">
        <f t="shared" si="546"/>
        <v>0</v>
      </c>
      <c r="AB997" s="309"/>
      <c r="AC997" s="309"/>
      <c r="AD997" s="320">
        <f t="shared" si="547"/>
        <v>0</v>
      </c>
      <c r="AH997" s="64">
        <f t="shared" si="551"/>
        <v>43396</v>
      </c>
      <c r="AI997" s="698"/>
      <c r="AJ997" s="699"/>
      <c r="AK997" s="699"/>
      <c r="AL997" s="699"/>
      <c r="AM997" s="699"/>
      <c r="AN997" s="699"/>
      <c r="AO997" s="699"/>
      <c r="AP997" s="699"/>
      <c r="AQ997" s="699"/>
      <c r="AR997" s="699"/>
      <c r="AS997" s="699"/>
      <c r="AT997" s="699"/>
      <c r="AU997" s="699"/>
      <c r="AV997" s="699"/>
      <c r="AW997" s="699"/>
      <c r="AX997" s="700"/>
      <c r="AY997" s="700"/>
      <c r="AZ997" s="701"/>
    </row>
    <row r="998" spans="1:52" ht="30.75" thickBot="1">
      <c r="A998" s="67">
        <f t="shared" si="550"/>
        <v>44889</v>
      </c>
      <c r="B998" s="155"/>
      <c r="C998" s="155"/>
      <c r="D998" s="155"/>
      <c r="E998" s="155"/>
      <c r="F998" s="155"/>
      <c r="G998" s="155"/>
      <c r="H998" s="155"/>
      <c r="I998" s="155"/>
      <c r="J998" s="155"/>
      <c r="K998" s="155"/>
      <c r="L998" s="155"/>
      <c r="M998" s="155"/>
      <c r="N998" s="155"/>
      <c r="O998" s="155"/>
      <c r="P998" s="155"/>
      <c r="Q998" s="155"/>
      <c r="R998" s="156"/>
      <c r="S998" s="180"/>
      <c r="T998" s="838"/>
      <c r="U998" s="838"/>
      <c r="V998" s="838"/>
      <c r="W998" s="838"/>
      <c r="X998" s="838"/>
      <c r="Y998" s="255">
        <f>B998*280+C998*280+D998*280+E998*280+F998*130+G998*130+H998*90+I998*35+J998*35+K998*400+L998*400+M998*400+N998*390+O998*387.5+P998*80+Q998*200+R998*260+S998*41+T998*30+U998*60</f>
        <v>0</v>
      </c>
      <c r="Z998" s="309">
        <f t="shared" si="549"/>
        <v>0</v>
      </c>
      <c r="AA998" s="256">
        <f t="shared" si="546"/>
        <v>0</v>
      </c>
      <c r="AB998" s="309"/>
      <c r="AC998" s="309"/>
      <c r="AD998" s="320">
        <f t="shared" si="547"/>
        <v>0</v>
      </c>
      <c r="AH998" s="64">
        <f t="shared" si="551"/>
        <v>43397</v>
      </c>
      <c r="AI998" s="698"/>
      <c r="AJ998" s="699"/>
      <c r="AK998" s="699"/>
      <c r="AL998" s="699"/>
      <c r="AM998" s="699"/>
      <c r="AN998" s="699"/>
      <c r="AO998" s="699"/>
      <c r="AP998" s="699"/>
      <c r="AQ998" s="699"/>
      <c r="AR998" s="699"/>
      <c r="AS998" s="699"/>
      <c r="AT998" s="699"/>
      <c r="AU998" s="699"/>
      <c r="AV998" s="699"/>
      <c r="AW998" s="699"/>
      <c r="AX998" s="700"/>
      <c r="AY998" s="700"/>
      <c r="AZ998" s="701"/>
    </row>
    <row r="999" spans="1:52" ht="30.75" thickBot="1">
      <c r="A999" s="67">
        <f t="shared" si="550"/>
        <v>44890</v>
      </c>
      <c r="B999" s="155"/>
      <c r="C999" s="155"/>
      <c r="D999" s="155"/>
      <c r="E999" s="155"/>
      <c r="F999" s="155"/>
      <c r="G999" s="155"/>
      <c r="H999" s="155"/>
      <c r="I999" s="155"/>
      <c r="J999" s="155"/>
      <c r="K999" s="155"/>
      <c r="L999" s="155"/>
      <c r="M999" s="155"/>
      <c r="N999" s="155"/>
      <c r="O999" s="155"/>
      <c r="P999" s="155"/>
      <c r="Q999" s="155"/>
      <c r="R999" s="156"/>
      <c r="S999" s="180"/>
      <c r="T999" s="838"/>
      <c r="U999" s="838"/>
      <c r="V999" s="838"/>
      <c r="W999" s="838"/>
      <c r="X999" s="838"/>
      <c r="Y999" s="255">
        <f>B999*280+C999*280+D999*280+E999*280+F999*130+G999*130+H999*90+I999*35+J999*35+K999*385+L999*400+M999*400+N999*381.25+O999*387.5+P999*80+Q999*200+R999*260+S999*41+T999*30+U999*60</f>
        <v>0</v>
      </c>
      <c r="Z999" s="309">
        <f t="shared" si="549"/>
        <v>0</v>
      </c>
      <c r="AA999" s="256">
        <f t="shared" si="546"/>
        <v>0</v>
      </c>
      <c r="AB999" s="309"/>
      <c r="AC999" s="309"/>
      <c r="AD999" s="320">
        <f t="shared" si="547"/>
        <v>0</v>
      </c>
      <c r="AH999" s="64">
        <f t="shared" si="551"/>
        <v>43398</v>
      </c>
      <c r="AI999" s="698"/>
      <c r="AJ999" s="699"/>
      <c r="AK999" s="699"/>
      <c r="AL999" s="699"/>
      <c r="AM999" s="699"/>
      <c r="AN999" s="699"/>
      <c r="AO999" s="699"/>
      <c r="AP999" s="699"/>
      <c r="AQ999" s="699"/>
      <c r="AR999" s="699"/>
      <c r="AS999" s="699"/>
      <c r="AT999" s="699"/>
      <c r="AU999" s="699"/>
      <c r="AV999" s="699"/>
      <c r="AW999" s="699"/>
      <c r="AX999" s="700"/>
      <c r="AY999" s="700"/>
      <c r="AZ999" s="701"/>
    </row>
    <row r="1000" spans="1:52" ht="30.75" thickBot="1">
      <c r="A1000" s="67">
        <f t="shared" si="550"/>
        <v>44891</v>
      </c>
      <c r="B1000" s="155"/>
      <c r="C1000" s="155"/>
      <c r="D1000" s="155"/>
      <c r="E1000" s="155"/>
      <c r="F1000" s="155"/>
      <c r="G1000" s="155"/>
      <c r="H1000" s="155"/>
      <c r="I1000" s="155"/>
      <c r="J1000" s="155"/>
      <c r="K1000" s="155"/>
      <c r="L1000" s="155"/>
      <c r="M1000" s="155"/>
      <c r="N1000" s="155"/>
      <c r="O1000" s="155"/>
      <c r="P1000" s="155"/>
      <c r="Q1000" s="155"/>
      <c r="R1000" s="156"/>
      <c r="S1000" s="180"/>
      <c r="T1000" s="838"/>
      <c r="U1000" s="838"/>
      <c r="V1000" s="838"/>
      <c r="W1000" s="838"/>
      <c r="X1000" s="838"/>
      <c r="Y1000" s="255">
        <f t="shared" si="548"/>
        <v>0</v>
      </c>
      <c r="Z1000" s="309">
        <f t="shared" si="549"/>
        <v>0</v>
      </c>
      <c r="AA1000" s="256">
        <f t="shared" si="546"/>
        <v>0</v>
      </c>
      <c r="AB1000" s="309"/>
      <c r="AC1000" s="309"/>
      <c r="AD1000" s="320">
        <f t="shared" si="547"/>
        <v>0</v>
      </c>
      <c r="AH1000" s="64">
        <f t="shared" si="551"/>
        <v>43399</v>
      </c>
      <c r="AI1000" s="698"/>
      <c r="AJ1000" s="699"/>
      <c r="AK1000" s="699"/>
      <c r="AL1000" s="699"/>
      <c r="AM1000" s="699"/>
      <c r="AN1000" s="699"/>
      <c r="AO1000" s="699"/>
      <c r="AP1000" s="699"/>
      <c r="AQ1000" s="699"/>
      <c r="AR1000" s="699"/>
      <c r="AS1000" s="699"/>
      <c r="AT1000" s="699"/>
      <c r="AU1000" s="699"/>
      <c r="AV1000" s="699"/>
      <c r="AW1000" s="699"/>
      <c r="AX1000" s="700"/>
      <c r="AY1000" s="700"/>
      <c r="AZ1000" s="701"/>
    </row>
    <row r="1001" spans="1:52" ht="30.75" thickBot="1">
      <c r="A1001" s="67">
        <f t="shared" si="550"/>
        <v>44892</v>
      </c>
      <c r="B1001" s="155"/>
      <c r="C1001" s="155"/>
      <c r="D1001" s="155"/>
      <c r="E1001" s="155"/>
      <c r="F1001" s="155"/>
      <c r="G1001" s="155"/>
      <c r="H1001" s="155"/>
      <c r="I1001" s="155"/>
      <c r="J1001" s="155"/>
      <c r="K1001" s="155"/>
      <c r="L1001" s="155"/>
      <c r="M1001" s="155"/>
      <c r="N1001" s="155"/>
      <c r="O1001" s="155"/>
      <c r="P1001" s="155"/>
      <c r="Q1001" s="155"/>
      <c r="R1001" s="156"/>
      <c r="S1001" s="180"/>
      <c r="T1001" s="838"/>
      <c r="U1001" s="838"/>
      <c r="V1001" s="838"/>
      <c r="W1001" s="838"/>
      <c r="X1001" s="838"/>
      <c r="Y1001" s="255">
        <f>B1001*280+C1001*280+D1001*280+E1001*280+F1001*130+G1001*130+H1001*90+I1001*35+J1001*35+K1001*385+L1001*400+M1001*400+N1001*381.25+O1001*387.5+P1001*80+Q1001*200+R1001*260+S1001*41+T1001*30+U1001*60</f>
        <v>0</v>
      </c>
      <c r="Z1001" s="309">
        <f t="shared" si="549"/>
        <v>0</v>
      </c>
      <c r="AA1001" s="256">
        <f t="shared" si="546"/>
        <v>0</v>
      </c>
      <c r="AB1001" s="309"/>
      <c r="AC1001" s="309"/>
      <c r="AD1001" s="320">
        <f t="shared" si="547"/>
        <v>0</v>
      </c>
      <c r="AH1001" s="64">
        <f t="shared" si="551"/>
        <v>43400</v>
      </c>
      <c r="AI1001" s="698"/>
      <c r="AJ1001" s="699"/>
      <c r="AK1001" s="699"/>
      <c r="AL1001" s="699"/>
      <c r="AM1001" s="699"/>
      <c r="AN1001" s="699"/>
      <c r="AO1001" s="699"/>
      <c r="AP1001" s="699"/>
      <c r="AQ1001" s="699"/>
      <c r="AR1001" s="699"/>
      <c r="AS1001" s="699"/>
      <c r="AT1001" s="699"/>
      <c r="AU1001" s="699"/>
      <c r="AV1001" s="699"/>
      <c r="AW1001" s="699"/>
      <c r="AX1001" s="700"/>
      <c r="AY1001" s="700"/>
      <c r="AZ1001" s="701"/>
    </row>
    <row r="1002" spans="1:52" ht="30.75" thickBot="1">
      <c r="A1002" s="67">
        <f t="shared" si="550"/>
        <v>44893</v>
      </c>
      <c r="B1002" s="155"/>
      <c r="C1002" s="155"/>
      <c r="D1002" s="155"/>
      <c r="E1002" s="155"/>
      <c r="F1002" s="155"/>
      <c r="G1002" s="155"/>
      <c r="H1002" s="155"/>
      <c r="I1002" s="155"/>
      <c r="J1002" s="155"/>
      <c r="K1002" s="155"/>
      <c r="L1002" s="155"/>
      <c r="M1002" s="155"/>
      <c r="N1002" s="155"/>
      <c r="O1002" s="155"/>
      <c r="P1002" s="155"/>
      <c r="Q1002" s="155"/>
      <c r="R1002" s="156"/>
      <c r="S1002" s="180"/>
      <c r="T1002" s="838"/>
      <c r="U1002" s="838"/>
      <c r="V1002" s="838"/>
      <c r="W1002" s="838"/>
      <c r="X1002" s="838"/>
      <c r="Y1002" s="255">
        <f t="shared" si="548"/>
        <v>0</v>
      </c>
      <c r="Z1002" s="309">
        <f t="shared" si="549"/>
        <v>0</v>
      </c>
      <c r="AA1002" s="256">
        <f t="shared" si="546"/>
        <v>0</v>
      </c>
      <c r="AB1002" s="309"/>
      <c r="AC1002" s="309"/>
      <c r="AD1002" s="320">
        <f t="shared" si="547"/>
        <v>0</v>
      </c>
      <c r="AH1002" s="64">
        <f t="shared" si="551"/>
        <v>43401</v>
      </c>
      <c r="AI1002" s="698"/>
      <c r="AJ1002" s="699"/>
      <c r="AK1002" s="699"/>
      <c r="AL1002" s="699"/>
      <c r="AM1002" s="699"/>
      <c r="AN1002" s="699"/>
      <c r="AO1002" s="699"/>
      <c r="AP1002" s="699"/>
      <c r="AQ1002" s="699"/>
      <c r="AR1002" s="699"/>
      <c r="AS1002" s="699"/>
      <c r="AT1002" s="699"/>
      <c r="AU1002" s="699"/>
      <c r="AV1002" s="699"/>
      <c r="AW1002" s="699"/>
      <c r="AX1002" s="700"/>
      <c r="AY1002" s="700"/>
      <c r="AZ1002" s="701"/>
    </row>
    <row r="1003" spans="1:52" ht="30.75" thickBot="1">
      <c r="A1003" s="67">
        <f t="shared" si="550"/>
        <v>44894</v>
      </c>
      <c r="B1003" s="155"/>
      <c r="C1003" s="155"/>
      <c r="D1003" s="155"/>
      <c r="E1003" s="155"/>
      <c r="F1003" s="155"/>
      <c r="G1003" s="155"/>
      <c r="H1003" s="155"/>
      <c r="I1003" s="155"/>
      <c r="J1003" s="155"/>
      <c r="K1003" s="155"/>
      <c r="L1003" s="155"/>
      <c r="M1003" s="155"/>
      <c r="N1003" s="155"/>
      <c r="O1003" s="155"/>
      <c r="P1003" s="155"/>
      <c r="Q1003" s="155"/>
      <c r="R1003" s="156"/>
      <c r="S1003" s="180"/>
      <c r="T1003" s="838"/>
      <c r="U1003" s="838"/>
      <c r="V1003" s="838"/>
      <c r="W1003" s="838"/>
      <c r="X1003" s="838"/>
      <c r="Y1003" s="255">
        <f t="shared" si="548"/>
        <v>0</v>
      </c>
      <c r="Z1003" s="309">
        <f t="shared" si="549"/>
        <v>0</v>
      </c>
      <c r="AA1003" s="256">
        <f t="shared" si="546"/>
        <v>0</v>
      </c>
      <c r="AB1003" s="309"/>
      <c r="AC1003" s="309"/>
      <c r="AD1003" s="320">
        <f t="shared" si="547"/>
        <v>0</v>
      </c>
      <c r="AH1003" s="64">
        <f>AH1002+1</f>
        <v>43402</v>
      </c>
      <c r="AI1003" s="698"/>
      <c r="AJ1003" s="699"/>
      <c r="AK1003" s="699"/>
      <c r="AL1003" s="699"/>
      <c r="AM1003" s="699"/>
      <c r="AN1003" s="699"/>
      <c r="AO1003" s="699"/>
      <c r="AP1003" s="699"/>
      <c r="AQ1003" s="699"/>
      <c r="AR1003" s="699"/>
      <c r="AS1003" s="699"/>
      <c r="AT1003" s="699"/>
      <c r="AU1003" s="699"/>
      <c r="AV1003" s="699"/>
      <c r="AW1003" s="699"/>
      <c r="AX1003" s="700"/>
      <c r="AY1003" s="700"/>
      <c r="AZ1003" s="701"/>
    </row>
    <row r="1004" spans="1:52" ht="30.75" thickBot="1">
      <c r="A1004" s="67">
        <f t="shared" si="550"/>
        <v>44895</v>
      </c>
      <c r="B1004" s="155"/>
      <c r="C1004" s="155"/>
      <c r="D1004" s="155"/>
      <c r="E1004" s="155"/>
      <c r="F1004" s="155"/>
      <c r="G1004" s="155"/>
      <c r="H1004" s="155"/>
      <c r="I1004" s="155"/>
      <c r="J1004" s="155"/>
      <c r="K1004" s="155"/>
      <c r="L1004" s="155"/>
      <c r="M1004" s="155"/>
      <c r="N1004" s="155"/>
      <c r="O1004" s="155"/>
      <c r="P1004" s="155"/>
      <c r="Q1004" s="155"/>
      <c r="R1004" s="156"/>
      <c r="S1004" s="180"/>
      <c r="T1004" s="838"/>
      <c r="U1004" s="838"/>
      <c r="V1004" s="838"/>
      <c r="W1004" s="838"/>
      <c r="X1004" s="838"/>
      <c r="Y1004" s="255">
        <f t="shared" si="548"/>
        <v>0</v>
      </c>
      <c r="Z1004" s="309">
        <f t="shared" si="549"/>
        <v>0</v>
      </c>
      <c r="AA1004" s="256">
        <f t="shared" si="546"/>
        <v>0</v>
      </c>
      <c r="AB1004" s="309"/>
      <c r="AC1004" s="309"/>
      <c r="AD1004" s="320">
        <f t="shared" si="547"/>
        <v>0</v>
      </c>
      <c r="AH1004" s="64">
        <f t="shared" si="551"/>
        <v>43403</v>
      </c>
      <c r="AI1004" s="698"/>
      <c r="AJ1004" s="699"/>
      <c r="AK1004" s="699"/>
      <c r="AL1004" s="699"/>
      <c r="AM1004" s="699"/>
      <c r="AN1004" s="699"/>
      <c r="AO1004" s="699"/>
      <c r="AP1004" s="699"/>
      <c r="AQ1004" s="699"/>
      <c r="AR1004" s="699"/>
      <c r="AS1004" s="699"/>
      <c r="AT1004" s="699"/>
      <c r="AU1004" s="699"/>
      <c r="AV1004" s="699"/>
      <c r="AW1004" s="699"/>
      <c r="AX1004" s="700"/>
      <c r="AY1004" s="700"/>
      <c r="AZ1004" s="701"/>
    </row>
    <row r="1005" spans="1:52" ht="30.75" thickBot="1">
      <c r="A1005" s="102">
        <f t="shared" si="550"/>
        <v>44896</v>
      </c>
      <c r="B1005" s="165"/>
      <c r="C1005" s="162"/>
      <c r="D1005" s="162"/>
      <c r="E1005" s="162"/>
      <c r="F1005" s="162"/>
      <c r="G1005" s="162"/>
      <c r="H1005" s="162"/>
      <c r="I1005" s="162"/>
      <c r="J1005" s="162"/>
      <c r="K1005" s="162"/>
      <c r="L1005" s="165"/>
      <c r="M1005" s="162"/>
      <c r="N1005" s="162"/>
      <c r="O1005" s="162"/>
      <c r="P1005" s="162"/>
      <c r="Q1005" s="162"/>
      <c r="R1005" s="164"/>
      <c r="S1005" s="181"/>
      <c r="T1005" s="839"/>
      <c r="U1005" s="839"/>
      <c r="V1005" s="839"/>
      <c r="W1005" s="839"/>
      <c r="X1005" s="839"/>
      <c r="Y1005" s="255">
        <f t="shared" si="548"/>
        <v>0</v>
      </c>
      <c r="Z1005" s="309">
        <f t="shared" si="549"/>
        <v>0</v>
      </c>
      <c r="AA1005" s="256">
        <f t="shared" si="546"/>
        <v>0</v>
      </c>
      <c r="AB1005" s="309"/>
      <c r="AC1005" s="309"/>
      <c r="AD1005" s="320">
        <f t="shared" si="547"/>
        <v>0</v>
      </c>
      <c r="AH1005" s="65">
        <f t="shared" si="551"/>
        <v>43404</v>
      </c>
      <c r="AI1005" s="702"/>
      <c r="AJ1005" s="703"/>
      <c r="AK1005" s="703"/>
      <c r="AL1005" s="703"/>
      <c r="AM1005" s="703"/>
      <c r="AN1005" s="703"/>
      <c r="AO1005" s="703"/>
      <c r="AP1005" s="703"/>
      <c r="AQ1005" s="703"/>
      <c r="AR1005" s="703"/>
      <c r="AS1005" s="703"/>
      <c r="AT1005" s="703"/>
      <c r="AU1005" s="703"/>
      <c r="AV1005" s="703"/>
      <c r="AW1005" s="703"/>
      <c r="AX1005" s="704"/>
      <c r="AY1005" s="704"/>
      <c r="AZ1005" s="705"/>
    </row>
    <row r="1006" spans="1:52" ht="50.1" customHeight="1" thickTop="1" thickBot="1">
      <c r="A1006" s="96" t="s">
        <v>74</v>
      </c>
      <c r="B1006" s="104">
        <f>SUM(B975:B1005)</f>
        <v>0</v>
      </c>
      <c r="C1006" s="104">
        <f t="shared" ref="C1006:Y1006" si="552">SUM(C975:C1005)</f>
        <v>0</v>
      </c>
      <c r="D1006" s="104">
        <f t="shared" si="552"/>
        <v>0</v>
      </c>
      <c r="E1006" s="104"/>
      <c r="F1006" s="104">
        <f t="shared" si="552"/>
        <v>0</v>
      </c>
      <c r="G1006" s="104">
        <f t="shared" si="552"/>
        <v>0</v>
      </c>
      <c r="H1006" s="104">
        <f t="shared" si="552"/>
        <v>0</v>
      </c>
      <c r="I1006" s="104">
        <f t="shared" si="552"/>
        <v>0</v>
      </c>
      <c r="J1006" s="104">
        <f t="shared" si="552"/>
        <v>0</v>
      </c>
      <c r="K1006" s="104">
        <f t="shared" si="552"/>
        <v>0</v>
      </c>
      <c r="L1006" s="104">
        <f t="shared" si="552"/>
        <v>0</v>
      </c>
      <c r="M1006" s="104">
        <f t="shared" si="552"/>
        <v>0</v>
      </c>
      <c r="N1006" s="104">
        <f t="shared" si="552"/>
        <v>0</v>
      </c>
      <c r="O1006" s="104">
        <f t="shared" si="552"/>
        <v>0</v>
      </c>
      <c r="P1006" s="104"/>
      <c r="Q1006" s="104">
        <f t="shared" si="552"/>
        <v>0</v>
      </c>
      <c r="R1006" s="104">
        <f t="shared" si="552"/>
        <v>0</v>
      </c>
      <c r="S1006" s="104">
        <f t="shared" si="552"/>
        <v>0</v>
      </c>
      <c r="T1006" s="104"/>
      <c r="U1006" s="104"/>
      <c r="V1006" s="104"/>
      <c r="W1006" s="104"/>
      <c r="X1006" s="104"/>
      <c r="Y1006" s="292">
        <f t="shared" si="552"/>
        <v>0</v>
      </c>
      <c r="Z1006" s="259"/>
      <c r="AA1006" s="259"/>
      <c r="AB1006" s="316">
        <f>SUM(AB975:AB1005)</f>
        <v>0</v>
      </c>
      <c r="AC1006" s="316"/>
      <c r="AD1006" s="260"/>
      <c r="AH1006" s="706" t="s">
        <v>101</v>
      </c>
      <c r="AI1006" s="707">
        <f>SUM(AI975:AI1005)</f>
        <v>0</v>
      </c>
      <c r="AJ1006" s="707">
        <f>SUM(AJ975:AJ1005)</f>
        <v>0</v>
      </c>
      <c r="AK1006" s="707">
        <f t="shared" ref="AK1006:AZ1006" si="553">SUM(AK975:AK1005)</f>
        <v>0</v>
      </c>
      <c r="AL1006" s="707">
        <f t="shared" si="553"/>
        <v>0</v>
      </c>
      <c r="AM1006" s="707">
        <f t="shared" si="553"/>
        <v>0</v>
      </c>
      <c r="AN1006" s="707">
        <f t="shared" si="553"/>
        <v>0</v>
      </c>
      <c r="AO1006" s="707">
        <f t="shared" si="553"/>
        <v>0</v>
      </c>
      <c r="AP1006" s="707">
        <f t="shared" si="553"/>
        <v>0</v>
      </c>
      <c r="AQ1006" s="707">
        <f t="shared" si="553"/>
        <v>0</v>
      </c>
      <c r="AR1006" s="707">
        <f t="shared" si="553"/>
        <v>0</v>
      </c>
      <c r="AS1006" s="707">
        <f t="shared" si="553"/>
        <v>0</v>
      </c>
      <c r="AT1006" s="707">
        <f t="shared" si="553"/>
        <v>0</v>
      </c>
      <c r="AU1006" s="707">
        <f t="shared" si="553"/>
        <v>0</v>
      </c>
      <c r="AV1006" s="707">
        <f t="shared" si="553"/>
        <v>0</v>
      </c>
      <c r="AW1006" s="707">
        <f t="shared" si="553"/>
        <v>0</v>
      </c>
      <c r="AX1006" s="707">
        <f t="shared" si="553"/>
        <v>0</v>
      </c>
      <c r="AY1006" s="707">
        <f t="shared" si="553"/>
        <v>0</v>
      </c>
      <c r="AZ1006" s="707">
        <f t="shared" si="553"/>
        <v>0</v>
      </c>
    </row>
    <row r="1007" spans="1:52" ht="50.1" customHeight="1" thickTop="1" thickBot="1">
      <c r="A1007" s="9"/>
      <c r="B1007" s="712"/>
      <c r="C1007" s="712"/>
      <c r="D1007" s="712"/>
      <c r="E1007" s="712"/>
      <c r="F1007" s="712"/>
      <c r="G1007" s="712"/>
      <c r="H1007" s="712"/>
      <c r="I1007" s="712"/>
      <c r="J1007" s="712"/>
      <c r="K1007" s="712"/>
      <c r="L1007" s="712"/>
      <c r="M1007" s="712"/>
      <c r="N1007" s="712"/>
      <c r="O1007" s="712"/>
      <c r="P1007" s="712"/>
      <c r="Q1007" s="712"/>
      <c r="R1007" s="712"/>
      <c r="S1007" s="712"/>
      <c r="T1007" s="712"/>
      <c r="U1007" s="712"/>
      <c r="V1007" s="712"/>
      <c r="W1007" s="712"/>
      <c r="X1007" s="712"/>
      <c r="Y1007" s="302"/>
      <c r="Z1007" s="709"/>
      <c r="AA1007" s="709"/>
      <c r="AB1007" s="710"/>
      <c r="AC1007" s="710"/>
      <c r="AD1007" s="711"/>
      <c r="AH1007" s="706" t="s">
        <v>45</v>
      </c>
      <c r="AI1007" s="707">
        <v>220</v>
      </c>
      <c r="AJ1007" s="707">
        <v>220</v>
      </c>
      <c r="AK1007" s="707">
        <v>220</v>
      </c>
      <c r="AL1007" s="707">
        <v>100</v>
      </c>
      <c r="AM1007" s="707">
        <v>100</v>
      </c>
      <c r="AN1007" s="707">
        <v>80</v>
      </c>
      <c r="AO1007" s="707">
        <v>25</v>
      </c>
      <c r="AP1007" s="707">
        <v>25</v>
      </c>
      <c r="AQ1007" s="707">
        <v>25</v>
      </c>
      <c r="AR1007" s="707">
        <v>400</v>
      </c>
      <c r="AS1007" s="707">
        <v>400</v>
      </c>
      <c r="AT1007" s="707">
        <v>400</v>
      </c>
      <c r="AU1007" s="707">
        <v>0</v>
      </c>
      <c r="AV1007" s="707">
        <v>0</v>
      </c>
      <c r="AW1007" s="707">
        <v>200</v>
      </c>
      <c r="AX1007" s="707">
        <v>200</v>
      </c>
      <c r="AY1007" s="707">
        <v>0</v>
      </c>
      <c r="AZ1007" s="707">
        <v>0</v>
      </c>
    </row>
    <row r="1008" spans="1:52" ht="50.1" customHeight="1" thickTop="1" thickBot="1">
      <c r="A1008" s="9"/>
      <c r="B1008" s="712"/>
      <c r="C1008" s="712"/>
      <c r="D1008" s="712"/>
      <c r="E1008" s="712"/>
      <c r="F1008" s="712"/>
      <c r="G1008" s="712"/>
      <c r="H1008" s="712"/>
      <c r="I1008" s="712"/>
      <c r="J1008" s="712"/>
      <c r="K1008" s="712"/>
      <c r="L1008" s="712"/>
      <c r="M1008" s="712"/>
      <c r="N1008" s="712"/>
      <c r="O1008" s="712"/>
      <c r="P1008" s="712"/>
      <c r="Q1008" s="712"/>
      <c r="R1008" s="712"/>
      <c r="S1008" s="712"/>
      <c r="T1008" s="712"/>
      <c r="U1008" s="712"/>
      <c r="V1008" s="712"/>
      <c r="W1008" s="712"/>
      <c r="X1008" s="712"/>
      <c r="Y1008" s="302"/>
      <c r="Z1008" s="709"/>
      <c r="AA1008" s="709"/>
      <c r="AB1008" s="710"/>
      <c r="AC1008" s="710"/>
      <c r="AD1008" s="711"/>
      <c r="AH1008" s="706" t="s">
        <v>46</v>
      </c>
      <c r="AI1008" s="707">
        <f>AI1006*AI1007</f>
        <v>0</v>
      </c>
      <c r="AJ1008" s="707">
        <f t="shared" ref="AJ1008" si="554">AJ1006*AJ1007</f>
        <v>0</v>
      </c>
      <c r="AK1008" s="707">
        <f t="shared" ref="AK1008" si="555">AK1006*AK1007</f>
        <v>0</v>
      </c>
      <c r="AL1008" s="707">
        <f t="shared" ref="AL1008" si="556">AL1006*AL1007</f>
        <v>0</v>
      </c>
      <c r="AM1008" s="707">
        <f t="shared" ref="AM1008" si="557">AM1006*AM1007</f>
        <v>0</v>
      </c>
      <c r="AN1008" s="707">
        <f t="shared" ref="AN1008" si="558">AN1006*AN1007</f>
        <v>0</v>
      </c>
      <c r="AO1008" s="707">
        <f t="shared" ref="AO1008" si="559">AO1006*AO1007</f>
        <v>0</v>
      </c>
      <c r="AP1008" s="707">
        <f t="shared" ref="AP1008" si="560">AP1006*AP1007</f>
        <v>0</v>
      </c>
      <c r="AQ1008" s="707">
        <f t="shared" ref="AQ1008" si="561">AQ1006*AQ1007</f>
        <v>0</v>
      </c>
      <c r="AR1008" s="707">
        <f t="shared" ref="AR1008" si="562">AR1006*AR1007</f>
        <v>0</v>
      </c>
      <c r="AS1008" s="707">
        <f t="shared" ref="AS1008" si="563">AS1006*AS1007</f>
        <v>0</v>
      </c>
      <c r="AT1008" s="707">
        <f t="shared" ref="AT1008" si="564">AT1006*AT1007</f>
        <v>0</v>
      </c>
      <c r="AU1008" s="707">
        <f t="shared" ref="AU1008" si="565">AU1006*AU1007</f>
        <v>0</v>
      </c>
      <c r="AV1008" s="707">
        <f t="shared" ref="AV1008" si="566">AV1006*AV1007</f>
        <v>0</v>
      </c>
      <c r="AW1008" s="707">
        <f t="shared" ref="AW1008" si="567">AW1006*AW1007</f>
        <v>0</v>
      </c>
      <c r="AX1008" s="707">
        <f t="shared" ref="AX1008" si="568">AX1006*AX1007</f>
        <v>0</v>
      </c>
      <c r="AY1008" s="707">
        <f t="shared" ref="AY1008" si="569">AY1006*AY1007</f>
        <v>0</v>
      </c>
      <c r="AZ1008" s="707">
        <f t="shared" ref="AZ1008" si="570">AZ1006*AZ1007</f>
        <v>0</v>
      </c>
    </row>
    <row r="1009" spans="1:52" ht="24.75" thickTop="1" thickBot="1"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714">
        <f>SUM(AI1008:AZ1008)</f>
        <v>0</v>
      </c>
    </row>
    <row r="1010" spans="1:52" ht="43.5" thickBot="1">
      <c r="A1010" s="109">
        <f>A5</f>
        <v>2022</v>
      </c>
      <c r="B1010" s="1447"/>
      <c r="C1010" s="1448"/>
      <c r="D1010" s="1448"/>
      <c r="E1010" s="1448"/>
      <c r="F1010" s="1448"/>
      <c r="G1010" s="1448"/>
      <c r="H1010" s="1448"/>
      <c r="I1010" s="1448"/>
      <c r="J1010" s="1448"/>
      <c r="K1010" s="1448"/>
      <c r="L1010" s="1448"/>
      <c r="M1010" s="1448"/>
      <c r="N1010" s="1448"/>
      <c r="O1010" s="1448"/>
      <c r="P1010" s="1448"/>
      <c r="Q1010" s="1448"/>
      <c r="R1010" s="1448"/>
      <c r="S1010" s="1448"/>
      <c r="T1010" s="1448"/>
      <c r="U1010" s="1448"/>
      <c r="V1010" s="1448"/>
      <c r="W1010" s="1448"/>
      <c r="X1010" s="1448"/>
      <c r="Y1010" s="1449"/>
      <c r="Z1010" s="21"/>
      <c r="AA1010" s="21"/>
      <c r="AB1010" s="21"/>
      <c r="AC1010" s="2"/>
      <c r="AD1010" t="s">
        <v>1</v>
      </c>
      <c r="AH1010" s="109">
        <v>2018</v>
      </c>
      <c r="AI1010" s="1424">
        <f>B1010</f>
        <v>0</v>
      </c>
      <c r="AJ1010" s="1425"/>
      <c r="AK1010" s="1425"/>
      <c r="AL1010" s="1425"/>
      <c r="AM1010" s="1425"/>
      <c r="AN1010" s="1425"/>
      <c r="AO1010" s="1425"/>
      <c r="AP1010" s="1425"/>
      <c r="AQ1010" s="1425"/>
      <c r="AR1010" s="1425"/>
      <c r="AS1010" s="1425"/>
      <c r="AT1010" s="1425"/>
      <c r="AU1010" s="1425"/>
      <c r="AV1010" s="1425"/>
      <c r="AW1010" s="1425"/>
      <c r="AX1010" s="1425"/>
      <c r="AY1010" s="1425"/>
      <c r="AZ1010" s="1425"/>
    </row>
    <row r="1011" spans="1:52" ht="60" customHeight="1" thickTop="1" thickBot="1">
      <c r="A1011" s="1468" t="s">
        <v>94</v>
      </c>
      <c r="B1011" s="1402" t="s">
        <v>95</v>
      </c>
      <c r="C1011" s="1403"/>
      <c r="D1011" s="1403"/>
      <c r="E1011" s="1404"/>
      <c r="F1011" s="1402" t="s">
        <v>7</v>
      </c>
      <c r="G1011" s="1403"/>
      <c r="H1011" s="1404"/>
      <c r="I1011" s="1402" t="s">
        <v>8</v>
      </c>
      <c r="J1011" s="1404"/>
      <c r="K1011" s="1402" t="s">
        <v>9</v>
      </c>
      <c r="L1011" s="1403"/>
      <c r="M1011" s="1403"/>
      <c r="N1011" s="1403"/>
      <c r="O1011" s="1403"/>
      <c r="P1011" s="1403"/>
      <c r="Q1011" s="1403"/>
      <c r="R1011" s="1405" t="s">
        <v>10</v>
      </c>
      <c r="S1011" s="1406"/>
      <c r="T1011" s="1400" t="s">
        <v>289</v>
      </c>
      <c r="U1011" s="1401"/>
      <c r="V1011" s="842" t="s">
        <v>258</v>
      </c>
      <c r="W1011" s="842"/>
      <c r="X1011" s="842"/>
      <c r="Y1011" s="211"/>
      <c r="Z1011" s="21"/>
      <c r="AA1011" s="21"/>
      <c r="AB1011" s="21"/>
      <c r="AC1011" s="21"/>
      <c r="AH1011" s="1422" t="s">
        <v>94</v>
      </c>
      <c r="AI1011" s="1402" t="s">
        <v>95</v>
      </c>
      <c r="AJ1011" s="1403"/>
      <c r="AK1011" s="1404"/>
      <c r="AL1011" s="1402" t="s">
        <v>7</v>
      </c>
      <c r="AM1011" s="1403"/>
      <c r="AN1011" s="1404"/>
      <c r="AO1011" s="1402" t="s">
        <v>8</v>
      </c>
      <c r="AP1011" s="1403"/>
      <c r="AQ1011" s="1404"/>
      <c r="AR1011" s="1402" t="s">
        <v>9</v>
      </c>
      <c r="AS1011" s="1403"/>
      <c r="AT1011" s="1404"/>
      <c r="AU1011" s="1403" t="s">
        <v>9</v>
      </c>
      <c r="AV1011" s="1404"/>
      <c r="AW1011" s="1429" t="s">
        <v>10</v>
      </c>
      <c r="AX1011" s="1430"/>
      <c r="AY1011" s="690"/>
      <c r="AZ1011" s="404" t="s">
        <v>11</v>
      </c>
    </row>
    <row r="1012" spans="1:52" ht="42" thickTop="1" thickBot="1">
      <c r="A1012" s="1428"/>
      <c r="B1012" s="482" t="s">
        <v>12</v>
      </c>
      <c r="C1012" s="482" t="s">
        <v>13</v>
      </c>
      <c r="D1012" s="482" t="s">
        <v>14</v>
      </c>
      <c r="E1012" s="688" t="s">
        <v>198</v>
      </c>
      <c r="F1012" s="482" t="s">
        <v>12</v>
      </c>
      <c r="G1012" s="482" t="s">
        <v>13</v>
      </c>
      <c r="H1012" s="482" t="s">
        <v>282</v>
      </c>
      <c r="I1012" s="482" t="s">
        <v>12</v>
      </c>
      <c r="J1012" s="482" t="s">
        <v>16</v>
      </c>
      <c r="K1012" s="482" t="s">
        <v>17</v>
      </c>
      <c r="L1012" s="482" t="s">
        <v>18</v>
      </c>
      <c r="M1012" s="482" t="s">
        <v>19</v>
      </c>
      <c r="N1012" s="484" t="s">
        <v>96</v>
      </c>
      <c r="O1012" s="484" t="s">
        <v>257</v>
      </c>
      <c r="P1012" s="484" t="s">
        <v>254</v>
      </c>
      <c r="Q1012" s="484" t="s">
        <v>20</v>
      </c>
      <c r="R1012" s="483" t="s">
        <v>14</v>
      </c>
      <c r="S1012" s="482" t="s">
        <v>13</v>
      </c>
      <c r="T1012" s="846" t="s">
        <v>284</v>
      </c>
      <c r="U1012" s="846" t="s">
        <v>288</v>
      </c>
      <c r="V1012" s="484" t="s">
        <v>259</v>
      </c>
      <c r="W1012" s="484"/>
      <c r="X1012" s="484"/>
      <c r="Y1012" s="209" t="s">
        <v>90</v>
      </c>
      <c r="Z1012" s="210" t="s">
        <v>97</v>
      </c>
      <c r="AA1012" s="210" t="s">
        <v>74</v>
      </c>
      <c r="AB1012" s="210" t="s">
        <v>98</v>
      </c>
      <c r="AC1012" s="210" t="s">
        <v>99</v>
      </c>
      <c r="AD1012" s="210" t="s">
        <v>100</v>
      </c>
      <c r="AH1012" s="1428"/>
      <c r="AI1012" s="482" t="s">
        <v>12</v>
      </c>
      <c r="AJ1012" s="482" t="s">
        <v>13</v>
      </c>
      <c r="AK1012" s="482" t="s">
        <v>14</v>
      </c>
      <c r="AL1012" s="482" t="s">
        <v>12</v>
      </c>
      <c r="AM1012" s="482" t="s">
        <v>13</v>
      </c>
      <c r="AN1012" s="482" t="s">
        <v>15</v>
      </c>
      <c r="AO1012" s="482" t="s">
        <v>12</v>
      </c>
      <c r="AP1012" s="482" t="s">
        <v>205</v>
      </c>
      <c r="AQ1012" s="482" t="s">
        <v>16</v>
      </c>
      <c r="AR1012" s="482" t="s">
        <v>17</v>
      </c>
      <c r="AS1012" s="482" t="s">
        <v>18</v>
      </c>
      <c r="AT1012" s="482" t="s">
        <v>19</v>
      </c>
      <c r="AU1012" s="482" t="s">
        <v>201</v>
      </c>
      <c r="AV1012" s="482" t="s">
        <v>20</v>
      </c>
      <c r="AW1012" s="482" t="s">
        <v>12</v>
      </c>
      <c r="AX1012" s="483" t="s">
        <v>13</v>
      </c>
      <c r="AY1012" s="688" t="s">
        <v>198</v>
      </c>
      <c r="AZ1012" s="484" t="s">
        <v>96</v>
      </c>
    </row>
    <row r="1013" spans="1:52" ht="30.75" customHeight="1" thickBot="1">
      <c r="A1013" s="67">
        <f>A975</f>
        <v>44866</v>
      </c>
      <c r="B1013" s="153"/>
      <c r="C1013" s="153"/>
      <c r="D1013" s="153"/>
      <c r="E1013" s="153"/>
      <c r="F1013" s="153"/>
      <c r="G1013" s="153"/>
      <c r="H1013" s="153"/>
      <c r="I1013" s="153"/>
      <c r="J1013" s="153"/>
      <c r="K1013" s="153"/>
      <c r="L1013" s="153"/>
      <c r="M1013" s="153"/>
      <c r="N1013" s="153"/>
      <c r="O1013" s="153"/>
      <c r="P1013" s="153"/>
      <c r="Q1013" s="153"/>
      <c r="R1013" s="154"/>
      <c r="S1013" s="179"/>
      <c r="T1013" s="837"/>
      <c r="U1013" s="837"/>
      <c r="V1013" s="837"/>
      <c r="W1013" s="837"/>
      <c r="X1013" s="837"/>
      <c r="Y1013" s="255">
        <f>B1013*280+C1013*280+D1013*280+E1013*280+F1013*130+G1013*130+H1013*90+I1013*35+J1013*35+K1013*390+L1013*390+M1013*390+N1013*390+O1013*387.5+P1013*80+Q1013*200+R1013*260+S1013*41+T1013*30+U1013*60</f>
        <v>0</v>
      </c>
      <c r="Z1013" s="308"/>
      <c r="AA1013" s="263">
        <f t="shared" ref="AA1013:AA1043" si="571">Y1013+Z1013</f>
        <v>0</v>
      </c>
      <c r="AB1013" s="308"/>
      <c r="AC1013" s="308"/>
      <c r="AD1013" s="319">
        <f t="shared" ref="AD1013:AD1043" si="572">AA1013-AB1013-AC1013</f>
        <v>0</v>
      </c>
      <c r="AH1013" s="63">
        <f>AH975</f>
        <v>43374</v>
      </c>
      <c r="AI1013" s="694"/>
      <c r="AJ1013" s="695"/>
      <c r="AK1013" s="695"/>
      <c r="AL1013" s="695"/>
      <c r="AM1013" s="695"/>
      <c r="AN1013" s="695"/>
      <c r="AO1013" s="695"/>
      <c r="AP1013" s="695"/>
      <c r="AQ1013" s="695"/>
      <c r="AR1013" s="695"/>
      <c r="AS1013" s="695"/>
      <c r="AT1013" s="695"/>
      <c r="AU1013" s="695"/>
      <c r="AV1013" s="695"/>
      <c r="AW1013" s="695"/>
      <c r="AX1013" s="696"/>
      <c r="AY1013" s="696"/>
      <c r="AZ1013" s="697"/>
    </row>
    <row r="1014" spans="1:52" ht="30.75" thickBot="1">
      <c r="A1014" s="67">
        <f>A1013+1</f>
        <v>44867</v>
      </c>
      <c r="B1014" s="155"/>
      <c r="C1014" s="155"/>
      <c r="D1014" s="155"/>
      <c r="E1014" s="155"/>
      <c r="F1014" s="155"/>
      <c r="G1014" s="155"/>
      <c r="H1014" s="155"/>
      <c r="I1014" s="155"/>
      <c r="J1014" s="155"/>
      <c r="K1014" s="155"/>
      <c r="L1014" s="155"/>
      <c r="M1014" s="155"/>
      <c r="N1014" s="155"/>
      <c r="O1014" s="155"/>
      <c r="P1014" s="155"/>
      <c r="Q1014" s="155"/>
      <c r="R1014" s="156"/>
      <c r="S1014" s="180"/>
      <c r="T1014" s="838"/>
      <c r="U1014" s="838"/>
      <c r="V1014" s="838"/>
      <c r="W1014" s="838"/>
      <c r="X1014" s="838"/>
      <c r="Y1014" s="255">
        <f t="shared" ref="Y1014:Y1043" si="573">B1014*280+C1014*280+D1014*280+E1014*280+F1014*130+G1014*130+H1014*90+I1014*35+J1014*35+K1014*390+L1014*390+M1014*390+N1014*390+O1014*387.5+P1014*80+Q1014*200+R1014*260+S1014*41+T1014*30+U1014*60</f>
        <v>0</v>
      </c>
      <c r="Z1014" s="309">
        <f t="shared" ref="Z1014:Z1043" si="574">AD1013</f>
        <v>0</v>
      </c>
      <c r="AA1014" s="256">
        <f t="shared" si="571"/>
        <v>0</v>
      </c>
      <c r="AB1014" s="309"/>
      <c r="AC1014" s="309"/>
      <c r="AD1014" s="320">
        <f t="shared" si="572"/>
        <v>0</v>
      </c>
      <c r="AF1014" s="578" t="s">
        <v>1</v>
      </c>
      <c r="AG1014" s="4"/>
      <c r="AH1014" s="64">
        <f>AH1013+1</f>
        <v>43375</v>
      </c>
      <c r="AI1014" s="698"/>
      <c r="AJ1014" s="699"/>
      <c r="AK1014" s="699"/>
      <c r="AL1014" s="699"/>
      <c r="AM1014" s="699"/>
      <c r="AN1014" s="699"/>
      <c r="AO1014" s="699"/>
      <c r="AP1014" s="699"/>
      <c r="AQ1014" s="699"/>
      <c r="AR1014" s="699"/>
      <c r="AS1014" s="699"/>
      <c r="AT1014" s="699"/>
      <c r="AU1014" s="699"/>
      <c r="AV1014" s="699"/>
      <c r="AW1014" s="699"/>
      <c r="AX1014" s="700"/>
      <c r="AY1014" s="700"/>
      <c r="AZ1014" s="701"/>
    </row>
    <row r="1015" spans="1:52" ht="30.75" thickBot="1">
      <c r="A1015" s="67">
        <f t="shared" ref="A1015:A1043" si="575">A1014+1</f>
        <v>44868</v>
      </c>
      <c r="B1015" s="155"/>
      <c r="C1015" s="155"/>
      <c r="D1015" s="155"/>
      <c r="E1015" s="155"/>
      <c r="F1015" s="155"/>
      <c r="G1015" s="155"/>
      <c r="H1015" s="155"/>
      <c r="I1015" s="155"/>
      <c r="J1015" s="155"/>
      <c r="K1015" s="155"/>
      <c r="L1015" s="155"/>
      <c r="M1015" s="155"/>
      <c r="N1015" s="155"/>
      <c r="O1015" s="155"/>
      <c r="P1015" s="155"/>
      <c r="Q1015" s="155"/>
      <c r="R1015" s="156"/>
      <c r="S1015" s="180"/>
      <c r="T1015" s="838"/>
      <c r="U1015" s="838"/>
      <c r="V1015" s="838"/>
      <c r="W1015" s="838"/>
      <c r="X1015" s="838"/>
      <c r="Y1015" s="255">
        <f t="shared" si="573"/>
        <v>0</v>
      </c>
      <c r="Z1015" s="309">
        <f t="shared" si="574"/>
        <v>0</v>
      </c>
      <c r="AA1015" s="256">
        <f t="shared" si="571"/>
        <v>0</v>
      </c>
      <c r="AB1015" s="309"/>
      <c r="AC1015" s="309"/>
      <c r="AD1015" s="320">
        <f t="shared" si="572"/>
        <v>0</v>
      </c>
      <c r="AH1015" s="64">
        <f t="shared" ref="AH1015:AH1043" si="576">AH1014+1</f>
        <v>43376</v>
      </c>
      <c r="AI1015" s="698"/>
      <c r="AJ1015" s="699"/>
      <c r="AK1015" s="699"/>
      <c r="AL1015" s="699"/>
      <c r="AM1015" s="699"/>
      <c r="AN1015" s="699"/>
      <c r="AO1015" s="699"/>
      <c r="AP1015" s="699"/>
      <c r="AQ1015" s="699"/>
      <c r="AR1015" s="699"/>
      <c r="AS1015" s="699"/>
      <c r="AT1015" s="699"/>
      <c r="AU1015" s="699"/>
      <c r="AV1015" s="699"/>
      <c r="AW1015" s="699"/>
      <c r="AX1015" s="700"/>
      <c r="AY1015" s="700"/>
      <c r="AZ1015" s="701"/>
    </row>
    <row r="1016" spans="1:52" ht="29.25" customHeight="1" thickBot="1">
      <c r="A1016" s="67">
        <f t="shared" si="575"/>
        <v>44869</v>
      </c>
      <c r="B1016" s="155"/>
      <c r="C1016" s="155"/>
      <c r="D1016" s="155"/>
      <c r="E1016" s="155"/>
      <c r="F1016" s="155"/>
      <c r="G1016" s="155"/>
      <c r="H1016" s="155"/>
      <c r="I1016" s="155"/>
      <c r="J1016" s="155"/>
      <c r="K1016" s="155"/>
      <c r="L1016" s="155"/>
      <c r="M1016" s="155"/>
      <c r="N1016" s="155"/>
      <c r="O1016" s="155"/>
      <c r="P1016" s="155"/>
      <c r="Q1016" s="155"/>
      <c r="R1016" s="156"/>
      <c r="S1016" s="180"/>
      <c r="T1016" s="838"/>
      <c r="U1016" s="838"/>
      <c r="V1016" s="838"/>
      <c r="W1016" s="838"/>
      <c r="X1016" s="838"/>
      <c r="Y1016" s="255">
        <f t="shared" si="573"/>
        <v>0</v>
      </c>
      <c r="Z1016" s="309">
        <f t="shared" si="574"/>
        <v>0</v>
      </c>
      <c r="AA1016" s="256">
        <f t="shared" si="571"/>
        <v>0</v>
      </c>
      <c r="AB1016" s="309"/>
      <c r="AC1016" s="309"/>
      <c r="AD1016" s="320">
        <f t="shared" si="572"/>
        <v>0</v>
      </c>
      <c r="AH1016" s="64">
        <f t="shared" si="576"/>
        <v>43377</v>
      </c>
      <c r="AI1016" s="698"/>
      <c r="AJ1016" s="699"/>
      <c r="AK1016" s="699"/>
      <c r="AL1016" s="699"/>
      <c r="AM1016" s="699"/>
      <c r="AN1016" s="699"/>
      <c r="AO1016" s="699"/>
      <c r="AP1016" s="699"/>
      <c r="AQ1016" s="699"/>
      <c r="AR1016" s="699"/>
      <c r="AS1016" s="699"/>
      <c r="AT1016" s="699"/>
      <c r="AU1016" s="699"/>
      <c r="AV1016" s="699"/>
      <c r="AW1016" s="699"/>
      <c r="AX1016" s="700"/>
      <c r="AY1016" s="700"/>
      <c r="AZ1016" s="701"/>
    </row>
    <row r="1017" spans="1:52" ht="30.75" thickBot="1">
      <c r="A1017" s="67">
        <f t="shared" si="575"/>
        <v>44870</v>
      </c>
      <c r="B1017" s="155"/>
      <c r="C1017" s="155"/>
      <c r="D1017" s="155"/>
      <c r="E1017" s="155"/>
      <c r="F1017" s="155"/>
      <c r="G1017" s="155"/>
      <c r="H1017" s="155"/>
      <c r="I1017" s="155"/>
      <c r="J1017" s="155"/>
      <c r="K1017" s="155"/>
      <c r="L1017" s="155"/>
      <c r="M1017" s="155"/>
      <c r="N1017" s="155"/>
      <c r="O1017" s="155"/>
      <c r="P1017" s="155"/>
      <c r="Q1017" s="155"/>
      <c r="R1017" s="156"/>
      <c r="S1017" s="180"/>
      <c r="T1017" s="838"/>
      <c r="U1017" s="838"/>
      <c r="V1017" s="838"/>
      <c r="W1017" s="838"/>
      <c r="X1017" s="838"/>
      <c r="Y1017" s="255">
        <f t="shared" si="573"/>
        <v>0</v>
      </c>
      <c r="Z1017" s="309">
        <f t="shared" si="574"/>
        <v>0</v>
      </c>
      <c r="AA1017" s="256">
        <f t="shared" si="571"/>
        <v>0</v>
      </c>
      <c r="AB1017" s="309"/>
      <c r="AC1017" s="309"/>
      <c r="AD1017" s="320">
        <f t="shared" si="572"/>
        <v>0</v>
      </c>
      <c r="AH1017" s="64">
        <f t="shared" si="576"/>
        <v>43378</v>
      </c>
      <c r="AI1017" s="698"/>
      <c r="AJ1017" s="699"/>
      <c r="AK1017" s="699"/>
      <c r="AL1017" s="699"/>
      <c r="AM1017" s="699"/>
      <c r="AN1017" s="699"/>
      <c r="AO1017" s="699"/>
      <c r="AP1017" s="699"/>
      <c r="AQ1017" s="699"/>
      <c r="AR1017" s="699"/>
      <c r="AS1017" s="699"/>
      <c r="AT1017" s="699"/>
      <c r="AU1017" s="699"/>
      <c r="AV1017" s="699"/>
      <c r="AW1017" s="699"/>
      <c r="AX1017" s="700"/>
      <c r="AY1017" s="700"/>
      <c r="AZ1017" s="701"/>
    </row>
    <row r="1018" spans="1:52" ht="30.75" thickBot="1">
      <c r="A1018" s="67">
        <f t="shared" si="575"/>
        <v>44871</v>
      </c>
      <c r="B1018" s="155"/>
      <c r="C1018" s="155"/>
      <c r="D1018" s="155"/>
      <c r="E1018" s="155"/>
      <c r="F1018" s="155"/>
      <c r="G1018" s="155"/>
      <c r="H1018" s="155"/>
      <c r="I1018" s="155"/>
      <c r="J1018" s="155"/>
      <c r="K1018" s="155"/>
      <c r="L1018" s="155"/>
      <c r="M1018" s="155"/>
      <c r="N1018" s="155"/>
      <c r="O1018" s="155"/>
      <c r="P1018" s="155"/>
      <c r="Q1018" s="155"/>
      <c r="R1018" s="156"/>
      <c r="S1018" s="180"/>
      <c r="T1018" s="838"/>
      <c r="U1018" s="838"/>
      <c r="V1018" s="838"/>
      <c r="W1018" s="838"/>
      <c r="X1018" s="838"/>
      <c r="Y1018" s="255">
        <f t="shared" si="573"/>
        <v>0</v>
      </c>
      <c r="Z1018" s="309">
        <f t="shared" si="574"/>
        <v>0</v>
      </c>
      <c r="AA1018" s="256">
        <f t="shared" si="571"/>
        <v>0</v>
      </c>
      <c r="AB1018" s="309"/>
      <c r="AC1018" s="309"/>
      <c r="AD1018" s="320">
        <f t="shared" si="572"/>
        <v>0</v>
      </c>
      <c r="AH1018" s="64">
        <f t="shared" si="576"/>
        <v>43379</v>
      </c>
      <c r="AI1018" s="698"/>
      <c r="AJ1018" s="699"/>
      <c r="AK1018" s="699"/>
      <c r="AL1018" s="699"/>
      <c r="AM1018" s="699"/>
      <c r="AN1018" s="699"/>
      <c r="AO1018" s="699"/>
      <c r="AP1018" s="699"/>
      <c r="AQ1018" s="699"/>
      <c r="AR1018" s="699"/>
      <c r="AS1018" s="699"/>
      <c r="AT1018" s="699"/>
      <c r="AU1018" s="699"/>
      <c r="AV1018" s="699"/>
      <c r="AW1018" s="699"/>
      <c r="AX1018" s="700"/>
      <c r="AY1018" s="700"/>
      <c r="AZ1018" s="701"/>
    </row>
    <row r="1019" spans="1:52" ht="30.75" thickBot="1">
      <c r="A1019" s="67">
        <f t="shared" si="575"/>
        <v>44872</v>
      </c>
      <c r="B1019" s="155"/>
      <c r="C1019" s="155"/>
      <c r="D1019" s="155"/>
      <c r="E1019" s="155"/>
      <c r="F1019" s="155"/>
      <c r="G1019" s="155"/>
      <c r="H1019" s="155"/>
      <c r="I1019" s="155"/>
      <c r="J1019" s="155"/>
      <c r="K1019" s="155"/>
      <c r="L1019" s="155"/>
      <c r="M1019" s="155"/>
      <c r="N1019" s="155"/>
      <c r="O1019" s="155"/>
      <c r="P1019" s="155"/>
      <c r="Q1019" s="155"/>
      <c r="R1019" s="156"/>
      <c r="S1019" s="180"/>
      <c r="T1019" s="838"/>
      <c r="U1019" s="838"/>
      <c r="V1019" s="838"/>
      <c r="W1019" s="838"/>
      <c r="X1019" s="838"/>
      <c r="Y1019" s="255">
        <f t="shared" si="573"/>
        <v>0</v>
      </c>
      <c r="Z1019" s="309">
        <f t="shared" si="574"/>
        <v>0</v>
      </c>
      <c r="AA1019" s="256">
        <f t="shared" si="571"/>
        <v>0</v>
      </c>
      <c r="AB1019" s="309"/>
      <c r="AC1019" s="309"/>
      <c r="AD1019" s="320">
        <f t="shared" si="572"/>
        <v>0</v>
      </c>
      <c r="AH1019" s="64">
        <f t="shared" si="576"/>
        <v>43380</v>
      </c>
      <c r="AI1019" s="698"/>
      <c r="AJ1019" s="699"/>
      <c r="AK1019" s="699"/>
      <c r="AL1019" s="699"/>
      <c r="AM1019" s="699"/>
      <c r="AN1019" s="699"/>
      <c r="AO1019" s="699"/>
      <c r="AP1019" s="699"/>
      <c r="AQ1019" s="699"/>
      <c r="AR1019" s="699"/>
      <c r="AS1019" s="699"/>
      <c r="AT1019" s="699"/>
      <c r="AU1019" s="699"/>
      <c r="AV1019" s="699"/>
      <c r="AW1019" s="699"/>
      <c r="AX1019" s="700"/>
      <c r="AY1019" s="700"/>
      <c r="AZ1019" s="701"/>
    </row>
    <row r="1020" spans="1:52" ht="30.75" thickBot="1">
      <c r="A1020" s="67">
        <f t="shared" si="575"/>
        <v>44873</v>
      </c>
      <c r="B1020" s="155"/>
      <c r="C1020" s="155"/>
      <c r="D1020" s="155"/>
      <c r="E1020" s="155"/>
      <c r="F1020" s="155"/>
      <c r="G1020" s="155"/>
      <c r="H1020" s="155"/>
      <c r="I1020" s="155"/>
      <c r="J1020" s="155"/>
      <c r="K1020" s="155"/>
      <c r="L1020" s="155"/>
      <c r="M1020" s="155"/>
      <c r="N1020" s="155"/>
      <c r="O1020" s="155"/>
      <c r="P1020" s="155"/>
      <c r="Q1020" s="155"/>
      <c r="R1020" s="156"/>
      <c r="S1020" s="180"/>
      <c r="T1020" s="838"/>
      <c r="U1020" s="838"/>
      <c r="V1020" s="838"/>
      <c r="W1020" s="838"/>
      <c r="X1020" s="838"/>
      <c r="Y1020" s="255">
        <f t="shared" si="573"/>
        <v>0</v>
      </c>
      <c r="Z1020" s="309">
        <f t="shared" si="574"/>
        <v>0</v>
      </c>
      <c r="AA1020" s="256">
        <f t="shared" si="571"/>
        <v>0</v>
      </c>
      <c r="AB1020" s="309"/>
      <c r="AC1020" s="309"/>
      <c r="AD1020" s="320">
        <f t="shared" si="572"/>
        <v>0</v>
      </c>
      <c r="AH1020" s="64">
        <f t="shared" si="576"/>
        <v>43381</v>
      </c>
      <c r="AI1020" s="698"/>
      <c r="AJ1020" s="699"/>
      <c r="AK1020" s="699"/>
      <c r="AL1020" s="699"/>
      <c r="AM1020" s="699"/>
      <c r="AN1020" s="699"/>
      <c r="AO1020" s="699"/>
      <c r="AP1020" s="699"/>
      <c r="AQ1020" s="699"/>
      <c r="AR1020" s="699"/>
      <c r="AS1020" s="699"/>
      <c r="AT1020" s="699"/>
      <c r="AU1020" s="699"/>
      <c r="AV1020" s="699"/>
      <c r="AW1020" s="699"/>
      <c r="AX1020" s="700"/>
      <c r="AY1020" s="700"/>
      <c r="AZ1020" s="701"/>
    </row>
    <row r="1021" spans="1:52" ht="30.75" thickBot="1">
      <c r="A1021" s="67">
        <f t="shared" si="575"/>
        <v>44874</v>
      </c>
      <c r="B1021" s="155"/>
      <c r="C1021" s="155"/>
      <c r="D1021" s="155"/>
      <c r="E1021" s="155"/>
      <c r="F1021" s="155"/>
      <c r="G1021" s="155"/>
      <c r="H1021" s="155"/>
      <c r="I1021" s="155"/>
      <c r="J1021" s="155"/>
      <c r="K1021" s="155"/>
      <c r="L1021" s="155"/>
      <c r="M1021" s="155"/>
      <c r="N1021" s="155"/>
      <c r="O1021" s="155"/>
      <c r="P1021" s="155"/>
      <c r="Q1021" s="155"/>
      <c r="R1021" s="156"/>
      <c r="S1021" s="180"/>
      <c r="T1021" s="838"/>
      <c r="U1021" s="838"/>
      <c r="V1021" s="838"/>
      <c r="W1021" s="838"/>
      <c r="X1021" s="838"/>
      <c r="Y1021" s="255">
        <f t="shared" si="573"/>
        <v>0</v>
      </c>
      <c r="Z1021" s="309">
        <f t="shared" si="574"/>
        <v>0</v>
      </c>
      <c r="AA1021" s="256">
        <f t="shared" si="571"/>
        <v>0</v>
      </c>
      <c r="AB1021" s="309"/>
      <c r="AC1021" s="309"/>
      <c r="AD1021" s="320">
        <f t="shared" si="572"/>
        <v>0</v>
      </c>
      <c r="AH1021" s="64">
        <f t="shared" si="576"/>
        <v>43382</v>
      </c>
      <c r="AI1021" s="698"/>
      <c r="AJ1021" s="699"/>
      <c r="AK1021" s="699"/>
      <c r="AL1021" s="699"/>
      <c r="AM1021" s="699"/>
      <c r="AN1021" s="699"/>
      <c r="AO1021" s="699"/>
      <c r="AP1021" s="699"/>
      <c r="AQ1021" s="699"/>
      <c r="AR1021" s="699"/>
      <c r="AS1021" s="699"/>
      <c r="AT1021" s="699"/>
      <c r="AU1021" s="699"/>
      <c r="AV1021" s="699"/>
      <c r="AW1021" s="699"/>
      <c r="AX1021" s="700"/>
      <c r="AY1021" s="700"/>
      <c r="AZ1021" s="701"/>
    </row>
    <row r="1022" spans="1:52" ht="30.75" thickBot="1">
      <c r="A1022" s="67">
        <f t="shared" si="575"/>
        <v>44875</v>
      </c>
      <c r="B1022" s="155"/>
      <c r="C1022" s="155"/>
      <c r="D1022" s="155"/>
      <c r="E1022" s="155"/>
      <c r="F1022" s="155"/>
      <c r="G1022" s="155"/>
      <c r="H1022" s="155"/>
      <c r="I1022" s="155"/>
      <c r="J1022" s="155"/>
      <c r="K1022" s="155"/>
      <c r="L1022" s="155"/>
      <c r="M1022" s="155"/>
      <c r="N1022" s="155"/>
      <c r="O1022" s="155"/>
      <c r="P1022" s="155"/>
      <c r="Q1022" s="155"/>
      <c r="R1022" s="156"/>
      <c r="S1022" s="180"/>
      <c r="T1022" s="838"/>
      <c r="U1022" s="838"/>
      <c r="V1022" s="838"/>
      <c r="W1022" s="838"/>
      <c r="X1022" s="838"/>
      <c r="Y1022" s="255">
        <f t="shared" si="573"/>
        <v>0</v>
      </c>
      <c r="Z1022" s="309">
        <f t="shared" si="574"/>
        <v>0</v>
      </c>
      <c r="AA1022" s="256">
        <f t="shared" si="571"/>
        <v>0</v>
      </c>
      <c r="AB1022" s="309"/>
      <c r="AC1022" s="309"/>
      <c r="AD1022" s="320">
        <f t="shared" si="572"/>
        <v>0</v>
      </c>
      <c r="AH1022" s="64">
        <f t="shared" si="576"/>
        <v>43383</v>
      </c>
      <c r="AI1022" s="698"/>
      <c r="AJ1022" s="699"/>
      <c r="AK1022" s="699"/>
      <c r="AL1022" s="699"/>
      <c r="AM1022" s="699"/>
      <c r="AN1022" s="699"/>
      <c r="AO1022" s="699"/>
      <c r="AP1022" s="699"/>
      <c r="AQ1022" s="699"/>
      <c r="AR1022" s="699"/>
      <c r="AS1022" s="699"/>
      <c r="AT1022" s="699"/>
      <c r="AU1022" s="699"/>
      <c r="AV1022" s="699"/>
      <c r="AW1022" s="699"/>
      <c r="AX1022" s="700"/>
      <c r="AY1022" s="700"/>
      <c r="AZ1022" s="701"/>
    </row>
    <row r="1023" spans="1:52" ht="30.75" thickBot="1">
      <c r="A1023" s="67">
        <f t="shared" si="575"/>
        <v>44876</v>
      </c>
      <c r="B1023" s="155"/>
      <c r="C1023" s="155"/>
      <c r="D1023" s="155"/>
      <c r="E1023" s="155"/>
      <c r="F1023" s="155"/>
      <c r="G1023" s="155"/>
      <c r="H1023" s="155"/>
      <c r="I1023" s="155"/>
      <c r="J1023" s="155"/>
      <c r="K1023" s="155"/>
      <c r="L1023" s="155"/>
      <c r="M1023" s="155"/>
      <c r="N1023" s="155"/>
      <c r="O1023" s="155"/>
      <c r="P1023" s="155"/>
      <c r="Q1023" s="155"/>
      <c r="R1023" s="156"/>
      <c r="S1023" s="180"/>
      <c r="T1023" s="838"/>
      <c r="U1023" s="838"/>
      <c r="V1023" s="838"/>
      <c r="W1023" s="838"/>
      <c r="X1023" s="838"/>
      <c r="Y1023" s="255">
        <f t="shared" si="573"/>
        <v>0</v>
      </c>
      <c r="Z1023" s="309">
        <f t="shared" si="574"/>
        <v>0</v>
      </c>
      <c r="AA1023" s="256">
        <f t="shared" si="571"/>
        <v>0</v>
      </c>
      <c r="AB1023" s="309"/>
      <c r="AC1023" s="309"/>
      <c r="AD1023" s="320">
        <f t="shared" si="572"/>
        <v>0</v>
      </c>
      <c r="AH1023" s="64">
        <f t="shared" si="576"/>
        <v>43384</v>
      </c>
      <c r="AI1023" s="698"/>
      <c r="AJ1023" s="699"/>
      <c r="AK1023" s="699"/>
      <c r="AL1023" s="699"/>
      <c r="AM1023" s="699"/>
      <c r="AN1023" s="699"/>
      <c r="AO1023" s="699"/>
      <c r="AP1023" s="699"/>
      <c r="AQ1023" s="699"/>
      <c r="AR1023" s="699"/>
      <c r="AS1023" s="699"/>
      <c r="AT1023" s="699"/>
      <c r="AU1023" s="699"/>
      <c r="AV1023" s="699"/>
      <c r="AW1023" s="699"/>
      <c r="AX1023" s="700"/>
      <c r="AY1023" s="700"/>
      <c r="AZ1023" s="701"/>
    </row>
    <row r="1024" spans="1:52" ht="30.75" thickBot="1">
      <c r="A1024" s="67">
        <f t="shared" si="575"/>
        <v>44877</v>
      </c>
      <c r="B1024" s="155"/>
      <c r="C1024" s="155"/>
      <c r="D1024" s="155"/>
      <c r="E1024" s="155"/>
      <c r="F1024" s="155"/>
      <c r="G1024" s="155"/>
      <c r="H1024" s="155"/>
      <c r="I1024" s="155"/>
      <c r="J1024" s="155"/>
      <c r="K1024" s="155"/>
      <c r="L1024" s="155"/>
      <c r="M1024" s="155"/>
      <c r="N1024" s="155"/>
      <c r="O1024" s="155"/>
      <c r="P1024" s="155"/>
      <c r="Q1024" s="155"/>
      <c r="R1024" s="156"/>
      <c r="S1024" s="180"/>
      <c r="T1024" s="838"/>
      <c r="U1024" s="838"/>
      <c r="V1024" s="838"/>
      <c r="W1024" s="838"/>
      <c r="X1024" s="838"/>
      <c r="Y1024" s="255">
        <f t="shared" si="573"/>
        <v>0</v>
      </c>
      <c r="Z1024" s="309">
        <f t="shared" si="574"/>
        <v>0</v>
      </c>
      <c r="AA1024" s="256">
        <f t="shared" si="571"/>
        <v>0</v>
      </c>
      <c r="AB1024" s="309"/>
      <c r="AC1024" s="309"/>
      <c r="AD1024" s="320">
        <f t="shared" si="572"/>
        <v>0</v>
      </c>
      <c r="AH1024" s="64">
        <f t="shared" si="576"/>
        <v>43385</v>
      </c>
      <c r="AI1024" s="698"/>
      <c r="AJ1024" s="699"/>
      <c r="AK1024" s="699"/>
      <c r="AL1024" s="699"/>
      <c r="AM1024" s="699"/>
      <c r="AN1024" s="699"/>
      <c r="AO1024" s="699"/>
      <c r="AP1024" s="699"/>
      <c r="AQ1024" s="699"/>
      <c r="AR1024" s="699"/>
      <c r="AS1024" s="699"/>
      <c r="AT1024" s="699"/>
      <c r="AU1024" s="699"/>
      <c r="AV1024" s="699"/>
      <c r="AW1024" s="699"/>
      <c r="AX1024" s="700"/>
      <c r="AY1024" s="700"/>
      <c r="AZ1024" s="701"/>
    </row>
    <row r="1025" spans="1:52" ht="30.75" thickBot="1">
      <c r="A1025" s="67">
        <f t="shared" si="575"/>
        <v>44878</v>
      </c>
      <c r="B1025" s="155"/>
      <c r="C1025" s="155"/>
      <c r="D1025" s="155"/>
      <c r="E1025" s="155"/>
      <c r="F1025" s="155"/>
      <c r="G1025" s="155"/>
      <c r="H1025" s="155"/>
      <c r="I1025" s="155"/>
      <c r="J1025" s="155"/>
      <c r="K1025" s="155"/>
      <c r="L1025" s="155"/>
      <c r="M1025" s="155"/>
      <c r="N1025" s="155"/>
      <c r="O1025" s="155"/>
      <c r="P1025" s="155"/>
      <c r="Q1025" s="155"/>
      <c r="R1025" s="156"/>
      <c r="S1025" s="180"/>
      <c r="T1025" s="838"/>
      <c r="U1025" s="838"/>
      <c r="V1025" s="838"/>
      <c r="W1025" s="838"/>
      <c r="X1025" s="838"/>
      <c r="Y1025" s="255">
        <f t="shared" si="573"/>
        <v>0</v>
      </c>
      <c r="Z1025" s="309">
        <f t="shared" si="574"/>
        <v>0</v>
      </c>
      <c r="AA1025" s="256">
        <f t="shared" si="571"/>
        <v>0</v>
      </c>
      <c r="AB1025" s="309"/>
      <c r="AC1025" s="309"/>
      <c r="AD1025" s="320">
        <f t="shared" si="572"/>
        <v>0</v>
      </c>
      <c r="AH1025" s="64">
        <f t="shared" si="576"/>
        <v>43386</v>
      </c>
      <c r="AI1025" s="698"/>
      <c r="AJ1025" s="699"/>
      <c r="AK1025" s="699"/>
      <c r="AL1025" s="699"/>
      <c r="AM1025" s="699"/>
      <c r="AN1025" s="699"/>
      <c r="AO1025" s="699"/>
      <c r="AP1025" s="699"/>
      <c r="AQ1025" s="699"/>
      <c r="AR1025" s="699"/>
      <c r="AS1025" s="699"/>
      <c r="AT1025" s="699"/>
      <c r="AU1025" s="699"/>
      <c r="AV1025" s="699"/>
      <c r="AW1025" s="699"/>
      <c r="AX1025" s="700"/>
      <c r="AY1025" s="700"/>
      <c r="AZ1025" s="701"/>
    </row>
    <row r="1026" spans="1:52" ht="30.75" thickBot="1">
      <c r="A1026" s="67">
        <f t="shared" si="575"/>
        <v>44879</v>
      </c>
      <c r="B1026" s="155"/>
      <c r="C1026" s="155"/>
      <c r="D1026" s="155"/>
      <c r="E1026" s="155"/>
      <c r="F1026" s="155"/>
      <c r="G1026" s="155"/>
      <c r="H1026" s="155"/>
      <c r="I1026" s="155"/>
      <c r="J1026" s="155"/>
      <c r="K1026" s="155"/>
      <c r="L1026" s="155"/>
      <c r="M1026" s="155"/>
      <c r="N1026" s="155"/>
      <c r="O1026" s="155"/>
      <c r="P1026" s="155"/>
      <c r="Q1026" s="155"/>
      <c r="R1026" s="156"/>
      <c r="S1026" s="180"/>
      <c r="T1026" s="838"/>
      <c r="U1026" s="838"/>
      <c r="V1026" s="838"/>
      <c r="W1026" s="838"/>
      <c r="X1026" s="838"/>
      <c r="Y1026" s="255">
        <f t="shared" si="573"/>
        <v>0</v>
      </c>
      <c r="Z1026" s="309">
        <f t="shared" si="574"/>
        <v>0</v>
      </c>
      <c r="AA1026" s="256">
        <f t="shared" si="571"/>
        <v>0</v>
      </c>
      <c r="AB1026" s="309"/>
      <c r="AC1026" s="309"/>
      <c r="AD1026" s="320">
        <f t="shared" si="572"/>
        <v>0</v>
      </c>
      <c r="AH1026" s="64">
        <f t="shared" si="576"/>
        <v>43387</v>
      </c>
      <c r="AI1026" s="698"/>
      <c r="AJ1026" s="699"/>
      <c r="AK1026" s="699"/>
      <c r="AL1026" s="699"/>
      <c r="AM1026" s="699"/>
      <c r="AN1026" s="699"/>
      <c r="AO1026" s="699"/>
      <c r="AP1026" s="699"/>
      <c r="AQ1026" s="699"/>
      <c r="AR1026" s="699"/>
      <c r="AS1026" s="699"/>
      <c r="AT1026" s="699"/>
      <c r="AU1026" s="699"/>
      <c r="AV1026" s="699"/>
      <c r="AW1026" s="699"/>
      <c r="AX1026" s="700"/>
      <c r="AY1026" s="700"/>
      <c r="AZ1026" s="701"/>
    </row>
    <row r="1027" spans="1:52" ht="30.75" thickBot="1">
      <c r="A1027" s="67">
        <f t="shared" si="575"/>
        <v>44880</v>
      </c>
      <c r="B1027" s="155"/>
      <c r="C1027" s="155"/>
      <c r="D1027" s="155"/>
      <c r="E1027" s="155"/>
      <c r="F1027" s="155"/>
      <c r="G1027" s="155"/>
      <c r="H1027" s="155"/>
      <c r="I1027" s="155"/>
      <c r="J1027" s="155"/>
      <c r="K1027" s="155"/>
      <c r="L1027" s="155"/>
      <c r="M1027" s="155"/>
      <c r="N1027" s="155"/>
      <c r="O1027" s="155"/>
      <c r="P1027" s="155"/>
      <c r="Q1027" s="155"/>
      <c r="R1027" s="156"/>
      <c r="S1027" s="180"/>
      <c r="T1027" s="838"/>
      <c r="U1027" s="838"/>
      <c r="V1027" s="838"/>
      <c r="W1027" s="838"/>
      <c r="X1027" s="838"/>
      <c r="Y1027" s="255">
        <f t="shared" si="573"/>
        <v>0</v>
      </c>
      <c r="Z1027" s="309">
        <f t="shared" si="574"/>
        <v>0</v>
      </c>
      <c r="AA1027" s="256">
        <f t="shared" si="571"/>
        <v>0</v>
      </c>
      <c r="AB1027" s="309"/>
      <c r="AC1027" s="309"/>
      <c r="AD1027" s="320">
        <f t="shared" si="572"/>
        <v>0</v>
      </c>
      <c r="AH1027" s="64">
        <f t="shared" si="576"/>
        <v>43388</v>
      </c>
      <c r="AI1027" s="698"/>
      <c r="AJ1027" s="699"/>
      <c r="AK1027" s="699"/>
      <c r="AL1027" s="699"/>
      <c r="AM1027" s="699"/>
      <c r="AN1027" s="699"/>
      <c r="AO1027" s="699"/>
      <c r="AP1027" s="699"/>
      <c r="AQ1027" s="699"/>
      <c r="AR1027" s="699"/>
      <c r="AS1027" s="699"/>
      <c r="AT1027" s="699"/>
      <c r="AU1027" s="699"/>
      <c r="AV1027" s="699"/>
      <c r="AW1027" s="699"/>
      <c r="AX1027" s="700"/>
      <c r="AY1027" s="700"/>
      <c r="AZ1027" s="701"/>
    </row>
    <row r="1028" spans="1:52" ht="30.75" thickBot="1">
      <c r="A1028" s="67">
        <f t="shared" si="575"/>
        <v>44881</v>
      </c>
      <c r="B1028" s="155"/>
      <c r="C1028" s="155"/>
      <c r="D1028" s="155"/>
      <c r="E1028" s="155"/>
      <c r="F1028" s="155"/>
      <c r="G1028" s="155"/>
      <c r="H1028" s="155"/>
      <c r="I1028" s="155"/>
      <c r="J1028" s="155"/>
      <c r="K1028" s="155"/>
      <c r="L1028" s="155"/>
      <c r="M1028" s="155"/>
      <c r="N1028" s="155"/>
      <c r="O1028" s="155"/>
      <c r="P1028" s="155"/>
      <c r="Q1028" s="155"/>
      <c r="R1028" s="156"/>
      <c r="S1028" s="180"/>
      <c r="T1028" s="838"/>
      <c r="U1028" s="838"/>
      <c r="V1028" s="838"/>
      <c r="W1028" s="838"/>
      <c r="X1028" s="838"/>
      <c r="Y1028" s="255">
        <f t="shared" si="573"/>
        <v>0</v>
      </c>
      <c r="Z1028" s="309">
        <f t="shared" si="574"/>
        <v>0</v>
      </c>
      <c r="AA1028" s="256">
        <f t="shared" si="571"/>
        <v>0</v>
      </c>
      <c r="AB1028" s="309"/>
      <c r="AC1028" s="309"/>
      <c r="AD1028" s="320">
        <f t="shared" si="572"/>
        <v>0</v>
      </c>
      <c r="AH1028" s="64">
        <f t="shared" si="576"/>
        <v>43389</v>
      </c>
      <c r="AI1028" s="698"/>
      <c r="AJ1028" s="699"/>
      <c r="AK1028" s="699"/>
      <c r="AL1028" s="699"/>
      <c r="AM1028" s="699"/>
      <c r="AN1028" s="699"/>
      <c r="AO1028" s="699"/>
      <c r="AP1028" s="699"/>
      <c r="AQ1028" s="699"/>
      <c r="AR1028" s="699"/>
      <c r="AS1028" s="699"/>
      <c r="AT1028" s="699"/>
      <c r="AU1028" s="699"/>
      <c r="AV1028" s="699"/>
      <c r="AW1028" s="699"/>
      <c r="AX1028" s="700"/>
      <c r="AY1028" s="700"/>
      <c r="AZ1028" s="701"/>
    </row>
    <row r="1029" spans="1:52" ht="30.75" thickBot="1">
      <c r="A1029" s="67">
        <f t="shared" si="575"/>
        <v>44882</v>
      </c>
      <c r="B1029" s="155"/>
      <c r="C1029" s="155"/>
      <c r="D1029" s="155"/>
      <c r="E1029" s="155"/>
      <c r="F1029" s="155"/>
      <c r="G1029" s="155"/>
      <c r="H1029" s="155"/>
      <c r="I1029" s="155"/>
      <c r="J1029" s="155"/>
      <c r="K1029" s="155"/>
      <c r="L1029" s="155"/>
      <c r="M1029" s="155"/>
      <c r="N1029" s="155"/>
      <c r="O1029" s="155"/>
      <c r="P1029" s="155"/>
      <c r="Q1029" s="155"/>
      <c r="R1029" s="156"/>
      <c r="S1029" s="180"/>
      <c r="T1029" s="838"/>
      <c r="U1029" s="838"/>
      <c r="V1029" s="838"/>
      <c r="W1029" s="838"/>
      <c r="X1029" s="838"/>
      <c r="Y1029" s="255">
        <f t="shared" si="573"/>
        <v>0</v>
      </c>
      <c r="Z1029" s="309">
        <f t="shared" si="574"/>
        <v>0</v>
      </c>
      <c r="AA1029" s="256">
        <f t="shared" si="571"/>
        <v>0</v>
      </c>
      <c r="AB1029" s="309"/>
      <c r="AC1029" s="309"/>
      <c r="AD1029" s="320">
        <f t="shared" si="572"/>
        <v>0</v>
      </c>
      <c r="AH1029" s="64">
        <f t="shared" si="576"/>
        <v>43390</v>
      </c>
      <c r="AI1029" s="698"/>
      <c r="AJ1029" s="699"/>
      <c r="AK1029" s="699"/>
      <c r="AL1029" s="699"/>
      <c r="AM1029" s="699"/>
      <c r="AN1029" s="699"/>
      <c r="AO1029" s="699"/>
      <c r="AP1029" s="699"/>
      <c r="AQ1029" s="699"/>
      <c r="AR1029" s="699"/>
      <c r="AS1029" s="699"/>
      <c r="AT1029" s="699"/>
      <c r="AU1029" s="699"/>
      <c r="AV1029" s="699"/>
      <c r="AW1029" s="699"/>
      <c r="AX1029" s="700"/>
      <c r="AY1029" s="700"/>
      <c r="AZ1029" s="701"/>
    </row>
    <row r="1030" spans="1:52" ht="30.75" thickBot="1">
      <c r="A1030" s="67">
        <f t="shared" si="575"/>
        <v>44883</v>
      </c>
      <c r="B1030" s="155"/>
      <c r="C1030" s="155"/>
      <c r="D1030" s="155"/>
      <c r="E1030" s="155"/>
      <c r="F1030" s="155"/>
      <c r="G1030" s="155"/>
      <c r="H1030" s="155"/>
      <c r="I1030" s="155"/>
      <c r="J1030" s="155"/>
      <c r="K1030" s="155"/>
      <c r="L1030" s="155"/>
      <c r="M1030" s="155"/>
      <c r="N1030" s="155"/>
      <c r="O1030" s="155"/>
      <c r="P1030" s="155"/>
      <c r="Q1030" s="155"/>
      <c r="R1030" s="156"/>
      <c r="S1030" s="180"/>
      <c r="T1030" s="838"/>
      <c r="U1030" s="838"/>
      <c r="V1030" s="838"/>
      <c r="W1030" s="838"/>
      <c r="X1030" s="838"/>
      <c r="Y1030" s="255">
        <f t="shared" si="573"/>
        <v>0</v>
      </c>
      <c r="Z1030" s="309">
        <f t="shared" si="574"/>
        <v>0</v>
      </c>
      <c r="AA1030" s="256">
        <f t="shared" si="571"/>
        <v>0</v>
      </c>
      <c r="AB1030" s="309"/>
      <c r="AC1030" s="309"/>
      <c r="AD1030" s="320">
        <f t="shared" si="572"/>
        <v>0</v>
      </c>
      <c r="AH1030" s="64">
        <f t="shared" si="576"/>
        <v>43391</v>
      </c>
      <c r="AI1030" s="698"/>
      <c r="AJ1030" s="699"/>
      <c r="AK1030" s="699"/>
      <c r="AL1030" s="699"/>
      <c r="AM1030" s="699"/>
      <c r="AN1030" s="699"/>
      <c r="AO1030" s="699"/>
      <c r="AP1030" s="699"/>
      <c r="AQ1030" s="699"/>
      <c r="AR1030" s="699"/>
      <c r="AS1030" s="699"/>
      <c r="AT1030" s="699"/>
      <c r="AU1030" s="699"/>
      <c r="AV1030" s="699"/>
      <c r="AW1030" s="699"/>
      <c r="AX1030" s="700"/>
      <c r="AY1030" s="700"/>
      <c r="AZ1030" s="701"/>
    </row>
    <row r="1031" spans="1:52" ht="30.75" thickBot="1">
      <c r="A1031" s="67">
        <f t="shared" si="575"/>
        <v>44884</v>
      </c>
      <c r="B1031" s="155"/>
      <c r="C1031" s="155"/>
      <c r="D1031" s="155"/>
      <c r="E1031" s="155"/>
      <c r="F1031" s="155"/>
      <c r="G1031" s="155"/>
      <c r="H1031" s="155"/>
      <c r="I1031" s="155"/>
      <c r="J1031" s="155"/>
      <c r="K1031" s="155"/>
      <c r="L1031" s="155"/>
      <c r="M1031" s="155"/>
      <c r="N1031" s="155"/>
      <c r="O1031" s="155"/>
      <c r="P1031" s="155"/>
      <c r="Q1031" s="155"/>
      <c r="R1031" s="156"/>
      <c r="S1031" s="180"/>
      <c r="T1031" s="838"/>
      <c r="U1031" s="838"/>
      <c r="V1031" s="838"/>
      <c r="W1031" s="838"/>
      <c r="X1031" s="838"/>
      <c r="Y1031" s="255">
        <f t="shared" si="573"/>
        <v>0</v>
      </c>
      <c r="Z1031" s="309">
        <f t="shared" si="574"/>
        <v>0</v>
      </c>
      <c r="AA1031" s="256">
        <f t="shared" si="571"/>
        <v>0</v>
      </c>
      <c r="AB1031" s="309"/>
      <c r="AC1031" s="309"/>
      <c r="AD1031" s="320">
        <f t="shared" si="572"/>
        <v>0</v>
      </c>
      <c r="AH1031" s="64">
        <f t="shared" si="576"/>
        <v>43392</v>
      </c>
      <c r="AI1031" s="698"/>
      <c r="AJ1031" s="699"/>
      <c r="AK1031" s="699"/>
      <c r="AL1031" s="699"/>
      <c r="AM1031" s="699"/>
      <c r="AN1031" s="699"/>
      <c r="AO1031" s="699"/>
      <c r="AP1031" s="699"/>
      <c r="AQ1031" s="699"/>
      <c r="AR1031" s="699"/>
      <c r="AS1031" s="699"/>
      <c r="AT1031" s="699"/>
      <c r="AU1031" s="699"/>
      <c r="AV1031" s="699"/>
      <c r="AW1031" s="699"/>
      <c r="AX1031" s="700"/>
      <c r="AY1031" s="700"/>
      <c r="AZ1031" s="701"/>
    </row>
    <row r="1032" spans="1:52" ht="30.75" thickBot="1">
      <c r="A1032" s="67">
        <f t="shared" si="575"/>
        <v>44885</v>
      </c>
      <c r="B1032" s="155"/>
      <c r="C1032" s="155"/>
      <c r="D1032" s="155"/>
      <c r="E1032" s="155"/>
      <c r="F1032" s="155"/>
      <c r="G1032" s="155"/>
      <c r="H1032" s="155"/>
      <c r="I1032" s="155"/>
      <c r="J1032" s="155"/>
      <c r="K1032" s="155"/>
      <c r="L1032" s="155"/>
      <c r="M1032" s="155"/>
      <c r="N1032" s="155"/>
      <c r="O1032" s="155"/>
      <c r="P1032" s="155"/>
      <c r="Q1032" s="155"/>
      <c r="R1032" s="156"/>
      <c r="S1032" s="180"/>
      <c r="T1032" s="838"/>
      <c r="U1032" s="838"/>
      <c r="V1032" s="838"/>
      <c r="W1032" s="838"/>
      <c r="X1032" s="838"/>
      <c r="Y1032" s="255">
        <f t="shared" si="573"/>
        <v>0</v>
      </c>
      <c r="Z1032" s="309">
        <f t="shared" si="574"/>
        <v>0</v>
      </c>
      <c r="AA1032" s="256">
        <f t="shared" si="571"/>
        <v>0</v>
      </c>
      <c r="AB1032" s="309"/>
      <c r="AC1032" s="309"/>
      <c r="AD1032" s="320">
        <f t="shared" si="572"/>
        <v>0</v>
      </c>
      <c r="AH1032" s="64">
        <f t="shared" si="576"/>
        <v>43393</v>
      </c>
      <c r="AI1032" s="698"/>
      <c r="AJ1032" s="699"/>
      <c r="AK1032" s="699"/>
      <c r="AL1032" s="699"/>
      <c r="AM1032" s="699"/>
      <c r="AN1032" s="699"/>
      <c r="AO1032" s="699"/>
      <c r="AP1032" s="699"/>
      <c r="AQ1032" s="699"/>
      <c r="AR1032" s="699"/>
      <c r="AS1032" s="699"/>
      <c r="AT1032" s="699"/>
      <c r="AU1032" s="699"/>
      <c r="AV1032" s="699"/>
      <c r="AW1032" s="699"/>
      <c r="AX1032" s="700"/>
      <c r="AY1032" s="700"/>
      <c r="AZ1032" s="701"/>
    </row>
    <row r="1033" spans="1:52" ht="30.75" thickBot="1">
      <c r="A1033" s="67">
        <f t="shared" si="575"/>
        <v>44886</v>
      </c>
      <c r="B1033" s="155"/>
      <c r="C1033" s="155"/>
      <c r="D1033" s="155"/>
      <c r="E1033" s="155"/>
      <c r="F1033" s="155"/>
      <c r="G1033" s="155"/>
      <c r="H1033" s="155"/>
      <c r="I1033" s="155"/>
      <c r="J1033" s="155"/>
      <c r="K1033" s="155"/>
      <c r="L1033" s="155"/>
      <c r="M1033" s="155"/>
      <c r="N1033" s="155"/>
      <c r="O1033" s="155"/>
      <c r="P1033" s="155"/>
      <c r="Q1033" s="155"/>
      <c r="R1033" s="156"/>
      <c r="S1033" s="180"/>
      <c r="T1033" s="838"/>
      <c r="U1033" s="838"/>
      <c r="V1033" s="838"/>
      <c r="W1033" s="838"/>
      <c r="X1033" s="838"/>
      <c r="Y1033" s="255">
        <f t="shared" si="573"/>
        <v>0</v>
      </c>
      <c r="Z1033" s="309">
        <f t="shared" si="574"/>
        <v>0</v>
      </c>
      <c r="AA1033" s="256">
        <f t="shared" si="571"/>
        <v>0</v>
      </c>
      <c r="AB1033" s="309"/>
      <c r="AC1033" s="309"/>
      <c r="AD1033" s="320">
        <f t="shared" si="572"/>
        <v>0</v>
      </c>
      <c r="AH1033" s="64">
        <f t="shared" si="576"/>
        <v>43394</v>
      </c>
      <c r="AI1033" s="698"/>
      <c r="AJ1033" s="699"/>
      <c r="AK1033" s="699"/>
      <c r="AL1033" s="699"/>
      <c r="AM1033" s="699"/>
      <c r="AN1033" s="699"/>
      <c r="AO1033" s="699"/>
      <c r="AP1033" s="699"/>
      <c r="AQ1033" s="699"/>
      <c r="AR1033" s="699"/>
      <c r="AS1033" s="699"/>
      <c r="AT1033" s="699"/>
      <c r="AU1033" s="699"/>
      <c r="AV1033" s="699"/>
      <c r="AW1033" s="699"/>
      <c r="AX1033" s="700"/>
      <c r="AY1033" s="700"/>
      <c r="AZ1033" s="701"/>
    </row>
    <row r="1034" spans="1:52" ht="30.75" thickBot="1">
      <c r="A1034" s="67">
        <f t="shared" si="575"/>
        <v>44887</v>
      </c>
      <c r="B1034" s="155"/>
      <c r="C1034" s="155"/>
      <c r="D1034" s="155"/>
      <c r="E1034" s="155"/>
      <c r="F1034" s="155"/>
      <c r="G1034" s="155"/>
      <c r="H1034" s="155"/>
      <c r="I1034" s="155"/>
      <c r="J1034" s="155"/>
      <c r="K1034" s="155"/>
      <c r="L1034" s="155"/>
      <c r="M1034" s="155"/>
      <c r="N1034" s="155"/>
      <c r="O1034" s="155"/>
      <c r="P1034" s="155"/>
      <c r="Q1034" s="155"/>
      <c r="R1034" s="156"/>
      <c r="S1034" s="180"/>
      <c r="T1034" s="838"/>
      <c r="U1034" s="838"/>
      <c r="V1034" s="838"/>
      <c r="W1034" s="838"/>
      <c r="X1034" s="838"/>
      <c r="Y1034" s="255">
        <f t="shared" si="573"/>
        <v>0</v>
      </c>
      <c r="Z1034" s="309">
        <f t="shared" si="574"/>
        <v>0</v>
      </c>
      <c r="AA1034" s="256">
        <f t="shared" si="571"/>
        <v>0</v>
      </c>
      <c r="AB1034" s="309"/>
      <c r="AC1034" s="309"/>
      <c r="AD1034" s="320">
        <f t="shared" si="572"/>
        <v>0</v>
      </c>
      <c r="AH1034" s="64">
        <f t="shared" si="576"/>
        <v>43395</v>
      </c>
      <c r="AI1034" s="698"/>
      <c r="AJ1034" s="699"/>
      <c r="AK1034" s="699"/>
      <c r="AL1034" s="699"/>
      <c r="AM1034" s="699"/>
      <c r="AN1034" s="699"/>
      <c r="AO1034" s="699"/>
      <c r="AP1034" s="699"/>
      <c r="AQ1034" s="699"/>
      <c r="AR1034" s="699"/>
      <c r="AS1034" s="699"/>
      <c r="AT1034" s="699"/>
      <c r="AU1034" s="699"/>
      <c r="AV1034" s="699"/>
      <c r="AW1034" s="699"/>
      <c r="AX1034" s="700"/>
      <c r="AY1034" s="700"/>
      <c r="AZ1034" s="701"/>
    </row>
    <row r="1035" spans="1:52" ht="30.75" thickBot="1">
      <c r="A1035" s="67">
        <f t="shared" si="575"/>
        <v>44888</v>
      </c>
      <c r="B1035" s="155"/>
      <c r="C1035" s="155"/>
      <c r="D1035" s="155"/>
      <c r="E1035" s="155"/>
      <c r="F1035" s="155"/>
      <c r="G1035" s="155"/>
      <c r="H1035" s="155"/>
      <c r="I1035" s="155"/>
      <c r="J1035" s="155"/>
      <c r="K1035" s="155"/>
      <c r="L1035" s="155"/>
      <c r="M1035" s="155"/>
      <c r="N1035" s="155"/>
      <c r="O1035" s="155"/>
      <c r="P1035" s="155"/>
      <c r="Q1035" s="155"/>
      <c r="R1035" s="156"/>
      <c r="S1035" s="180"/>
      <c r="T1035" s="838"/>
      <c r="U1035" s="838"/>
      <c r="V1035" s="838"/>
      <c r="W1035" s="838"/>
      <c r="X1035" s="838"/>
      <c r="Y1035" s="255">
        <f t="shared" si="573"/>
        <v>0</v>
      </c>
      <c r="Z1035" s="309">
        <f t="shared" si="574"/>
        <v>0</v>
      </c>
      <c r="AA1035" s="256">
        <f t="shared" si="571"/>
        <v>0</v>
      </c>
      <c r="AB1035" s="309"/>
      <c r="AC1035" s="309"/>
      <c r="AD1035" s="320">
        <f t="shared" si="572"/>
        <v>0</v>
      </c>
      <c r="AH1035" s="64">
        <f t="shared" si="576"/>
        <v>43396</v>
      </c>
      <c r="AI1035" s="698"/>
      <c r="AJ1035" s="699"/>
      <c r="AK1035" s="699"/>
      <c r="AL1035" s="699"/>
      <c r="AM1035" s="699"/>
      <c r="AN1035" s="699"/>
      <c r="AO1035" s="699"/>
      <c r="AP1035" s="699"/>
      <c r="AQ1035" s="699"/>
      <c r="AR1035" s="699"/>
      <c r="AS1035" s="699"/>
      <c r="AT1035" s="699"/>
      <c r="AU1035" s="699"/>
      <c r="AV1035" s="699"/>
      <c r="AW1035" s="699"/>
      <c r="AX1035" s="700"/>
      <c r="AY1035" s="700"/>
      <c r="AZ1035" s="701"/>
    </row>
    <row r="1036" spans="1:52" ht="30.75" thickBot="1">
      <c r="A1036" s="67">
        <f t="shared" si="575"/>
        <v>44889</v>
      </c>
      <c r="B1036" s="155"/>
      <c r="C1036" s="155"/>
      <c r="D1036" s="155"/>
      <c r="E1036" s="155"/>
      <c r="F1036" s="155"/>
      <c r="G1036" s="155"/>
      <c r="H1036" s="155"/>
      <c r="I1036" s="155"/>
      <c r="J1036" s="155"/>
      <c r="K1036" s="155"/>
      <c r="L1036" s="155"/>
      <c r="M1036" s="155"/>
      <c r="N1036" s="155"/>
      <c r="O1036" s="155"/>
      <c r="P1036" s="155"/>
      <c r="Q1036" s="155"/>
      <c r="R1036" s="156"/>
      <c r="S1036" s="180"/>
      <c r="T1036" s="838"/>
      <c r="U1036" s="838"/>
      <c r="V1036" s="838"/>
      <c r="W1036" s="838"/>
      <c r="X1036" s="838"/>
      <c r="Y1036" s="255">
        <f t="shared" si="573"/>
        <v>0</v>
      </c>
      <c r="Z1036" s="309">
        <f t="shared" si="574"/>
        <v>0</v>
      </c>
      <c r="AA1036" s="256">
        <f t="shared" si="571"/>
        <v>0</v>
      </c>
      <c r="AB1036" s="309"/>
      <c r="AC1036" s="309"/>
      <c r="AD1036" s="320">
        <f t="shared" si="572"/>
        <v>0</v>
      </c>
      <c r="AH1036" s="64">
        <f t="shared" si="576"/>
        <v>43397</v>
      </c>
      <c r="AI1036" s="698"/>
      <c r="AJ1036" s="699"/>
      <c r="AK1036" s="699"/>
      <c r="AL1036" s="699"/>
      <c r="AM1036" s="699"/>
      <c r="AN1036" s="699"/>
      <c r="AO1036" s="699"/>
      <c r="AP1036" s="699"/>
      <c r="AQ1036" s="699"/>
      <c r="AR1036" s="699"/>
      <c r="AS1036" s="699"/>
      <c r="AT1036" s="699"/>
      <c r="AU1036" s="699"/>
      <c r="AV1036" s="699"/>
      <c r="AW1036" s="699"/>
      <c r="AX1036" s="700"/>
      <c r="AY1036" s="700"/>
      <c r="AZ1036" s="701"/>
    </row>
    <row r="1037" spans="1:52" ht="30.75" thickBot="1">
      <c r="A1037" s="67">
        <f t="shared" si="575"/>
        <v>44890</v>
      </c>
      <c r="B1037" s="155"/>
      <c r="C1037" s="155"/>
      <c r="D1037" s="155"/>
      <c r="E1037" s="155"/>
      <c r="F1037" s="155"/>
      <c r="G1037" s="155"/>
      <c r="H1037" s="155"/>
      <c r="I1037" s="155"/>
      <c r="J1037" s="155"/>
      <c r="K1037" s="155"/>
      <c r="L1037" s="155"/>
      <c r="M1037" s="155"/>
      <c r="N1037" s="155"/>
      <c r="O1037" s="155"/>
      <c r="P1037" s="155"/>
      <c r="Q1037" s="155"/>
      <c r="R1037" s="156"/>
      <c r="S1037" s="180"/>
      <c r="T1037" s="838"/>
      <c r="U1037" s="838"/>
      <c r="V1037" s="838"/>
      <c r="W1037" s="838"/>
      <c r="X1037" s="838"/>
      <c r="Y1037" s="255">
        <f t="shared" si="573"/>
        <v>0</v>
      </c>
      <c r="Z1037" s="309">
        <f t="shared" si="574"/>
        <v>0</v>
      </c>
      <c r="AA1037" s="256">
        <f t="shared" si="571"/>
        <v>0</v>
      </c>
      <c r="AB1037" s="309"/>
      <c r="AC1037" s="309"/>
      <c r="AD1037" s="320">
        <f t="shared" si="572"/>
        <v>0</v>
      </c>
      <c r="AH1037" s="64">
        <f t="shared" si="576"/>
        <v>43398</v>
      </c>
      <c r="AI1037" s="698"/>
      <c r="AJ1037" s="699"/>
      <c r="AK1037" s="699"/>
      <c r="AL1037" s="699"/>
      <c r="AM1037" s="699"/>
      <c r="AN1037" s="699"/>
      <c r="AO1037" s="699"/>
      <c r="AP1037" s="699"/>
      <c r="AQ1037" s="699"/>
      <c r="AR1037" s="699"/>
      <c r="AS1037" s="699"/>
      <c r="AT1037" s="699"/>
      <c r="AU1037" s="699"/>
      <c r="AV1037" s="699"/>
      <c r="AW1037" s="699"/>
      <c r="AX1037" s="700"/>
      <c r="AY1037" s="700"/>
      <c r="AZ1037" s="701"/>
    </row>
    <row r="1038" spans="1:52" ht="30.75" thickBot="1">
      <c r="A1038" s="67">
        <f t="shared" si="575"/>
        <v>44891</v>
      </c>
      <c r="B1038" s="155"/>
      <c r="C1038" s="155"/>
      <c r="D1038" s="155"/>
      <c r="E1038" s="155"/>
      <c r="F1038" s="155"/>
      <c r="G1038" s="155"/>
      <c r="H1038" s="155"/>
      <c r="I1038" s="155"/>
      <c r="J1038" s="155"/>
      <c r="K1038" s="155"/>
      <c r="L1038" s="155"/>
      <c r="M1038" s="155"/>
      <c r="N1038" s="155"/>
      <c r="O1038" s="155"/>
      <c r="P1038" s="155"/>
      <c r="Q1038" s="155"/>
      <c r="R1038" s="156"/>
      <c r="S1038" s="180"/>
      <c r="T1038" s="838"/>
      <c r="U1038" s="838"/>
      <c r="V1038" s="838"/>
      <c r="W1038" s="838"/>
      <c r="X1038" s="838"/>
      <c r="Y1038" s="255">
        <f t="shared" si="573"/>
        <v>0</v>
      </c>
      <c r="Z1038" s="309">
        <f t="shared" si="574"/>
        <v>0</v>
      </c>
      <c r="AA1038" s="256">
        <f t="shared" si="571"/>
        <v>0</v>
      </c>
      <c r="AB1038" s="309"/>
      <c r="AC1038" s="309"/>
      <c r="AD1038" s="320">
        <f t="shared" si="572"/>
        <v>0</v>
      </c>
      <c r="AH1038" s="64">
        <f t="shared" si="576"/>
        <v>43399</v>
      </c>
      <c r="AI1038" s="698"/>
      <c r="AJ1038" s="699"/>
      <c r="AK1038" s="699"/>
      <c r="AL1038" s="699"/>
      <c r="AM1038" s="699"/>
      <c r="AN1038" s="699"/>
      <c r="AO1038" s="699"/>
      <c r="AP1038" s="699"/>
      <c r="AQ1038" s="699"/>
      <c r="AR1038" s="699"/>
      <c r="AS1038" s="699"/>
      <c r="AT1038" s="699"/>
      <c r="AU1038" s="699"/>
      <c r="AV1038" s="699"/>
      <c r="AW1038" s="699"/>
      <c r="AX1038" s="700"/>
      <c r="AY1038" s="700"/>
      <c r="AZ1038" s="701"/>
    </row>
    <row r="1039" spans="1:52" ht="30.75" thickBot="1">
      <c r="A1039" s="67">
        <f t="shared" si="575"/>
        <v>44892</v>
      </c>
      <c r="B1039" s="155"/>
      <c r="C1039" s="155"/>
      <c r="D1039" s="155"/>
      <c r="E1039" s="155"/>
      <c r="F1039" s="155"/>
      <c r="G1039" s="155"/>
      <c r="H1039" s="155"/>
      <c r="I1039" s="155"/>
      <c r="J1039" s="155"/>
      <c r="K1039" s="155"/>
      <c r="L1039" s="155"/>
      <c r="M1039" s="155"/>
      <c r="N1039" s="155"/>
      <c r="O1039" s="155"/>
      <c r="P1039" s="155"/>
      <c r="Q1039" s="155"/>
      <c r="R1039" s="156"/>
      <c r="S1039" s="180"/>
      <c r="T1039" s="838"/>
      <c r="U1039" s="838"/>
      <c r="V1039" s="838"/>
      <c r="W1039" s="838"/>
      <c r="X1039" s="838"/>
      <c r="Y1039" s="255">
        <f t="shared" si="573"/>
        <v>0</v>
      </c>
      <c r="Z1039" s="309">
        <f t="shared" si="574"/>
        <v>0</v>
      </c>
      <c r="AA1039" s="256">
        <f t="shared" si="571"/>
        <v>0</v>
      </c>
      <c r="AB1039" s="309"/>
      <c r="AC1039" s="309"/>
      <c r="AD1039" s="320">
        <f t="shared" si="572"/>
        <v>0</v>
      </c>
      <c r="AH1039" s="64">
        <f t="shared" si="576"/>
        <v>43400</v>
      </c>
      <c r="AI1039" s="698"/>
      <c r="AJ1039" s="699"/>
      <c r="AK1039" s="699"/>
      <c r="AL1039" s="699"/>
      <c r="AM1039" s="699"/>
      <c r="AN1039" s="699"/>
      <c r="AO1039" s="699"/>
      <c r="AP1039" s="699"/>
      <c r="AQ1039" s="699"/>
      <c r="AR1039" s="699"/>
      <c r="AS1039" s="699"/>
      <c r="AT1039" s="699"/>
      <c r="AU1039" s="699"/>
      <c r="AV1039" s="699"/>
      <c r="AW1039" s="699"/>
      <c r="AX1039" s="700"/>
      <c r="AY1039" s="700"/>
      <c r="AZ1039" s="701"/>
    </row>
    <row r="1040" spans="1:52" ht="30.75" thickBot="1">
      <c r="A1040" s="67">
        <f t="shared" si="575"/>
        <v>44893</v>
      </c>
      <c r="B1040" s="155"/>
      <c r="C1040" s="155"/>
      <c r="D1040" s="155"/>
      <c r="E1040" s="155"/>
      <c r="F1040" s="155"/>
      <c r="G1040" s="155"/>
      <c r="H1040" s="155"/>
      <c r="I1040" s="155"/>
      <c r="J1040" s="155"/>
      <c r="K1040" s="155"/>
      <c r="L1040" s="155"/>
      <c r="M1040" s="155"/>
      <c r="N1040" s="155"/>
      <c r="O1040" s="155"/>
      <c r="P1040" s="155"/>
      <c r="Q1040" s="155"/>
      <c r="R1040" s="156"/>
      <c r="S1040" s="180"/>
      <c r="T1040" s="838"/>
      <c r="U1040" s="838"/>
      <c r="V1040" s="838"/>
      <c r="W1040" s="838"/>
      <c r="X1040" s="838"/>
      <c r="Y1040" s="255">
        <f t="shared" si="573"/>
        <v>0</v>
      </c>
      <c r="Z1040" s="309">
        <f t="shared" si="574"/>
        <v>0</v>
      </c>
      <c r="AA1040" s="256">
        <f t="shared" si="571"/>
        <v>0</v>
      </c>
      <c r="AB1040" s="309"/>
      <c r="AC1040" s="309"/>
      <c r="AD1040" s="320">
        <f t="shared" si="572"/>
        <v>0</v>
      </c>
      <c r="AH1040" s="64">
        <f t="shared" si="576"/>
        <v>43401</v>
      </c>
      <c r="AI1040" s="698"/>
      <c r="AJ1040" s="699"/>
      <c r="AK1040" s="699"/>
      <c r="AL1040" s="699"/>
      <c r="AM1040" s="699"/>
      <c r="AN1040" s="699"/>
      <c r="AO1040" s="699"/>
      <c r="AP1040" s="699"/>
      <c r="AQ1040" s="699"/>
      <c r="AR1040" s="699"/>
      <c r="AS1040" s="699"/>
      <c r="AT1040" s="699"/>
      <c r="AU1040" s="699"/>
      <c r="AV1040" s="699"/>
      <c r="AW1040" s="699"/>
      <c r="AX1040" s="700"/>
      <c r="AY1040" s="700"/>
      <c r="AZ1040" s="701"/>
    </row>
    <row r="1041" spans="1:52" ht="30.75" thickBot="1">
      <c r="A1041" s="67">
        <f t="shared" si="575"/>
        <v>44894</v>
      </c>
      <c r="B1041" s="155"/>
      <c r="C1041" s="155"/>
      <c r="D1041" s="155"/>
      <c r="E1041" s="155"/>
      <c r="F1041" s="155"/>
      <c r="G1041" s="155"/>
      <c r="H1041" s="155"/>
      <c r="I1041" s="155"/>
      <c r="J1041" s="155"/>
      <c r="K1041" s="155"/>
      <c r="L1041" s="155"/>
      <c r="M1041" s="155"/>
      <c r="N1041" s="155"/>
      <c r="O1041" s="155"/>
      <c r="P1041" s="155"/>
      <c r="Q1041" s="155"/>
      <c r="R1041" s="156"/>
      <c r="S1041" s="180"/>
      <c r="T1041" s="838"/>
      <c r="U1041" s="838"/>
      <c r="V1041" s="838"/>
      <c r="W1041" s="838"/>
      <c r="X1041" s="838"/>
      <c r="Y1041" s="255">
        <f t="shared" si="573"/>
        <v>0</v>
      </c>
      <c r="Z1041" s="309">
        <f t="shared" si="574"/>
        <v>0</v>
      </c>
      <c r="AA1041" s="256">
        <f t="shared" si="571"/>
        <v>0</v>
      </c>
      <c r="AB1041" s="309"/>
      <c r="AC1041" s="309"/>
      <c r="AD1041" s="320">
        <f t="shared" si="572"/>
        <v>0</v>
      </c>
      <c r="AH1041" s="64">
        <f>AH1040+1</f>
        <v>43402</v>
      </c>
      <c r="AI1041" s="698"/>
      <c r="AJ1041" s="699"/>
      <c r="AK1041" s="699"/>
      <c r="AL1041" s="699"/>
      <c r="AM1041" s="699"/>
      <c r="AN1041" s="699"/>
      <c r="AO1041" s="699"/>
      <c r="AP1041" s="699"/>
      <c r="AQ1041" s="699"/>
      <c r="AR1041" s="699"/>
      <c r="AS1041" s="699"/>
      <c r="AT1041" s="699"/>
      <c r="AU1041" s="699"/>
      <c r="AV1041" s="699"/>
      <c r="AW1041" s="699"/>
      <c r="AX1041" s="700"/>
      <c r="AY1041" s="700"/>
      <c r="AZ1041" s="701"/>
    </row>
    <row r="1042" spans="1:52" ht="30.75" thickBot="1">
      <c r="A1042" s="67">
        <f t="shared" si="575"/>
        <v>44895</v>
      </c>
      <c r="B1042" s="155"/>
      <c r="C1042" s="155"/>
      <c r="D1042" s="155"/>
      <c r="E1042" s="155"/>
      <c r="F1042" s="155"/>
      <c r="G1042" s="155"/>
      <c r="H1042" s="155"/>
      <c r="I1042" s="155"/>
      <c r="J1042" s="155"/>
      <c r="K1042" s="155"/>
      <c r="L1042" s="155"/>
      <c r="M1042" s="155"/>
      <c r="N1042" s="155"/>
      <c r="O1042" s="155"/>
      <c r="P1042" s="155"/>
      <c r="Q1042" s="155"/>
      <c r="R1042" s="156"/>
      <c r="S1042" s="180"/>
      <c r="T1042" s="838"/>
      <c r="U1042" s="838"/>
      <c r="V1042" s="838"/>
      <c r="W1042" s="838"/>
      <c r="X1042" s="838"/>
      <c r="Y1042" s="255">
        <f t="shared" si="573"/>
        <v>0</v>
      </c>
      <c r="Z1042" s="309">
        <f t="shared" si="574"/>
        <v>0</v>
      </c>
      <c r="AA1042" s="256">
        <f t="shared" si="571"/>
        <v>0</v>
      </c>
      <c r="AB1042" s="309"/>
      <c r="AC1042" s="309"/>
      <c r="AD1042" s="320">
        <f t="shared" si="572"/>
        <v>0</v>
      </c>
      <c r="AH1042" s="64">
        <f t="shared" si="576"/>
        <v>43403</v>
      </c>
      <c r="AI1042" s="698"/>
      <c r="AJ1042" s="699"/>
      <c r="AK1042" s="699"/>
      <c r="AL1042" s="699"/>
      <c r="AM1042" s="699"/>
      <c r="AN1042" s="699"/>
      <c r="AO1042" s="699"/>
      <c r="AP1042" s="699"/>
      <c r="AQ1042" s="699"/>
      <c r="AR1042" s="699"/>
      <c r="AS1042" s="699"/>
      <c r="AT1042" s="699"/>
      <c r="AU1042" s="699"/>
      <c r="AV1042" s="699"/>
      <c r="AW1042" s="699"/>
      <c r="AX1042" s="700"/>
      <c r="AY1042" s="700"/>
      <c r="AZ1042" s="701"/>
    </row>
    <row r="1043" spans="1:52" ht="30.75" thickBot="1">
      <c r="A1043" s="102">
        <f t="shared" si="575"/>
        <v>44896</v>
      </c>
      <c r="B1043" s="165"/>
      <c r="C1043" s="162"/>
      <c r="D1043" s="162"/>
      <c r="E1043" s="162"/>
      <c r="F1043" s="162"/>
      <c r="G1043" s="162"/>
      <c r="H1043" s="162"/>
      <c r="I1043" s="162"/>
      <c r="J1043" s="162"/>
      <c r="K1043" s="162"/>
      <c r="L1043" s="165"/>
      <c r="M1043" s="162"/>
      <c r="N1043" s="162"/>
      <c r="O1043" s="162"/>
      <c r="P1043" s="162"/>
      <c r="Q1043" s="162"/>
      <c r="R1043" s="164"/>
      <c r="S1043" s="181"/>
      <c r="T1043" s="839"/>
      <c r="U1043" s="839"/>
      <c r="V1043" s="839"/>
      <c r="W1043" s="839"/>
      <c r="X1043" s="839"/>
      <c r="Y1043" s="255">
        <f t="shared" si="573"/>
        <v>0</v>
      </c>
      <c r="Z1043" s="309">
        <f t="shared" si="574"/>
        <v>0</v>
      </c>
      <c r="AA1043" s="256">
        <f t="shared" si="571"/>
        <v>0</v>
      </c>
      <c r="AB1043" s="309"/>
      <c r="AC1043" s="309"/>
      <c r="AD1043" s="320">
        <f t="shared" si="572"/>
        <v>0</v>
      </c>
      <c r="AH1043" s="65">
        <f t="shared" si="576"/>
        <v>43404</v>
      </c>
      <c r="AI1043" s="702"/>
      <c r="AJ1043" s="703"/>
      <c r="AK1043" s="703"/>
      <c r="AL1043" s="703"/>
      <c r="AM1043" s="703"/>
      <c r="AN1043" s="703"/>
      <c r="AO1043" s="703"/>
      <c r="AP1043" s="703"/>
      <c r="AQ1043" s="703"/>
      <c r="AR1043" s="703"/>
      <c r="AS1043" s="703"/>
      <c r="AT1043" s="703"/>
      <c r="AU1043" s="703"/>
      <c r="AV1043" s="703"/>
      <c r="AW1043" s="703"/>
      <c r="AX1043" s="704"/>
      <c r="AY1043" s="704"/>
      <c r="AZ1043" s="705"/>
    </row>
    <row r="1044" spans="1:52" ht="50.1" customHeight="1" thickTop="1" thickBot="1">
      <c r="A1044" s="96" t="s">
        <v>74</v>
      </c>
      <c r="B1044" s="104">
        <f>SUM(B1013:B1043)</f>
        <v>0</v>
      </c>
      <c r="C1044" s="104">
        <f t="shared" ref="C1044:Y1044" si="577">SUM(C1013:C1043)</f>
        <v>0</v>
      </c>
      <c r="D1044" s="104">
        <f t="shared" si="577"/>
        <v>0</v>
      </c>
      <c r="E1044" s="104"/>
      <c r="F1044" s="104">
        <f t="shared" si="577"/>
        <v>0</v>
      </c>
      <c r="G1044" s="104">
        <f t="shared" si="577"/>
        <v>0</v>
      </c>
      <c r="H1044" s="104">
        <f t="shared" si="577"/>
        <v>0</v>
      </c>
      <c r="I1044" s="104">
        <f t="shared" si="577"/>
        <v>0</v>
      </c>
      <c r="J1044" s="104">
        <f t="shared" si="577"/>
        <v>0</v>
      </c>
      <c r="K1044" s="104">
        <f t="shared" si="577"/>
        <v>0</v>
      </c>
      <c r="L1044" s="104">
        <f t="shared" si="577"/>
        <v>0</v>
      </c>
      <c r="M1044" s="104">
        <f t="shared" si="577"/>
        <v>0</v>
      </c>
      <c r="N1044" s="104">
        <f t="shared" si="577"/>
        <v>0</v>
      </c>
      <c r="O1044" s="104">
        <f t="shared" si="577"/>
        <v>0</v>
      </c>
      <c r="P1044" s="104">
        <f t="shared" si="577"/>
        <v>0</v>
      </c>
      <c r="Q1044" s="104">
        <f t="shared" si="577"/>
        <v>0</v>
      </c>
      <c r="R1044" s="104">
        <f t="shared" si="577"/>
        <v>0</v>
      </c>
      <c r="S1044" s="104">
        <f t="shared" si="577"/>
        <v>0</v>
      </c>
      <c r="T1044" s="104"/>
      <c r="U1044" s="104"/>
      <c r="V1044" s="104"/>
      <c r="W1044" s="104"/>
      <c r="X1044" s="104"/>
      <c r="Y1044" s="292">
        <f t="shared" si="577"/>
        <v>0</v>
      </c>
      <c r="Z1044" s="259"/>
      <c r="AA1044" s="259"/>
      <c r="AB1044" s="316">
        <f>SUM(AB1013:AB1043)</f>
        <v>0</v>
      </c>
      <c r="AC1044" s="316"/>
      <c r="AD1044" s="260"/>
      <c r="AH1044" s="706" t="s">
        <v>101</v>
      </c>
      <c r="AI1044" s="707">
        <f>SUM(AI1013:AI1043)</f>
        <v>0</v>
      </c>
      <c r="AJ1044" s="707">
        <f>SUM(AJ1013:AJ1043)</f>
        <v>0</v>
      </c>
      <c r="AK1044" s="707">
        <f t="shared" ref="AK1044:AZ1044" si="578">SUM(AK1013:AK1043)</f>
        <v>0</v>
      </c>
      <c r="AL1044" s="707">
        <f t="shared" si="578"/>
        <v>0</v>
      </c>
      <c r="AM1044" s="707">
        <f t="shared" si="578"/>
        <v>0</v>
      </c>
      <c r="AN1044" s="707">
        <f t="shared" si="578"/>
        <v>0</v>
      </c>
      <c r="AO1044" s="707">
        <f t="shared" si="578"/>
        <v>0</v>
      </c>
      <c r="AP1044" s="707">
        <f t="shared" si="578"/>
        <v>0</v>
      </c>
      <c r="AQ1044" s="707">
        <f t="shared" si="578"/>
        <v>0</v>
      </c>
      <c r="AR1044" s="707">
        <f t="shared" si="578"/>
        <v>0</v>
      </c>
      <c r="AS1044" s="707">
        <f t="shared" si="578"/>
        <v>0</v>
      </c>
      <c r="AT1044" s="707">
        <f t="shared" si="578"/>
        <v>0</v>
      </c>
      <c r="AU1044" s="707">
        <f t="shared" si="578"/>
        <v>0</v>
      </c>
      <c r="AV1044" s="707">
        <f t="shared" si="578"/>
        <v>0</v>
      </c>
      <c r="AW1044" s="707">
        <f t="shared" si="578"/>
        <v>0</v>
      </c>
      <c r="AX1044" s="707">
        <f t="shared" si="578"/>
        <v>0</v>
      </c>
      <c r="AY1044" s="707">
        <f t="shared" si="578"/>
        <v>0</v>
      </c>
      <c r="AZ1044" s="707">
        <f t="shared" si="578"/>
        <v>0</v>
      </c>
    </row>
    <row r="1045" spans="1:52" ht="50.1" customHeight="1" thickTop="1" thickBot="1">
      <c r="A1045" s="9"/>
      <c r="B1045" s="712"/>
      <c r="C1045" s="712"/>
      <c r="D1045" s="712"/>
      <c r="E1045" s="712"/>
      <c r="F1045" s="712"/>
      <c r="G1045" s="712"/>
      <c r="H1045" s="712"/>
      <c r="I1045" s="712"/>
      <c r="J1045" s="712"/>
      <c r="K1045" s="712"/>
      <c r="L1045" s="712"/>
      <c r="M1045" s="712"/>
      <c r="N1045" s="712"/>
      <c r="O1045" s="712"/>
      <c r="P1045" s="712"/>
      <c r="Q1045" s="712"/>
      <c r="R1045" s="712"/>
      <c r="S1045" s="712"/>
      <c r="T1045" s="712"/>
      <c r="U1045" s="712"/>
      <c r="V1045" s="712"/>
      <c r="W1045" s="712"/>
      <c r="X1045" s="712"/>
      <c r="Y1045" s="302"/>
      <c r="Z1045" s="709"/>
      <c r="AA1045" s="709"/>
      <c r="AB1045" s="710"/>
      <c r="AC1045" s="710"/>
      <c r="AD1045" s="711"/>
      <c r="AH1045" s="706" t="s">
        <v>45</v>
      </c>
      <c r="AI1045" s="707">
        <v>220</v>
      </c>
      <c r="AJ1045" s="707">
        <v>220</v>
      </c>
      <c r="AK1045" s="707">
        <v>220</v>
      </c>
      <c r="AL1045" s="707">
        <v>100</v>
      </c>
      <c r="AM1045" s="707">
        <v>100</v>
      </c>
      <c r="AN1045" s="707">
        <v>80</v>
      </c>
      <c r="AO1045" s="707">
        <v>25</v>
      </c>
      <c r="AP1045" s="707">
        <v>25</v>
      </c>
      <c r="AQ1045" s="707">
        <v>25</v>
      </c>
      <c r="AR1045" s="707">
        <v>400</v>
      </c>
      <c r="AS1045" s="707">
        <v>400</v>
      </c>
      <c r="AT1045" s="707">
        <v>400</v>
      </c>
      <c r="AU1045" s="707">
        <v>0</v>
      </c>
      <c r="AV1045" s="707">
        <v>0</v>
      </c>
      <c r="AW1045" s="707">
        <v>200</v>
      </c>
      <c r="AX1045" s="707">
        <v>200</v>
      </c>
      <c r="AY1045" s="707">
        <v>0</v>
      </c>
      <c r="AZ1045" s="707">
        <v>0</v>
      </c>
    </row>
    <row r="1046" spans="1:52" ht="27.75" thickTop="1" thickBot="1">
      <c r="R1046" t="s">
        <v>1</v>
      </c>
      <c r="AH1046" s="706" t="s">
        <v>46</v>
      </c>
      <c r="AI1046" s="707">
        <f>AI1044*AI1045</f>
        <v>0</v>
      </c>
      <c r="AJ1046" s="707">
        <f t="shared" ref="AJ1046" si="579">AJ1044*AJ1045</f>
        <v>0</v>
      </c>
      <c r="AK1046" s="707">
        <f t="shared" ref="AK1046" si="580">AK1044*AK1045</f>
        <v>0</v>
      </c>
      <c r="AL1046" s="707">
        <f t="shared" ref="AL1046" si="581">AL1044*AL1045</f>
        <v>0</v>
      </c>
      <c r="AM1046" s="707">
        <f t="shared" ref="AM1046" si="582">AM1044*AM1045</f>
        <v>0</v>
      </c>
      <c r="AN1046" s="707">
        <f t="shared" ref="AN1046" si="583">AN1044*AN1045</f>
        <v>0</v>
      </c>
      <c r="AO1046" s="707">
        <f t="shared" ref="AO1046" si="584">AO1044*AO1045</f>
        <v>0</v>
      </c>
      <c r="AP1046" s="707">
        <f t="shared" ref="AP1046" si="585">AP1044*AP1045</f>
        <v>0</v>
      </c>
      <c r="AQ1046" s="707">
        <f t="shared" ref="AQ1046" si="586">AQ1044*AQ1045</f>
        <v>0</v>
      </c>
      <c r="AR1046" s="707">
        <f t="shared" ref="AR1046" si="587">AR1044*AR1045</f>
        <v>0</v>
      </c>
      <c r="AS1046" s="707">
        <f t="shared" ref="AS1046" si="588">AS1044*AS1045</f>
        <v>0</v>
      </c>
      <c r="AT1046" s="707">
        <f t="shared" ref="AT1046" si="589">AT1044*AT1045</f>
        <v>0</v>
      </c>
      <c r="AU1046" s="707">
        <f t="shared" ref="AU1046" si="590">AU1044*AU1045</f>
        <v>0</v>
      </c>
      <c r="AV1046" s="707">
        <f t="shared" ref="AV1046" si="591">AV1044*AV1045</f>
        <v>0</v>
      </c>
      <c r="AW1046" s="707">
        <f t="shared" ref="AW1046" si="592">AW1044*AW1045</f>
        <v>0</v>
      </c>
      <c r="AX1046" s="707">
        <f t="shared" ref="AX1046" si="593">AX1044*AX1045</f>
        <v>0</v>
      </c>
      <c r="AY1046" s="707">
        <f t="shared" ref="AY1046" si="594">AY1044*AY1045</f>
        <v>0</v>
      </c>
      <c r="AZ1046" s="707">
        <f t="shared" ref="AZ1046" si="595">AZ1044*AZ1045</f>
        <v>0</v>
      </c>
    </row>
    <row r="1047" spans="1:52" ht="24.75" thickTop="1" thickBot="1"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714">
        <f>SUM(AI1046:AZ1046)</f>
        <v>0</v>
      </c>
    </row>
    <row r="1048" spans="1:52" ht="43.5" thickBot="1">
      <c r="A1048" s="109">
        <f>A5</f>
        <v>2022</v>
      </c>
      <c r="B1048" s="1447"/>
      <c r="C1048" s="1448"/>
      <c r="D1048" s="1448"/>
      <c r="E1048" s="1448"/>
      <c r="F1048" s="1448"/>
      <c r="G1048" s="1448"/>
      <c r="H1048" s="1448"/>
      <c r="I1048" s="1448"/>
      <c r="J1048" s="1448"/>
      <c r="K1048" s="1448"/>
      <c r="L1048" s="1448"/>
      <c r="M1048" s="1448"/>
      <c r="N1048" s="1448"/>
      <c r="O1048" s="1448"/>
      <c r="P1048" s="1448"/>
      <c r="Q1048" s="1448"/>
      <c r="R1048" s="1448"/>
      <c r="S1048" s="1448"/>
      <c r="T1048" s="1448"/>
      <c r="U1048" s="1448"/>
      <c r="V1048" s="1448"/>
      <c r="W1048" s="1448"/>
      <c r="X1048" s="1448"/>
      <c r="Y1048" s="1449"/>
      <c r="Z1048" s="21"/>
      <c r="AA1048" s="21"/>
      <c r="AB1048" s="21"/>
      <c r="AC1048" s="2"/>
      <c r="AD1048" t="s">
        <v>1</v>
      </c>
      <c r="AH1048" s="109">
        <v>2018</v>
      </c>
      <c r="AI1048" s="1424">
        <f>B1048</f>
        <v>0</v>
      </c>
      <c r="AJ1048" s="1425"/>
      <c r="AK1048" s="1425"/>
      <c r="AL1048" s="1425"/>
      <c r="AM1048" s="1425"/>
      <c r="AN1048" s="1425"/>
      <c r="AO1048" s="1425"/>
      <c r="AP1048" s="1425"/>
      <c r="AQ1048" s="1425"/>
      <c r="AR1048" s="1425"/>
      <c r="AS1048" s="1425"/>
      <c r="AT1048" s="1425"/>
      <c r="AU1048" s="1425"/>
      <c r="AV1048" s="1425"/>
      <c r="AW1048" s="1425"/>
      <c r="AX1048" s="1425"/>
      <c r="AY1048" s="1425"/>
      <c r="AZ1048" s="1425"/>
    </row>
    <row r="1049" spans="1:52" ht="60" customHeight="1" thickTop="1" thickBot="1">
      <c r="A1049" s="1468" t="s">
        <v>94</v>
      </c>
      <c r="B1049" s="1402" t="s">
        <v>95</v>
      </c>
      <c r="C1049" s="1403"/>
      <c r="D1049" s="1403"/>
      <c r="E1049" s="1404"/>
      <c r="F1049" s="1402" t="s">
        <v>7</v>
      </c>
      <c r="G1049" s="1403"/>
      <c r="H1049" s="1404"/>
      <c r="I1049" s="1402" t="s">
        <v>8</v>
      </c>
      <c r="J1049" s="1404"/>
      <c r="K1049" s="1402" t="s">
        <v>9</v>
      </c>
      <c r="L1049" s="1403"/>
      <c r="M1049" s="1403"/>
      <c r="N1049" s="1403"/>
      <c r="O1049" s="1403"/>
      <c r="P1049" s="1403"/>
      <c r="Q1049" s="1403"/>
      <c r="R1049" s="1405" t="s">
        <v>10</v>
      </c>
      <c r="S1049" s="1406"/>
      <c r="T1049" s="1400" t="s">
        <v>289</v>
      </c>
      <c r="U1049" s="1401"/>
      <c r="V1049" s="842" t="s">
        <v>258</v>
      </c>
      <c r="W1049" s="842"/>
      <c r="X1049" s="842"/>
      <c r="Y1049" s="211"/>
      <c r="Z1049" s="21"/>
      <c r="AA1049" s="21"/>
      <c r="AB1049" s="21"/>
      <c r="AC1049" s="21"/>
      <c r="AH1049" s="1422" t="s">
        <v>94</v>
      </c>
      <c r="AI1049" s="1402" t="s">
        <v>95</v>
      </c>
      <c r="AJ1049" s="1403"/>
      <c r="AK1049" s="1404"/>
      <c r="AL1049" s="1402" t="s">
        <v>7</v>
      </c>
      <c r="AM1049" s="1403"/>
      <c r="AN1049" s="1404"/>
      <c r="AO1049" s="1402" t="s">
        <v>8</v>
      </c>
      <c r="AP1049" s="1403"/>
      <c r="AQ1049" s="1404"/>
      <c r="AR1049" s="1402" t="s">
        <v>9</v>
      </c>
      <c r="AS1049" s="1403"/>
      <c r="AT1049" s="1404"/>
      <c r="AU1049" s="1403" t="s">
        <v>9</v>
      </c>
      <c r="AV1049" s="1404"/>
      <c r="AW1049" s="1429" t="s">
        <v>10</v>
      </c>
      <c r="AX1049" s="1430"/>
      <c r="AY1049" s="690"/>
      <c r="AZ1049" s="404" t="s">
        <v>11</v>
      </c>
    </row>
    <row r="1050" spans="1:52" ht="42" thickTop="1" thickBot="1">
      <c r="A1050" s="1428"/>
      <c r="B1050" s="482" t="s">
        <v>12</v>
      </c>
      <c r="C1050" s="482" t="s">
        <v>13</v>
      </c>
      <c r="D1050" s="482" t="s">
        <v>14</v>
      </c>
      <c r="E1050" s="688" t="s">
        <v>198</v>
      </c>
      <c r="F1050" s="482" t="s">
        <v>12</v>
      </c>
      <c r="G1050" s="482" t="s">
        <v>13</v>
      </c>
      <c r="H1050" s="482" t="s">
        <v>282</v>
      </c>
      <c r="I1050" s="482" t="s">
        <v>12</v>
      </c>
      <c r="J1050" s="482" t="s">
        <v>16</v>
      </c>
      <c r="K1050" s="482" t="s">
        <v>17</v>
      </c>
      <c r="L1050" s="482" t="s">
        <v>18</v>
      </c>
      <c r="M1050" s="482" t="s">
        <v>19</v>
      </c>
      <c r="N1050" s="484" t="s">
        <v>96</v>
      </c>
      <c r="O1050" s="484" t="s">
        <v>257</v>
      </c>
      <c r="P1050" s="484" t="s">
        <v>254</v>
      </c>
      <c r="Q1050" s="484" t="s">
        <v>20</v>
      </c>
      <c r="R1050" s="483" t="s">
        <v>14</v>
      </c>
      <c r="S1050" s="482" t="s">
        <v>13</v>
      </c>
      <c r="T1050" s="846" t="s">
        <v>284</v>
      </c>
      <c r="U1050" s="846" t="s">
        <v>288</v>
      </c>
      <c r="V1050" s="484" t="s">
        <v>259</v>
      </c>
      <c r="W1050" s="484"/>
      <c r="X1050" s="484"/>
      <c r="Y1050" s="209" t="s">
        <v>90</v>
      </c>
      <c r="Z1050" s="210" t="s">
        <v>97</v>
      </c>
      <c r="AA1050" s="210" t="s">
        <v>74</v>
      </c>
      <c r="AB1050" s="210" t="s">
        <v>98</v>
      </c>
      <c r="AC1050" s="210" t="s">
        <v>99</v>
      </c>
      <c r="AD1050" s="210" t="s">
        <v>100</v>
      </c>
      <c r="AH1050" s="1428"/>
      <c r="AI1050" s="482" t="s">
        <v>12</v>
      </c>
      <c r="AJ1050" s="482" t="s">
        <v>13</v>
      </c>
      <c r="AK1050" s="482" t="s">
        <v>14</v>
      </c>
      <c r="AL1050" s="482" t="s">
        <v>12</v>
      </c>
      <c r="AM1050" s="482" t="s">
        <v>13</v>
      </c>
      <c r="AN1050" s="482" t="s">
        <v>15</v>
      </c>
      <c r="AO1050" s="482" t="s">
        <v>12</v>
      </c>
      <c r="AP1050" s="482" t="s">
        <v>205</v>
      </c>
      <c r="AQ1050" s="482" t="s">
        <v>16</v>
      </c>
      <c r="AR1050" s="482" t="s">
        <v>17</v>
      </c>
      <c r="AS1050" s="482" t="s">
        <v>18</v>
      </c>
      <c r="AT1050" s="482" t="s">
        <v>19</v>
      </c>
      <c r="AU1050" s="482" t="s">
        <v>201</v>
      </c>
      <c r="AV1050" s="482" t="s">
        <v>20</v>
      </c>
      <c r="AW1050" s="482" t="s">
        <v>12</v>
      </c>
      <c r="AX1050" s="483" t="s">
        <v>13</v>
      </c>
      <c r="AY1050" s="688" t="s">
        <v>198</v>
      </c>
      <c r="AZ1050" s="484" t="s">
        <v>96</v>
      </c>
    </row>
    <row r="1051" spans="1:52" ht="30.75" thickBot="1">
      <c r="A1051" s="67">
        <f>A1013</f>
        <v>44866</v>
      </c>
      <c r="B1051" s="153"/>
      <c r="C1051" s="153"/>
      <c r="D1051" s="153"/>
      <c r="E1051" s="153"/>
      <c r="F1051" s="153"/>
      <c r="G1051" s="153"/>
      <c r="H1051" s="153"/>
      <c r="I1051" s="153"/>
      <c r="J1051" s="153"/>
      <c r="K1051" s="153"/>
      <c r="L1051" s="153"/>
      <c r="M1051" s="153"/>
      <c r="N1051" s="153"/>
      <c r="O1051" s="153"/>
      <c r="P1051" s="153"/>
      <c r="Q1051" s="153"/>
      <c r="R1051" s="154"/>
      <c r="S1051" s="179"/>
      <c r="T1051" s="837"/>
      <c r="U1051" s="837"/>
      <c r="V1051" s="837"/>
      <c r="W1051" s="837"/>
      <c r="X1051" s="837"/>
      <c r="Y1051" s="255">
        <f>B1051*280+C1051*280+D1051*280+E1051*280+F1051*130+G1051*130+H1051*90+I1051*35+J1051*35+K1051*380+L1051*380+M1051*380+N1051*380+O1051*380+P1051*80+Q1051*200+R1051*260+S1051*41+T1051*30+U1051*60</f>
        <v>0</v>
      </c>
      <c r="Z1051" s="308"/>
      <c r="AA1051" s="263">
        <f t="shared" ref="AA1051:AA1081" si="596">Y1051+Z1051</f>
        <v>0</v>
      </c>
      <c r="AB1051" s="308"/>
      <c r="AC1051" s="308"/>
      <c r="AD1051" s="319">
        <f t="shared" ref="AD1051:AD1081" si="597">AA1051-AB1051-AC1051</f>
        <v>0</v>
      </c>
      <c r="AH1051" s="63">
        <f>AH1013</f>
        <v>43374</v>
      </c>
      <c r="AI1051" s="694"/>
      <c r="AJ1051" s="695"/>
      <c r="AK1051" s="695"/>
      <c r="AL1051" s="695"/>
      <c r="AM1051" s="695"/>
      <c r="AN1051" s="695"/>
      <c r="AO1051" s="695"/>
      <c r="AP1051" s="695"/>
      <c r="AQ1051" s="695"/>
      <c r="AR1051" s="695"/>
      <c r="AS1051" s="695"/>
      <c r="AT1051" s="695"/>
      <c r="AU1051" s="695"/>
      <c r="AV1051" s="695"/>
      <c r="AW1051" s="695"/>
      <c r="AX1051" s="696"/>
      <c r="AY1051" s="696"/>
      <c r="AZ1051" s="697"/>
    </row>
    <row r="1052" spans="1:52" ht="30.75" thickBot="1">
      <c r="A1052" s="67">
        <f>A1051+1</f>
        <v>44867</v>
      </c>
      <c r="B1052" s="155"/>
      <c r="C1052" s="155"/>
      <c r="D1052" s="155"/>
      <c r="E1052" s="155"/>
      <c r="F1052" s="155"/>
      <c r="G1052" s="155"/>
      <c r="H1052" s="155"/>
      <c r="I1052" s="155"/>
      <c r="J1052" s="155"/>
      <c r="K1052" s="155"/>
      <c r="L1052" s="155"/>
      <c r="M1052" s="155"/>
      <c r="N1052" s="155"/>
      <c r="O1052" s="155"/>
      <c r="P1052" s="155"/>
      <c r="Q1052" s="155"/>
      <c r="R1052" s="156"/>
      <c r="S1052" s="180"/>
      <c r="T1052" s="838"/>
      <c r="U1052" s="838"/>
      <c r="V1052" s="838"/>
      <c r="W1052" s="838"/>
      <c r="X1052" s="838"/>
      <c r="Y1052" s="255">
        <f t="shared" ref="Y1052:Y1081" si="598">B1052*280+C1052*280+D1052*280+E1052*280+F1052*130+G1052*130+H1052*90+I1052*35+J1052*35+K1052*380+L1052*380+M1052*380+N1052*380+O1052*380+P1052*80+Q1052*200+R1052*260+S1052*41+T1052*30+U1052*60</f>
        <v>0</v>
      </c>
      <c r="Z1052" s="309">
        <f t="shared" ref="Z1052:Z1081" si="599">AD1051</f>
        <v>0</v>
      </c>
      <c r="AA1052" s="256">
        <f t="shared" si="596"/>
        <v>0</v>
      </c>
      <c r="AB1052" s="309"/>
      <c r="AC1052" s="309"/>
      <c r="AD1052" s="320">
        <f t="shared" si="597"/>
        <v>0</v>
      </c>
      <c r="AH1052" s="64">
        <f>AH1051+1</f>
        <v>43375</v>
      </c>
      <c r="AI1052" s="698"/>
      <c r="AJ1052" s="699"/>
      <c r="AK1052" s="699"/>
      <c r="AL1052" s="699"/>
      <c r="AM1052" s="699"/>
      <c r="AN1052" s="699"/>
      <c r="AO1052" s="699"/>
      <c r="AP1052" s="699"/>
      <c r="AQ1052" s="699"/>
      <c r="AR1052" s="699"/>
      <c r="AS1052" s="699"/>
      <c r="AT1052" s="699"/>
      <c r="AU1052" s="699"/>
      <c r="AV1052" s="699"/>
      <c r="AW1052" s="699"/>
      <c r="AX1052" s="700"/>
      <c r="AY1052" s="700"/>
      <c r="AZ1052" s="701"/>
    </row>
    <row r="1053" spans="1:52" ht="30.75" thickBot="1">
      <c r="A1053" s="67">
        <f t="shared" ref="A1053:A1081" si="600">A1052+1</f>
        <v>44868</v>
      </c>
      <c r="B1053" s="155"/>
      <c r="C1053" s="155"/>
      <c r="D1053" s="155"/>
      <c r="E1053" s="155"/>
      <c r="F1053" s="155"/>
      <c r="G1053" s="155"/>
      <c r="H1053" s="155"/>
      <c r="I1053" s="155"/>
      <c r="J1053" s="155"/>
      <c r="K1053" s="155"/>
      <c r="L1053" s="155"/>
      <c r="M1053" s="155"/>
      <c r="N1053" s="155"/>
      <c r="O1053" s="155"/>
      <c r="P1053" s="155"/>
      <c r="Q1053" s="155"/>
      <c r="R1053" s="156"/>
      <c r="S1053" s="180"/>
      <c r="T1053" s="838"/>
      <c r="U1053" s="838"/>
      <c r="V1053" s="838"/>
      <c r="W1053" s="838"/>
      <c r="X1053" s="838"/>
      <c r="Y1053" s="255">
        <f t="shared" si="598"/>
        <v>0</v>
      </c>
      <c r="Z1053" s="309">
        <f t="shared" si="599"/>
        <v>0</v>
      </c>
      <c r="AA1053" s="256">
        <f t="shared" si="596"/>
        <v>0</v>
      </c>
      <c r="AB1053" s="309"/>
      <c r="AC1053" s="309"/>
      <c r="AD1053" s="320">
        <f t="shared" si="597"/>
        <v>0</v>
      </c>
      <c r="AH1053" s="64">
        <f t="shared" ref="AH1053:AH1081" si="601">AH1052+1</f>
        <v>43376</v>
      </c>
      <c r="AI1053" s="698"/>
      <c r="AJ1053" s="699"/>
      <c r="AK1053" s="699"/>
      <c r="AL1053" s="699"/>
      <c r="AM1053" s="699"/>
      <c r="AN1053" s="699"/>
      <c r="AO1053" s="699"/>
      <c r="AP1053" s="699"/>
      <c r="AQ1053" s="699"/>
      <c r="AR1053" s="699"/>
      <c r="AS1053" s="699"/>
      <c r="AT1053" s="699"/>
      <c r="AU1053" s="699"/>
      <c r="AV1053" s="699"/>
      <c r="AW1053" s="699"/>
      <c r="AX1053" s="700"/>
      <c r="AY1053" s="700"/>
      <c r="AZ1053" s="701"/>
    </row>
    <row r="1054" spans="1:52" ht="30.75" thickBot="1">
      <c r="A1054" s="67">
        <f t="shared" si="600"/>
        <v>44869</v>
      </c>
      <c r="B1054" s="155"/>
      <c r="C1054" s="155"/>
      <c r="D1054" s="155"/>
      <c r="E1054" s="155"/>
      <c r="F1054" s="155"/>
      <c r="G1054" s="155"/>
      <c r="H1054" s="155"/>
      <c r="I1054" s="155"/>
      <c r="J1054" s="155"/>
      <c r="K1054" s="155"/>
      <c r="L1054" s="155"/>
      <c r="M1054" s="155"/>
      <c r="N1054" s="155"/>
      <c r="O1054" s="155"/>
      <c r="P1054" s="155"/>
      <c r="Q1054" s="155"/>
      <c r="R1054" s="156"/>
      <c r="S1054" s="180"/>
      <c r="T1054" s="838"/>
      <c r="U1054" s="838"/>
      <c r="V1054" s="838"/>
      <c r="W1054" s="838"/>
      <c r="X1054" s="838"/>
      <c r="Y1054" s="255">
        <f t="shared" si="598"/>
        <v>0</v>
      </c>
      <c r="Z1054" s="309">
        <f t="shared" si="599"/>
        <v>0</v>
      </c>
      <c r="AA1054" s="256">
        <f t="shared" si="596"/>
        <v>0</v>
      </c>
      <c r="AB1054" s="309"/>
      <c r="AC1054" s="309"/>
      <c r="AD1054" s="320">
        <f t="shared" si="597"/>
        <v>0</v>
      </c>
      <c r="AH1054" s="64">
        <f t="shared" si="601"/>
        <v>43377</v>
      </c>
      <c r="AI1054" s="698"/>
      <c r="AJ1054" s="699"/>
      <c r="AK1054" s="699"/>
      <c r="AL1054" s="699"/>
      <c r="AM1054" s="699"/>
      <c r="AN1054" s="699"/>
      <c r="AO1054" s="699"/>
      <c r="AP1054" s="699"/>
      <c r="AQ1054" s="699"/>
      <c r="AR1054" s="699"/>
      <c r="AS1054" s="699"/>
      <c r="AT1054" s="699"/>
      <c r="AU1054" s="699"/>
      <c r="AV1054" s="699"/>
      <c r="AW1054" s="699"/>
      <c r="AX1054" s="700"/>
      <c r="AY1054" s="700"/>
      <c r="AZ1054" s="701"/>
    </row>
    <row r="1055" spans="1:52" ht="30.75" thickBot="1">
      <c r="A1055" s="67">
        <f t="shared" si="600"/>
        <v>44870</v>
      </c>
      <c r="B1055" s="155"/>
      <c r="C1055" s="155"/>
      <c r="D1055" s="155"/>
      <c r="E1055" s="155"/>
      <c r="F1055" s="155"/>
      <c r="G1055" s="155"/>
      <c r="H1055" s="155"/>
      <c r="I1055" s="155"/>
      <c r="J1055" s="155"/>
      <c r="K1055" s="155"/>
      <c r="L1055" s="155"/>
      <c r="M1055" s="155"/>
      <c r="N1055" s="155"/>
      <c r="O1055" s="155"/>
      <c r="P1055" s="155"/>
      <c r="Q1055" s="155"/>
      <c r="R1055" s="156"/>
      <c r="S1055" s="180"/>
      <c r="T1055" s="838"/>
      <c r="U1055" s="838"/>
      <c r="V1055" s="838"/>
      <c r="W1055" s="838"/>
      <c r="X1055" s="838"/>
      <c r="Y1055" s="255">
        <f t="shared" si="598"/>
        <v>0</v>
      </c>
      <c r="Z1055" s="309">
        <f t="shared" si="599"/>
        <v>0</v>
      </c>
      <c r="AA1055" s="256">
        <f t="shared" si="596"/>
        <v>0</v>
      </c>
      <c r="AB1055" s="309"/>
      <c r="AC1055" s="309"/>
      <c r="AD1055" s="320">
        <f t="shared" si="597"/>
        <v>0</v>
      </c>
      <c r="AH1055" s="64">
        <f t="shared" si="601"/>
        <v>43378</v>
      </c>
      <c r="AI1055" s="698"/>
      <c r="AJ1055" s="699"/>
      <c r="AK1055" s="699"/>
      <c r="AL1055" s="699"/>
      <c r="AM1055" s="699"/>
      <c r="AN1055" s="699"/>
      <c r="AO1055" s="699"/>
      <c r="AP1055" s="699"/>
      <c r="AQ1055" s="699"/>
      <c r="AR1055" s="699"/>
      <c r="AS1055" s="699"/>
      <c r="AT1055" s="699"/>
      <c r="AU1055" s="699"/>
      <c r="AV1055" s="699"/>
      <c r="AW1055" s="699"/>
      <c r="AX1055" s="700"/>
      <c r="AY1055" s="700"/>
      <c r="AZ1055" s="701"/>
    </row>
    <row r="1056" spans="1:52" ht="30.75" thickBot="1">
      <c r="A1056" s="67">
        <f t="shared" si="600"/>
        <v>44871</v>
      </c>
      <c r="B1056" s="155"/>
      <c r="C1056" s="155"/>
      <c r="D1056" s="155"/>
      <c r="E1056" s="155"/>
      <c r="F1056" s="155"/>
      <c r="G1056" s="155"/>
      <c r="H1056" s="155"/>
      <c r="I1056" s="155"/>
      <c r="J1056" s="155"/>
      <c r="K1056" s="155"/>
      <c r="L1056" s="155"/>
      <c r="M1056" s="155"/>
      <c r="N1056" s="155"/>
      <c r="O1056" s="155"/>
      <c r="P1056" s="155"/>
      <c r="Q1056" s="155"/>
      <c r="R1056" s="156"/>
      <c r="S1056" s="180"/>
      <c r="T1056" s="838"/>
      <c r="U1056" s="838"/>
      <c r="V1056" s="838"/>
      <c r="W1056" s="838"/>
      <c r="X1056" s="838"/>
      <c r="Y1056" s="255">
        <f t="shared" si="598"/>
        <v>0</v>
      </c>
      <c r="Z1056" s="309">
        <f t="shared" si="599"/>
        <v>0</v>
      </c>
      <c r="AA1056" s="256">
        <f t="shared" si="596"/>
        <v>0</v>
      </c>
      <c r="AB1056" s="309"/>
      <c r="AC1056" s="309"/>
      <c r="AD1056" s="320">
        <f t="shared" si="597"/>
        <v>0</v>
      </c>
      <c r="AH1056" s="64">
        <f t="shared" si="601"/>
        <v>43379</v>
      </c>
      <c r="AI1056" s="698"/>
      <c r="AJ1056" s="699"/>
      <c r="AK1056" s="699"/>
      <c r="AL1056" s="699"/>
      <c r="AM1056" s="699"/>
      <c r="AN1056" s="699"/>
      <c r="AO1056" s="699"/>
      <c r="AP1056" s="699"/>
      <c r="AQ1056" s="699"/>
      <c r="AR1056" s="699"/>
      <c r="AS1056" s="699"/>
      <c r="AT1056" s="699"/>
      <c r="AU1056" s="699"/>
      <c r="AV1056" s="699"/>
      <c r="AW1056" s="699"/>
      <c r="AX1056" s="700"/>
      <c r="AY1056" s="700"/>
      <c r="AZ1056" s="701"/>
    </row>
    <row r="1057" spans="1:52" ht="30.75" thickBot="1">
      <c r="A1057" s="67">
        <f t="shared" si="600"/>
        <v>44872</v>
      </c>
      <c r="B1057" s="155"/>
      <c r="C1057" s="155"/>
      <c r="D1057" s="155"/>
      <c r="E1057" s="155"/>
      <c r="F1057" s="155"/>
      <c r="G1057" s="155"/>
      <c r="H1057" s="155"/>
      <c r="I1057" s="155"/>
      <c r="J1057" s="155"/>
      <c r="K1057" s="155"/>
      <c r="L1057" s="155"/>
      <c r="M1057" s="155"/>
      <c r="N1057" s="155"/>
      <c r="O1057" s="155"/>
      <c r="P1057" s="155"/>
      <c r="Q1057" s="155"/>
      <c r="R1057" s="156"/>
      <c r="S1057" s="180"/>
      <c r="T1057" s="838"/>
      <c r="U1057" s="838"/>
      <c r="V1057" s="838"/>
      <c r="W1057" s="838"/>
      <c r="X1057" s="838"/>
      <c r="Y1057" s="255">
        <f t="shared" si="598"/>
        <v>0</v>
      </c>
      <c r="Z1057" s="309">
        <f t="shared" si="599"/>
        <v>0</v>
      </c>
      <c r="AA1057" s="256">
        <f t="shared" si="596"/>
        <v>0</v>
      </c>
      <c r="AB1057" s="309"/>
      <c r="AC1057" s="309"/>
      <c r="AD1057" s="320">
        <f t="shared" si="597"/>
        <v>0</v>
      </c>
      <c r="AH1057" s="64">
        <f t="shared" si="601"/>
        <v>43380</v>
      </c>
      <c r="AI1057" s="698"/>
      <c r="AJ1057" s="699"/>
      <c r="AK1057" s="699"/>
      <c r="AL1057" s="699"/>
      <c r="AM1057" s="699"/>
      <c r="AN1057" s="699"/>
      <c r="AO1057" s="699"/>
      <c r="AP1057" s="699"/>
      <c r="AQ1057" s="699"/>
      <c r="AR1057" s="699"/>
      <c r="AS1057" s="699"/>
      <c r="AT1057" s="699"/>
      <c r="AU1057" s="699"/>
      <c r="AV1057" s="699"/>
      <c r="AW1057" s="699"/>
      <c r="AX1057" s="700"/>
      <c r="AY1057" s="700"/>
      <c r="AZ1057" s="701"/>
    </row>
    <row r="1058" spans="1:52" ht="30.75" thickBot="1">
      <c r="A1058" s="67">
        <f t="shared" si="600"/>
        <v>44873</v>
      </c>
      <c r="B1058" s="155"/>
      <c r="C1058" s="155"/>
      <c r="D1058" s="155"/>
      <c r="E1058" s="155"/>
      <c r="F1058" s="155"/>
      <c r="G1058" s="155"/>
      <c r="H1058" s="155"/>
      <c r="I1058" s="155"/>
      <c r="J1058" s="155"/>
      <c r="K1058" s="155"/>
      <c r="L1058" s="155"/>
      <c r="M1058" s="155"/>
      <c r="N1058" s="155"/>
      <c r="O1058" s="155"/>
      <c r="P1058" s="155"/>
      <c r="Q1058" s="155"/>
      <c r="R1058" s="156"/>
      <c r="S1058" s="180"/>
      <c r="T1058" s="838"/>
      <c r="U1058" s="838"/>
      <c r="V1058" s="838"/>
      <c r="W1058" s="838"/>
      <c r="X1058" s="838"/>
      <c r="Y1058" s="255">
        <f t="shared" si="598"/>
        <v>0</v>
      </c>
      <c r="Z1058" s="309">
        <f t="shared" si="599"/>
        <v>0</v>
      </c>
      <c r="AA1058" s="256">
        <f t="shared" si="596"/>
        <v>0</v>
      </c>
      <c r="AB1058" s="309"/>
      <c r="AC1058" s="309"/>
      <c r="AD1058" s="320">
        <f t="shared" si="597"/>
        <v>0</v>
      </c>
      <c r="AH1058" s="64">
        <f t="shared" si="601"/>
        <v>43381</v>
      </c>
      <c r="AI1058" s="698"/>
      <c r="AJ1058" s="699"/>
      <c r="AK1058" s="699"/>
      <c r="AL1058" s="699"/>
      <c r="AM1058" s="699"/>
      <c r="AN1058" s="699"/>
      <c r="AO1058" s="699"/>
      <c r="AP1058" s="699"/>
      <c r="AQ1058" s="699"/>
      <c r="AR1058" s="699"/>
      <c r="AS1058" s="699"/>
      <c r="AT1058" s="699"/>
      <c r="AU1058" s="699"/>
      <c r="AV1058" s="699"/>
      <c r="AW1058" s="699"/>
      <c r="AX1058" s="700"/>
      <c r="AY1058" s="700"/>
      <c r="AZ1058" s="701"/>
    </row>
    <row r="1059" spans="1:52" ht="30.75" thickBot="1">
      <c r="A1059" s="67">
        <f t="shared" si="600"/>
        <v>44874</v>
      </c>
      <c r="B1059" s="155"/>
      <c r="C1059" s="155"/>
      <c r="D1059" s="155"/>
      <c r="E1059" s="155"/>
      <c r="F1059" s="155"/>
      <c r="G1059" s="155"/>
      <c r="H1059" s="155"/>
      <c r="I1059" s="155"/>
      <c r="J1059" s="155"/>
      <c r="K1059" s="155"/>
      <c r="L1059" s="155"/>
      <c r="M1059" s="155"/>
      <c r="N1059" s="155"/>
      <c r="O1059" s="155"/>
      <c r="P1059" s="155"/>
      <c r="Q1059" s="155"/>
      <c r="R1059" s="156"/>
      <c r="S1059" s="180"/>
      <c r="T1059" s="838"/>
      <c r="U1059" s="838"/>
      <c r="V1059" s="838"/>
      <c r="W1059" s="838"/>
      <c r="X1059" s="838"/>
      <c r="Y1059" s="255">
        <f t="shared" si="598"/>
        <v>0</v>
      </c>
      <c r="Z1059" s="309">
        <f t="shared" si="599"/>
        <v>0</v>
      </c>
      <c r="AA1059" s="256">
        <f t="shared" si="596"/>
        <v>0</v>
      </c>
      <c r="AB1059" s="309"/>
      <c r="AC1059" s="309"/>
      <c r="AD1059" s="320">
        <f t="shared" si="597"/>
        <v>0</v>
      </c>
      <c r="AH1059" s="64">
        <f t="shared" si="601"/>
        <v>43382</v>
      </c>
      <c r="AI1059" s="698"/>
      <c r="AJ1059" s="699"/>
      <c r="AK1059" s="699"/>
      <c r="AL1059" s="699"/>
      <c r="AM1059" s="699"/>
      <c r="AN1059" s="699"/>
      <c r="AO1059" s="699"/>
      <c r="AP1059" s="699"/>
      <c r="AQ1059" s="699"/>
      <c r="AR1059" s="699"/>
      <c r="AS1059" s="699"/>
      <c r="AT1059" s="699"/>
      <c r="AU1059" s="699"/>
      <c r="AV1059" s="699"/>
      <c r="AW1059" s="699"/>
      <c r="AX1059" s="700"/>
      <c r="AY1059" s="700"/>
      <c r="AZ1059" s="701"/>
    </row>
    <row r="1060" spans="1:52" ht="30.75" thickBot="1">
      <c r="A1060" s="67">
        <f t="shared" si="600"/>
        <v>44875</v>
      </c>
      <c r="B1060" s="155"/>
      <c r="C1060" s="155"/>
      <c r="D1060" s="155"/>
      <c r="E1060" s="155"/>
      <c r="F1060" s="155"/>
      <c r="G1060" s="155"/>
      <c r="H1060" s="155"/>
      <c r="I1060" s="155"/>
      <c r="J1060" s="155"/>
      <c r="K1060" s="155"/>
      <c r="L1060" s="155"/>
      <c r="M1060" s="155"/>
      <c r="N1060" s="155"/>
      <c r="O1060" s="155"/>
      <c r="P1060" s="155"/>
      <c r="Q1060" s="155"/>
      <c r="R1060" s="156"/>
      <c r="S1060" s="180"/>
      <c r="T1060" s="838"/>
      <c r="U1060" s="838"/>
      <c r="V1060" s="838"/>
      <c r="W1060" s="838"/>
      <c r="X1060" s="838"/>
      <c r="Y1060" s="255">
        <f t="shared" si="598"/>
        <v>0</v>
      </c>
      <c r="Z1060" s="309">
        <f t="shared" si="599"/>
        <v>0</v>
      </c>
      <c r="AA1060" s="256">
        <f t="shared" si="596"/>
        <v>0</v>
      </c>
      <c r="AB1060" s="309"/>
      <c r="AC1060" s="309"/>
      <c r="AD1060" s="320">
        <f t="shared" si="597"/>
        <v>0</v>
      </c>
      <c r="AH1060" s="64">
        <f t="shared" si="601"/>
        <v>43383</v>
      </c>
      <c r="AI1060" s="698"/>
      <c r="AJ1060" s="699"/>
      <c r="AK1060" s="699"/>
      <c r="AL1060" s="699"/>
      <c r="AM1060" s="699"/>
      <c r="AN1060" s="699"/>
      <c r="AO1060" s="699"/>
      <c r="AP1060" s="699"/>
      <c r="AQ1060" s="699"/>
      <c r="AR1060" s="699"/>
      <c r="AS1060" s="699"/>
      <c r="AT1060" s="699"/>
      <c r="AU1060" s="699"/>
      <c r="AV1060" s="699"/>
      <c r="AW1060" s="699"/>
      <c r="AX1060" s="700"/>
      <c r="AY1060" s="700"/>
      <c r="AZ1060" s="701"/>
    </row>
    <row r="1061" spans="1:52" ht="30.75" thickBot="1">
      <c r="A1061" s="67">
        <f t="shared" si="600"/>
        <v>44876</v>
      </c>
      <c r="B1061" s="155"/>
      <c r="C1061" s="155"/>
      <c r="D1061" s="155"/>
      <c r="E1061" s="155"/>
      <c r="F1061" s="155"/>
      <c r="G1061" s="155"/>
      <c r="H1061" s="155"/>
      <c r="I1061" s="155"/>
      <c r="J1061" s="155"/>
      <c r="K1061" s="155"/>
      <c r="L1061" s="155"/>
      <c r="M1061" s="155"/>
      <c r="N1061" s="155"/>
      <c r="O1061" s="155"/>
      <c r="P1061" s="155"/>
      <c r="Q1061" s="155"/>
      <c r="R1061" s="156"/>
      <c r="S1061" s="180"/>
      <c r="T1061" s="838"/>
      <c r="U1061" s="838"/>
      <c r="V1061" s="838"/>
      <c r="W1061" s="838"/>
      <c r="X1061" s="838"/>
      <c r="Y1061" s="255">
        <f t="shared" si="598"/>
        <v>0</v>
      </c>
      <c r="Z1061" s="309">
        <f t="shared" si="599"/>
        <v>0</v>
      </c>
      <c r="AA1061" s="256">
        <f t="shared" si="596"/>
        <v>0</v>
      </c>
      <c r="AB1061" s="309"/>
      <c r="AC1061" s="309"/>
      <c r="AD1061" s="320">
        <f t="shared" si="597"/>
        <v>0</v>
      </c>
      <c r="AH1061" s="64">
        <f t="shared" si="601"/>
        <v>43384</v>
      </c>
      <c r="AI1061" s="698"/>
      <c r="AJ1061" s="699"/>
      <c r="AK1061" s="699"/>
      <c r="AL1061" s="699"/>
      <c r="AM1061" s="699"/>
      <c r="AN1061" s="699"/>
      <c r="AO1061" s="699"/>
      <c r="AP1061" s="699"/>
      <c r="AQ1061" s="699"/>
      <c r="AR1061" s="699"/>
      <c r="AS1061" s="699"/>
      <c r="AT1061" s="699"/>
      <c r="AU1061" s="699"/>
      <c r="AV1061" s="699"/>
      <c r="AW1061" s="699"/>
      <c r="AX1061" s="700"/>
      <c r="AY1061" s="700"/>
      <c r="AZ1061" s="701"/>
    </row>
    <row r="1062" spans="1:52" ht="30.75" thickBot="1">
      <c r="A1062" s="67">
        <f t="shared" si="600"/>
        <v>44877</v>
      </c>
      <c r="B1062" s="155"/>
      <c r="C1062" s="155"/>
      <c r="D1062" s="155"/>
      <c r="E1062" s="155"/>
      <c r="F1062" s="155"/>
      <c r="G1062" s="155"/>
      <c r="H1062" s="155"/>
      <c r="I1062" s="155"/>
      <c r="J1062" s="155"/>
      <c r="K1062" s="155"/>
      <c r="L1062" s="155"/>
      <c r="M1062" s="155"/>
      <c r="N1062" s="155"/>
      <c r="O1062" s="155"/>
      <c r="P1062" s="155"/>
      <c r="Q1062" s="155"/>
      <c r="R1062" s="156"/>
      <c r="S1062" s="180"/>
      <c r="T1062" s="838"/>
      <c r="U1062" s="838"/>
      <c r="V1062" s="838"/>
      <c r="W1062" s="838"/>
      <c r="X1062" s="838"/>
      <c r="Y1062" s="255">
        <f t="shared" si="598"/>
        <v>0</v>
      </c>
      <c r="Z1062" s="309">
        <f t="shared" si="599"/>
        <v>0</v>
      </c>
      <c r="AA1062" s="256">
        <f t="shared" si="596"/>
        <v>0</v>
      </c>
      <c r="AB1062" s="309"/>
      <c r="AC1062" s="309"/>
      <c r="AD1062" s="320">
        <f t="shared" si="597"/>
        <v>0</v>
      </c>
      <c r="AH1062" s="64">
        <f t="shared" si="601"/>
        <v>43385</v>
      </c>
      <c r="AI1062" s="698"/>
      <c r="AJ1062" s="699"/>
      <c r="AK1062" s="699"/>
      <c r="AL1062" s="699"/>
      <c r="AM1062" s="699"/>
      <c r="AN1062" s="699"/>
      <c r="AO1062" s="699"/>
      <c r="AP1062" s="699"/>
      <c r="AQ1062" s="699"/>
      <c r="AR1062" s="699"/>
      <c r="AS1062" s="699"/>
      <c r="AT1062" s="699"/>
      <c r="AU1062" s="699"/>
      <c r="AV1062" s="699"/>
      <c r="AW1062" s="699"/>
      <c r="AX1062" s="700"/>
      <c r="AY1062" s="700"/>
      <c r="AZ1062" s="701"/>
    </row>
    <row r="1063" spans="1:52" ht="30.75" thickBot="1">
      <c r="A1063" s="67">
        <f t="shared" si="600"/>
        <v>44878</v>
      </c>
      <c r="B1063" s="155"/>
      <c r="C1063" s="155"/>
      <c r="D1063" s="155"/>
      <c r="E1063" s="155"/>
      <c r="F1063" s="155"/>
      <c r="G1063" s="155"/>
      <c r="H1063" s="155"/>
      <c r="I1063" s="155"/>
      <c r="J1063" s="155"/>
      <c r="K1063" s="155"/>
      <c r="L1063" s="155"/>
      <c r="M1063" s="155"/>
      <c r="N1063" s="155"/>
      <c r="O1063" s="155"/>
      <c r="P1063" s="155"/>
      <c r="Q1063" s="155"/>
      <c r="R1063" s="156"/>
      <c r="S1063" s="180"/>
      <c r="T1063" s="838"/>
      <c r="U1063" s="838"/>
      <c r="V1063" s="838"/>
      <c r="W1063" s="838"/>
      <c r="X1063" s="838"/>
      <c r="Y1063" s="255">
        <f t="shared" si="598"/>
        <v>0</v>
      </c>
      <c r="Z1063" s="309">
        <f t="shared" si="599"/>
        <v>0</v>
      </c>
      <c r="AA1063" s="256">
        <f t="shared" si="596"/>
        <v>0</v>
      </c>
      <c r="AB1063" s="309"/>
      <c r="AC1063" s="309"/>
      <c r="AD1063" s="320">
        <f t="shared" si="597"/>
        <v>0</v>
      </c>
      <c r="AH1063" s="64">
        <f t="shared" si="601"/>
        <v>43386</v>
      </c>
      <c r="AI1063" s="698"/>
      <c r="AJ1063" s="699"/>
      <c r="AK1063" s="699"/>
      <c r="AL1063" s="699"/>
      <c r="AM1063" s="699"/>
      <c r="AN1063" s="699"/>
      <c r="AO1063" s="699"/>
      <c r="AP1063" s="699"/>
      <c r="AQ1063" s="699"/>
      <c r="AR1063" s="699"/>
      <c r="AS1063" s="699"/>
      <c r="AT1063" s="699"/>
      <c r="AU1063" s="699"/>
      <c r="AV1063" s="699"/>
      <c r="AW1063" s="699"/>
      <c r="AX1063" s="700"/>
      <c r="AY1063" s="700"/>
      <c r="AZ1063" s="701"/>
    </row>
    <row r="1064" spans="1:52" ht="30.75" thickBot="1">
      <c r="A1064" s="67">
        <f t="shared" si="600"/>
        <v>44879</v>
      </c>
      <c r="B1064" s="155"/>
      <c r="C1064" s="155"/>
      <c r="D1064" s="155"/>
      <c r="E1064" s="155"/>
      <c r="F1064" s="155"/>
      <c r="G1064" s="155"/>
      <c r="H1064" s="155"/>
      <c r="I1064" s="155"/>
      <c r="J1064" s="155"/>
      <c r="K1064" s="155"/>
      <c r="L1064" s="155"/>
      <c r="M1064" s="155"/>
      <c r="N1064" s="155"/>
      <c r="O1064" s="155"/>
      <c r="P1064" s="155"/>
      <c r="Q1064" s="155"/>
      <c r="R1064" s="156"/>
      <c r="S1064" s="180"/>
      <c r="T1064" s="838"/>
      <c r="U1064" s="838"/>
      <c r="V1064" s="838"/>
      <c r="W1064" s="838"/>
      <c r="X1064" s="838"/>
      <c r="Y1064" s="255">
        <f t="shared" si="598"/>
        <v>0</v>
      </c>
      <c r="Z1064" s="309">
        <f t="shared" si="599"/>
        <v>0</v>
      </c>
      <c r="AA1064" s="256">
        <f t="shared" si="596"/>
        <v>0</v>
      </c>
      <c r="AB1064" s="309"/>
      <c r="AC1064" s="309"/>
      <c r="AD1064" s="320">
        <f t="shared" si="597"/>
        <v>0</v>
      </c>
      <c r="AH1064" s="64">
        <f t="shared" si="601"/>
        <v>43387</v>
      </c>
      <c r="AI1064" s="698"/>
      <c r="AJ1064" s="699"/>
      <c r="AK1064" s="699"/>
      <c r="AL1064" s="699"/>
      <c r="AM1064" s="699"/>
      <c r="AN1064" s="699"/>
      <c r="AO1064" s="699"/>
      <c r="AP1064" s="699"/>
      <c r="AQ1064" s="699"/>
      <c r="AR1064" s="699"/>
      <c r="AS1064" s="699"/>
      <c r="AT1064" s="699"/>
      <c r="AU1064" s="699"/>
      <c r="AV1064" s="699"/>
      <c r="AW1064" s="699"/>
      <c r="AX1064" s="700"/>
      <c r="AY1064" s="700"/>
      <c r="AZ1064" s="701"/>
    </row>
    <row r="1065" spans="1:52" ht="30.75" thickBot="1">
      <c r="A1065" s="67">
        <f t="shared" si="600"/>
        <v>44880</v>
      </c>
      <c r="B1065" s="155"/>
      <c r="C1065" s="155"/>
      <c r="D1065" s="155"/>
      <c r="E1065" s="155"/>
      <c r="F1065" s="155"/>
      <c r="G1065" s="155"/>
      <c r="H1065" s="155"/>
      <c r="I1065" s="155"/>
      <c r="J1065" s="155"/>
      <c r="K1065" s="155"/>
      <c r="L1065" s="155"/>
      <c r="M1065" s="155"/>
      <c r="N1065" s="155"/>
      <c r="O1065" s="155"/>
      <c r="P1065" s="155"/>
      <c r="Q1065" s="155"/>
      <c r="R1065" s="156"/>
      <c r="S1065" s="180"/>
      <c r="T1065" s="838"/>
      <c r="U1065" s="838"/>
      <c r="V1065" s="838"/>
      <c r="W1065" s="838"/>
      <c r="X1065" s="838"/>
      <c r="Y1065" s="255">
        <f t="shared" si="598"/>
        <v>0</v>
      </c>
      <c r="Z1065" s="309">
        <f t="shared" si="599"/>
        <v>0</v>
      </c>
      <c r="AA1065" s="256">
        <f t="shared" si="596"/>
        <v>0</v>
      </c>
      <c r="AB1065" s="309"/>
      <c r="AC1065" s="309"/>
      <c r="AD1065" s="320">
        <f t="shared" si="597"/>
        <v>0</v>
      </c>
      <c r="AH1065" s="64">
        <f t="shared" si="601"/>
        <v>43388</v>
      </c>
      <c r="AI1065" s="698"/>
      <c r="AJ1065" s="699"/>
      <c r="AK1065" s="699"/>
      <c r="AL1065" s="699"/>
      <c r="AM1065" s="699"/>
      <c r="AN1065" s="699"/>
      <c r="AO1065" s="699"/>
      <c r="AP1065" s="699"/>
      <c r="AQ1065" s="699"/>
      <c r="AR1065" s="699"/>
      <c r="AS1065" s="699"/>
      <c r="AT1065" s="699"/>
      <c r="AU1065" s="699"/>
      <c r="AV1065" s="699"/>
      <c r="AW1065" s="699"/>
      <c r="AX1065" s="700"/>
      <c r="AY1065" s="700"/>
      <c r="AZ1065" s="701"/>
    </row>
    <row r="1066" spans="1:52" ht="30.75" thickBot="1">
      <c r="A1066" s="67">
        <f t="shared" si="600"/>
        <v>44881</v>
      </c>
      <c r="B1066" s="155"/>
      <c r="C1066" s="155"/>
      <c r="D1066" s="155"/>
      <c r="E1066" s="155"/>
      <c r="F1066" s="155"/>
      <c r="G1066" s="155"/>
      <c r="H1066" s="155"/>
      <c r="I1066" s="155"/>
      <c r="J1066" s="155"/>
      <c r="K1066" s="155"/>
      <c r="L1066" s="155"/>
      <c r="M1066" s="155"/>
      <c r="N1066" s="155"/>
      <c r="O1066" s="155"/>
      <c r="P1066" s="155"/>
      <c r="Q1066" s="155"/>
      <c r="R1066" s="156"/>
      <c r="S1066" s="180"/>
      <c r="T1066" s="838"/>
      <c r="U1066" s="838"/>
      <c r="V1066" s="838"/>
      <c r="W1066" s="838"/>
      <c r="X1066" s="838"/>
      <c r="Y1066" s="255">
        <f t="shared" si="598"/>
        <v>0</v>
      </c>
      <c r="Z1066" s="309">
        <f t="shared" si="599"/>
        <v>0</v>
      </c>
      <c r="AA1066" s="256">
        <f t="shared" si="596"/>
        <v>0</v>
      </c>
      <c r="AB1066" s="309"/>
      <c r="AC1066" s="309"/>
      <c r="AD1066" s="320">
        <f t="shared" si="597"/>
        <v>0</v>
      </c>
      <c r="AH1066" s="64">
        <f t="shared" si="601"/>
        <v>43389</v>
      </c>
      <c r="AI1066" s="698"/>
      <c r="AJ1066" s="699"/>
      <c r="AK1066" s="699"/>
      <c r="AL1066" s="699"/>
      <c r="AM1066" s="699"/>
      <c r="AN1066" s="699"/>
      <c r="AO1066" s="699"/>
      <c r="AP1066" s="699"/>
      <c r="AQ1066" s="699"/>
      <c r="AR1066" s="699"/>
      <c r="AS1066" s="699"/>
      <c r="AT1066" s="699"/>
      <c r="AU1066" s="699"/>
      <c r="AV1066" s="699"/>
      <c r="AW1066" s="699"/>
      <c r="AX1066" s="700"/>
      <c r="AY1066" s="700"/>
      <c r="AZ1066" s="701"/>
    </row>
    <row r="1067" spans="1:52" ht="30.75" thickBot="1">
      <c r="A1067" s="67">
        <f t="shared" si="600"/>
        <v>44882</v>
      </c>
      <c r="B1067" s="155"/>
      <c r="C1067" s="155"/>
      <c r="D1067" s="155"/>
      <c r="E1067" s="155"/>
      <c r="F1067" s="155"/>
      <c r="G1067" s="155"/>
      <c r="H1067" s="155"/>
      <c r="I1067" s="155"/>
      <c r="J1067" s="155"/>
      <c r="K1067" s="155"/>
      <c r="L1067" s="155"/>
      <c r="M1067" s="155"/>
      <c r="N1067" s="155"/>
      <c r="O1067" s="155"/>
      <c r="P1067" s="155"/>
      <c r="Q1067" s="155"/>
      <c r="R1067" s="156"/>
      <c r="S1067" s="180"/>
      <c r="T1067" s="838"/>
      <c r="U1067" s="838"/>
      <c r="V1067" s="838"/>
      <c r="W1067" s="838"/>
      <c r="X1067" s="838"/>
      <c r="Y1067" s="255">
        <f t="shared" si="598"/>
        <v>0</v>
      </c>
      <c r="Z1067" s="309">
        <f t="shared" si="599"/>
        <v>0</v>
      </c>
      <c r="AA1067" s="256">
        <f t="shared" si="596"/>
        <v>0</v>
      </c>
      <c r="AB1067" s="309"/>
      <c r="AC1067" s="309"/>
      <c r="AD1067" s="320">
        <f t="shared" si="597"/>
        <v>0</v>
      </c>
      <c r="AH1067" s="64">
        <f t="shared" si="601"/>
        <v>43390</v>
      </c>
      <c r="AI1067" s="698"/>
      <c r="AJ1067" s="699"/>
      <c r="AK1067" s="699"/>
      <c r="AL1067" s="699"/>
      <c r="AM1067" s="699"/>
      <c r="AN1067" s="699"/>
      <c r="AO1067" s="699"/>
      <c r="AP1067" s="699"/>
      <c r="AQ1067" s="699"/>
      <c r="AR1067" s="699"/>
      <c r="AS1067" s="699"/>
      <c r="AT1067" s="699"/>
      <c r="AU1067" s="699"/>
      <c r="AV1067" s="699"/>
      <c r="AW1067" s="699"/>
      <c r="AX1067" s="700"/>
      <c r="AY1067" s="700"/>
      <c r="AZ1067" s="701"/>
    </row>
    <row r="1068" spans="1:52" ht="30.75" thickBot="1">
      <c r="A1068" s="67">
        <f t="shared" si="600"/>
        <v>44883</v>
      </c>
      <c r="B1068" s="155"/>
      <c r="C1068" s="155"/>
      <c r="D1068" s="155"/>
      <c r="E1068" s="155"/>
      <c r="F1068" s="155"/>
      <c r="G1068" s="155"/>
      <c r="H1068" s="155"/>
      <c r="I1068" s="155"/>
      <c r="J1068" s="155"/>
      <c r="K1068" s="155"/>
      <c r="L1068" s="155"/>
      <c r="M1068" s="155"/>
      <c r="N1068" s="155"/>
      <c r="O1068" s="155"/>
      <c r="P1068" s="155"/>
      <c r="Q1068" s="155"/>
      <c r="R1068" s="156"/>
      <c r="S1068" s="180"/>
      <c r="T1068" s="838"/>
      <c r="U1068" s="838"/>
      <c r="V1068" s="838"/>
      <c r="W1068" s="838"/>
      <c r="X1068" s="838"/>
      <c r="Y1068" s="255">
        <f t="shared" si="598"/>
        <v>0</v>
      </c>
      <c r="Z1068" s="309">
        <f t="shared" si="599"/>
        <v>0</v>
      </c>
      <c r="AA1068" s="256">
        <f t="shared" si="596"/>
        <v>0</v>
      </c>
      <c r="AB1068" s="309"/>
      <c r="AC1068" s="309"/>
      <c r="AD1068" s="320">
        <f t="shared" si="597"/>
        <v>0</v>
      </c>
      <c r="AH1068" s="64">
        <f t="shared" si="601"/>
        <v>43391</v>
      </c>
      <c r="AI1068" s="698"/>
      <c r="AJ1068" s="699"/>
      <c r="AK1068" s="699"/>
      <c r="AL1068" s="699"/>
      <c r="AM1068" s="699"/>
      <c r="AN1068" s="699"/>
      <c r="AO1068" s="699"/>
      <c r="AP1068" s="699"/>
      <c r="AQ1068" s="699"/>
      <c r="AR1068" s="699"/>
      <c r="AS1068" s="699"/>
      <c r="AT1068" s="699"/>
      <c r="AU1068" s="699"/>
      <c r="AV1068" s="699"/>
      <c r="AW1068" s="699"/>
      <c r="AX1068" s="700"/>
      <c r="AY1068" s="700"/>
      <c r="AZ1068" s="701"/>
    </row>
    <row r="1069" spans="1:52" ht="30.75" thickBot="1">
      <c r="A1069" s="67">
        <f t="shared" si="600"/>
        <v>44884</v>
      </c>
      <c r="B1069" s="155"/>
      <c r="C1069" s="155"/>
      <c r="D1069" s="155"/>
      <c r="E1069" s="155"/>
      <c r="F1069" s="155"/>
      <c r="G1069" s="155"/>
      <c r="H1069" s="155"/>
      <c r="I1069" s="155"/>
      <c r="J1069" s="155"/>
      <c r="K1069" s="155"/>
      <c r="L1069" s="155"/>
      <c r="M1069" s="155"/>
      <c r="N1069" s="155"/>
      <c r="O1069" s="155"/>
      <c r="P1069" s="155"/>
      <c r="Q1069" s="155"/>
      <c r="R1069" s="156"/>
      <c r="S1069" s="180"/>
      <c r="T1069" s="838"/>
      <c r="U1069" s="838"/>
      <c r="V1069" s="838"/>
      <c r="W1069" s="838"/>
      <c r="X1069" s="838"/>
      <c r="Y1069" s="255">
        <f t="shared" si="598"/>
        <v>0</v>
      </c>
      <c r="Z1069" s="309">
        <f t="shared" si="599"/>
        <v>0</v>
      </c>
      <c r="AA1069" s="256">
        <f t="shared" si="596"/>
        <v>0</v>
      </c>
      <c r="AB1069" s="309"/>
      <c r="AC1069" s="309"/>
      <c r="AD1069" s="320">
        <f t="shared" si="597"/>
        <v>0</v>
      </c>
      <c r="AH1069" s="64">
        <f t="shared" si="601"/>
        <v>43392</v>
      </c>
      <c r="AI1069" s="698"/>
      <c r="AJ1069" s="699"/>
      <c r="AK1069" s="699"/>
      <c r="AL1069" s="699"/>
      <c r="AM1069" s="699"/>
      <c r="AN1069" s="699"/>
      <c r="AO1069" s="699"/>
      <c r="AP1069" s="699"/>
      <c r="AQ1069" s="699"/>
      <c r="AR1069" s="699"/>
      <c r="AS1069" s="699"/>
      <c r="AT1069" s="699"/>
      <c r="AU1069" s="699"/>
      <c r="AV1069" s="699"/>
      <c r="AW1069" s="699"/>
      <c r="AX1069" s="700"/>
      <c r="AY1069" s="700"/>
      <c r="AZ1069" s="701"/>
    </row>
    <row r="1070" spans="1:52" ht="30.75" thickBot="1">
      <c r="A1070" s="67">
        <f t="shared" si="600"/>
        <v>44885</v>
      </c>
      <c r="B1070" s="155"/>
      <c r="C1070" s="155"/>
      <c r="D1070" s="155"/>
      <c r="E1070" s="155"/>
      <c r="F1070" s="155"/>
      <c r="G1070" s="155"/>
      <c r="H1070" s="155"/>
      <c r="I1070" s="155"/>
      <c r="J1070" s="155"/>
      <c r="K1070" s="155"/>
      <c r="L1070" s="155"/>
      <c r="M1070" s="155"/>
      <c r="N1070" s="155"/>
      <c r="O1070" s="155"/>
      <c r="P1070" s="155"/>
      <c r="Q1070" s="155"/>
      <c r="R1070" s="156"/>
      <c r="S1070" s="180"/>
      <c r="T1070" s="838"/>
      <c r="U1070" s="838"/>
      <c r="V1070" s="838"/>
      <c r="W1070" s="838"/>
      <c r="X1070" s="838"/>
      <c r="Y1070" s="255">
        <f t="shared" si="598"/>
        <v>0</v>
      </c>
      <c r="Z1070" s="309">
        <f t="shared" si="599"/>
        <v>0</v>
      </c>
      <c r="AA1070" s="256">
        <f t="shared" si="596"/>
        <v>0</v>
      </c>
      <c r="AB1070" s="309"/>
      <c r="AC1070" s="309"/>
      <c r="AD1070" s="320">
        <f t="shared" si="597"/>
        <v>0</v>
      </c>
      <c r="AH1070" s="64">
        <f t="shared" si="601"/>
        <v>43393</v>
      </c>
      <c r="AI1070" s="698"/>
      <c r="AJ1070" s="699"/>
      <c r="AK1070" s="699"/>
      <c r="AL1070" s="699"/>
      <c r="AM1070" s="699"/>
      <c r="AN1070" s="699"/>
      <c r="AO1070" s="699"/>
      <c r="AP1070" s="699"/>
      <c r="AQ1070" s="699"/>
      <c r="AR1070" s="699"/>
      <c r="AS1070" s="699"/>
      <c r="AT1070" s="699"/>
      <c r="AU1070" s="699"/>
      <c r="AV1070" s="699"/>
      <c r="AW1070" s="699"/>
      <c r="AX1070" s="700"/>
      <c r="AY1070" s="700"/>
      <c r="AZ1070" s="701"/>
    </row>
    <row r="1071" spans="1:52" ht="30.75" thickBot="1">
      <c r="A1071" s="67">
        <f t="shared" si="600"/>
        <v>44886</v>
      </c>
      <c r="B1071" s="155"/>
      <c r="C1071" s="155"/>
      <c r="D1071" s="155"/>
      <c r="E1071" s="155"/>
      <c r="F1071" s="155"/>
      <c r="G1071" s="155"/>
      <c r="H1071" s="155"/>
      <c r="I1071" s="155"/>
      <c r="J1071" s="155"/>
      <c r="K1071" s="155"/>
      <c r="L1071" s="155"/>
      <c r="M1071" s="155"/>
      <c r="N1071" s="155"/>
      <c r="O1071" s="155"/>
      <c r="P1071" s="155"/>
      <c r="Q1071" s="155"/>
      <c r="R1071" s="156"/>
      <c r="S1071" s="180"/>
      <c r="T1071" s="838"/>
      <c r="U1071" s="838"/>
      <c r="V1071" s="838"/>
      <c r="W1071" s="838"/>
      <c r="X1071" s="838"/>
      <c r="Y1071" s="255">
        <f t="shared" si="598"/>
        <v>0</v>
      </c>
      <c r="Z1071" s="309">
        <f t="shared" si="599"/>
        <v>0</v>
      </c>
      <c r="AA1071" s="256">
        <f t="shared" si="596"/>
        <v>0</v>
      </c>
      <c r="AB1071" s="309"/>
      <c r="AC1071" s="309"/>
      <c r="AD1071" s="320">
        <f t="shared" si="597"/>
        <v>0</v>
      </c>
      <c r="AH1071" s="64">
        <f t="shared" si="601"/>
        <v>43394</v>
      </c>
      <c r="AI1071" s="698"/>
      <c r="AJ1071" s="699"/>
      <c r="AK1071" s="699"/>
      <c r="AL1071" s="699"/>
      <c r="AM1071" s="699"/>
      <c r="AN1071" s="699"/>
      <c r="AO1071" s="699"/>
      <c r="AP1071" s="699"/>
      <c r="AQ1071" s="699"/>
      <c r="AR1071" s="699"/>
      <c r="AS1071" s="699"/>
      <c r="AT1071" s="699"/>
      <c r="AU1071" s="699"/>
      <c r="AV1071" s="699"/>
      <c r="AW1071" s="699"/>
      <c r="AX1071" s="700"/>
      <c r="AY1071" s="700"/>
      <c r="AZ1071" s="701"/>
    </row>
    <row r="1072" spans="1:52" ht="30.75" thickBot="1">
      <c r="A1072" s="67">
        <f t="shared" si="600"/>
        <v>44887</v>
      </c>
      <c r="B1072" s="155"/>
      <c r="C1072" s="155"/>
      <c r="D1072" s="155"/>
      <c r="E1072" s="155"/>
      <c r="F1072" s="155"/>
      <c r="G1072" s="155"/>
      <c r="H1072" s="155"/>
      <c r="I1072" s="155"/>
      <c r="J1072" s="155"/>
      <c r="K1072" s="155"/>
      <c r="L1072" s="155"/>
      <c r="M1072" s="155"/>
      <c r="N1072" s="155"/>
      <c r="O1072" s="155"/>
      <c r="P1072" s="155"/>
      <c r="Q1072" s="155"/>
      <c r="R1072" s="156"/>
      <c r="S1072" s="180"/>
      <c r="T1072" s="838"/>
      <c r="U1072" s="838"/>
      <c r="V1072" s="838"/>
      <c r="W1072" s="838"/>
      <c r="X1072" s="838"/>
      <c r="Y1072" s="255">
        <f t="shared" si="598"/>
        <v>0</v>
      </c>
      <c r="Z1072" s="309">
        <f t="shared" si="599"/>
        <v>0</v>
      </c>
      <c r="AA1072" s="256">
        <f t="shared" si="596"/>
        <v>0</v>
      </c>
      <c r="AB1072" s="309"/>
      <c r="AC1072" s="309"/>
      <c r="AD1072" s="320">
        <f t="shared" si="597"/>
        <v>0</v>
      </c>
      <c r="AH1072" s="64">
        <f t="shared" si="601"/>
        <v>43395</v>
      </c>
      <c r="AI1072" s="698"/>
      <c r="AJ1072" s="699"/>
      <c r="AK1072" s="699"/>
      <c r="AL1072" s="699"/>
      <c r="AM1072" s="699"/>
      <c r="AN1072" s="699"/>
      <c r="AO1072" s="699"/>
      <c r="AP1072" s="699"/>
      <c r="AQ1072" s="699"/>
      <c r="AR1072" s="699"/>
      <c r="AS1072" s="699"/>
      <c r="AT1072" s="699"/>
      <c r="AU1072" s="699"/>
      <c r="AV1072" s="699"/>
      <c r="AW1072" s="699"/>
      <c r="AX1072" s="700"/>
      <c r="AY1072" s="700"/>
      <c r="AZ1072" s="701"/>
    </row>
    <row r="1073" spans="1:52" ht="30.75" thickBot="1">
      <c r="A1073" s="67">
        <f t="shared" si="600"/>
        <v>44888</v>
      </c>
      <c r="B1073" s="155"/>
      <c r="C1073" s="155"/>
      <c r="D1073" s="155"/>
      <c r="E1073" s="155"/>
      <c r="F1073" s="155"/>
      <c r="G1073" s="155"/>
      <c r="H1073" s="155"/>
      <c r="I1073" s="155"/>
      <c r="J1073" s="155"/>
      <c r="K1073" s="155"/>
      <c r="L1073" s="155"/>
      <c r="M1073" s="155"/>
      <c r="N1073" s="155"/>
      <c r="O1073" s="155"/>
      <c r="P1073" s="155"/>
      <c r="Q1073" s="155"/>
      <c r="R1073" s="156"/>
      <c r="S1073" s="180"/>
      <c r="T1073" s="838"/>
      <c r="U1073" s="838"/>
      <c r="V1073" s="838"/>
      <c r="W1073" s="838"/>
      <c r="X1073" s="838"/>
      <c r="Y1073" s="255">
        <f t="shared" si="598"/>
        <v>0</v>
      </c>
      <c r="Z1073" s="309">
        <f t="shared" si="599"/>
        <v>0</v>
      </c>
      <c r="AA1073" s="256">
        <f t="shared" si="596"/>
        <v>0</v>
      </c>
      <c r="AB1073" s="309"/>
      <c r="AC1073" s="309"/>
      <c r="AD1073" s="320">
        <f t="shared" si="597"/>
        <v>0</v>
      </c>
      <c r="AH1073" s="64">
        <f t="shared" si="601"/>
        <v>43396</v>
      </c>
      <c r="AI1073" s="698"/>
      <c r="AJ1073" s="699"/>
      <c r="AK1073" s="699"/>
      <c r="AL1073" s="699"/>
      <c r="AM1073" s="699"/>
      <c r="AN1073" s="699"/>
      <c r="AO1073" s="699"/>
      <c r="AP1073" s="699"/>
      <c r="AQ1073" s="699"/>
      <c r="AR1073" s="699"/>
      <c r="AS1073" s="699"/>
      <c r="AT1073" s="699"/>
      <c r="AU1073" s="699"/>
      <c r="AV1073" s="699"/>
      <c r="AW1073" s="699"/>
      <c r="AX1073" s="700"/>
      <c r="AY1073" s="700"/>
      <c r="AZ1073" s="701"/>
    </row>
    <row r="1074" spans="1:52" ht="30.75" thickBot="1">
      <c r="A1074" s="67">
        <f t="shared" si="600"/>
        <v>44889</v>
      </c>
      <c r="B1074" s="155"/>
      <c r="C1074" s="155"/>
      <c r="D1074" s="155"/>
      <c r="E1074" s="155"/>
      <c r="F1074" s="155"/>
      <c r="G1074" s="155"/>
      <c r="H1074" s="155"/>
      <c r="I1074" s="155"/>
      <c r="J1074" s="155"/>
      <c r="K1074" s="155"/>
      <c r="L1074" s="155"/>
      <c r="M1074" s="155"/>
      <c r="N1074" s="155"/>
      <c r="O1074" s="155"/>
      <c r="P1074" s="155"/>
      <c r="Q1074" s="155"/>
      <c r="R1074" s="156"/>
      <c r="S1074" s="180"/>
      <c r="T1074" s="838"/>
      <c r="U1074" s="838"/>
      <c r="V1074" s="838"/>
      <c r="W1074" s="838"/>
      <c r="X1074" s="838"/>
      <c r="Y1074" s="255">
        <f t="shared" si="598"/>
        <v>0</v>
      </c>
      <c r="Z1074" s="309">
        <f t="shared" si="599"/>
        <v>0</v>
      </c>
      <c r="AA1074" s="256">
        <f t="shared" si="596"/>
        <v>0</v>
      </c>
      <c r="AB1074" s="309"/>
      <c r="AC1074" s="309"/>
      <c r="AD1074" s="320">
        <f t="shared" si="597"/>
        <v>0</v>
      </c>
      <c r="AH1074" s="64">
        <f t="shared" si="601"/>
        <v>43397</v>
      </c>
      <c r="AI1074" s="698"/>
      <c r="AJ1074" s="699"/>
      <c r="AK1074" s="699"/>
      <c r="AL1074" s="699"/>
      <c r="AM1074" s="699"/>
      <c r="AN1074" s="699"/>
      <c r="AO1074" s="699"/>
      <c r="AP1074" s="699"/>
      <c r="AQ1074" s="699"/>
      <c r="AR1074" s="699"/>
      <c r="AS1074" s="699"/>
      <c r="AT1074" s="699"/>
      <c r="AU1074" s="699"/>
      <c r="AV1074" s="699"/>
      <c r="AW1074" s="699"/>
      <c r="AX1074" s="700"/>
      <c r="AY1074" s="700"/>
      <c r="AZ1074" s="701"/>
    </row>
    <row r="1075" spans="1:52" ht="30.75" thickBot="1">
      <c r="A1075" s="67">
        <f t="shared" si="600"/>
        <v>44890</v>
      </c>
      <c r="B1075" s="155"/>
      <c r="C1075" s="155"/>
      <c r="D1075" s="155"/>
      <c r="E1075" s="155"/>
      <c r="F1075" s="155"/>
      <c r="G1075" s="155"/>
      <c r="H1075" s="155"/>
      <c r="I1075" s="155"/>
      <c r="J1075" s="155"/>
      <c r="K1075" s="155"/>
      <c r="L1075" s="155"/>
      <c r="M1075" s="155"/>
      <c r="N1075" s="155"/>
      <c r="O1075" s="155"/>
      <c r="P1075" s="155"/>
      <c r="Q1075" s="155"/>
      <c r="R1075" s="156"/>
      <c r="S1075" s="180"/>
      <c r="T1075" s="838"/>
      <c r="U1075" s="838"/>
      <c r="V1075" s="838"/>
      <c r="W1075" s="838"/>
      <c r="X1075" s="838"/>
      <c r="Y1075" s="255">
        <f t="shared" si="598"/>
        <v>0</v>
      </c>
      <c r="Z1075" s="309">
        <f t="shared" si="599"/>
        <v>0</v>
      </c>
      <c r="AA1075" s="256">
        <f t="shared" si="596"/>
        <v>0</v>
      </c>
      <c r="AB1075" s="309"/>
      <c r="AC1075" s="309"/>
      <c r="AD1075" s="320">
        <f t="shared" si="597"/>
        <v>0</v>
      </c>
      <c r="AH1075" s="64">
        <f t="shared" si="601"/>
        <v>43398</v>
      </c>
      <c r="AI1075" s="698"/>
      <c r="AJ1075" s="699"/>
      <c r="AK1075" s="699"/>
      <c r="AL1075" s="699"/>
      <c r="AM1075" s="699"/>
      <c r="AN1075" s="699"/>
      <c r="AO1075" s="699"/>
      <c r="AP1075" s="699"/>
      <c r="AQ1075" s="699"/>
      <c r="AR1075" s="699"/>
      <c r="AS1075" s="699"/>
      <c r="AT1075" s="699"/>
      <c r="AU1075" s="699"/>
      <c r="AV1075" s="699"/>
      <c r="AW1075" s="699"/>
      <c r="AX1075" s="700"/>
      <c r="AY1075" s="700"/>
      <c r="AZ1075" s="701"/>
    </row>
    <row r="1076" spans="1:52" ht="30.75" thickBot="1">
      <c r="A1076" s="67">
        <f t="shared" si="600"/>
        <v>44891</v>
      </c>
      <c r="B1076" s="155"/>
      <c r="C1076" s="155"/>
      <c r="D1076" s="155"/>
      <c r="E1076" s="155"/>
      <c r="F1076" s="155"/>
      <c r="G1076" s="155"/>
      <c r="H1076" s="155"/>
      <c r="I1076" s="155"/>
      <c r="J1076" s="155"/>
      <c r="K1076" s="155"/>
      <c r="L1076" s="155"/>
      <c r="M1076" s="155"/>
      <c r="N1076" s="155"/>
      <c r="O1076" s="155"/>
      <c r="P1076" s="155"/>
      <c r="Q1076" s="155"/>
      <c r="R1076" s="156"/>
      <c r="S1076" s="180"/>
      <c r="T1076" s="838"/>
      <c r="U1076" s="838"/>
      <c r="V1076" s="838"/>
      <c r="W1076" s="838"/>
      <c r="X1076" s="838"/>
      <c r="Y1076" s="255">
        <f t="shared" si="598"/>
        <v>0</v>
      </c>
      <c r="Z1076" s="309">
        <f t="shared" si="599"/>
        <v>0</v>
      </c>
      <c r="AA1076" s="256">
        <f t="shared" si="596"/>
        <v>0</v>
      </c>
      <c r="AB1076" s="309"/>
      <c r="AC1076" s="309"/>
      <c r="AD1076" s="320">
        <f t="shared" si="597"/>
        <v>0</v>
      </c>
      <c r="AF1076" t="s">
        <v>1</v>
      </c>
      <c r="AH1076" s="64">
        <f t="shared" si="601"/>
        <v>43399</v>
      </c>
      <c r="AI1076" s="698"/>
      <c r="AJ1076" s="699"/>
      <c r="AK1076" s="699"/>
      <c r="AL1076" s="699"/>
      <c r="AM1076" s="699"/>
      <c r="AN1076" s="699"/>
      <c r="AO1076" s="699"/>
      <c r="AP1076" s="699"/>
      <c r="AQ1076" s="699"/>
      <c r="AR1076" s="699"/>
      <c r="AS1076" s="699"/>
      <c r="AT1076" s="699"/>
      <c r="AU1076" s="699"/>
      <c r="AV1076" s="699"/>
      <c r="AW1076" s="699"/>
      <c r="AX1076" s="700"/>
      <c r="AY1076" s="700"/>
      <c r="AZ1076" s="701"/>
    </row>
    <row r="1077" spans="1:52" ht="30.75" thickBot="1">
      <c r="A1077" s="67">
        <f t="shared" si="600"/>
        <v>44892</v>
      </c>
      <c r="B1077" s="155"/>
      <c r="C1077" s="155"/>
      <c r="D1077" s="155"/>
      <c r="E1077" s="155"/>
      <c r="F1077" s="155"/>
      <c r="G1077" s="155"/>
      <c r="H1077" s="155"/>
      <c r="I1077" s="155"/>
      <c r="J1077" s="155"/>
      <c r="K1077" s="155"/>
      <c r="L1077" s="155"/>
      <c r="M1077" s="155"/>
      <c r="N1077" s="155"/>
      <c r="O1077" s="155"/>
      <c r="P1077" s="155"/>
      <c r="Q1077" s="155"/>
      <c r="R1077" s="156"/>
      <c r="S1077" s="180"/>
      <c r="T1077" s="838"/>
      <c r="U1077" s="838"/>
      <c r="V1077" s="838"/>
      <c r="W1077" s="838"/>
      <c r="X1077" s="838"/>
      <c r="Y1077" s="255">
        <f t="shared" si="598"/>
        <v>0</v>
      </c>
      <c r="Z1077" s="309">
        <f t="shared" si="599"/>
        <v>0</v>
      </c>
      <c r="AA1077" s="256">
        <f t="shared" si="596"/>
        <v>0</v>
      </c>
      <c r="AB1077" s="309"/>
      <c r="AC1077" s="309"/>
      <c r="AD1077" s="320">
        <f t="shared" si="597"/>
        <v>0</v>
      </c>
      <c r="AH1077" s="64">
        <f t="shared" si="601"/>
        <v>43400</v>
      </c>
      <c r="AI1077" s="698"/>
      <c r="AJ1077" s="699"/>
      <c r="AK1077" s="699"/>
      <c r="AL1077" s="699"/>
      <c r="AM1077" s="699"/>
      <c r="AN1077" s="699"/>
      <c r="AO1077" s="699"/>
      <c r="AP1077" s="699"/>
      <c r="AQ1077" s="699"/>
      <c r="AR1077" s="699"/>
      <c r="AS1077" s="699"/>
      <c r="AT1077" s="699"/>
      <c r="AU1077" s="699"/>
      <c r="AV1077" s="699"/>
      <c r="AW1077" s="699"/>
      <c r="AX1077" s="700"/>
      <c r="AY1077" s="700"/>
      <c r="AZ1077" s="701"/>
    </row>
    <row r="1078" spans="1:52" ht="30.75" thickBot="1">
      <c r="A1078" s="67">
        <f t="shared" si="600"/>
        <v>44893</v>
      </c>
      <c r="B1078" s="155"/>
      <c r="C1078" s="155"/>
      <c r="D1078" s="155"/>
      <c r="E1078" s="155"/>
      <c r="F1078" s="155"/>
      <c r="G1078" s="155"/>
      <c r="H1078" s="155"/>
      <c r="I1078" s="155"/>
      <c r="J1078" s="155"/>
      <c r="K1078" s="155"/>
      <c r="L1078" s="155"/>
      <c r="M1078" s="155"/>
      <c r="N1078" s="155"/>
      <c r="O1078" s="155"/>
      <c r="P1078" s="155"/>
      <c r="Q1078" s="155"/>
      <c r="R1078" s="156"/>
      <c r="S1078" s="180"/>
      <c r="T1078" s="838"/>
      <c r="U1078" s="838"/>
      <c r="V1078" s="838"/>
      <c r="W1078" s="838"/>
      <c r="X1078" s="838"/>
      <c r="Y1078" s="255">
        <f t="shared" si="598"/>
        <v>0</v>
      </c>
      <c r="Z1078" s="309">
        <f t="shared" si="599"/>
        <v>0</v>
      </c>
      <c r="AA1078" s="256">
        <f t="shared" si="596"/>
        <v>0</v>
      </c>
      <c r="AB1078" s="309"/>
      <c r="AC1078" s="309"/>
      <c r="AD1078" s="320">
        <f t="shared" si="597"/>
        <v>0</v>
      </c>
      <c r="AH1078" s="64">
        <f t="shared" si="601"/>
        <v>43401</v>
      </c>
      <c r="AI1078" s="698"/>
      <c r="AJ1078" s="699"/>
      <c r="AK1078" s="699"/>
      <c r="AL1078" s="699"/>
      <c r="AM1078" s="699"/>
      <c r="AN1078" s="699"/>
      <c r="AO1078" s="699"/>
      <c r="AP1078" s="699"/>
      <c r="AQ1078" s="699"/>
      <c r="AR1078" s="699"/>
      <c r="AS1078" s="699"/>
      <c r="AT1078" s="699"/>
      <c r="AU1078" s="699"/>
      <c r="AV1078" s="699"/>
      <c r="AW1078" s="699"/>
      <c r="AX1078" s="700"/>
      <c r="AY1078" s="700"/>
      <c r="AZ1078" s="701"/>
    </row>
    <row r="1079" spans="1:52" ht="30.75" thickBot="1">
      <c r="A1079" s="67">
        <f t="shared" si="600"/>
        <v>44894</v>
      </c>
      <c r="B1079" s="155"/>
      <c r="C1079" s="155"/>
      <c r="D1079" s="155"/>
      <c r="E1079" s="155"/>
      <c r="F1079" s="155"/>
      <c r="G1079" s="155"/>
      <c r="H1079" s="155"/>
      <c r="I1079" s="155"/>
      <c r="J1079" s="155"/>
      <c r="K1079" s="155"/>
      <c r="L1079" s="155"/>
      <c r="M1079" s="155"/>
      <c r="N1079" s="155"/>
      <c r="O1079" s="155"/>
      <c r="P1079" s="155"/>
      <c r="Q1079" s="155"/>
      <c r="R1079" s="156"/>
      <c r="S1079" s="180"/>
      <c r="T1079" s="838"/>
      <c r="U1079" s="838"/>
      <c r="V1079" s="838"/>
      <c r="W1079" s="838"/>
      <c r="X1079" s="838"/>
      <c r="Y1079" s="255">
        <f t="shared" si="598"/>
        <v>0</v>
      </c>
      <c r="Z1079" s="309">
        <f t="shared" si="599"/>
        <v>0</v>
      </c>
      <c r="AA1079" s="256">
        <f t="shared" si="596"/>
        <v>0</v>
      </c>
      <c r="AB1079" s="309"/>
      <c r="AC1079" s="309"/>
      <c r="AD1079" s="320">
        <f t="shared" si="597"/>
        <v>0</v>
      </c>
      <c r="AH1079" s="64">
        <f>AH1078+1</f>
        <v>43402</v>
      </c>
      <c r="AI1079" s="698"/>
      <c r="AJ1079" s="699"/>
      <c r="AK1079" s="699"/>
      <c r="AL1079" s="699"/>
      <c r="AM1079" s="699"/>
      <c r="AN1079" s="699"/>
      <c r="AO1079" s="699"/>
      <c r="AP1079" s="699"/>
      <c r="AQ1079" s="699"/>
      <c r="AR1079" s="699"/>
      <c r="AS1079" s="699"/>
      <c r="AT1079" s="699"/>
      <c r="AU1079" s="699"/>
      <c r="AV1079" s="699"/>
      <c r="AW1079" s="699"/>
      <c r="AX1079" s="700"/>
      <c r="AY1079" s="700"/>
      <c r="AZ1079" s="701"/>
    </row>
    <row r="1080" spans="1:52" ht="30.75" thickBot="1">
      <c r="A1080" s="67">
        <f t="shared" si="600"/>
        <v>44895</v>
      </c>
      <c r="B1080" s="155"/>
      <c r="C1080" s="155"/>
      <c r="D1080" s="155"/>
      <c r="E1080" s="155"/>
      <c r="F1080" s="155"/>
      <c r="G1080" s="155"/>
      <c r="H1080" s="155"/>
      <c r="I1080" s="155"/>
      <c r="J1080" s="155"/>
      <c r="K1080" s="155"/>
      <c r="L1080" s="155"/>
      <c r="M1080" s="155"/>
      <c r="N1080" s="155"/>
      <c r="O1080" s="155"/>
      <c r="P1080" s="155"/>
      <c r="Q1080" s="155"/>
      <c r="R1080" s="156"/>
      <c r="S1080" s="180"/>
      <c r="T1080" s="838"/>
      <c r="U1080" s="838"/>
      <c r="V1080" s="838"/>
      <c r="W1080" s="838"/>
      <c r="X1080" s="838"/>
      <c r="Y1080" s="255">
        <f t="shared" si="598"/>
        <v>0</v>
      </c>
      <c r="Z1080" s="309">
        <f t="shared" si="599"/>
        <v>0</v>
      </c>
      <c r="AA1080" s="256">
        <f t="shared" si="596"/>
        <v>0</v>
      </c>
      <c r="AB1080" s="309"/>
      <c r="AC1080" s="309"/>
      <c r="AD1080" s="320">
        <f t="shared" si="597"/>
        <v>0</v>
      </c>
      <c r="AH1080" s="64">
        <f t="shared" si="601"/>
        <v>43403</v>
      </c>
      <c r="AI1080" s="698"/>
      <c r="AJ1080" s="699"/>
      <c r="AK1080" s="699"/>
      <c r="AL1080" s="699"/>
      <c r="AM1080" s="699"/>
      <c r="AN1080" s="699"/>
      <c r="AO1080" s="699"/>
      <c r="AP1080" s="699"/>
      <c r="AQ1080" s="699"/>
      <c r="AR1080" s="699"/>
      <c r="AS1080" s="699"/>
      <c r="AT1080" s="699"/>
      <c r="AU1080" s="699"/>
      <c r="AV1080" s="699"/>
      <c r="AW1080" s="699"/>
      <c r="AX1080" s="700"/>
      <c r="AY1080" s="700"/>
      <c r="AZ1080" s="701"/>
    </row>
    <row r="1081" spans="1:52" ht="30.75" thickBot="1">
      <c r="A1081" s="102">
        <f t="shared" si="600"/>
        <v>44896</v>
      </c>
      <c r="B1081" s="165"/>
      <c r="C1081" s="162"/>
      <c r="D1081" s="162"/>
      <c r="E1081" s="162"/>
      <c r="F1081" s="162"/>
      <c r="G1081" s="162"/>
      <c r="H1081" s="162"/>
      <c r="I1081" s="162"/>
      <c r="J1081" s="162"/>
      <c r="K1081" s="162"/>
      <c r="L1081" s="165"/>
      <c r="M1081" s="162"/>
      <c r="N1081" s="162"/>
      <c r="O1081" s="162"/>
      <c r="P1081" s="162"/>
      <c r="Q1081" s="162"/>
      <c r="R1081" s="164"/>
      <c r="S1081" s="181"/>
      <c r="T1081" s="839"/>
      <c r="U1081" s="839"/>
      <c r="V1081" s="839"/>
      <c r="W1081" s="839"/>
      <c r="X1081" s="839"/>
      <c r="Y1081" s="255">
        <f t="shared" si="598"/>
        <v>0</v>
      </c>
      <c r="Z1081" s="309">
        <f t="shared" si="599"/>
        <v>0</v>
      </c>
      <c r="AA1081" s="256">
        <f t="shared" si="596"/>
        <v>0</v>
      </c>
      <c r="AB1081" s="309"/>
      <c r="AC1081" s="309"/>
      <c r="AD1081" s="320">
        <f t="shared" si="597"/>
        <v>0</v>
      </c>
      <c r="AH1081" s="65">
        <f t="shared" si="601"/>
        <v>43404</v>
      </c>
      <c r="AI1081" s="702"/>
      <c r="AJ1081" s="703"/>
      <c r="AK1081" s="703"/>
      <c r="AL1081" s="703"/>
      <c r="AM1081" s="703"/>
      <c r="AN1081" s="703"/>
      <c r="AO1081" s="703"/>
      <c r="AP1081" s="703"/>
      <c r="AQ1081" s="703"/>
      <c r="AR1081" s="703"/>
      <c r="AS1081" s="703"/>
      <c r="AT1081" s="703"/>
      <c r="AU1081" s="703"/>
      <c r="AV1081" s="703"/>
      <c r="AW1081" s="703"/>
      <c r="AX1081" s="704"/>
      <c r="AY1081" s="704"/>
      <c r="AZ1081" s="705"/>
    </row>
    <row r="1082" spans="1:52" ht="50.1" customHeight="1" thickTop="1" thickBot="1">
      <c r="A1082" s="96" t="s">
        <v>74</v>
      </c>
      <c r="B1082" s="104">
        <f>SUM(B1051:B1081)</f>
        <v>0</v>
      </c>
      <c r="C1082" s="104">
        <f t="shared" ref="C1082:S1082" si="602">SUM(C1051:C1081)</f>
        <v>0</v>
      </c>
      <c r="D1082" s="104">
        <f t="shared" si="602"/>
        <v>0</v>
      </c>
      <c r="E1082" s="104"/>
      <c r="F1082" s="104">
        <f t="shared" si="602"/>
        <v>0</v>
      </c>
      <c r="G1082" s="104">
        <f t="shared" si="602"/>
        <v>0</v>
      </c>
      <c r="H1082" s="104">
        <f t="shared" si="602"/>
        <v>0</v>
      </c>
      <c r="I1082" s="104">
        <f t="shared" si="602"/>
        <v>0</v>
      </c>
      <c r="J1082" s="104">
        <f t="shared" si="602"/>
        <v>0</v>
      </c>
      <c r="K1082" s="104">
        <f t="shared" si="602"/>
        <v>0</v>
      </c>
      <c r="L1082" s="104">
        <f t="shared" si="602"/>
        <v>0</v>
      </c>
      <c r="M1082" s="104">
        <f t="shared" si="602"/>
        <v>0</v>
      </c>
      <c r="N1082" s="104">
        <f t="shared" si="602"/>
        <v>0</v>
      </c>
      <c r="O1082" s="104">
        <f t="shared" si="602"/>
        <v>0</v>
      </c>
      <c r="P1082" s="104"/>
      <c r="Q1082" s="104">
        <f t="shared" si="602"/>
        <v>0</v>
      </c>
      <c r="R1082" s="104">
        <f t="shared" si="602"/>
        <v>0</v>
      </c>
      <c r="S1082" s="104">
        <f t="shared" si="602"/>
        <v>0</v>
      </c>
      <c r="T1082" s="104"/>
      <c r="U1082" s="104"/>
      <c r="V1082" s="104"/>
      <c r="W1082" s="104"/>
      <c r="X1082" s="104"/>
      <c r="Y1082" s="292">
        <f>SUM(Y1051:Y1081)</f>
        <v>0</v>
      </c>
      <c r="Z1082" s="259"/>
      <c r="AA1082" s="259"/>
      <c r="AB1082" s="316">
        <f>SUM(AB1051:AB1081)</f>
        <v>0</v>
      </c>
      <c r="AC1082" s="316"/>
      <c r="AD1082" s="260"/>
      <c r="AH1082" s="706" t="s">
        <v>101</v>
      </c>
      <c r="AI1082" s="707">
        <f>SUM(AI1051:AI1081)</f>
        <v>0</v>
      </c>
      <c r="AJ1082" s="707">
        <f>SUM(AJ1051:AJ1081)</f>
        <v>0</v>
      </c>
      <c r="AK1082" s="707">
        <f t="shared" ref="AK1082:AZ1082" si="603">SUM(AK1051:AK1081)</f>
        <v>0</v>
      </c>
      <c r="AL1082" s="707">
        <f t="shared" si="603"/>
        <v>0</v>
      </c>
      <c r="AM1082" s="707">
        <f t="shared" si="603"/>
        <v>0</v>
      </c>
      <c r="AN1082" s="707">
        <f t="shared" si="603"/>
        <v>0</v>
      </c>
      <c r="AO1082" s="707">
        <f t="shared" si="603"/>
        <v>0</v>
      </c>
      <c r="AP1082" s="707">
        <f t="shared" si="603"/>
        <v>0</v>
      </c>
      <c r="AQ1082" s="707">
        <f t="shared" si="603"/>
        <v>0</v>
      </c>
      <c r="AR1082" s="707">
        <f t="shared" si="603"/>
        <v>0</v>
      </c>
      <c r="AS1082" s="707">
        <f t="shared" si="603"/>
        <v>0</v>
      </c>
      <c r="AT1082" s="707">
        <f t="shared" si="603"/>
        <v>0</v>
      </c>
      <c r="AU1082" s="707">
        <f t="shared" si="603"/>
        <v>0</v>
      </c>
      <c r="AV1082" s="707">
        <f t="shared" si="603"/>
        <v>0</v>
      </c>
      <c r="AW1082" s="707">
        <f t="shared" si="603"/>
        <v>0</v>
      </c>
      <c r="AX1082" s="707">
        <f t="shared" si="603"/>
        <v>0</v>
      </c>
      <c r="AY1082" s="707">
        <f t="shared" si="603"/>
        <v>0</v>
      </c>
      <c r="AZ1082" s="707">
        <f t="shared" si="603"/>
        <v>0</v>
      </c>
    </row>
    <row r="1083" spans="1:52" ht="50.1" customHeight="1" thickTop="1" thickBot="1">
      <c r="A1083" s="9"/>
      <c r="B1083" s="712"/>
      <c r="C1083" s="712"/>
      <c r="D1083" s="712"/>
      <c r="E1083" s="712"/>
      <c r="F1083" s="712"/>
      <c r="G1083" s="712"/>
      <c r="H1083" s="712"/>
      <c r="I1083" s="712"/>
      <c r="J1083" s="712"/>
      <c r="K1083" s="712"/>
      <c r="L1083" s="712"/>
      <c r="M1083" s="712"/>
      <c r="N1083" s="712"/>
      <c r="O1083" s="712"/>
      <c r="P1083" s="712"/>
      <c r="Q1083" s="712"/>
      <c r="R1083" s="712"/>
      <c r="S1083" s="712"/>
      <c r="T1083" s="712"/>
      <c r="U1083" s="712"/>
      <c r="V1083" s="712"/>
      <c r="W1083" s="712"/>
      <c r="X1083" s="712"/>
      <c r="Y1083" s="302"/>
      <c r="Z1083" s="709"/>
      <c r="AA1083" s="709"/>
      <c r="AB1083" s="710"/>
      <c r="AC1083" s="710"/>
      <c r="AD1083" s="711"/>
      <c r="AH1083" s="706" t="s">
        <v>45</v>
      </c>
      <c r="AI1083" s="707">
        <v>220</v>
      </c>
      <c r="AJ1083" s="707">
        <v>220</v>
      </c>
      <c r="AK1083" s="707">
        <v>220</v>
      </c>
      <c r="AL1083" s="707">
        <v>100</v>
      </c>
      <c r="AM1083" s="707">
        <v>100</v>
      </c>
      <c r="AN1083" s="707">
        <v>80</v>
      </c>
      <c r="AO1083" s="707">
        <v>25</v>
      </c>
      <c r="AP1083" s="707">
        <v>25</v>
      </c>
      <c r="AQ1083" s="707">
        <v>25</v>
      </c>
      <c r="AR1083" s="707">
        <v>400</v>
      </c>
      <c r="AS1083" s="707">
        <v>400</v>
      </c>
      <c r="AT1083" s="707">
        <v>400</v>
      </c>
      <c r="AU1083" s="707">
        <v>0</v>
      </c>
      <c r="AV1083" s="707">
        <v>0</v>
      </c>
      <c r="AW1083" s="707">
        <v>200</v>
      </c>
      <c r="AX1083" s="707">
        <v>200</v>
      </c>
      <c r="AY1083" s="707">
        <v>0</v>
      </c>
      <c r="AZ1083" s="707">
        <v>0</v>
      </c>
    </row>
    <row r="1084" spans="1:52" ht="27.75" thickTop="1" thickBot="1">
      <c r="AH1084" s="706" t="s">
        <v>46</v>
      </c>
      <c r="AI1084" s="707">
        <f>AI1082*AI1083</f>
        <v>0</v>
      </c>
      <c r="AJ1084" s="707">
        <f t="shared" ref="AJ1084" si="604">AJ1082*AJ1083</f>
        <v>0</v>
      </c>
      <c r="AK1084" s="707">
        <f t="shared" ref="AK1084" si="605">AK1082*AK1083</f>
        <v>0</v>
      </c>
      <c r="AL1084" s="707">
        <f t="shared" ref="AL1084" si="606">AL1082*AL1083</f>
        <v>0</v>
      </c>
      <c r="AM1084" s="707">
        <f t="shared" ref="AM1084" si="607">AM1082*AM1083</f>
        <v>0</v>
      </c>
      <c r="AN1084" s="707">
        <f t="shared" ref="AN1084" si="608">AN1082*AN1083</f>
        <v>0</v>
      </c>
      <c r="AO1084" s="707">
        <f t="shared" ref="AO1084" si="609">AO1082*AO1083</f>
        <v>0</v>
      </c>
      <c r="AP1084" s="707">
        <f t="shared" ref="AP1084" si="610">AP1082*AP1083</f>
        <v>0</v>
      </c>
      <c r="AQ1084" s="707">
        <f t="shared" ref="AQ1084" si="611">AQ1082*AQ1083</f>
        <v>0</v>
      </c>
      <c r="AR1084" s="707">
        <f t="shared" ref="AR1084" si="612">AR1082*AR1083</f>
        <v>0</v>
      </c>
      <c r="AS1084" s="707">
        <f t="shared" ref="AS1084" si="613">AS1082*AS1083</f>
        <v>0</v>
      </c>
      <c r="AT1084" s="707">
        <f t="shared" ref="AT1084" si="614">AT1082*AT1083</f>
        <v>0</v>
      </c>
      <c r="AU1084" s="707">
        <f t="shared" ref="AU1084" si="615">AU1082*AU1083</f>
        <v>0</v>
      </c>
      <c r="AV1084" s="707">
        <f t="shared" ref="AV1084" si="616">AV1082*AV1083</f>
        <v>0</v>
      </c>
      <c r="AW1084" s="707">
        <f t="shared" ref="AW1084" si="617">AW1082*AW1083</f>
        <v>0</v>
      </c>
      <c r="AX1084" s="707">
        <f t="shared" ref="AX1084" si="618">AX1082*AX1083</f>
        <v>0</v>
      </c>
      <c r="AY1084" s="707">
        <f t="shared" ref="AY1084" si="619">AY1082*AY1083</f>
        <v>0</v>
      </c>
      <c r="AZ1084" s="707">
        <f t="shared" ref="AZ1084" si="620">AZ1082*AZ1083</f>
        <v>0</v>
      </c>
    </row>
    <row r="1085" spans="1:52" ht="24.75" thickTop="1" thickBot="1"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714">
        <f>SUM(AI1084:AZ1084)</f>
        <v>0</v>
      </c>
    </row>
    <row r="1086" spans="1:52" ht="43.5" thickBot="1">
      <c r="A1086" s="109">
        <f>A5</f>
        <v>2022</v>
      </c>
      <c r="B1086" s="1447"/>
      <c r="C1086" s="1448"/>
      <c r="D1086" s="1448"/>
      <c r="E1086" s="1448"/>
      <c r="F1086" s="1448"/>
      <c r="G1086" s="1448"/>
      <c r="H1086" s="1448"/>
      <c r="I1086" s="1448"/>
      <c r="J1086" s="1448"/>
      <c r="K1086" s="1448"/>
      <c r="L1086" s="1448"/>
      <c r="M1086" s="1448"/>
      <c r="N1086" s="1448"/>
      <c r="O1086" s="1448"/>
      <c r="P1086" s="1448"/>
      <c r="Q1086" s="1448"/>
      <c r="R1086" s="1448"/>
      <c r="S1086" s="1448"/>
      <c r="T1086" s="1448"/>
      <c r="U1086" s="1448"/>
      <c r="V1086" s="1448"/>
      <c r="W1086" s="1448"/>
      <c r="X1086" s="1448"/>
      <c r="Y1086" s="1449"/>
      <c r="Z1086" s="21"/>
      <c r="AA1086" s="21"/>
      <c r="AB1086" s="21" t="s">
        <v>1</v>
      </c>
      <c r="AC1086" s="2"/>
      <c r="AD1086" t="s">
        <v>1</v>
      </c>
      <c r="AH1086" s="109">
        <v>2018</v>
      </c>
      <c r="AI1086" s="1424">
        <f>B1086</f>
        <v>0</v>
      </c>
      <c r="AJ1086" s="1425"/>
      <c r="AK1086" s="1425"/>
      <c r="AL1086" s="1425"/>
      <c r="AM1086" s="1425"/>
      <c r="AN1086" s="1425"/>
      <c r="AO1086" s="1425"/>
      <c r="AP1086" s="1425"/>
      <c r="AQ1086" s="1425"/>
      <c r="AR1086" s="1425"/>
      <c r="AS1086" s="1425"/>
      <c r="AT1086" s="1425"/>
      <c r="AU1086" s="1425"/>
      <c r="AV1086" s="1425"/>
      <c r="AW1086" s="1425"/>
      <c r="AX1086" s="1425"/>
      <c r="AY1086" s="1425"/>
      <c r="AZ1086" s="1425"/>
    </row>
    <row r="1087" spans="1:52" ht="60" customHeight="1" thickTop="1" thickBot="1">
      <c r="A1087" s="1468" t="s">
        <v>94</v>
      </c>
      <c r="B1087" s="1402" t="s">
        <v>95</v>
      </c>
      <c r="C1087" s="1403"/>
      <c r="D1087" s="1403"/>
      <c r="E1087" s="1404"/>
      <c r="F1087" s="1402" t="s">
        <v>7</v>
      </c>
      <c r="G1087" s="1403"/>
      <c r="H1087" s="1404"/>
      <c r="I1087" s="1402" t="s">
        <v>8</v>
      </c>
      <c r="J1087" s="1404"/>
      <c r="K1087" s="1402" t="s">
        <v>9</v>
      </c>
      <c r="L1087" s="1403"/>
      <c r="M1087" s="1403"/>
      <c r="N1087" s="1403"/>
      <c r="O1087" s="1403"/>
      <c r="P1087" s="1403"/>
      <c r="Q1087" s="1403"/>
      <c r="R1087" s="1405" t="s">
        <v>10</v>
      </c>
      <c r="S1087" s="1406"/>
      <c r="T1087" s="1400" t="s">
        <v>289</v>
      </c>
      <c r="U1087" s="1401"/>
      <c r="V1087" s="842" t="s">
        <v>258</v>
      </c>
      <c r="W1087" s="842"/>
      <c r="X1087" s="842"/>
      <c r="Y1087" s="211"/>
      <c r="Z1087" s="21"/>
      <c r="AA1087" s="21"/>
      <c r="AB1087" s="21"/>
      <c r="AC1087" s="21"/>
      <c r="AH1087" s="1422" t="s">
        <v>94</v>
      </c>
      <c r="AI1087" s="1402" t="s">
        <v>95</v>
      </c>
      <c r="AJ1087" s="1403"/>
      <c r="AK1087" s="1404"/>
      <c r="AL1087" s="1402" t="s">
        <v>7</v>
      </c>
      <c r="AM1087" s="1403"/>
      <c r="AN1087" s="1404"/>
      <c r="AO1087" s="1402" t="s">
        <v>8</v>
      </c>
      <c r="AP1087" s="1403"/>
      <c r="AQ1087" s="1404"/>
      <c r="AR1087" s="1402" t="s">
        <v>9</v>
      </c>
      <c r="AS1087" s="1403"/>
      <c r="AT1087" s="1404"/>
      <c r="AU1087" s="1403" t="s">
        <v>9</v>
      </c>
      <c r="AV1087" s="1404"/>
      <c r="AW1087" s="1429" t="s">
        <v>10</v>
      </c>
      <c r="AX1087" s="1430"/>
      <c r="AY1087" s="690"/>
      <c r="AZ1087" s="404" t="s">
        <v>11</v>
      </c>
    </row>
    <row r="1088" spans="1:52" ht="42" thickTop="1" thickBot="1">
      <c r="A1088" s="1428"/>
      <c r="B1088" s="482" t="s">
        <v>12</v>
      </c>
      <c r="C1088" s="482" t="s">
        <v>13</v>
      </c>
      <c r="D1088" s="482" t="s">
        <v>14</v>
      </c>
      <c r="E1088" s="688" t="s">
        <v>198</v>
      </c>
      <c r="F1088" s="482" t="s">
        <v>12</v>
      </c>
      <c r="G1088" s="482" t="s">
        <v>13</v>
      </c>
      <c r="H1088" s="482" t="s">
        <v>282</v>
      </c>
      <c r="I1088" s="482" t="s">
        <v>12</v>
      </c>
      <c r="J1088" s="482" t="s">
        <v>16</v>
      </c>
      <c r="K1088" s="482" t="s">
        <v>17</v>
      </c>
      <c r="L1088" s="482" t="s">
        <v>18</v>
      </c>
      <c r="M1088" s="482" t="s">
        <v>19</v>
      </c>
      <c r="N1088" s="484" t="s">
        <v>96</v>
      </c>
      <c r="O1088" s="484" t="s">
        <v>257</v>
      </c>
      <c r="P1088" s="484" t="s">
        <v>254</v>
      </c>
      <c r="Q1088" s="484" t="s">
        <v>20</v>
      </c>
      <c r="R1088" s="483" t="s">
        <v>14</v>
      </c>
      <c r="S1088" s="482" t="s">
        <v>13</v>
      </c>
      <c r="T1088" s="846" t="s">
        <v>284</v>
      </c>
      <c r="U1088" s="846" t="s">
        <v>288</v>
      </c>
      <c r="V1088" s="484" t="s">
        <v>259</v>
      </c>
      <c r="W1088" s="484"/>
      <c r="X1088" s="484"/>
      <c r="Y1088" s="209" t="s">
        <v>90</v>
      </c>
      <c r="Z1088" s="210" t="s">
        <v>97</v>
      </c>
      <c r="AA1088" s="210" t="s">
        <v>74</v>
      </c>
      <c r="AB1088" s="210" t="s">
        <v>98</v>
      </c>
      <c r="AC1088" s="210" t="s">
        <v>99</v>
      </c>
      <c r="AD1088" s="210" t="s">
        <v>100</v>
      </c>
      <c r="AH1088" s="1428"/>
      <c r="AI1088" s="482" t="s">
        <v>12</v>
      </c>
      <c r="AJ1088" s="482" t="s">
        <v>13</v>
      </c>
      <c r="AK1088" s="482" t="s">
        <v>14</v>
      </c>
      <c r="AL1088" s="482" t="s">
        <v>12</v>
      </c>
      <c r="AM1088" s="482" t="s">
        <v>13</v>
      </c>
      <c r="AN1088" s="482" t="s">
        <v>15</v>
      </c>
      <c r="AO1088" s="482" t="s">
        <v>12</v>
      </c>
      <c r="AP1088" s="482" t="s">
        <v>205</v>
      </c>
      <c r="AQ1088" s="482" t="s">
        <v>16</v>
      </c>
      <c r="AR1088" s="482" t="s">
        <v>17</v>
      </c>
      <c r="AS1088" s="482" t="s">
        <v>18</v>
      </c>
      <c r="AT1088" s="482" t="s">
        <v>19</v>
      </c>
      <c r="AU1088" s="482" t="s">
        <v>201</v>
      </c>
      <c r="AV1088" s="482" t="s">
        <v>20</v>
      </c>
      <c r="AW1088" s="482" t="s">
        <v>12</v>
      </c>
      <c r="AX1088" s="483" t="s">
        <v>13</v>
      </c>
      <c r="AY1088" s="688" t="s">
        <v>198</v>
      </c>
      <c r="AZ1088" s="484" t="s">
        <v>96</v>
      </c>
    </row>
    <row r="1089" spans="1:52" ht="30.75" thickBot="1">
      <c r="A1089" s="67">
        <f>A1051</f>
        <v>44866</v>
      </c>
      <c r="B1089" s="153"/>
      <c r="C1089" s="153"/>
      <c r="D1089" s="153"/>
      <c r="E1089" s="153"/>
      <c r="F1089" s="153"/>
      <c r="G1089" s="153"/>
      <c r="H1089" s="153"/>
      <c r="I1089" s="153"/>
      <c r="J1089" s="153"/>
      <c r="K1089" s="153"/>
      <c r="L1089" s="153"/>
      <c r="M1089" s="153"/>
      <c r="N1089" s="153"/>
      <c r="O1089" s="153"/>
      <c r="P1089" s="153"/>
      <c r="Q1089" s="153"/>
      <c r="R1089" s="154"/>
      <c r="S1089" s="179"/>
      <c r="T1089" s="837"/>
      <c r="U1089" s="837"/>
      <c r="V1089" s="837"/>
      <c r="W1089" s="837"/>
      <c r="X1089" s="837"/>
      <c r="Y1089" s="255">
        <f t="shared" ref="Y1089:Y1119" si="621">B1089*280+C1089*280+D1089*280+E1089*280+F1089*130+G1089*130+H1089*90+I1089*40+J1089*35+K1089*390+L1089*400+M1089*400+N1089*390+O1089*387.5+P1089*80+Q1089*200+R1089*300+S1089*41+T1089*30+U1089*60</f>
        <v>0</v>
      </c>
      <c r="Z1089" s="308"/>
      <c r="AA1089" s="263">
        <f t="shared" ref="AA1089:AA1119" si="622">Y1089+Z1089</f>
        <v>0</v>
      </c>
      <c r="AB1089" s="308"/>
      <c r="AC1089" s="308"/>
      <c r="AD1089" s="319">
        <f t="shared" ref="AD1089:AD1119" si="623">AA1089-AB1089-AC1089</f>
        <v>0</v>
      </c>
      <c r="AH1089" s="63">
        <f>AH1051</f>
        <v>43374</v>
      </c>
      <c r="AI1089" s="694"/>
      <c r="AJ1089" s="695"/>
      <c r="AK1089" s="695"/>
      <c r="AL1089" s="695"/>
      <c r="AM1089" s="695"/>
      <c r="AN1089" s="695"/>
      <c r="AO1089" s="695"/>
      <c r="AP1089" s="695"/>
      <c r="AQ1089" s="695"/>
      <c r="AR1089" s="695"/>
      <c r="AS1089" s="695"/>
      <c r="AT1089" s="695"/>
      <c r="AU1089" s="695"/>
      <c r="AV1089" s="695"/>
      <c r="AW1089" s="695"/>
      <c r="AX1089" s="696"/>
      <c r="AY1089" s="696"/>
      <c r="AZ1089" s="697"/>
    </row>
    <row r="1090" spans="1:52" ht="30.75" thickBot="1">
      <c r="A1090" s="67">
        <f>A1089+1</f>
        <v>44867</v>
      </c>
      <c r="B1090" s="155"/>
      <c r="C1090" s="155"/>
      <c r="D1090" s="155"/>
      <c r="E1090" s="155"/>
      <c r="F1090" s="155"/>
      <c r="G1090" s="155"/>
      <c r="H1090" s="155"/>
      <c r="I1090" s="155"/>
      <c r="J1090" s="155"/>
      <c r="K1090" s="155"/>
      <c r="L1090" s="155"/>
      <c r="M1090" s="155"/>
      <c r="N1090" s="155"/>
      <c r="O1090" s="155"/>
      <c r="P1090" s="155"/>
      <c r="Q1090" s="155"/>
      <c r="R1090" s="156"/>
      <c r="S1090" s="180"/>
      <c r="T1090" s="838"/>
      <c r="U1090" s="838"/>
      <c r="V1090" s="838"/>
      <c r="W1090" s="838"/>
      <c r="X1090" s="838"/>
      <c r="Y1090" s="255">
        <f t="shared" si="621"/>
        <v>0</v>
      </c>
      <c r="Z1090" s="309">
        <f t="shared" ref="Z1090:Z1119" si="624">AD1089</f>
        <v>0</v>
      </c>
      <c r="AA1090" s="256">
        <f t="shared" si="622"/>
        <v>0</v>
      </c>
      <c r="AB1090" s="309"/>
      <c r="AC1090" s="309"/>
      <c r="AD1090" s="320">
        <f t="shared" si="623"/>
        <v>0</v>
      </c>
      <c r="AH1090" s="64">
        <f>AH1089+1</f>
        <v>43375</v>
      </c>
      <c r="AI1090" s="698"/>
      <c r="AJ1090" s="699"/>
      <c r="AK1090" s="699"/>
      <c r="AL1090" s="699"/>
      <c r="AM1090" s="699"/>
      <c r="AN1090" s="699"/>
      <c r="AO1090" s="699"/>
      <c r="AP1090" s="699"/>
      <c r="AQ1090" s="699"/>
      <c r="AR1090" s="699"/>
      <c r="AS1090" s="699"/>
      <c r="AT1090" s="699"/>
      <c r="AU1090" s="699"/>
      <c r="AV1090" s="699"/>
      <c r="AW1090" s="699"/>
      <c r="AX1090" s="700"/>
      <c r="AY1090" s="700"/>
      <c r="AZ1090" s="701"/>
    </row>
    <row r="1091" spans="1:52" ht="30.75" thickBot="1">
      <c r="A1091" s="67">
        <f t="shared" ref="A1091:A1119" si="625">A1090+1</f>
        <v>44868</v>
      </c>
      <c r="B1091" s="155"/>
      <c r="C1091" s="155"/>
      <c r="D1091" s="155"/>
      <c r="E1091" s="155"/>
      <c r="F1091" s="155"/>
      <c r="G1091" s="155"/>
      <c r="H1091" s="155"/>
      <c r="I1091" s="155"/>
      <c r="J1091" s="155"/>
      <c r="K1091" s="155"/>
      <c r="L1091" s="155"/>
      <c r="M1091" s="155"/>
      <c r="N1091" s="155"/>
      <c r="O1091" s="155"/>
      <c r="P1091" s="155"/>
      <c r="Q1091" s="155"/>
      <c r="R1091" s="156"/>
      <c r="S1091" s="180"/>
      <c r="T1091" s="838"/>
      <c r="U1091" s="838"/>
      <c r="V1091" s="838"/>
      <c r="W1091" s="838"/>
      <c r="X1091" s="838"/>
      <c r="Y1091" s="255">
        <f t="shared" si="621"/>
        <v>0</v>
      </c>
      <c r="Z1091" s="309">
        <f t="shared" si="624"/>
        <v>0</v>
      </c>
      <c r="AA1091" s="256">
        <f t="shared" si="622"/>
        <v>0</v>
      </c>
      <c r="AB1091" s="309"/>
      <c r="AC1091" s="309"/>
      <c r="AD1091" s="320">
        <f t="shared" si="623"/>
        <v>0</v>
      </c>
      <c r="AH1091" s="64">
        <f t="shared" ref="AH1091:AH1119" si="626">AH1090+1</f>
        <v>43376</v>
      </c>
      <c r="AI1091" s="698"/>
      <c r="AJ1091" s="699"/>
      <c r="AK1091" s="699"/>
      <c r="AL1091" s="699"/>
      <c r="AM1091" s="699"/>
      <c r="AN1091" s="699"/>
      <c r="AO1091" s="699"/>
      <c r="AP1091" s="699"/>
      <c r="AQ1091" s="699"/>
      <c r="AR1091" s="699"/>
      <c r="AS1091" s="699"/>
      <c r="AT1091" s="699"/>
      <c r="AU1091" s="699"/>
      <c r="AV1091" s="699"/>
      <c r="AW1091" s="699"/>
      <c r="AX1091" s="700"/>
      <c r="AY1091" s="700"/>
      <c r="AZ1091" s="701"/>
    </row>
    <row r="1092" spans="1:52" ht="30.75" thickBot="1">
      <c r="A1092" s="67">
        <f t="shared" si="625"/>
        <v>44869</v>
      </c>
      <c r="B1092" s="155"/>
      <c r="C1092" s="155"/>
      <c r="D1092" s="155"/>
      <c r="E1092" s="155"/>
      <c r="F1092" s="155"/>
      <c r="G1092" s="155"/>
      <c r="H1092" s="155"/>
      <c r="I1092" s="155"/>
      <c r="J1092" s="155"/>
      <c r="K1092" s="155"/>
      <c r="L1092" s="155"/>
      <c r="M1092" s="155"/>
      <c r="N1092" s="155"/>
      <c r="O1092" s="155"/>
      <c r="P1092" s="155"/>
      <c r="Q1092" s="155"/>
      <c r="R1092" s="156"/>
      <c r="S1092" s="180"/>
      <c r="T1092" s="838"/>
      <c r="U1092" s="838"/>
      <c r="V1092" s="838"/>
      <c r="W1092" s="838"/>
      <c r="X1092" s="838"/>
      <c r="Y1092" s="255">
        <f t="shared" si="621"/>
        <v>0</v>
      </c>
      <c r="Z1092" s="309">
        <f t="shared" si="624"/>
        <v>0</v>
      </c>
      <c r="AA1092" s="256">
        <f t="shared" si="622"/>
        <v>0</v>
      </c>
      <c r="AB1092" s="309"/>
      <c r="AC1092" s="309"/>
      <c r="AD1092" s="320">
        <f t="shared" si="623"/>
        <v>0</v>
      </c>
      <c r="AH1092" s="64">
        <f t="shared" si="626"/>
        <v>43377</v>
      </c>
      <c r="AI1092" s="698"/>
      <c r="AJ1092" s="699"/>
      <c r="AK1092" s="699"/>
      <c r="AL1092" s="699"/>
      <c r="AM1092" s="699"/>
      <c r="AN1092" s="699"/>
      <c r="AO1092" s="699"/>
      <c r="AP1092" s="699"/>
      <c r="AQ1092" s="699"/>
      <c r="AR1092" s="699"/>
      <c r="AS1092" s="699"/>
      <c r="AT1092" s="699"/>
      <c r="AU1092" s="699"/>
      <c r="AV1092" s="699"/>
      <c r="AW1092" s="699"/>
      <c r="AX1092" s="700"/>
      <c r="AY1092" s="700"/>
      <c r="AZ1092" s="701"/>
    </row>
    <row r="1093" spans="1:52" ht="30.75" thickBot="1">
      <c r="A1093" s="67">
        <f t="shared" si="625"/>
        <v>44870</v>
      </c>
      <c r="B1093" s="155"/>
      <c r="C1093" s="155"/>
      <c r="D1093" s="155"/>
      <c r="E1093" s="155"/>
      <c r="F1093" s="155"/>
      <c r="G1093" s="155"/>
      <c r="H1093" s="155"/>
      <c r="I1093" s="155"/>
      <c r="J1093" s="155"/>
      <c r="K1093" s="155"/>
      <c r="L1093" s="155"/>
      <c r="M1093" s="155"/>
      <c r="N1093" s="155"/>
      <c r="O1093" s="155"/>
      <c r="P1093" s="155"/>
      <c r="Q1093" s="155"/>
      <c r="R1093" s="156"/>
      <c r="S1093" s="180"/>
      <c r="T1093" s="838"/>
      <c r="U1093" s="838"/>
      <c r="V1093" s="838"/>
      <c r="W1093" s="838"/>
      <c r="X1093" s="838"/>
      <c r="Y1093" s="255">
        <f t="shared" si="621"/>
        <v>0</v>
      </c>
      <c r="Z1093" s="309">
        <f t="shared" si="624"/>
        <v>0</v>
      </c>
      <c r="AA1093" s="256">
        <f t="shared" si="622"/>
        <v>0</v>
      </c>
      <c r="AB1093" s="309"/>
      <c r="AC1093" s="309"/>
      <c r="AD1093" s="320">
        <f t="shared" si="623"/>
        <v>0</v>
      </c>
      <c r="AH1093" s="64">
        <f t="shared" si="626"/>
        <v>43378</v>
      </c>
      <c r="AI1093" s="698"/>
      <c r="AJ1093" s="699"/>
      <c r="AK1093" s="699"/>
      <c r="AL1093" s="699"/>
      <c r="AM1093" s="699"/>
      <c r="AN1093" s="699"/>
      <c r="AO1093" s="699"/>
      <c r="AP1093" s="699"/>
      <c r="AQ1093" s="699"/>
      <c r="AR1093" s="699"/>
      <c r="AS1093" s="699"/>
      <c r="AT1093" s="699"/>
      <c r="AU1093" s="699"/>
      <c r="AV1093" s="699"/>
      <c r="AW1093" s="699"/>
      <c r="AX1093" s="700"/>
      <c r="AY1093" s="700"/>
      <c r="AZ1093" s="701"/>
    </row>
    <row r="1094" spans="1:52" ht="30.75" thickBot="1">
      <c r="A1094" s="67">
        <f t="shared" si="625"/>
        <v>44871</v>
      </c>
      <c r="B1094" s="155"/>
      <c r="C1094" s="155"/>
      <c r="D1094" s="155"/>
      <c r="E1094" s="155"/>
      <c r="F1094" s="155"/>
      <c r="G1094" s="155"/>
      <c r="H1094" s="155"/>
      <c r="I1094" s="155"/>
      <c r="J1094" s="155"/>
      <c r="K1094" s="155"/>
      <c r="L1094" s="155"/>
      <c r="M1094" s="155"/>
      <c r="N1094" s="155"/>
      <c r="O1094" s="155"/>
      <c r="P1094" s="155"/>
      <c r="Q1094" s="155"/>
      <c r="R1094" s="156"/>
      <c r="S1094" s="180"/>
      <c r="T1094" s="838"/>
      <c r="U1094" s="838"/>
      <c r="V1094" s="838"/>
      <c r="W1094" s="838"/>
      <c r="X1094" s="838"/>
      <c r="Y1094" s="255">
        <f t="shared" si="621"/>
        <v>0</v>
      </c>
      <c r="Z1094" s="309">
        <f t="shared" si="624"/>
        <v>0</v>
      </c>
      <c r="AA1094" s="256">
        <f t="shared" si="622"/>
        <v>0</v>
      </c>
      <c r="AB1094" s="309"/>
      <c r="AC1094" s="309"/>
      <c r="AD1094" s="320">
        <f t="shared" si="623"/>
        <v>0</v>
      </c>
      <c r="AH1094" s="64">
        <f t="shared" si="626"/>
        <v>43379</v>
      </c>
      <c r="AI1094" s="698"/>
      <c r="AJ1094" s="699"/>
      <c r="AK1094" s="699"/>
      <c r="AL1094" s="699"/>
      <c r="AM1094" s="699"/>
      <c r="AN1094" s="699"/>
      <c r="AO1094" s="699"/>
      <c r="AP1094" s="699"/>
      <c r="AQ1094" s="699"/>
      <c r="AR1094" s="699"/>
      <c r="AS1094" s="699"/>
      <c r="AT1094" s="699"/>
      <c r="AU1094" s="699"/>
      <c r="AV1094" s="699"/>
      <c r="AW1094" s="699"/>
      <c r="AX1094" s="700"/>
      <c r="AY1094" s="700"/>
      <c r="AZ1094" s="701"/>
    </row>
    <row r="1095" spans="1:52" ht="30.75" thickBot="1">
      <c r="A1095" s="67">
        <f t="shared" si="625"/>
        <v>44872</v>
      </c>
      <c r="B1095" s="155"/>
      <c r="C1095" s="155"/>
      <c r="D1095" s="155"/>
      <c r="E1095" s="155"/>
      <c r="F1095" s="155"/>
      <c r="G1095" s="155"/>
      <c r="H1095" s="155"/>
      <c r="I1095" s="155"/>
      <c r="J1095" s="155"/>
      <c r="K1095" s="155"/>
      <c r="L1095" s="155"/>
      <c r="M1095" s="155"/>
      <c r="N1095" s="155"/>
      <c r="O1095" s="155"/>
      <c r="P1095" s="155"/>
      <c r="Q1095" s="155"/>
      <c r="R1095" s="156"/>
      <c r="S1095" s="180"/>
      <c r="T1095" s="838"/>
      <c r="U1095" s="838"/>
      <c r="V1095" s="838"/>
      <c r="W1095" s="838"/>
      <c r="X1095" s="838"/>
      <c r="Y1095" s="255">
        <f t="shared" si="621"/>
        <v>0</v>
      </c>
      <c r="Z1095" s="309">
        <f t="shared" si="624"/>
        <v>0</v>
      </c>
      <c r="AA1095" s="256">
        <f t="shared" si="622"/>
        <v>0</v>
      </c>
      <c r="AB1095" s="309"/>
      <c r="AC1095" s="309"/>
      <c r="AD1095" s="320">
        <f t="shared" si="623"/>
        <v>0</v>
      </c>
      <c r="AH1095" s="64">
        <f t="shared" si="626"/>
        <v>43380</v>
      </c>
      <c r="AI1095" s="698"/>
      <c r="AJ1095" s="699"/>
      <c r="AK1095" s="699"/>
      <c r="AL1095" s="699"/>
      <c r="AM1095" s="699"/>
      <c r="AN1095" s="699"/>
      <c r="AO1095" s="699"/>
      <c r="AP1095" s="699"/>
      <c r="AQ1095" s="699"/>
      <c r="AR1095" s="699"/>
      <c r="AS1095" s="699"/>
      <c r="AT1095" s="699"/>
      <c r="AU1095" s="699"/>
      <c r="AV1095" s="699"/>
      <c r="AW1095" s="699"/>
      <c r="AX1095" s="700"/>
      <c r="AY1095" s="700"/>
      <c r="AZ1095" s="701"/>
    </row>
    <row r="1096" spans="1:52" ht="30.75" thickBot="1">
      <c r="A1096" s="67">
        <f t="shared" si="625"/>
        <v>44873</v>
      </c>
      <c r="B1096" s="155"/>
      <c r="C1096" s="155"/>
      <c r="D1096" s="155"/>
      <c r="E1096" s="155"/>
      <c r="F1096" s="155"/>
      <c r="G1096" s="155"/>
      <c r="H1096" s="155"/>
      <c r="I1096" s="155"/>
      <c r="J1096" s="155"/>
      <c r="K1096" s="155"/>
      <c r="L1096" s="155"/>
      <c r="M1096" s="155"/>
      <c r="N1096" s="155"/>
      <c r="O1096" s="155"/>
      <c r="P1096" s="155"/>
      <c r="Q1096" s="155"/>
      <c r="R1096" s="156"/>
      <c r="S1096" s="180"/>
      <c r="T1096" s="838"/>
      <c r="U1096" s="838"/>
      <c r="V1096" s="838"/>
      <c r="W1096" s="838"/>
      <c r="X1096" s="838"/>
      <c r="Y1096" s="255">
        <f t="shared" si="621"/>
        <v>0</v>
      </c>
      <c r="Z1096" s="309">
        <f t="shared" si="624"/>
        <v>0</v>
      </c>
      <c r="AA1096" s="256">
        <f t="shared" si="622"/>
        <v>0</v>
      </c>
      <c r="AB1096" s="309"/>
      <c r="AC1096" s="309"/>
      <c r="AD1096" s="320">
        <f t="shared" ref="AD1096:AD1110" si="627">AA1096-AB1096-AC1096</f>
        <v>0</v>
      </c>
      <c r="AH1096" s="64">
        <f t="shared" si="626"/>
        <v>43381</v>
      </c>
      <c r="AI1096" s="698"/>
      <c r="AJ1096" s="699"/>
      <c r="AK1096" s="699"/>
      <c r="AL1096" s="699"/>
      <c r="AM1096" s="699"/>
      <c r="AN1096" s="699"/>
      <c r="AO1096" s="699"/>
      <c r="AP1096" s="699"/>
      <c r="AQ1096" s="699"/>
      <c r="AR1096" s="699"/>
      <c r="AS1096" s="699"/>
      <c r="AT1096" s="699"/>
      <c r="AU1096" s="699"/>
      <c r="AV1096" s="699"/>
      <c r="AW1096" s="699"/>
      <c r="AX1096" s="700"/>
      <c r="AY1096" s="700"/>
      <c r="AZ1096" s="701"/>
    </row>
    <row r="1097" spans="1:52" ht="30.75" thickBot="1">
      <c r="A1097" s="67">
        <f t="shared" si="625"/>
        <v>44874</v>
      </c>
      <c r="B1097" s="155"/>
      <c r="C1097" s="155"/>
      <c r="D1097" s="155"/>
      <c r="E1097" s="155"/>
      <c r="F1097" s="155"/>
      <c r="G1097" s="155"/>
      <c r="H1097" s="155"/>
      <c r="I1097" s="155"/>
      <c r="J1097" s="155"/>
      <c r="K1097" s="155"/>
      <c r="L1097" s="155"/>
      <c r="M1097" s="155"/>
      <c r="N1097" s="155"/>
      <c r="O1097" s="155"/>
      <c r="P1097" s="155"/>
      <c r="Q1097" s="155"/>
      <c r="R1097" s="156"/>
      <c r="S1097" s="180"/>
      <c r="T1097" s="838"/>
      <c r="U1097" s="838"/>
      <c r="V1097" s="838"/>
      <c r="W1097" s="838"/>
      <c r="X1097" s="838"/>
      <c r="Y1097" s="255">
        <f t="shared" si="621"/>
        <v>0</v>
      </c>
      <c r="Z1097" s="309">
        <f t="shared" si="624"/>
        <v>0</v>
      </c>
      <c r="AA1097" s="256">
        <f t="shared" si="622"/>
        <v>0</v>
      </c>
      <c r="AB1097" s="309"/>
      <c r="AC1097" s="309"/>
      <c r="AD1097" s="320">
        <f t="shared" si="627"/>
        <v>0</v>
      </c>
      <c r="AH1097" s="64">
        <f t="shared" si="626"/>
        <v>43382</v>
      </c>
      <c r="AI1097" s="698"/>
      <c r="AJ1097" s="699"/>
      <c r="AK1097" s="699"/>
      <c r="AL1097" s="699"/>
      <c r="AM1097" s="699"/>
      <c r="AN1097" s="699"/>
      <c r="AO1097" s="699"/>
      <c r="AP1097" s="699"/>
      <c r="AQ1097" s="699"/>
      <c r="AR1097" s="699"/>
      <c r="AS1097" s="699"/>
      <c r="AT1097" s="699"/>
      <c r="AU1097" s="699"/>
      <c r="AV1097" s="699"/>
      <c r="AW1097" s="699"/>
      <c r="AX1097" s="700"/>
      <c r="AY1097" s="700"/>
      <c r="AZ1097" s="701"/>
    </row>
    <row r="1098" spans="1:52" ht="30.75" thickBot="1">
      <c r="A1098" s="67">
        <f t="shared" si="625"/>
        <v>44875</v>
      </c>
      <c r="B1098" s="155"/>
      <c r="C1098" s="155"/>
      <c r="D1098" s="155"/>
      <c r="E1098" s="155"/>
      <c r="F1098" s="155"/>
      <c r="G1098" s="155"/>
      <c r="H1098" s="155"/>
      <c r="I1098" s="155"/>
      <c r="J1098" s="155"/>
      <c r="K1098" s="155"/>
      <c r="L1098" s="155"/>
      <c r="M1098" s="155"/>
      <c r="N1098" s="155"/>
      <c r="O1098" s="155"/>
      <c r="P1098" s="155"/>
      <c r="Q1098" s="155"/>
      <c r="R1098" s="156"/>
      <c r="S1098" s="180"/>
      <c r="T1098" s="838"/>
      <c r="U1098" s="838"/>
      <c r="V1098" s="838"/>
      <c r="W1098" s="838"/>
      <c r="X1098" s="838"/>
      <c r="Y1098" s="255">
        <f t="shared" si="621"/>
        <v>0</v>
      </c>
      <c r="Z1098" s="309">
        <f t="shared" si="624"/>
        <v>0</v>
      </c>
      <c r="AA1098" s="256">
        <f t="shared" si="622"/>
        <v>0</v>
      </c>
      <c r="AB1098" s="309"/>
      <c r="AC1098" s="309"/>
      <c r="AD1098" s="320">
        <f t="shared" si="627"/>
        <v>0</v>
      </c>
      <c r="AH1098" s="64">
        <f t="shared" si="626"/>
        <v>43383</v>
      </c>
      <c r="AI1098" s="698"/>
      <c r="AJ1098" s="699"/>
      <c r="AK1098" s="699"/>
      <c r="AL1098" s="699"/>
      <c r="AM1098" s="699"/>
      <c r="AN1098" s="699"/>
      <c r="AO1098" s="699"/>
      <c r="AP1098" s="699"/>
      <c r="AQ1098" s="699"/>
      <c r="AR1098" s="699"/>
      <c r="AS1098" s="699"/>
      <c r="AT1098" s="699"/>
      <c r="AU1098" s="699"/>
      <c r="AV1098" s="699"/>
      <c r="AW1098" s="699"/>
      <c r="AX1098" s="700"/>
      <c r="AY1098" s="700"/>
      <c r="AZ1098" s="701"/>
    </row>
    <row r="1099" spans="1:52" ht="30.75" thickBot="1">
      <c r="A1099" s="67">
        <f t="shared" si="625"/>
        <v>44876</v>
      </c>
      <c r="B1099" s="155"/>
      <c r="C1099" s="155"/>
      <c r="D1099" s="155"/>
      <c r="E1099" s="155"/>
      <c r="F1099" s="155"/>
      <c r="G1099" s="155"/>
      <c r="H1099" s="155"/>
      <c r="I1099" s="155"/>
      <c r="J1099" s="155"/>
      <c r="K1099" s="155"/>
      <c r="L1099" s="155"/>
      <c r="M1099" s="155"/>
      <c r="N1099" s="155"/>
      <c r="O1099" s="155"/>
      <c r="P1099" s="155"/>
      <c r="Q1099" s="155"/>
      <c r="R1099" s="156"/>
      <c r="S1099" s="180"/>
      <c r="T1099" s="838"/>
      <c r="U1099" s="838"/>
      <c r="V1099" s="838"/>
      <c r="W1099" s="838"/>
      <c r="X1099" s="838"/>
      <c r="Y1099" s="255">
        <f t="shared" si="621"/>
        <v>0</v>
      </c>
      <c r="Z1099" s="309">
        <f t="shared" si="624"/>
        <v>0</v>
      </c>
      <c r="AA1099" s="256">
        <f t="shared" si="622"/>
        <v>0</v>
      </c>
      <c r="AB1099" s="309"/>
      <c r="AC1099" s="309"/>
      <c r="AD1099" s="320">
        <f t="shared" si="627"/>
        <v>0</v>
      </c>
      <c r="AH1099" s="64">
        <f t="shared" si="626"/>
        <v>43384</v>
      </c>
      <c r="AI1099" s="698"/>
      <c r="AJ1099" s="699"/>
      <c r="AK1099" s="699"/>
      <c r="AL1099" s="699"/>
      <c r="AM1099" s="699"/>
      <c r="AN1099" s="699"/>
      <c r="AO1099" s="699"/>
      <c r="AP1099" s="699"/>
      <c r="AQ1099" s="699"/>
      <c r="AR1099" s="699"/>
      <c r="AS1099" s="699"/>
      <c r="AT1099" s="699"/>
      <c r="AU1099" s="699"/>
      <c r="AV1099" s="699"/>
      <c r="AW1099" s="699"/>
      <c r="AX1099" s="700"/>
      <c r="AY1099" s="700"/>
      <c r="AZ1099" s="701"/>
    </row>
    <row r="1100" spans="1:52" ht="30.75" thickBot="1">
      <c r="A1100" s="67">
        <f t="shared" si="625"/>
        <v>44877</v>
      </c>
      <c r="B1100" s="155"/>
      <c r="C1100" s="155"/>
      <c r="D1100" s="155"/>
      <c r="E1100" s="155"/>
      <c r="F1100" s="155"/>
      <c r="G1100" s="155"/>
      <c r="H1100" s="155"/>
      <c r="I1100" s="155"/>
      <c r="J1100" s="155"/>
      <c r="K1100" s="155"/>
      <c r="L1100" s="155"/>
      <c r="M1100" s="155"/>
      <c r="N1100" s="155"/>
      <c r="O1100" s="155"/>
      <c r="P1100" s="155"/>
      <c r="Q1100" s="155"/>
      <c r="R1100" s="156"/>
      <c r="S1100" s="180"/>
      <c r="T1100" s="838"/>
      <c r="U1100" s="838"/>
      <c r="V1100" s="838"/>
      <c r="W1100" s="838"/>
      <c r="X1100" s="838"/>
      <c r="Y1100" s="255">
        <f t="shared" si="621"/>
        <v>0</v>
      </c>
      <c r="Z1100" s="309">
        <f t="shared" si="624"/>
        <v>0</v>
      </c>
      <c r="AA1100" s="256">
        <f t="shared" si="622"/>
        <v>0</v>
      </c>
      <c r="AB1100" s="309"/>
      <c r="AC1100" s="309"/>
      <c r="AD1100" s="320">
        <f t="shared" si="627"/>
        <v>0</v>
      </c>
      <c r="AH1100" s="64">
        <f t="shared" si="626"/>
        <v>43385</v>
      </c>
      <c r="AI1100" s="698"/>
      <c r="AJ1100" s="699"/>
      <c r="AK1100" s="699"/>
      <c r="AL1100" s="699"/>
      <c r="AM1100" s="699"/>
      <c r="AN1100" s="699"/>
      <c r="AO1100" s="699"/>
      <c r="AP1100" s="699"/>
      <c r="AQ1100" s="699"/>
      <c r="AR1100" s="699"/>
      <c r="AS1100" s="699"/>
      <c r="AT1100" s="699"/>
      <c r="AU1100" s="699"/>
      <c r="AV1100" s="699"/>
      <c r="AW1100" s="699"/>
      <c r="AX1100" s="700"/>
      <c r="AY1100" s="700"/>
      <c r="AZ1100" s="701"/>
    </row>
    <row r="1101" spans="1:52" ht="30.75" thickBot="1">
      <c r="A1101" s="67">
        <f t="shared" si="625"/>
        <v>44878</v>
      </c>
      <c r="B1101" s="155"/>
      <c r="C1101" s="155"/>
      <c r="D1101" s="155"/>
      <c r="E1101" s="155"/>
      <c r="F1101" s="155"/>
      <c r="G1101" s="155"/>
      <c r="H1101" s="155"/>
      <c r="I1101" s="155"/>
      <c r="J1101" s="155"/>
      <c r="K1101" s="155"/>
      <c r="L1101" s="155"/>
      <c r="M1101" s="155"/>
      <c r="N1101" s="155"/>
      <c r="O1101" s="155"/>
      <c r="P1101" s="155"/>
      <c r="Q1101" s="155"/>
      <c r="R1101" s="156"/>
      <c r="S1101" s="180"/>
      <c r="T1101" s="838"/>
      <c r="U1101" s="838"/>
      <c r="V1101" s="838"/>
      <c r="W1101" s="838"/>
      <c r="X1101" s="838"/>
      <c r="Y1101" s="255">
        <f t="shared" si="621"/>
        <v>0</v>
      </c>
      <c r="Z1101" s="309">
        <f t="shared" si="624"/>
        <v>0</v>
      </c>
      <c r="AA1101" s="256">
        <f t="shared" si="622"/>
        <v>0</v>
      </c>
      <c r="AB1101" s="309"/>
      <c r="AC1101" s="309"/>
      <c r="AD1101" s="320">
        <f t="shared" si="627"/>
        <v>0</v>
      </c>
      <c r="AH1101" s="64">
        <f t="shared" si="626"/>
        <v>43386</v>
      </c>
      <c r="AI1101" s="698"/>
      <c r="AJ1101" s="699"/>
      <c r="AK1101" s="699"/>
      <c r="AL1101" s="699"/>
      <c r="AM1101" s="699"/>
      <c r="AN1101" s="699"/>
      <c r="AO1101" s="699"/>
      <c r="AP1101" s="699"/>
      <c r="AQ1101" s="699"/>
      <c r="AR1101" s="699"/>
      <c r="AS1101" s="699"/>
      <c r="AT1101" s="699"/>
      <c r="AU1101" s="699"/>
      <c r="AV1101" s="699"/>
      <c r="AW1101" s="699"/>
      <c r="AX1101" s="700"/>
      <c r="AY1101" s="700"/>
      <c r="AZ1101" s="701"/>
    </row>
    <row r="1102" spans="1:52" ht="30.75" thickBot="1">
      <c r="A1102" s="67">
        <f t="shared" si="625"/>
        <v>44879</v>
      </c>
      <c r="B1102" s="155"/>
      <c r="C1102" s="155"/>
      <c r="D1102" s="155"/>
      <c r="E1102" s="155"/>
      <c r="F1102" s="155"/>
      <c r="G1102" s="155"/>
      <c r="H1102" s="155"/>
      <c r="I1102" s="155"/>
      <c r="J1102" s="155"/>
      <c r="K1102" s="155"/>
      <c r="L1102" s="155"/>
      <c r="M1102" s="155"/>
      <c r="N1102" s="155"/>
      <c r="O1102" s="155"/>
      <c r="P1102" s="155"/>
      <c r="Q1102" s="155"/>
      <c r="R1102" s="156"/>
      <c r="S1102" s="180"/>
      <c r="T1102" s="838"/>
      <c r="U1102" s="838"/>
      <c r="V1102" s="838"/>
      <c r="W1102" s="838"/>
      <c r="X1102" s="838"/>
      <c r="Y1102" s="255">
        <f t="shared" si="621"/>
        <v>0</v>
      </c>
      <c r="Z1102" s="309">
        <f t="shared" si="624"/>
        <v>0</v>
      </c>
      <c r="AA1102" s="256">
        <f t="shared" si="622"/>
        <v>0</v>
      </c>
      <c r="AB1102" s="309"/>
      <c r="AC1102" s="309"/>
      <c r="AD1102" s="320">
        <f t="shared" si="627"/>
        <v>0</v>
      </c>
      <c r="AH1102" s="64">
        <f t="shared" si="626"/>
        <v>43387</v>
      </c>
      <c r="AI1102" s="698"/>
      <c r="AJ1102" s="699"/>
      <c r="AK1102" s="699"/>
      <c r="AL1102" s="699"/>
      <c r="AM1102" s="699"/>
      <c r="AN1102" s="699"/>
      <c r="AO1102" s="699"/>
      <c r="AP1102" s="699"/>
      <c r="AQ1102" s="699"/>
      <c r="AR1102" s="699"/>
      <c r="AS1102" s="699"/>
      <c r="AT1102" s="699"/>
      <c r="AU1102" s="699"/>
      <c r="AV1102" s="699"/>
      <c r="AW1102" s="699"/>
      <c r="AX1102" s="700"/>
      <c r="AY1102" s="700"/>
      <c r="AZ1102" s="701"/>
    </row>
    <row r="1103" spans="1:52" ht="30.75" thickBot="1">
      <c r="A1103" s="67">
        <f t="shared" si="625"/>
        <v>44880</v>
      </c>
      <c r="B1103" s="155"/>
      <c r="C1103" s="155"/>
      <c r="D1103" s="155"/>
      <c r="E1103" s="155"/>
      <c r="F1103" s="155"/>
      <c r="G1103" s="155"/>
      <c r="H1103" s="155"/>
      <c r="I1103" s="155"/>
      <c r="J1103" s="155"/>
      <c r="K1103" s="155"/>
      <c r="L1103" s="155"/>
      <c r="M1103" s="155"/>
      <c r="N1103" s="155"/>
      <c r="O1103" s="155"/>
      <c r="P1103" s="155"/>
      <c r="Q1103" s="155"/>
      <c r="R1103" s="156"/>
      <c r="S1103" s="180"/>
      <c r="T1103" s="838"/>
      <c r="U1103" s="838"/>
      <c r="V1103" s="838"/>
      <c r="W1103" s="838"/>
      <c r="X1103" s="838"/>
      <c r="Y1103" s="255">
        <f t="shared" si="621"/>
        <v>0</v>
      </c>
      <c r="Z1103" s="309">
        <f t="shared" si="624"/>
        <v>0</v>
      </c>
      <c r="AA1103" s="256">
        <f t="shared" si="622"/>
        <v>0</v>
      </c>
      <c r="AB1103" s="309"/>
      <c r="AC1103" s="309"/>
      <c r="AD1103" s="320">
        <f t="shared" si="627"/>
        <v>0</v>
      </c>
      <c r="AH1103" s="64">
        <f t="shared" si="626"/>
        <v>43388</v>
      </c>
      <c r="AI1103" s="698"/>
      <c r="AJ1103" s="699"/>
      <c r="AK1103" s="699"/>
      <c r="AL1103" s="699"/>
      <c r="AM1103" s="699"/>
      <c r="AN1103" s="699"/>
      <c r="AO1103" s="699"/>
      <c r="AP1103" s="699"/>
      <c r="AQ1103" s="699"/>
      <c r="AR1103" s="699"/>
      <c r="AS1103" s="699"/>
      <c r="AT1103" s="699"/>
      <c r="AU1103" s="699"/>
      <c r="AV1103" s="699"/>
      <c r="AW1103" s="699"/>
      <c r="AX1103" s="700"/>
      <c r="AY1103" s="700"/>
      <c r="AZ1103" s="701"/>
    </row>
    <row r="1104" spans="1:52" ht="30.75" thickBot="1">
      <c r="A1104" s="67">
        <f t="shared" si="625"/>
        <v>44881</v>
      </c>
      <c r="B1104" s="155"/>
      <c r="C1104" s="155"/>
      <c r="D1104" s="155"/>
      <c r="E1104" s="155"/>
      <c r="F1104" s="155"/>
      <c r="G1104" s="155"/>
      <c r="H1104" s="155"/>
      <c r="I1104" s="155"/>
      <c r="J1104" s="155"/>
      <c r="K1104" s="155"/>
      <c r="L1104" s="155"/>
      <c r="M1104" s="155"/>
      <c r="N1104" s="155"/>
      <c r="O1104" s="155"/>
      <c r="P1104" s="155"/>
      <c r="Q1104" s="155"/>
      <c r="R1104" s="156"/>
      <c r="S1104" s="180"/>
      <c r="T1104" s="838"/>
      <c r="U1104" s="838"/>
      <c r="V1104" s="838"/>
      <c r="W1104" s="838"/>
      <c r="X1104" s="838"/>
      <c r="Y1104" s="255">
        <f t="shared" si="621"/>
        <v>0</v>
      </c>
      <c r="Z1104" s="309">
        <f t="shared" si="624"/>
        <v>0</v>
      </c>
      <c r="AA1104" s="256">
        <f t="shared" si="622"/>
        <v>0</v>
      </c>
      <c r="AB1104" s="309"/>
      <c r="AC1104" s="309"/>
      <c r="AD1104" s="320">
        <f t="shared" si="627"/>
        <v>0</v>
      </c>
      <c r="AH1104" s="64">
        <f t="shared" si="626"/>
        <v>43389</v>
      </c>
      <c r="AI1104" s="698"/>
      <c r="AJ1104" s="699"/>
      <c r="AK1104" s="699"/>
      <c r="AL1104" s="699"/>
      <c r="AM1104" s="699"/>
      <c r="AN1104" s="699"/>
      <c r="AO1104" s="699"/>
      <c r="AP1104" s="699"/>
      <c r="AQ1104" s="699"/>
      <c r="AR1104" s="699"/>
      <c r="AS1104" s="699"/>
      <c r="AT1104" s="699"/>
      <c r="AU1104" s="699"/>
      <c r="AV1104" s="699"/>
      <c r="AW1104" s="699"/>
      <c r="AX1104" s="700"/>
      <c r="AY1104" s="700"/>
      <c r="AZ1104" s="701"/>
    </row>
    <row r="1105" spans="1:52" ht="30.75" thickBot="1">
      <c r="A1105" s="67">
        <f t="shared" si="625"/>
        <v>44882</v>
      </c>
      <c r="B1105" s="155"/>
      <c r="C1105" s="155"/>
      <c r="D1105" s="155"/>
      <c r="E1105" s="155"/>
      <c r="F1105" s="155"/>
      <c r="G1105" s="155"/>
      <c r="H1105" s="155"/>
      <c r="I1105" s="155"/>
      <c r="J1105" s="155"/>
      <c r="K1105" s="155"/>
      <c r="L1105" s="155"/>
      <c r="M1105" s="155"/>
      <c r="N1105" s="155"/>
      <c r="O1105" s="155"/>
      <c r="P1105" s="155"/>
      <c r="Q1105" s="155"/>
      <c r="R1105" s="156"/>
      <c r="S1105" s="180"/>
      <c r="T1105" s="838"/>
      <c r="U1105" s="838"/>
      <c r="V1105" s="838"/>
      <c r="W1105" s="838"/>
      <c r="X1105" s="838"/>
      <c r="Y1105" s="255">
        <f t="shared" si="621"/>
        <v>0</v>
      </c>
      <c r="Z1105" s="309">
        <f t="shared" si="624"/>
        <v>0</v>
      </c>
      <c r="AA1105" s="256">
        <f t="shared" si="622"/>
        <v>0</v>
      </c>
      <c r="AB1105" s="309"/>
      <c r="AC1105" s="309"/>
      <c r="AD1105" s="320">
        <f t="shared" si="627"/>
        <v>0</v>
      </c>
      <c r="AH1105" s="64">
        <f t="shared" si="626"/>
        <v>43390</v>
      </c>
      <c r="AI1105" s="698"/>
      <c r="AJ1105" s="699"/>
      <c r="AK1105" s="699"/>
      <c r="AL1105" s="699"/>
      <c r="AM1105" s="699"/>
      <c r="AN1105" s="699"/>
      <c r="AO1105" s="699"/>
      <c r="AP1105" s="699"/>
      <c r="AQ1105" s="699"/>
      <c r="AR1105" s="699"/>
      <c r="AS1105" s="699"/>
      <c r="AT1105" s="699"/>
      <c r="AU1105" s="699"/>
      <c r="AV1105" s="699"/>
      <c r="AW1105" s="699"/>
      <c r="AX1105" s="700"/>
      <c r="AY1105" s="700"/>
      <c r="AZ1105" s="701"/>
    </row>
    <row r="1106" spans="1:52" ht="30.75" thickBot="1">
      <c r="A1106" s="67">
        <f t="shared" si="625"/>
        <v>44883</v>
      </c>
      <c r="B1106" s="155"/>
      <c r="C1106" s="155"/>
      <c r="D1106" s="155"/>
      <c r="E1106" s="155"/>
      <c r="F1106" s="155"/>
      <c r="G1106" s="155"/>
      <c r="H1106" s="155"/>
      <c r="I1106" s="155"/>
      <c r="J1106" s="155"/>
      <c r="K1106" s="155"/>
      <c r="L1106" s="155"/>
      <c r="M1106" s="155"/>
      <c r="N1106" s="155"/>
      <c r="O1106" s="155"/>
      <c r="P1106" s="155"/>
      <c r="Q1106" s="155"/>
      <c r="R1106" s="156"/>
      <c r="S1106" s="180"/>
      <c r="T1106" s="838"/>
      <c r="U1106" s="838"/>
      <c r="V1106" s="838"/>
      <c r="W1106" s="838"/>
      <c r="X1106" s="838"/>
      <c r="Y1106" s="255">
        <f t="shared" si="621"/>
        <v>0</v>
      </c>
      <c r="Z1106" s="309">
        <f t="shared" si="624"/>
        <v>0</v>
      </c>
      <c r="AA1106" s="256">
        <f t="shared" si="622"/>
        <v>0</v>
      </c>
      <c r="AB1106" s="309"/>
      <c r="AC1106" s="309"/>
      <c r="AD1106" s="320">
        <f t="shared" si="627"/>
        <v>0</v>
      </c>
      <c r="AH1106" s="64">
        <f t="shared" si="626"/>
        <v>43391</v>
      </c>
      <c r="AI1106" s="698"/>
      <c r="AJ1106" s="699"/>
      <c r="AK1106" s="699"/>
      <c r="AL1106" s="699"/>
      <c r="AM1106" s="699"/>
      <c r="AN1106" s="699"/>
      <c r="AO1106" s="699"/>
      <c r="AP1106" s="699"/>
      <c r="AQ1106" s="699"/>
      <c r="AR1106" s="699"/>
      <c r="AS1106" s="699"/>
      <c r="AT1106" s="699"/>
      <c r="AU1106" s="699"/>
      <c r="AV1106" s="699"/>
      <c r="AW1106" s="699"/>
      <c r="AX1106" s="700"/>
      <c r="AY1106" s="700"/>
      <c r="AZ1106" s="701"/>
    </row>
    <row r="1107" spans="1:52" ht="30.75" thickBot="1">
      <c r="A1107" s="67">
        <f t="shared" si="625"/>
        <v>44884</v>
      </c>
      <c r="B1107" s="155"/>
      <c r="C1107" s="155"/>
      <c r="D1107" s="155"/>
      <c r="E1107" s="155"/>
      <c r="F1107" s="155"/>
      <c r="G1107" s="155"/>
      <c r="H1107" s="155"/>
      <c r="I1107" s="155"/>
      <c r="J1107" s="155"/>
      <c r="K1107" s="155"/>
      <c r="L1107" s="155"/>
      <c r="M1107" s="155"/>
      <c r="N1107" s="155"/>
      <c r="O1107" s="155"/>
      <c r="P1107" s="155"/>
      <c r="Q1107" s="155"/>
      <c r="R1107" s="156"/>
      <c r="S1107" s="180"/>
      <c r="T1107" s="838"/>
      <c r="U1107" s="838"/>
      <c r="V1107" s="838"/>
      <c r="W1107" s="838"/>
      <c r="X1107" s="838"/>
      <c r="Y1107" s="255">
        <f t="shared" si="621"/>
        <v>0</v>
      </c>
      <c r="Z1107" s="309">
        <f t="shared" si="624"/>
        <v>0</v>
      </c>
      <c r="AA1107" s="256">
        <f t="shared" si="622"/>
        <v>0</v>
      </c>
      <c r="AB1107" s="309"/>
      <c r="AC1107" s="309"/>
      <c r="AD1107" s="320">
        <f t="shared" si="627"/>
        <v>0</v>
      </c>
      <c r="AH1107" s="64">
        <f t="shared" si="626"/>
        <v>43392</v>
      </c>
      <c r="AI1107" s="698"/>
      <c r="AJ1107" s="699"/>
      <c r="AK1107" s="699"/>
      <c r="AL1107" s="699"/>
      <c r="AM1107" s="699"/>
      <c r="AN1107" s="699"/>
      <c r="AO1107" s="699"/>
      <c r="AP1107" s="699"/>
      <c r="AQ1107" s="699"/>
      <c r="AR1107" s="699"/>
      <c r="AS1107" s="699"/>
      <c r="AT1107" s="699"/>
      <c r="AU1107" s="699"/>
      <c r="AV1107" s="699"/>
      <c r="AW1107" s="699"/>
      <c r="AX1107" s="700"/>
      <c r="AY1107" s="700"/>
      <c r="AZ1107" s="701"/>
    </row>
    <row r="1108" spans="1:52" ht="30.75" thickBot="1">
      <c r="A1108" s="67">
        <f t="shared" si="625"/>
        <v>44885</v>
      </c>
      <c r="B1108" s="155"/>
      <c r="C1108" s="155"/>
      <c r="D1108" s="155"/>
      <c r="E1108" s="155"/>
      <c r="F1108" s="155"/>
      <c r="G1108" s="155"/>
      <c r="H1108" s="155"/>
      <c r="I1108" s="155"/>
      <c r="J1108" s="155"/>
      <c r="K1108" s="155"/>
      <c r="L1108" s="155"/>
      <c r="M1108" s="155"/>
      <c r="N1108" s="155"/>
      <c r="O1108" s="155"/>
      <c r="P1108" s="155"/>
      <c r="Q1108" s="155"/>
      <c r="R1108" s="156"/>
      <c r="S1108" s="180"/>
      <c r="T1108" s="838"/>
      <c r="U1108" s="838"/>
      <c r="V1108" s="838"/>
      <c r="W1108" s="838"/>
      <c r="X1108" s="838"/>
      <c r="Y1108" s="255">
        <f t="shared" si="621"/>
        <v>0</v>
      </c>
      <c r="Z1108" s="309">
        <f t="shared" si="624"/>
        <v>0</v>
      </c>
      <c r="AA1108" s="256">
        <f t="shared" si="622"/>
        <v>0</v>
      </c>
      <c r="AB1108" s="309"/>
      <c r="AC1108" s="309"/>
      <c r="AD1108" s="320">
        <f t="shared" si="627"/>
        <v>0</v>
      </c>
      <c r="AH1108" s="64">
        <f t="shared" si="626"/>
        <v>43393</v>
      </c>
      <c r="AI1108" s="698"/>
      <c r="AJ1108" s="699"/>
      <c r="AK1108" s="699"/>
      <c r="AL1108" s="699"/>
      <c r="AM1108" s="699"/>
      <c r="AN1108" s="699"/>
      <c r="AO1108" s="699"/>
      <c r="AP1108" s="699"/>
      <c r="AQ1108" s="699"/>
      <c r="AR1108" s="699"/>
      <c r="AS1108" s="699"/>
      <c r="AT1108" s="699"/>
      <c r="AU1108" s="699"/>
      <c r="AV1108" s="699"/>
      <c r="AW1108" s="699"/>
      <c r="AX1108" s="700"/>
      <c r="AY1108" s="700"/>
      <c r="AZ1108" s="701"/>
    </row>
    <row r="1109" spans="1:52" ht="30.75" thickBot="1">
      <c r="A1109" s="67">
        <f t="shared" si="625"/>
        <v>44886</v>
      </c>
      <c r="B1109" s="155"/>
      <c r="C1109" s="155"/>
      <c r="D1109" s="155"/>
      <c r="E1109" s="155"/>
      <c r="F1109" s="155"/>
      <c r="G1109" s="155"/>
      <c r="H1109" s="155"/>
      <c r="I1109" s="155"/>
      <c r="J1109" s="155"/>
      <c r="K1109" s="155"/>
      <c r="L1109" s="155"/>
      <c r="M1109" s="155"/>
      <c r="N1109" s="155"/>
      <c r="O1109" s="155"/>
      <c r="P1109" s="155"/>
      <c r="Q1109" s="155"/>
      <c r="R1109" s="156"/>
      <c r="S1109" s="180"/>
      <c r="T1109" s="838"/>
      <c r="U1109" s="838"/>
      <c r="V1109" s="838"/>
      <c r="W1109" s="838"/>
      <c r="X1109" s="838"/>
      <c r="Y1109" s="255">
        <f t="shared" si="621"/>
        <v>0</v>
      </c>
      <c r="Z1109" s="309">
        <f t="shared" si="624"/>
        <v>0</v>
      </c>
      <c r="AA1109" s="256">
        <f t="shared" si="622"/>
        <v>0</v>
      </c>
      <c r="AB1109" s="309"/>
      <c r="AC1109" s="309"/>
      <c r="AD1109" s="320">
        <f t="shared" si="627"/>
        <v>0</v>
      </c>
      <c r="AH1109" s="64">
        <f t="shared" si="626"/>
        <v>43394</v>
      </c>
      <c r="AI1109" s="698"/>
      <c r="AJ1109" s="699"/>
      <c r="AK1109" s="699"/>
      <c r="AL1109" s="699"/>
      <c r="AM1109" s="699"/>
      <c r="AN1109" s="699"/>
      <c r="AO1109" s="699"/>
      <c r="AP1109" s="699"/>
      <c r="AQ1109" s="699"/>
      <c r="AR1109" s="699"/>
      <c r="AS1109" s="699"/>
      <c r="AT1109" s="699"/>
      <c r="AU1109" s="699"/>
      <c r="AV1109" s="699"/>
      <c r="AW1109" s="699"/>
      <c r="AX1109" s="700"/>
      <c r="AY1109" s="700"/>
      <c r="AZ1109" s="701"/>
    </row>
    <row r="1110" spans="1:52" ht="30.75" thickBot="1">
      <c r="A1110" s="67">
        <f t="shared" si="625"/>
        <v>44887</v>
      </c>
      <c r="B1110" s="155"/>
      <c r="C1110" s="155"/>
      <c r="D1110" s="155"/>
      <c r="E1110" s="155"/>
      <c r="F1110" s="155"/>
      <c r="G1110" s="155"/>
      <c r="H1110" s="155"/>
      <c r="I1110" s="155"/>
      <c r="J1110" s="155"/>
      <c r="K1110" s="155"/>
      <c r="L1110" s="155"/>
      <c r="M1110" s="155"/>
      <c r="N1110" s="155"/>
      <c r="O1110" s="155"/>
      <c r="P1110" s="155"/>
      <c r="Q1110" s="155"/>
      <c r="R1110" s="156"/>
      <c r="S1110" s="180"/>
      <c r="T1110" s="838"/>
      <c r="U1110" s="838"/>
      <c r="V1110" s="838"/>
      <c r="W1110" s="838"/>
      <c r="X1110" s="838"/>
      <c r="Y1110" s="255">
        <f t="shared" si="621"/>
        <v>0</v>
      </c>
      <c r="Z1110" s="309">
        <f t="shared" si="624"/>
        <v>0</v>
      </c>
      <c r="AA1110" s="256">
        <f t="shared" si="622"/>
        <v>0</v>
      </c>
      <c r="AB1110" s="309"/>
      <c r="AC1110" s="309"/>
      <c r="AD1110" s="320">
        <f t="shared" si="627"/>
        <v>0</v>
      </c>
      <c r="AH1110" s="64">
        <f t="shared" si="626"/>
        <v>43395</v>
      </c>
      <c r="AI1110" s="698"/>
      <c r="AJ1110" s="699"/>
      <c r="AK1110" s="699"/>
      <c r="AL1110" s="699"/>
      <c r="AM1110" s="699"/>
      <c r="AN1110" s="699"/>
      <c r="AO1110" s="699"/>
      <c r="AP1110" s="699"/>
      <c r="AQ1110" s="699"/>
      <c r="AR1110" s="699"/>
      <c r="AS1110" s="699"/>
      <c r="AT1110" s="699"/>
      <c r="AU1110" s="699"/>
      <c r="AV1110" s="699"/>
      <c r="AW1110" s="699"/>
      <c r="AX1110" s="700"/>
      <c r="AY1110" s="700"/>
      <c r="AZ1110" s="701"/>
    </row>
    <row r="1111" spans="1:52" ht="30.75" thickBot="1">
      <c r="A1111" s="67">
        <f t="shared" si="625"/>
        <v>44888</v>
      </c>
      <c r="B1111" s="155"/>
      <c r="C1111" s="155"/>
      <c r="D1111" s="155"/>
      <c r="E1111" s="155"/>
      <c r="F1111" s="155"/>
      <c r="G1111" s="155"/>
      <c r="H1111" s="155"/>
      <c r="I1111" s="155"/>
      <c r="J1111" s="155"/>
      <c r="K1111" s="155"/>
      <c r="L1111" s="155"/>
      <c r="M1111" s="155"/>
      <c r="N1111" s="155"/>
      <c r="O1111" s="155"/>
      <c r="P1111" s="155"/>
      <c r="Q1111" s="155"/>
      <c r="R1111" s="156"/>
      <c r="S1111" s="180"/>
      <c r="T1111" s="838"/>
      <c r="U1111" s="838"/>
      <c r="V1111" s="838"/>
      <c r="W1111" s="838"/>
      <c r="X1111" s="838"/>
      <c r="Y1111" s="255">
        <f t="shared" si="621"/>
        <v>0</v>
      </c>
      <c r="Z1111" s="309">
        <f t="shared" si="624"/>
        <v>0</v>
      </c>
      <c r="AA1111" s="256">
        <f t="shared" si="622"/>
        <v>0</v>
      </c>
      <c r="AB1111" s="309"/>
      <c r="AC1111" s="309"/>
      <c r="AD1111" s="320">
        <f t="shared" si="623"/>
        <v>0</v>
      </c>
      <c r="AH1111" s="64">
        <f t="shared" si="626"/>
        <v>43396</v>
      </c>
      <c r="AI1111" s="698"/>
      <c r="AJ1111" s="699"/>
      <c r="AK1111" s="699"/>
      <c r="AL1111" s="699"/>
      <c r="AM1111" s="699"/>
      <c r="AN1111" s="699"/>
      <c r="AO1111" s="699"/>
      <c r="AP1111" s="699"/>
      <c r="AQ1111" s="699"/>
      <c r="AR1111" s="699"/>
      <c r="AS1111" s="699"/>
      <c r="AT1111" s="699"/>
      <c r="AU1111" s="699"/>
      <c r="AV1111" s="699"/>
      <c r="AW1111" s="699"/>
      <c r="AX1111" s="700"/>
      <c r="AY1111" s="700"/>
      <c r="AZ1111" s="701"/>
    </row>
    <row r="1112" spans="1:52" ht="30.75" thickBot="1">
      <c r="A1112" s="67">
        <f t="shared" si="625"/>
        <v>44889</v>
      </c>
      <c r="B1112" s="155"/>
      <c r="C1112" s="155"/>
      <c r="D1112" s="155"/>
      <c r="E1112" s="155"/>
      <c r="F1112" s="155"/>
      <c r="G1112" s="155"/>
      <c r="H1112" s="155"/>
      <c r="I1112" s="155"/>
      <c r="J1112" s="155"/>
      <c r="K1112" s="155"/>
      <c r="L1112" s="155"/>
      <c r="M1112" s="155"/>
      <c r="N1112" s="155"/>
      <c r="O1112" s="155"/>
      <c r="P1112" s="155"/>
      <c r="Q1112" s="155"/>
      <c r="R1112" s="156"/>
      <c r="S1112" s="180"/>
      <c r="T1112" s="838"/>
      <c r="U1112" s="838"/>
      <c r="V1112" s="838"/>
      <c r="W1112" s="838"/>
      <c r="X1112" s="838"/>
      <c r="Y1112" s="255">
        <f t="shared" si="621"/>
        <v>0</v>
      </c>
      <c r="Z1112" s="309">
        <f t="shared" si="624"/>
        <v>0</v>
      </c>
      <c r="AA1112" s="256">
        <f t="shared" si="622"/>
        <v>0</v>
      </c>
      <c r="AB1112" s="309"/>
      <c r="AC1112" s="309"/>
      <c r="AD1112" s="320">
        <f t="shared" si="623"/>
        <v>0</v>
      </c>
      <c r="AH1112" s="64">
        <f t="shared" si="626"/>
        <v>43397</v>
      </c>
      <c r="AI1112" s="698"/>
      <c r="AJ1112" s="699"/>
      <c r="AK1112" s="699"/>
      <c r="AL1112" s="699"/>
      <c r="AM1112" s="699"/>
      <c r="AN1112" s="699"/>
      <c r="AO1112" s="699"/>
      <c r="AP1112" s="699"/>
      <c r="AQ1112" s="699"/>
      <c r="AR1112" s="699"/>
      <c r="AS1112" s="699"/>
      <c r="AT1112" s="699"/>
      <c r="AU1112" s="699"/>
      <c r="AV1112" s="699"/>
      <c r="AW1112" s="699"/>
      <c r="AX1112" s="700"/>
      <c r="AY1112" s="700"/>
      <c r="AZ1112" s="701"/>
    </row>
    <row r="1113" spans="1:52" ht="30.75" thickBot="1">
      <c r="A1113" s="67">
        <f t="shared" si="625"/>
        <v>44890</v>
      </c>
      <c r="B1113" s="155"/>
      <c r="C1113" s="155"/>
      <c r="D1113" s="155"/>
      <c r="E1113" s="155"/>
      <c r="F1113" s="155"/>
      <c r="G1113" s="155"/>
      <c r="H1113" s="155"/>
      <c r="I1113" s="155"/>
      <c r="J1113" s="155"/>
      <c r="K1113" s="155"/>
      <c r="L1113" s="155"/>
      <c r="M1113" s="155"/>
      <c r="N1113" s="155"/>
      <c r="O1113" s="155"/>
      <c r="P1113" s="155"/>
      <c r="Q1113" s="155"/>
      <c r="R1113" s="156"/>
      <c r="S1113" s="180"/>
      <c r="T1113" s="838"/>
      <c r="U1113" s="838"/>
      <c r="V1113" s="838"/>
      <c r="W1113" s="838"/>
      <c r="X1113" s="838"/>
      <c r="Y1113" s="255">
        <f t="shared" si="621"/>
        <v>0</v>
      </c>
      <c r="Z1113" s="309">
        <f t="shared" si="624"/>
        <v>0</v>
      </c>
      <c r="AA1113" s="256">
        <f t="shared" si="622"/>
        <v>0</v>
      </c>
      <c r="AB1113" s="309"/>
      <c r="AC1113" s="309"/>
      <c r="AD1113" s="320">
        <f t="shared" si="623"/>
        <v>0</v>
      </c>
      <c r="AH1113" s="64">
        <f t="shared" si="626"/>
        <v>43398</v>
      </c>
      <c r="AI1113" s="698"/>
      <c r="AJ1113" s="699"/>
      <c r="AK1113" s="699"/>
      <c r="AL1113" s="699"/>
      <c r="AM1113" s="699"/>
      <c r="AN1113" s="699"/>
      <c r="AO1113" s="699"/>
      <c r="AP1113" s="699"/>
      <c r="AQ1113" s="699"/>
      <c r="AR1113" s="699"/>
      <c r="AS1113" s="699"/>
      <c r="AT1113" s="699"/>
      <c r="AU1113" s="699"/>
      <c r="AV1113" s="699"/>
      <c r="AW1113" s="699"/>
      <c r="AX1113" s="700"/>
      <c r="AY1113" s="700"/>
      <c r="AZ1113" s="701"/>
    </row>
    <row r="1114" spans="1:52" ht="30.75" thickBot="1">
      <c r="A1114" s="67">
        <f t="shared" si="625"/>
        <v>44891</v>
      </c>
      <c r="B1114" s="155"/>
      <c r="C1114" s="155"/>
      <c r="D1114" s="155"/>
      <c r="E1114" s="155"/>
      <c r="F1114" s="155"/>
      <c r="G1114" s="155"/>
      <c r="H1114" s="155"/>
      <c r="I1114" s="155"/>
      <c r="J1114" s="155"/>
      <c r="K1114" s="155"/>
      <c r="L1114" s="155"/>
      <c r="M1114" s="155"/>
      <c r="N1114" s="155"/>
      <c r="O1114" s="155"/>
      <c r="P1114" s="155"/>
      <c r="Q1114" s="155"/>
      <c r="R1114" s="156"/>
      <c r="S1114" s="180"/>
      <c r="T1114" s="838"/>
      <c r="U1114" s="838"/>
      <c r="V1114" s="838"/>
      <c r="W1114" s="838"/>
      <c r="X1114" s="838"/>
      <c r="Y1114" s="255">
        <f t="shared" si="621"/>
        <v>0</v>
      </c>
      <c r="Z1114" s="309">
        <f t="shared" si="624"/>
        <v>0</v>
      </c>
      <c r="AA1114" s="256">
        <f t="shared" si="622"/>
        <v>0</v>
      </c>
      <c r="AB1114" s="309"/>
      <c r="AC1114" s="309"/>
      <c r="AD1114" s="320">
        <f t="shared" si="623"/>
        <v>0</v>
      </c>
      <c r="AH1114" s="64">
        <f t="shared" si="626"/>
        <v>43399</v>
      </c>
      <c r="AI1114" s="698"/>
      <c r="AJ1114" s="699"/>
      <c r="AK1114" s="699"/>
      <c r="AL1114" s="699"/>
      <c r="AM1114" s="699"/>
      <c r="AN1114" s="699"/>
      <c r="AO1114" s="699"/>
      <c r="AP1114" s="699"/>
      <c r="AQ1114" s="699"/>
      <c r="AR1114" s="699"/>
      <c r="AS1114" s="699"/>
      <c r="AT1114" s="699"/>
      <c r="AU1114" s="699"/>
      <c r="AV1114" s="699"/>
      <c r="AW1114" s="699"/>
      <c r="AX1114" s="700"/>
      <c r="AY1114" s="700"/>
      <c r="AZ1114" s="701"/>
    </row>
    <row r="1115" spans="1:52" ht="30.75" thickBot="1">
      <c r="A1115" s="67">
        <f t="shared" si="625"/>
        <v>44892</v>
      </c>
      <c r="B1115" s="155"/>
      <c r="C1115" s="155"/>
      <c r="D1115" s="155"/>
      <c r="E1115" s="155"/>
      <c r="F1115" s="155"/>
      <c r="G1115" s="155"/>
      <c r="H1115" s="155"/>
      <c r="I1115" s="155"/>
      <c r="J1115" s="155"/>
      <c r="K1115" s="155"/>
      <c r="L1115" s="155"/>
      <c r="M1115" s="155"/>
      <c r="N1115" s="155"/>
      <c r="O1115" s="155"/>
      <c r="P1115" s="155"/>
      <c r="Q1115" s="155"/>
      <c r="R1115" s="156"/>
      <c r="S1115" s="180"/>
      <c r="T1115" s="838"/>
      <c r="U1115" s="838"/>
      <c r="V1115" s="838"/>
      <c r="W1115" s="838"/>
      <c r="X1115" s="838"/>
      <c r="Y1115" s="255">
        <f t="shared" si="621"/>
        <v>0</v>
      </c>
      <c r="Z1115" s="309">
        <f t="shared" si="624"/>
        <v>0</v>
      </c>
      <c r="AA1115" s="256">
        <f t="shared" si="622"/>
        <v>0</v>
      </c>
      <c r="AB1115" s="309"/>
      <c r="AC1115" s="309"/>
      <c r="AD1115" s="320">
        <f t="shared" si="623"/>
        <v>0</v>
      </c>
      <c r="AH1115" s="64">
        <f t="shared" si="626"/>
        <v>43400</v>
      </c>
      <c r="AI1115" s="698"/>
      <c r="AJ1115" s="699"/>
      <c r="AK1115" s="699"/>
      <c r="AL1115" s="699"/>
      <c r="AM1115" s="699"/>
      <c r="AN1115" s="699"/>
      <c r="AO1115" s="699"/>
      <c r="AP1115" s="699"/>
      <c r="AQ1115" s="699"/>
      <c r="AR1115" s="699"/>
      <c r="AS1115" s="699"/>
      <c r="AT1115" s="699"/>
      <c r="AU1115" s="699"/>
      <c r="AV1115" s="699"/>
      <c r="AW1115" s="699"/>
      <c r="AX1115" s="700"/>
      <c r="AY1115" s="700"/>
      <c r="AZ1115" s="701"/>
    </row>
    <row r="1116" spans="1:52" ht="30.75" thickBot="1">
      <c r="A1116" s="67">
        <f t="shared" si="625"/>
        <v>44893</v>
      </c>
      <c r="B1116" s="155"/>
      <c r="C1116" s="155"/>
      <c r="D1116" s="155"/>
      <c r="E1116" s="155"/>
      <c r="F1116" s="155"/>
      <c r="G1116" s="155"/>
      <c r="H1116" s="155"/>
      <c r="I1116" s="155"/>
      <c r="J1116" s="155"/>
      <c r="K1116" s="155"/>
      <c r="L1116" s="155"/>
      <c r="M1116" s="155"/>
      <c r="N1116" s="155"/>
      <c r="O1116" s="155"/>
      <c r="P1116" s="155"/>
      <c r="Q1116" s="155"/>
      <c r="R1116" s="156"/>
      <c r="S1116" s="180"/>
      <c r="T1116" s="838"/>
      <c r="U1116" s="838"/>
      <c r="V1116" s="838"/>
      <c r="W1116" s="838"/>
      <c r="X1116" s="838"/>
      <c r="Y1116" s="255">
        <f t="shared" si="621"/>
        <v>0</v>
      </c>
      <c r="Z1116" s="309">
        <f t="shared" si="624"/>
        <v>0</v>
      </c>
      <c r="AA1116" s="256">
        <f t="shared" si="622"/>
        <v>0</v>
      </c>
      <c r="AB1116" s="309"/>
      <c r="AC1116" s="309"/>
      <c r="AD1116" s="320">
        <f t="shared" si="623"/>
        <v>0</v>
      </c>
      <c r="AH1116" s="64">
        <f t="shared" si="626"/>
        <v>43401</v>
      </c>
      <c r="AI1116" s="698"/>
      <c r="AJ1116" s="699"/>
      <c r="AK1116" s="699"/>
      <c r="AL1116" s="699"/>
      <c r="AM1116" s="699"/>
      <c r="AN1116" s="699"/>
      <c r="AO1116" s="699"/>
      <c r="AP1116" s="699"/>
      <c r="AQ1116" s="699"/>
      <c r="AR1116" s="699"/>
      <c r="AS1116" s="699"/>
      <c r="AT1116" s="699"/>
      <c r="AU1116" s="699"/>
      <c r="AV1116" s="699"/>
      <c r="AW1116" s="699"/>
      <c r="AX1116" s="700"/>
      <c r="AY1116" s="700"/>
      <c r="AZ1116" s="701"/>
    </row>
    <row r="1117" spans="1:52" ht="30.75" thickBot="1">
      <c r="A1117" s="67">
        <f t="shared" si="625"/>
        <v>44894</v>
      </c>
      <c r="B1117" s="155"/>
      <c r="C1117" s="155"/>
      <c r="D1117" s="155"/>
      <c r="E1117" s="155"/>
      <c r="F1117" s="155"/>
      <c r="G1117" s="155"/>
      <c r="H1117" s="155"/>
      <c r="I1117" s="155"/>
      <c r="J1117" s="155"/>
      <c r="K1117" s="155"/>
      <c r="L1117" s="155"/>
      <c r="M1117" s="155"/>
      <c r="N1117" s="155"/>
      <c r="O1117" s="155"/>
      <c r="P1117" s="155"/>
      <c r="Q1117" s="155"/>
      <c r="R1117" s="156"/>
      <c r="S1117" s="180"/>
      <c r="T1117" s="838"/>
      <c r="U1117" s="838"/>
      <c r="V1117" s="838"/>
      <c r="W1117" s="838"/>
      <c r="X1117" s="838"/>
      <c r="Y1117" s="255">
        <f t="shared" si="621"/>
        <v>0</v>
      </c>
      <c r="Z1117" s="309">
        <f t="shared" si="624"/>
        <v>0</v>
      </c>
      <c r="AA1117" s="256">
        <f t="shared" si="622"/>
        <v>0</v>
      </c>
      <c r="AB1117" s="309"/>
      <c r="AC1117" s="309"/>
      <c r="AD1117" s="320">
        <f t="shared" si="623"/>
        <v>0</v>
      </c>
      <c r="AH1117" s="64">
        <f>AH1116+1</f>
        <v>43402</v>
      </c>
      <c r="AI1117" s="698"/>
      <c r="AJ1117" s="699"/>
      <c r="AK1117" s="699"/>
      <c r="AL1117" s="699"/>
      <c r="AM1117" s="699"/>
      <c r="AN1117" s="699"/>
      <c r="AO1117" s="699"/>
      <c r="AP1117" s="699"/>
      <c r="AQ1117" s="699"/>
      <c r="AR1117" s="699"/>
      <c r="AS1117" s="699"/>
      <c r="AT1117" s="699"/>
      <c r="AU1117" s="699"/>
      <c r="AV1117" s="699"/>
      <c r="AW1117" s="699"/>
      <c r="AX1117" s="700"/>
      <c r="AY1117" s="700"/>
      <c r="AZ1117" s="701"/>
    </row>
    <row r="1118" spans="1:52" ht="30.75" thickBot="1">
      <c r="A1118" s="67">
        <f t="shared" si="625"/>
        <v>44895</v>
      </c>
      <c r="B1118" s="155"/>
      <c r="C1118" s="155"/>
      <c r="D1118" s="155"/>
      <c r="E1118" s="155"/>
      <c r="F1118" s="155"/>
      <c r="G1118" s="155"/>
      <c r="H1118" s="155"/>
      <c r="I1118" s="155"/>
      <c r="J1118" s="155"/>
      <c r="K1118" s="155"/>
      <c r="L1118" s="155"/>
      <c r="M1118" s="155"/>
      <c r="N1118" s="155"/>
      <c r="O1118" s="155"/>
      <c r="P1118" s="155"/>
      <c r="Q1118" s="155"/>
      <c r="R1118" s="156"/>
      <c r="S1118" s="180"/>
      <c r="T1118" s="838"/>
      <c r="U1118" s="838"/>
      <c r="V1118" s="838"/>
      <c r="W1118" s="838"/>
      <c r="X1118" s="838"/>
      <c r="Y1118" s="255">
        <f t="shared" si="621"/>
        <v>0</v>
      </c>
      <c r="Z1118" s="309">
        <f t="shared" si="624"/>
        <v>0</v>
      </c>
      <c r="AA1118" s="256">
        <f t="shared" si="622"/>
        <v>0</v>
      </c>
      <c r="AB1118" s="309"/>
      <c r="AC1118" s="309"/>
      <c r="AD1118" s="320">
        <f t="shared" si="623"/>
        <v>0</v>
      </c>
      <c r="AH1118" s="64">
        <f t="shared" si="626"/>
        <v>43403</v>
      </c>
      <c r="AI1118" s="698"/>
      <c r="AJ1118" s="699"/>
      <c r="AK1118" s="699"/>
      <c r="AL1118" s="699"/>
      <c r="AM1118" s="699"/>
      <c r="AN1118" s="699"/>
      <c r="AO1118" s="699"/>
      <c r="AP1118" s="699"/>
      <c r="AQ1118" s="699"/>
      <c r="AR1118" s="699"/>
      <c r="AS1118" s="699"/>
      <c r="AT1118" s="699"/>
      <c r="AU1118" s="699"/>
      <c r="AV1118" s="699"/>
      <c r="AW1118" s="699"/>
      <c r="AX1118" s="700"/>
      <c r="AY1118" s="700"/>
      <c r="AZ1118" s="701"/>
    </row>
    <row r="1119" spans="1:52" ht="30.75" thickBot="1">
      <c r="A1119" s="102">
        <f t="shared" si="625"/>
        <v>44896</v>
      </c>
      <c r="B1119" s="165"/>
      <c r="C1119" s="162"/>
      <c r="D1119" s="162"/>
      <c r="E1119" s="162"/>
      <c r="F1119" s="162"/>
      <c r="G1119" s="162"/>
      <c r="H1119" s="162"/>
      <c r="I1119" s="162"/>
      <c r="J1119" s="162"/>
      <c r="K1119" s="162"/>
      <c r="L1119" s="165"/>
      <c r="M1119" s="162"/>
      <c r="N1119" s="162"/>
      <c r="O1119" s="162"/>
      <c r="P1119" s="162"/>
      <c r="Q1119" s="162"/>
      <c r="R1119" s="164"/>
      <c r="S1119" s="181"/>
      <c r="T1119" s="839"/>
      <c r="U1119" s="839"/>
      <c r="V1119" s="839"/>
      <c r="W1119" s="839"/>
      <c r="X1119" s="839"/>
      <c r="Y1119" s="255">
        <f t="shared" si="621"/>
        <v>0</v>
      </c>
      <c r="Z1119" s="309">
        <f t="shared" si="624"/>
        <v>0</v>
      </c>
      <c r="AA1119" s="256">
        <f t="shared" si="622"/>
        <v>0</v>
      </c>
      <c r="AB1119" s="309"/>
      <c r="AC1119" s="309"/>
      <c r="AD1119" s="320">
        <f t="shared" si="623"/>
        <v>0</v>
      </c>
      <c r="AH1119" s="65">
        <f t="shared" si="626"/>
        <v>43404</v>
      </c>
      <c r="AI1119" s="702"/>
      <c r="AJ1119" s="703"/>
      <c r="AK1119" s="703"/>
      <c r="AL1119" s="703"/>
      <c r="AM1119" s="703"/>
      <c r="AN1119" s="703"/>
      <c r="AO1119" s="703"/>
      <c r="AP1119" s="703"/>
      <c r="AQ1119" s="703"/>
      <c r="AR1119" s="703"/>
      <c r="AS1119" s="703"/>
      <c r="AT1119" s="703"/>
      <c r="AU1119" s="703"/>
      <c r="AV1119" s="703"/>
      <c r="AW1119" s="703"/>
      <c r="AX1119" s="704"/>
      <c r="AY1119" s="704"/>
      <c r="AZ1119" s="705"/>
    </row>
    <row r="1120" spans="1:52" ht="50.1" customHeight="1" thickTop="1" thickBot="1">
      <c r="A1120" s="96" t="s">
        <v>74</v>
      </c>
      <c r="B1120" s="104">
        <f>SUM(B1089:B1119)</f>
        <v>0</v>
      </c>
      <c r="C1120" s="104">
        <f t="shared" ref="C1120:Y1120" si="628">SUM(C1089:C1119)</f>
        <v>0</v>
      </c>
      <c r="D1120" s="104">
        <f t="shared" si="628"/>
        <v>0</v>
      </c>
      <c r="E1120" s="104"/>
      <c r="F1120" s="104">
        <f t="shared" si="628"/>
        <v>0</v>
      </c>
      <c r="G1120" s="104">
        <f t="shared" si="628"/>
        <v>0</v>
      </c>
      <c r="H1120" s="104">
        <f t="shared" si="628"/>
        <v>0</v>
      </c>
      <c r="I1120" s="104">
        <f t="shared" si="628"/>
        <v>0</v>
      </c>
      <c r="J1120" s="104">
        <f t="shared" si="628"/>
        <v>0</v>
      </c>
      <c r="K1120" s="104">
        <f t="shared" si="628"/>
        <v>0</v>
      </c>
      <c r="L1120" s="104">
        <f t="shared" si="628"/>
        <v>0</v>
      </c>
      <c r="M1120" s="104">
        <f t="shared" si="628"/>
        <v>0</v>
      </c>
      <c r="N1120" s="104">
        <f t="shared" si="628"/>
        <v>0</v>
      </c>
      <c r="O1120" s="104">
        <f t="shared" si="628"/>
        <v>0</v>
      </c>
      <c r="P1120" s="104"/>
      <c r="Q1120" s="104">
        <f t="shared" si="628"/>
        <v>0</v>
      </c>
      <c r="R1120" s="104">
        <f t="shared" si="628"/>
        <v>0</v>
      </c>
      <c r="S1120" s="104">
        <f t="shared" si="628"/>
        <v>0</v>
      </c>
      <c r="T1120" s="104"/>
      <c r="U1120" s="104"/>
      <c r="V1120" s="104"/>
      <c r="W1120" s="104"/>
      <c r="X1120" s="104"/>
      <c r="Y1120" s="292">
        <f t="shared" si="628"/>
        <v>0</v>
      </c>
      <c r="Z1120" s="259"/>
      <c r="AA1120" s="259"/>
      <c r="AB1120" s="316">
        <f>SUM(AB1089:AB1119)</f>
        <v>0</v>
      </c>
      <c r="AC1120" s="316"/>
      <c r="AD1120" s="260"/>
      <c r="AH1120" s="706" t="s">
        <v>101</v>
      </c>
      <c r="AI1120" s="707">
        <f>SUM(AI1089:AI1119)</f>
        <v>0</v>
      </c>
      <c r="AJ1120" s="707">
        <f>SUM(AJ1089:AJ1119)</f>
        <v>0</v>
      </c>
      <c r="AK1120" s="707">
        <f t="shared" ref="AK1120:AZ1120" si="629">SUM(AK1089:AK1119)</f>
        <v>0</v>
      </c>
      <c r="AL1120" s="707">
        <f t="shared" si="629"/>
        <v>0</v>
      </c>
      <c r="AM1120" s="707">
        <f t="shared" si="629"/>
        <v>0</v>
      </c>
      <c r="AN1120" s="707">
        <f t="shared" si="629"/>
        <v>0</v>
      </c>
      <c r="AO1120" s="707">
        <f t="shared" si="629"/>
        <v>0</v>
      </c>
      <c r="AP1120" s="707">
        <f t="shared" si="629"/>
        <v>0</v>
      </c>
      <c r="AQ1120" s="707">
        <f t="shared" si="629"/>
        <v>0</v>
      </c>
      <c r="AR1120" s="707">
        <f t="shared" si="629"/>
        <v>0</v>
      </c>
      <c r="AS1120" s="707">
        <f t="shared" si="629"/>
        <v>0</v>
      </c>
      <c r="AT1120" s="707">
        <f t="shared" si="629"/>
        <v>0</v>
      </c>
      <c r="AU1120" s="707">
        <f t="shared" si="629"/>
        <v>0</v>
      </c>
      <c r="AV1120" s="707">
        <f t="shared" si="629"/>
        <v>0</v>
      </c>
      <c r="AW1120" s="707">
        <f t="shared" si="629"/>
        <v>0</v>
      </c>
      <c r="AX1120" s="707">
        <f t="shared" si="629"/>
        <v>0</v>
      </c>
      <c r="AY1120" s="707">
        <f t="shared" si="629"/>
        <v>0</v>
      </c>
      <c r="AZ1120" s="707">
        <f t="shared" si="629"/>
        <v>0</v>
      </c>
    </row>
    <row r="1121" spans="1:52" ht="27.75" thickTop="1" thickBot="1">
      <c r="AH1121" s="706" t="s">
        <v>45</v>
      </c>
      <c r="AI1121" s="707">
        <v>220</v>
      </c>
      <c r="AJ1121" s="707">
        <v>220</v>
      </c>
      <c r="AK1121" s="707">
        <v>220</v>
      </c>
      <c r="AL1121" s="707">
        <v>100</v>
      </c>
      <c r="AM1121" s="707">
        <v>100</v>
      </c>
      <c r="AN1121" s="707">
        <v>80</v>
      </c>
      <c r="AO1121" s="707">
        <v>25</v>
      </c>
      <c r="AP1121" s="707">
        <v>25</v>
      </c>
      <c r="AQ1121" s="707">
        <v>25</v>
      </c>
      <c r="AR1121" s="707">
        <v>400</v>
      </c>
      <c r="AS1121" s="707">
        <v>400</v>
      </c>
      <c r="AT1121" s="707">
        <v>400</v>
      </c>
      <c r="AU1121" s="707">
        <v>0</v>
      </c>
      <c r="AV1121" s="707">
        <v>0</v>
      </c>
      <c r="AW1121" s="707">
        <v>200</v>
      </c>
      <c r="AX1121" s="707">
        <v>200</v>
      </c>
      <c r="AY1121" s="707">
        <v>0</v>
      </c>
      <c r="AZ1121" s="707">
        <v>0</v>
      </c>
    </row>
    <row r="1122" spans="1:52" ht="27.75" thickTop="1" thickBot="1">
      <c r="AH1122" s="706" t="s">
        <v>46</v>
      </c>
      <c r="AI1122" s="707">
        <f>AI1120*AI1121</f>
        <v>0</v>
      </c>
      <c r="AJ1122" s="707">
        <f t="shared" ref="AJ1122" si="630">AJ1120*AJ1121</f>
        <v>0</v>
      </c>
      <c r="AK1122" s="707">
        <f t="shared" ref="AK1122" si="631">AK1120*AK1121</f>
        <v>0</v>
      </c>
      <c r="AL1122" s="707">
        <f t="shared" ref="AL1122" si="632">AL1120*AL1121</f>
        <v>0</v>
      </c>
      <c r="AM1122" s="707">
        <f t="shared" ref="AM1122" si="633">AM1120*AM1121</f>
        <v>0</v>
      </c>
      <c r="AN1122" s="707">
        <f t="shared" ref="AN1122" si="634">AN1120*AN1121</f>
        <v>0</v>
      </c>
      <c r="AO1122" s="707">
        <f t="shared" ref="AO1122" si="635">AO1120*AO1121</f>
        <v>0</v>
      </c>
      <c r="AP1122" s="707">
        <f t="shared" ref="AP1122" si="636">AP1120*AP1121</f>
        <v>0</v>
      </c>
      <c r="AQ1122" s="707">
        <f t="shared" ref="AQ1122" si="637">AQ1120*AQ1121</f>
        <v>0</v>
      </c>
      <c r="AR1122" s="707">
        <f t="shared" ref="AR1122" si="638">AR1120*AR1121</f>
        <v>0</v>
      </c>
      <c r="AS1122" s="707">
        <f t="shared" ref="AS1122" si="639">AS1120*AS1121</f>
        <v>0</v>
      </c>
      <c r="AT1122" s="707">
        <f t="shared" ref="AT1122" si="640">AT1120*AT1121</f>
        <v>0</v>
      </c>
      <c r="AU1122" s="707">
        <f t="shared" ref="AU1122" si="641">AU1120*AU1121</f>
        <v>0</v>
      </c>
      <c r="AV1122" s="707">
        <f t="shared" ref="AV1122" si="642">AV1120*AV1121</f>
        <v>0</v>
      </c>
      <c r="AW1122" s="707">
        <f t="shared" ref="AW1122" si="643">AW1120*AW1121</f>
        <v>0</v>
      </c>
      <c r="AX1122" s="707">
        <f t="shared" ref="AX1122" si="644">AX1120*AX1121</f>
        <v>0</v>
      </c>
      <c r="AY1122" s="707">
        <f t="shared" ref="AY1122" si="645">AY1120*AY1121</f>
        <v>0</v>
      </c>
      <c r="AZ1122" s="707">
        <f t="shared" ref="AZ1122" si="646">AZ1120*AZ1121</f>
        <v>0</v>
      </c>
    </row>
    <row r="1123" spans="1:52" ht="24.75" thickTop="1" thickBot="1"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714">
        <f>SUM(AI1122:AZ1122)</f>
        <v>0</v>
      </c>
    </row>
    <row r="1124" spans="1:52" ht="43.5" thickBot="1">
      <c r="A1124" s="109">
        <f>A5</f>
        <v>2022</v>
      </c>
      <c r="B1124" s="1447"/>
      <c r="C1124" s="1448"/>
      <c r="D1124" s="1448"/>
      <c r="E1124" s="1448"/>
      <c r="F1124" s="1448"/>
      <c r="G1124" s="1448"/>
      <c r="H1124" s="1448"/>
      <c r="I1124" s="1448"/>
      <c r="J1124" s="1448"/>
      <c r="K1124" s="1448"/>
      <c r="L1124" s="1448"/>
      <c r="M1124" s="1448"/>
      <c r="N1124" s="1448"/>
      <c r="O1124" s="1448"/>
      <c r="P1124" s="1448"/>
      <c r="Q1124" s="1448"/>
      <c r="R1124" s="1448"/>
      <c r="S1124" s="1448"/>
      <c r="T1124" s="1448"/>
      <c r="U1124" s="1448"/>
      <c r="V1124" s="1448"/>
      <c r="W1124" s="1448"/>
      <c r="X1124" s="1448"/>
      <c r="Y1124" s="1449"/>
      <c r="Z1124" s="21"/>
      <c r="AA1124" s="21"/>
      <c r="AB1124" s="21"/>
      <c r="AC1124" s="2"/>
      <c r="AD1124" t="s">
        <v>1</v>
      </c>
      <c r="AH1124" s="109">
        <v>2018</v>
      </c>
      <c r="AI1124" s="1424">
        <f>B1124</f>
        <v>0</v>
      </c>
      <c r="AJ1124" s="1425"/>
      <c r="AK1124" s="1425"/>
      <c r="AL1124" s="1425"/>
      <c r="AM1124" s="1425"/>
      <c r="AN1124" s="1425"/>
      <c r="AO1124" s="1425"/>
      <c r="AP1124" s="1425"/>
      <c r="AQ1124" s="1425"/>
      <c r="AR1124" s="1425"/>
      <c r="AS1124" s="1425"/>
      <c r="AT1124" s="1425"/>
      <c r="AU1124" s="1425"/>
      <c r="AV1124" s="1425"/>
      <c r="AW1124" s="1425"/>
      <c r="AX1124" s="1425"/>
      <c r="AY1124" s="1425"/>
      <c r="AZ1124" s="1425"/>
    </row>
    <row r="1125" spans="1:52" ht="60" customHeight="1" thickTop="1" thickBot="1">
      <c r="A1125" s="1468" t="s">
        <v>94</v>
      </c>
      <c r="B1125" s="1402" t="s">
        <v>95</v>
      </c>
      <c r="C1125" s="1403"/>
      <c r="D1125" s="1403"/>
      <c r="E1125" s="1404"/>
      <c r="F1125" s="1402" t="s">
        <v>7</v>
      </c>
      <c r="G1125" s="1403"/>
      <c r="H1125" s="1404"/>
      <c r="I1125" s="1402" t="s">
        <v>8</v>
      </c>
      <c r="J1125" s="1404"/>
      <c r="K1125" s="1402" t="s">
        <v>9</v>
      </c>
      <c r="L1125" s="1403"/>
      <c r="M1125" s="1403"/>
      <c r="N1125" s="1403"/>
      <c r="O1125" s="1403"/>
      <c r="P1125" s="1403"/>
      <c r="Q1125" s="1403"/>
      <c r="R1125" s="1405" t="s">
        <v>10</v>
      </c>
      <c r="S1125" s="1406"/>
      <c r="T1125" s="1400" t="s">
        <v>289</v>
      </c>
      <c r="U1125" s="1401"/>
      <c r="V1125" s="842" t="s">
        <v>258</v>
      </c>
      <c r="W1125" s="842"/>
      <c r="X1125" s="842"/>
      <c r="Y1125" s="211"/>
      <c r="Z1125" s="21"/>
      <c r="AA1125" s="21"/>
      <c r="AB1125" s="21"/>
      <c r="AC1125" s="21"/>
      <c r="AH1125" s="1422" t="s">
        <v>94</v>
      </c>
      <c r="AI1125" s="1402" t="s">
        <v>95</v>
      </c>
      <c r="AJ1125" s="1403"/>
      <c r="AK1125" s="1404"/>
      <c r="AL1125" s="1402" t="s">
        <v>7</v>
      </c>
      <c r="AM1125" s="1403"/>
      <c r="AN1125" s="1404"/>
      <c r="AO1125" s="1402" t="s">
        <v>8</v>
      </c>
      <c r="AP1125" s="1403"/>
      <c r="AQ1125" s="1404"/>
      <c r="AR1125" s="1402" t="s">
        <v>9</v>
      </c>
      <c r="AS1125" s="1403"/>
      <c r="AT1125" s="1404"/>
      <c r="AU1125" s="1403" t="s">
        <v>9</v>
      </c>
      <c r="AV1125" s="1404"/>
      <c r="AW1125" s="1429" t="s">
        <v>10</v>
      </c>
      <c r="AX1125" s="1430"/>
      <c r="AY1125" s="690"/>
      <c r="AZ1125" s="404" t="s">
        <v>11</v>
      </c>
    </row>
    <row r="1126" spans="1:52" ht="42" thickTop="1" thickBot="1">
      <c r="A1126" s="1428"/>
      <c r="B1126" s="482" t="s">
        <v>12</v>
      </c>
      <c r="C1126" s="482" t="s">
        <v>13</v>
      </c>
      <c r="D1126" s="482" t="s">
        <v>14</v>
      </c>
      <c r="E1126" s="688" t="s">
        <v>198</v>
      </c>
      <c r="F1126" s="482" t="s">
        <v>12</v>
      </c>
      <c r="G1126" s="482" t="s">
        <v>13</v>
      </c>
      <c r="H1126" s="482" t="s">
        <v>282</v>
      </c>
      <c r="I1126" s="482" t="s">
        <v>12</v>
      </c>
      <c r="J1126" s="482" t="s">
        <v>16</v>
      </c>
      <c r="K1126" s="482" t="s">
        <v>17</v>
      </c>
      <c r="L1126" s="482" t="s">
        <v>18</v>
      </c>
      <c r="M1126" s="482" t="s">
        <v>19</v>
      </c>
      <c r="N1126" s="484" t="s">
        <v>96</v>
      </c>
      <c r="O1126" s="484" t="s">
        <v>257</v>
      </c>
      <c r="P1126" s="484" t="s">
        <v>254</v>
      </c>
      <c r="Q1126" s="484" t="s">
        <v>20</v>
      </c>
      <c r="R1126" s="483" t="s">
        <v>14</v>
      </c>
      <c r="S1126" s="482" t="s">
        <v>13</v>
      </c>
      <c r="T1126" s="846" t="s">
        <v>284</v>
      </c>
      <c r="U1126" s="846" t="s">
        <v>288</v>
      </c>
      <c r="V1126" s="484" t="s">
        <v>259</v>
      </c>
      <c r="W1126" s="484"/>
      <c r="X1126" s="484"/>
      <c r="Y1126" s="209" t="s">
        <v>90</v>
      </c>
      <c r="Z1126" s="210" t="s">
        <v>97</v>
      </c>
      <c r="AA1126" s="210" t="s">
        <v>74</v>
      </c>
      <c r="AB1126" s="210" t="s">
        <v>98</v>
      </c>
      <c r="AC1126" s="210" t="s">
        <v>99</v>
      </c>
      <c r="AD1126" s="210" t="s">
        <v>100</v>
      </c>
      <c r="AH1126" s="1428"/>
      <c r="AI1126" s="482" t="s">
        <v>12</v>
      </c>
      <c r="AJ1126" s="482" t="s">
        <v>13</v>
      </c>
      <c r="AK1126" s="482" t="s">
        <v>14</v>
      </c>
      <c r="AL1126" s="482" t="s">
        <v>12</v>
      </c>
      <c r="AM1126" s="482" t="s">
        <v>13</v>
      </c>
      <c r="AN1126" s="482" t="s">
        <v>15</v>
      </c>
      <c r="AO1126" s="482" t="s">
        <v>12</v>
      </c>
      <c r="AP1126" s="482" t="s">
        <v>205</v>
      </c>
      <c r="AQ1126" s="482" t="s">
        <v>16</v>
      </c>
      <c r="AR1126" s="482" t="s">
        <v>17</v>
      </c>
      <c r="AS1126" s="482" t="s">
        <v>18</v>
      </c>
      <c r="AT1126" s="482" t="s">
        <v>19</v>
      </c>
      <c r="AU1126" s="482" t="s">
        <v>201</v>
      </c>
      <c r="AV1126" s="482" t="s">
        <v>20</v>
      </c>
      <c r="AW1126" s="482" t="s">
        <v>12</v>
      </c>
      <c r="AX1126" s="483" t="s">
        <v>13</v>
      </c>
      <c r="AY1126" s="688" t="s">
        <v>198</v>
      </c>
      <c r="AZ1126" s="484" t="s">
        <v>96</v>
      </c>
    </row>
    <row r="1127" spans="1:52" ht="30.75" thickBot="1">
      <c r="A1127" s="67">
        <f>A1089</f>
        <v>44866</v>
      </c>
      <c r="B1127" s="153"/>
      <c r="C1127" s="153"/>
      <c r="D1127" s="153"/>
      <c r="E1127" s="153"/>
      <c r="F1127" s="153"/>
      <c r="G1127" s="153"/>
      <c r="H1127" s="153"/>
      <c r="I1127" s="153"/>
      <c r="J1127" s="153"/>
      <c r="K1127" s="153"/>
      <c r="L1127" s="153"/>
      <c r="M1127" s="153"/>
      <c r="N1127" s="153"/>
      <c r="O1127" s="153"/>
      <c r="P1127" s="153"/>
      <c r="Q1127" s="153"/>
      <c r="R1127" s="154"/>
      <c r="S1127" s="179"/>
      <c r="T1127" s="837"/>
      <c r="U1127" s="837"/>
      <c r="V1127" s="837"/>
      <c r="W1127" s="837"/>
      <c r="X1127" s="837"/>
      <c r="Y1127" s="255">
        <f>B1127*280+C1127*280+D1127*280+E1127*280+F1127*130+G1127*130+H1127*90+I1127*35+J1127*35+K1127*400+L1127*400+M1127*400+N1127*381.25+O1127*387.5+P1127*80+Q1127*200+R1127*260+S1127*41+T1127*30+U1127*60</f>
        <v>0</v>
      </c>
      <c r="Z1127" s="308"/>
      <c r="AA1127" s="263">
        <f t="shared" ref="AA1127:AA1157" si="647">Y1127+Z1127</f>
        <v>0</v>
      </c>
      <c r="AB1127" s="308"/>
      <c r="AC1127" s="308"/>
      <c r="AD1127" s="319">
        <f t="shared" ref="AD1127:AD1157" si="648">AA1127-AB1127-AC1127</f>
        <v>0</v>
      </c>
      <c r="AF1127" t="s">
        <v>1</v>
      </c>
      <c r="AH1127" s="63">
        <f>AH1089</f>
        <v>43374</v>
      </c>
      <c r="AI1127" s="694"/>
      <c r="AJ1127" s="695"/>
      <c r="AK1127" s="695"/>
      <c r="AL1127" s="695"/>
      <c r="AM1127" s="695"/>
      <c r="AN1127" s="695"/>
      <c r="AO1127" s="695"/>
      <c r="AP1127" s="695"/>
      <c r="AQ1127" s="695"/>
      <c r="AR1127" s="695"/>
      <c r="AS1127" s="695"/>
      <c r="AT1127" s="695"/>
      <c r="AU1127" s="695"/>
      <c r="AV1127" s="695"/>
      <c r="AW1127" s="695"/>
      <c r="AX1127" s="696"/>
      <c r="AY1127" s="696"/>
      <c r="AZ1127" s="697"/>
    </row>
    <row r="1128" spans="1:52" ht="30.75" thickBot="1">
      <c r="A1128" s="67">
        <f>A1127+1</f>
        <v>44867</v>
      </c>
      <c r="B1128" s="155"/>
      <c r="C1128" s="155"/>
      <c r="D1128" s="155"/>
      <c r="E1128" s="155"/>
      <c r="F1128" s="155"/>
      <c r="G1128" s="155"/>
      <c r="H1128" s="155"/>
      <c r="I1128" s="155"/>
      <c r="J1128" s="155"/>
      <c r="K1128" s="155"/>
      <c r="L1128" s="155"/>
      <c r="M1128" s="155"/>
      <c r="N1128" s="155"/>
      <c r="O1128" s="155"/>
      <c r="P1128" s="155"/>
      <c r="Q1128" s="155"/>
      <c r="R1128" s="156"/>
      <c r="S1128" s="180"/>
      <c r="T1128" s="838"/>
      <c r="U1128" s="838"/>
      <c r="V1128" s="838"/>
      <c r="W1128" s="838"/>
      <c r="X1128" s="838"/>
      <c r="Y1128" s="255">
        <f t="shared" ref="Y1128:Y1157" si="649">B1128*280+C1128*280+D1128*280+E1128*280+F1128*130+G1128*130+H1128*90+I1128*35+J1128*35+K1128*400+L1128*400+M1128*400+N1128*381.25+O1128*387.5+P1128*80+Q1128*200+R1128*260+S1128*41+T1128*30+U1128*60</f>
        <v>0</v>
      </c>
      <c r="Z1128" s="309">
        <f t="shared" ref="Z1128:Z1157" si="650">AD1127</f>
        <v>0</v>
      </c>
      <c r="AA1128" s="256">
        <f t="shared" si="647"/>
        <v>0</v>
      </c>
      <c r="AB1128" s="309"/>
      <c r="AC1128" s="309"/>
      <c r="AD1128" s="320">
        <f t="shared" si="648"/>
        <v>0</v>
      </c>
      <c r="AH1128" s="64">
        <f>AH1127+1</f>
        <v>43375</v>
      </c>
      <c r="AI1128" s="698"/>
      <c r="AJ1128" s="699"/>
      <c r="AK1128" s="699"/>
      <c r="AL1128" s="699"/>
      <c r="AM1128" s="699"/>
      <c r="AN1128" s="699"/>
      <c r="AO1128" s="699"/>
      <c r="AP1128" s="699"/>
      <c r="AQ1128" s="699"/>
      <c r="AR1128" s="699"/>
      <c r="AS1128" s="699"/>
      <c r="AT1128" s="699"/>
      <c r="AU1128" s="699"/>
      <c r="AV1128" s="699"/>
      <c r="AW1128" s="699"/>
      <c r="AX1128" s="700"/>
      <c r="AY1128" s="700"/>
      <c r="AZ1128" s="701"/>
    </row>
    <row r="1129" spans="1:52" ht="30.75" thickBot="1">
      <c r="A1129" s="67">
        <f t="shared" ref="A1129:A1157" si="651">A1128+1</f>
        <v>44868</v>
      </c>
      <c r="B1129" s="155"/>
      <c r="C1129" s="155"/>
      <c r="D1129" s="155"/>
      <c r="E1129" s="155"/>
      <c r="F1129" s="155"/>
      <c r="G1129" s="155"/>
      <c r="H1129" s="155"/>
      <c r="I1129" s="155"/>
      <c r="J1129" s="155"/>
      <c r="K1129" s="155"/>
      <c r="L1129" s="155"/>
      <c r="M1129" s="155"/>
      <c r="N1129" s="155"/>
      <c r="O1129" s="155"/>
      <c r="P1129" s="155"/>
      <c r="Q1129" s="155"/>
      <c r="R1129" s="156"/>
      <c r="S1129" s="180"/>
      <c r="T1129" s="838"/>
      <c r="U1129" s="838"/>
      <c r="V1129" s="838"/>
      <c r="W1129" s="838"/>
      <c r="X1129" s="838"/>
      <c r="Y1129" s="255">
        <f t="shared" si="649"/>
        <v>0</v>
      </c>
      <c r="Z1129" s="309">
        <f t="shared" si="650"/>
        <v>0</v>
      </c>
      <c r="AA1129" s="256">
        <f t="shared" si="647"/>
        <v>0</v>
      </c>
      <c r="AB1129" s="309"/>
      <c r="AC1129" s="309"/>
      <c r="AD1129" s="320">
        <f t="shared" si="648"/>
        <v>0</v>
      </c>
      <c r="AH1129" s="64">
        <f t="shared" ref="AH1129:AH1157" si="652">AH1128+1</f>
        <v>43376</v>
      </c>
      <c r="AI1129" s="698"/>
      <c r="AJ1129" s="699"/>
      <c r="AK1129" s="699"/>
      <c r="AL1129" s="699"/>
      <c r="AM1129" s="699"/>
      <c r="AN1129" s="699"/>
      <c r="AO1129" s="699"/>
      <c r="AP1129" s="699"/>
      <c r="AQ1129" s="699"/>
      <c r="AR1129" s="699"/>
      <c r="AS1129" s="699"/>
      <c r="AT1129" s="699"/>
      <c r="AU1129" s="699"/>
      <c r="AV1129" s="699"/>
      <c r="AW1129" s="699"/>
      <c r="AX1129" s="700"/>
      <c r="AY1129" s="700"/>
      <c r="AZ1129" s="701"/>
    </row>
    <row r="1130" spans="1:52" ht="30.75" thickBot="1">
      <c r="A1130" s="67">
        <f t="shared" si="651"/>
        <v>44869</v>
      </c>
      <c r="B1130" s="155"/>
      <c r="C1130" s="155"/>
      <c r="D1130" s="155"/>
      <c r="E1130" s="155"/>
      <c r="F1130" s="155"/>
      <c r="G1130" s="155"/>
      <c r="H1130" s="155"/>
      <c r="I1130" s="155"/>
      <c r="J1130" s="155"/>
      <c r="K1130" s="155"/>
      <c r="L1130" s="155"/>
      <c r="M1130" s="155"/>
      <c r="N1130" s="155"/>
      <c r="O1130" s="155"/>
      <c r="P1130" s="155"/>
      <c r="Q1130" s="155"/>
      <c r="R1130" s="156"/>
      <c r="S1130" s="180"/>
      <c r="T1130" s="838"/>
      <c r="U1130" s="838"/>
      <c r="V1130" s="838"/>
      <c r="W1130" s="838"/>
      <c r="X1130" s="838"/>
      <c r="Y1130" s="255">
        <f t="shared" si="649"/>
        <v>0</v>
      </c>
      <c r="Z1130" s="309">
        <f t="shared" si="650"/>
        <v>0</v>
      </c>
      <c r="AA1130" s="256">
        <f t="shared" si="647"/>
        <v>0</v>
      </c>
      <c r="AB1130" s="309"/>
      <c r="AC1130" s="309"/>
      <c r="AD1130" s="320">
        <f t="shared" si="648"/>
        <v>0</v>
      </c>
      <c r="AH1130" s="64">
        <f t="shared" si="652"/>
        <v>43377</v>
      </c>
      <c r="AI1130" s="698"/>
      <c r="AJ1130" s="699"/>
      <c r="AK1130" s="699"/>
      <c r="AL1130" s="699"/>
      <c r="AM1130" s="699"/>
      <c r="AN1130" s="699"/>
      <c r="AO1130" s="699"/>
      <c r="AP1130" s="699"/>
      <c r="AQ1130" s="699"/>
      <c r="AR1130" s="699"/>
      <c r="AS1130" s="699"/>
      <c r="AT1130" s="699"/>
      <c r="AU1130" s="699"/>
      <c r="AV1130" s="699"/>
      <c r="AW1130" s="699"/>
      <c r="AX1130" s="700"/>
      <c r="AY1130" s="700"/>
      <c r="AZ1130" s="701"/>
    </row>
    <row r="1131" spans="1:52" ht="30.75" thickBot="1">
      <c r="A1131" s="67">
        <f t="shared" si="651"/>
        <v>44870</v>
      </c>
      <c r="B1131" s="155"/>
      <c r="C1131" s="155"/>
      <c r="D1131" s="155"/>
      <c r="E1131" s="155"/>
      <c r="F1131" s="155"/>
      <c r="G1131" s="155"/>
      <c r="H1131" s="155"/>
      <c r="I1131" s="155"/>
      <c r="J1131" s="155"/>
      <c r="K1131" s="155"/>
      <c r="L1131" s="155"/>
      <c r="M1131" s="155"/>
      <c r="N1131" s="155"/>
      <c r="O1131" s="155"/>
      <c r="P1131" s="155"/>
      <c r="Q1131" s="155"/>
      <c r="R1131" s="156"/>
      <c r="S1131" s="180"/>
      <c r="T1131" s="838"/>
      <c r="U1131" s="838"/>
      <c r="V1131" s="838"/>
      <c r="W1131" s="838"/>
      <c r="X1131" s="838"/>
      <c r="Y1131" s="255">
        <f t="shared" si="649"/>
        <v>0</v>
      </c>
      <c r="Z1131" s="309">
        <f t="shared" si="650"/>
        <v>0</v>
      </c>
      <c r="AA1131" s="256">
        <f t="shared" si="647"/>
        <v>0</v>
      </c>
      <c r="AB1131" s="309"/>
      <c r="AC1131" s="309"/>
      <c r="AD1131" s="320">
        <f t="shared" si="648"/>
        <v>0</v>
      </c>
      <c r="AH1131" s="64">
        <f t="shared" si="652"/>
        <v>43378</v>
      </c>
      <c r="AI1131" s="698"/>
      <c r="AJ1131" s="699"/>
      <c r="AK1131" s="699"/>
      <c r="AL1131" s="699"/>
      <c r="AM1131" s="699"/>
      <c r="AN1131" s="699"/>
      <c r="AO1131" s="699"/>
      <c r="AP1131" s="699"/>
      <c r="AQ1131" s="699"/>
      <c r="AR1131" s="699"/>
      <c r="AS1131" s="699"/>
      <c r="AT1131" s="699"/>
      <c r="AU1131" s="699"/>
      <c r="AV1131" s="699"/>
      <c r="AW1131" s="699"/>
      <c r="AX1131" s="700"/>
      <c r="AY1131" s="700"/>
      <c r="AZ1131" s="701"/>
    </row>
    <row r="1132" spans="1:52" ht="30.75" thickBot="1">
      <c r="A1132" s="67">
        <f t="shared" si="651"/>
        <v>44871</v>
      </c>
      <c r="B1132" s="155"/>
      <c r="C1132" s="155"/>
      <c r="D1132" s="155"/>
      <c r="E1132" s="155"/>
      <c r="F1132" s="155"/>
      <c r="G1132" s="155"/>
      <c r="H1132" s="155"/>
      <c r="I1132" s="155"/>
      <c r="J1132" s="155"/>
      <c r="K1132" s="155"/>
      <c r="L1132" s="155"/>
      <c r="M1132" s="155"/>
      <c r="N1132" s="155"/>
      <c r="O1132" s="155"/>
      <c r="P1132" s="155"/>
      <c r="Q1132" s="155"/>
      <c r="R1132" s="156"/>
      <c r="S1132" s="180"/>
      <c r="T1132" s="838"/>
      <c r="U1132" s="838"/>
      <c r="V1132" s="838"/>
      <c r="W1132" s="838"/>
      <c r="X1132" s="838"/>
      <c r="Y1132" s="255">
        <f t="shared" si="649"/>
        <v>0</v>
      </c>
      <c r="Z1132" s="309">
        <f t="shared" si="650"/>
        <v>0</v>
      </c>
      <c r="AA1132" s="256">
        <f t="shared" si="647"/>
        <v>0</v>
      </c>
      <c r="AB1132" s="309"/>
      <c r="AC1132" s="309"/>
      <c r="AD1132" s="320">
        <f t="shared" si="648"/>
        <v>0</v>
      </c>
      <c r="AH1132" s="64">
        <f t="shared" si="652"/>
        <v>43379</v>
      </c>
      <c r="AI1132" s="698"/>
      <c r="AJ1132" s="699"/>
      <c r="AK1132" s="699"/>
      <c r="AL1132" s="699"/>
      <c r="AM1132" s="699"/>
      <c r="AN1132" s="699"/>
      <c r="AO1132" s="699"/>
      <c r="AP1132" s="699"/>
      <c r="AQ1132" s="699"/>
      <c r="AR1132" s="699"/>
      <c r="AS1132" s="699"/>
      <c r="AT1132" s="699"/>
      <c r="AU1132" s="699"/>
      <c r="AV1132" s="699"/>
      <c r="AW1132" s="699"/>
      <c r="AX1132" s="700"/>
      <c r="AY1132" s="700"/>
      <c r="AZ1132" s="701"/>
    </row>
    <row r="1133" spans="1:52" ht="30.75" thickBot="1">
      <c r="A1133" s="67">
        <f t="shared" si="651"/>
        <v>44872</v>
      </c>
      <c r="B1133" s="155"/>
      <c r="C1133" s="155"/>
      <c r="D1133" s="155"/>
      <c r="E1133" s="155"/>
      <c r="F1133" s="155"/>
      <c r="G1133" s="155"/>
      <c r="H1133" s="155"/>
      <c r="I1133" s="155"/>
      <c r="J1133" s="155"/>
      <c r="K1133" s="155"/>
      <c r="L1133" s="155"/>
      <c r="M1133" s="155"/>
      <c r="N1133" s="155"/>
      <c r="O1133" s="155"/>
      <c r="P1133" s="155"/>
      <c r="Q1133" s="155"/>
      <c r="R1133" s="156"/>
      <c r="S1133" s="180"/>
      <c r="T1133" s="838"/>
      <c r="U1133" s="838"/>
      <c r="V1133" s="838"/>
      <c r="W1133" s="838"/>
      <c r="X1133" s="838"/>
      <c r="Y1133" s="255">
        <f t="shared" si="649"/>
        <v>0</v>
      </c>
      <c r="Z1133" s="309">
        <f t="shared" si="650"/>
        <v>0</v>
      </c>
      <c r="AA1133" s="256">
        <f t="shared" si="647"/>
        <v>0</v>
      </c>
      <c r="AB1133" s="309"/>
      <c r="AC1133" s="309"/>
      <c r="AD1133" s="320">
        <f t="shared" si="648"/>
        <v>0</v>
      </c>
      <c r="AH1133" s="64">
        <f t="shared" si="652"/>
        <v>43380</v>
      </c>
      <c r="AI1133" s="698"/>
      <c r="AJ1133" s="699"/>
      <c r="AK1133" s="699"/>
      <c r="AL1133" s="699"/>
      <c r="AM1133" s="699"/>
      <c r="AN1133" s="699"/>
      <c r="AO1133" s="699"/>
      <c r="AP1133" s="699"/>
      <c r="AQ1133" s="699"/>
      <c r="AR1133" s="699"/>
      <c r="AS1133" s="699"/>
      <c r="AT1133" s="699"/>
      <c r="AU1133" s="699"/>
      <c r="AV1133" s="699"/>
      <c r="AW1133" s="699"/>
      <c r="AX1133" s="700"/>
      <c r="AY1133" s="700"/>
      <c r="AZ1133" s="701"/>
    </row>
    <row r="1134" spans="1:52" ht="30.75" thickBot="1">
      <c r="A1134" s="67">
        <f t="shared" si="651"/>
        <v>44873</v>
      </c>
      <c r="B1134" s="155"/>
      <c r="C1134" s="155"/>
      <c r="D1134" s="155"/>
      <c r="E1134" s="155"/>
      <c r="F1134" s="155"/>
      <c r="G1134" s="155"/>
      <c r="H1134" s="155"/>
      <c r="I1134" s="155"/>
      <c r="J1134" s="155"/>
      <c r="K1134" s="155"/>
      <c r="L1134" s="155"/>
      <c r="M1134" s="155"/>
      <c r="N1134" s="155"/>
      <c r="O1134" s="155"/>
      <c r="P1134" s="155"/>
      <c r="Q1134" s="155"/>
      <c r="R1134" s="156"/>
      <c r="S1134" s="180"/>
      <c r="T1134" s="838"/>
      <c r="U1134" s="838"/>
      <c r="V1134" s="838"/>
      <c r="W1134" s="838"/>
      <c r="X1134" s="838"/>
      <c r="Y1134" s="255">
        <f t="shared" si="649"/>
        <v>0</v>
      </c>
      <c r="Z1134" s="309">
        <f t="shared" si="650"/>
        <v>0</v>
      </c>
      <c r="AA1134" s="256">
        <f t="shared" si="647"/>
        <v>0</v>
      </c>
      <c r="AB1134" s="309"/>
      <c r="AC1134" s="309"/>
      <c r="AD1134" s="320">
        <f t="shared" si="648"/>
        <v>0</v>
      </c>
      <c r="AH1134" s="64">
        <f t="shared" si="652"/>
        <v>43381</v>
      </c>
      <c r="AI1134" s="698"/>
      <c r="AJ1134" s="699"/>
      <c r="AK1134" s="699"/>
      <c r="AL1134" s="699"/>
      <c r="AM1134" s="699"/>
      <c r="AN1134" s="699"/>
      <c r="AO1134" s="699"/>
      <c r="AP1134" s="699"/>
      <c r="AQ1134" s="699"/>
      <c r="AR1134" s="699"/>
      <c r="AS1134" s="699"/>
      <c r="AT1134" s="699"/>
      <c r="AU1134" s="699"/>
      <c r="AV1134" s="699"/>
      <c r="AW1134" s="699"/>
      <c r="AX1134" s="700"/>
      <c r="AY1134" s="700"/>
      <c r="AZ1134" s="701"/>
    </row>
    <row r="1135" spans="1:52" ht="30.75" thickBot="1">
      <c r="A1135" s="67">
        <f t="shared" si="651"/>
        <v>44874</v>
      </c>
      <c r="B1135" s="155"/>
      <c r="C1135" s="155"/>
      <c r="D1135" s="155"/>
      <c r="E1135" s="155"/>
      <c r="F1135" s="155"/>
      <c r="G1135" s="155"/>
      <c r="H1135" s="155"/>
      <c r="I1135" s="155"/>
      <c r="J1135" s="155"/>
      <c r="K1135" s="155"/>
      <c r="L1135" s="155"/>
      <c r="M1135" s="155"/>
      <c r="N1135" s="155"/>
      <c r="O1135" s="155"/>
      <c r="P1135" s="155"/>
      <c r="Q1135" s="155"/>
      <c r="R1135" s="156"/>
      <c r="S1135" s="180"/>
      <c r="T1135" s="838"/>
      <c r="U1135" s="838"/>
      <c r="V1135" s="838"/>
      <c r="W1135" s="838"/>
      <c r="X1135" s="838"/>
      <c r="Y1135" s="255">
        <f t="shared" si="649"/>
        <v>0</v>
      </c>
      <c r="Z1135" s="309">
        <f t="shared" si="650"/>
        <v>0</v>
      </c>
      <c r="AA1135" s="256">
        <f t="shared" si="647"/>
        <v>0</v>
      </c>
      <c r="AB1135" s="309"/>
      <c r="AC1135" s="309"/>
      <c r="AD1135" s="320">
        <f t="shared" si="648"/>
        <v>0</v>
      </c>
      <c r="AH1135" s="64">
        <f t="shared" si="652"/>
        <v>43382</v>
      </c>
      <c r="AI1135" s="698"/>
      <c r="AJ1135" s="699"/>
      <c r="AK1135" s="699"/>
      <c r="AL1135" s="699"/>
      <c r="AM1135" s="699"/>
      <c r="AN1135" s="699"/>
      <c r="AO1135" s="699"/>
      <c r="AP1135" s="699"/>
      <c r="AQ1135" s="699"/>
      <c r="AR1135" s="699"/>
      <c r="AS1135" s="699"/>
      <c r="AT1135" s="699"/>
      <c r="AU1135" s="699"/>
      <c r="AV1135" s="699"/>
      <c r="AW1135" s="699"/>
      <c r="AX1135" s="700"/>
      <c r="AY1135" s="700"/>
      <c r="AZ1135" s="701"/>
    </row>
    <row r="1136" spans="1:52" ht="30.75" thickBot="1">
      <c r="A1136" s="67">
        <f t="shared" si="651"/>
        <v>44875</v>
      </c>
      <c r="B1136" s="155"/>
      <c r="C1136" s="155"/>
      <c r="D1136" s="155"/>
      <c r="E1136" s="155"/>
      <c r="F1136" s="155"/>
      <c r="G1136" s="155"/>
      <c r="H1136" s="155"/>
      <c r="I1136" s="155"/>
      <c r="J1136" s="155"/>
      <c r="K1136" s="155"/>
      <c r="L1136" s="155"/>
      <c r="M1136" s="155"/>
      <c r="N1136" s="155"/>
      <c r="O1136" s="155"/>
      <c r="P1136" s="155"/>
      <c r="Q1136" s="155"/>
      <c r="R1136" s="156"/>
      <c r="S1136" s="180"/>
      <c r="T1136" s="838"/>
      <c r="U1136" s="838"/>
      <c r="V1136" s="838"/>
      <c r="W1136" s="838"/>
      <c r="X1136" s="838"/>
      <c r="Y1136" s="255">
        <f t="shared" si="649"/>
        <v>0</v>
      </c>
      <c r="Z1136" s="309">
        <f t="shared" si="650"/>
        <v>0</v>
      </c>
      <c r="AA1136" s="256">
        <f t="shared" si="647"/>
        <v>0</v>
      </c>
      <c r="AB1136" s="309"/>
      <c r="AC1136" s="309"/>
      <c r="AD1136" s="320">
        <f t="shared" si="648"/>
        <v>0</v>
      </c>
      <c r="AH1136" s="64">
        <f t="shared" si="652"/>
        <v>43383</v>
      </c>
      <c r="AI1136" s="698"/>
      <c r="AJ1136" s="699"/>
      <c r="AK1136" s="699"/>
      <c r="AL1136" s="699"/>
      <c r="AM1136" s="699"/>
      <c r="AN1136" s="699"/>
      <c r="AO1136" s="699"/>
      <c r="AP1136" s="699"/>
      <c r="AQ1136" s="699"/>
      <c r="AR1136" s="699"/>
      <c r="AS1136" s="699"/>
      <c r="AT1136" s="699"/>
      <c r="AU1136" s="699"/>
      <c r="AV1136" s="699"/>
      <c r="AW1136" s="699"/>
      <c r="AX1136" s="700"/>
      <c r="AY1136" s="700"/>
      <c r="AZ1136" s="701"/>
    </row>
    <row r="1137" spans="1:52" ht="30.75" thickBot="1">
      <c r="A1137" s="67">
        <f t="shared" si="651"/>
        <v>44876</v>
      </c>
      <c r="B1137" s="155"/>
      <c r="C1137" s="155"/>
      <c r="D1137" s="155"/>
      <c r="E1137" s="155"/>
      <c r="F1137" s="155"/>
      <c r="G1137" s="155"/>
      <c r="H1137" s="155"/>
      <c r="I1137" s="155"/>
      <c r="J1137" s="155"/>
      <c r="K1137" s="155"/>
      <c r="L1137" s="155"/>
      <c r="M1137" s="155"/>
      <c r="N1137" s="155"/>
      <c r="O1137" s="155"/>
      <c r="P1137" s="155"/>
      <c r="Q1137" s="155"/>
      <c r="R1137" s="156"/>
      <c r="S1137" s="180"/>
      <c r="T1137" s="838"/>
      <c r="U1137" s="838"/>
      <c r="V1137" s="838"/>
      <c r="W1137" s="838"/>
      <c r="X1137" s="838"/>
      <c r="Y1137" s="255">
        <f t="shared" si="649"/>
        <v>0</v>
      </c>
      <c r="Z1137" s="309">
        <f t="shared" si="650"/>
        <v>0</v>
      </c>
      <c r="AA1137" s="256">
        <f t="shared" si="647"/>
        <v>0</v>
      </c>
      <c r="AB1137" s="309"/>
      <c r="AC1137" s="309"/>
      <c r="AD1137" s="320">
        <f t="shared" si="648"/>
        <v>0</v>
      </c>
      <c r="AH1137" s="64">
        <f t="shared" si="652"/>
        <v>43384</v>
      </c>
      <c r="AI1137" s="698"/>
      <c r="AJ1137" s="699"/>
      <c r="AK1137" s="699"/>
      <c r="AL1137" s="699"/>
      <c r="AM1137" s="699"/>
      <c r="AN1137" s="699"/>
      <c r="AO1137" s="699"/>
      <c r="AP1137" s="699"/>
      <c r="AQ1137" s="699"/>
      <c r="AR1137" s="699"/>
      <c r="AS1137" s="699"/>
      <c r="AT1137" s="699"/>
      <c r="AU1137" s="699"/>
      <c r="AV1137" s="699"/>
      <c r="AW1137" s="699"/>
      <c r="AX1137" s="700"/>
      <c r="AY1137" s="700"/>
      <c r="AZ1137" s="701"/>
    </row>
    <row r="1138" spans="1:52" ht="30.75" thickBot="1">
      <c r="A1138" s="67">
        <f t="shared" si="651"/>
        <v>44877</v>
      </c>
      <c r="B1138" s="155"/>
      <c r="C1138" s="155"/>
      <c r="D1138" s="155"/>
      <c r="E1138" s="155"/>
      <c r="F1138" s="155"/>
      <c r="G1138" s="155"/>
      <c r="H1138" s="155"/>
      <c r="I1138" s="155"/>
      <c r="J1138" s="155"/>
      <c r="K1138" s="155"/>
      <c r="L1138" s="155"/>
      <c r="M1138" s="155"/>
      <c r="N1138" s="155"/>
      <c r="O1138" s="155"/>
      <c r="P1138" s="155"/>
      <c r="Q1138" s="155"/>
      <c r="R1138" s="156"/>
      <c r="S1138" s="180"/>
      <c r="T1138" s="838"/>
      <c r="U1138" s="838"/>
      <c r="V1138" s="838"/>
      <c r="W1138" s="838"/>
      <c r="X1138" s="838"/>
      <c r="Y1138" s="255">
        <f t="shared" si="649"/>
        <v>0</v>
      </c>
      <c r="Z1138" s="309">
        <f t="shared" si="650"/>
        <v>0</v>
      </c>
      <c r="AA1138" s="256">
        <f t="shared" si="647"/>
        <v>0</v>
      </c>
      <c r="AB1138" s="309"/>
      <c r="AC1138" s="309"/>
      <c r="AD1138" s="320">
        <f t="shared" si="648"/>
        <v>0</v>
      </c>
      <c r="AH1138" s="64">
        <f t="shared" si="652"/>
        <v>43385</v>
      </c>
      <c r="AI1138" s="698"/>
      <c r="AJ1138" s="699"/>
      <c r="AK1138" s="699"/>
      <c r="AL1138" s="699"/>
      <c r="AM1138" s="699"/>
      <c r="AN1138" s="699"/>
      <c r="AO1138" s="699"/>
      <c r="AP1138" s="699"/>
      <c r="AQ1138" s="699"/>
      <c r="AR1138" s="699"/>
      <c r="AS1138" s="699"/>
      <c r="AT1138" s="699"/>
      <c r="AU1138" s="699"/>
      <c r="AV1138" s="699"/>
      <c r="AW1138" s="699"/>
      <c r="AX1138" s="700"/>
      <c r="AY1138" s="700"/>
      <c r="AZ1138" s="701"/>
    </row>
    <row r="1139" spans="1:52" ht="30.75" thickBot="1">
      <c r="A1139" s="67">
        <f t="shared" si="651"/>
        <v>44878</v>
      </c>
      <c r="B1139" s="155"/>
      <c r="C1139" s="155"/>
      <c r="D1139" s="155"/>
      <c r="E1139" s="155"/>
      <c r="F1139" s="155"/>
      <c r="G1139" s="155"/>
      <c r="H1139" s="155"/>
      <c r="I1139" s="155"/>
      <c r="J1139" s="155"/>
      <c r="K1139" s="155"/>
      <c r="L1139" s="155"/>
      <c r="M1139" s="155"/>
      <c r="N1139" s="155"/>
      <c r="O1139" s="155"/>
      <c r="P1139" s="155"/>
      <c r="Q1139" s="155"/>
      <c r="R1139" s="156"/>
      <c r="S1139" s="180"/>
      <c r="T1139" s="838"/>
      <c r="U1139" s="838"/>
      <c r="V1139" s="838"/>
      <c r="W1139" s="838"/>
      <c r="X1139" s="838"/>
      <c r="Y1139" s="255">
        <f>B1139*280+C1139*280+D1139*280+E1139*280+F1139*130+G1139*130+H1139*90+I1139*35+J1139*35+K1139*390+L1139*400+M1139*400+N1139*390+O1139*387.5+P1139*80+Q1139*200+R1139*260+S1139*41+T1139*30+U1139*60</f>
        <v>0</v>
      </c>
      <c r="Z1139" s="309">
        <f t="shared" si="650"/>
        <v>0</v>
      </c>
      <c r="AA1139" s="256">
        <f t="shared" si="647"/>
        <v>0</v>
      </c>
      <c r="AB1139" s="309"/>
      <c r="AC1139" s="309"/>
      <c r="AD1139" s="320">
        <f t="shared" si="648"/>
        <v>0</v>
      </c>
      <c r="AH1139" s="64">
        <f t="shared" si="652"/>
        <v>43386</v>
      </c>
      <c r="AI1139" s="698"/>
      <c r="AJ1139" s="699"/>
      <c r="AK1139" s="699"/>
      <c r="AL1139" s="699"/>
      <c r="AM1139" s="699"/>
      <c r="AN1139" s="699"/>
      <c r="AO1139" s="699"/>
      <c r="AP1139" s="699"/>
      <c r="AQ1139" s="699"/>
      <c r="AR1139" s="699"/>
      <c r="AS1139" s="699"/>
      <c r="AT1139" s="699"/>
      <c r="AU1139" s="699"/>
      <c r="AV1139" s="699"/>
      <c r="AW1139" s="699"/>
      <c r="AX1139" s="700"/>
      <c r="AY1139" s="700"/>
      <c r="AZ1139" s="701"/>
    </row>
    <row r="1140" spans="1:52" ht="30.75" thickBot="1">
      <c r="A1140" s="67">
        <f t="shared" si="651"/>
        <v>44879</v>
      </c>
      <c r="B1140" s="155"/>
      <c r="C1140" s="155"/>
      <c r="D1140" s="155"/>
      <c r="E1140" s="155"/>
      <c r="F1140" s="155"/>
      <c r="G1140" s="155"/>
      <c r="H1140" s="155"/>
      <c r="I1140" s="155"/>
      <c r="J1140" s="155"/>
      <c r="K1140" s="155"/>
      <c r="L1140" s="155"/>
      <c r="M1140" s="155"/>
      <c r="N1140" s="155"/>
      <c r="O1140" s="155"/>
      <c r="P1140" s="155"/>
      <c r="Q1140" s="155"/>
      <c r="R1140" s="156"/>
      <c r="S1140" s="180"/>
      <c r="T1140" s="838"/>
      <c r="U1140" s="838"/>
      <c r="V1140" s="838"/>
      <c r="W1140" s="838"/>
      <c r="X1140" s="838"/>
      <c r="Y1140" s="255">
        <f t="shared" si="649"/>
        <v>0</v>
      </c>
      <c r="Z1140" s="309">
        <f t="shared" si="650"/>
        <v>0</v>
      </c>
      <c r="AA1140" s="256">
        <f t="shared" si="647"/>
        <v>0</v>
      </c>
      <c r="AB1140" s="309"/>
      <c r="AC1140" s="309"/>
      <c r="AD1140" s="320">
        <f t="shared" si="648"/>
        <v>0</v>
      </c>
      <c r="AH1140" s="64">
        <f t="shared" si="652"/>
        <v>43387</v>
      </c>
      <c r="AI1140" s="698"/>
      <c r="AJ1140" s="699"/>
      <c r="AK1140" s="699"/>
      <c r="AL1140" s="699"/>
      <c r="AM1140" s="699"/>
      <c r="AN1140" s="699"/>
      <c r="AO1140" s="699"/>
      <c r="AP1140" s="699"/>
      <c r="AQ1140" s="699"/>
      <c r="AR1140" s="699"/>
      <c r="AS1140" s="699"/>
      <c r="AT1140" s="699"/>
      <c r="AU1140" s="699"/>
      <c r="AV1140" s="699"/>
      <c r="AW1140" s="699"/>
      <c r="AX1140" s="700"/>
      <c r="AY1140" s="700"/>
      <c r="AZ1140" s="701"/>
    </row>
    <row r="1141" spans="1:52" ht="30.75" thickBot="1">
      <c r="A1141" s="67">
        <f t="shared" si="651"/>
        <v>44880</v>
      </c>
      <c r="B1141" s="155"/>
      <c r="C1141" s="155"/>
      <c r="D1141" s="155"/>
      <c r="E1141" s="155"/>
      <c r="F1141" s="155"/>
      <c r="G1141" s="155"/>
      <c r="H1141" s="155"/>
      <c r="I1141" s="155"/>
      <c r="J1141" s="155"/>
      <c r="K1141" s="155"/>
      <c r="L1141" s="155"/>
      <c r="M1141" s="155"/>
      <c r="N1141" s="155"/>
      <c r="O1141" s="155"/>
      <c r="P1141" s="155"/>
      <c r="Q1141" s="155"/>
      <c r="R1141" s="156"/>
      <c r="S1141" s="180"/>
      <c r="T1141" s="838"/>
      <c r="U1141" s="838"/>
      <c r="V1141" s="838"/>
      <c r="W1141" s="838"/>
      <c r="X1141" s="838"/>
      <c r="Y1141" s="255">
        <f t="shared" si="649"/>
        <v>0</v>
      </c>
      <c r="Z1141" s="309">
        <f t="shared" si="650"/>
        <v>0</v>
      </c>
      <c r="AA1141" s="256">
        <f t="shared" si="647"/>
        <v>0</v>
      </c>
      <c r="AB1141" s="309"/>
      <c r="AC1141" s="309"/>
      <c r="AD1141" s="320">
        <f t="shared" si="648"/>
        <v>0</v>
      </c>
      <c r="AH1141" s="64">
        <f t="shared" si="652"/>
        <v>43388</v>
      </c>
      <c r="AI1141" s="698"/>
      <c r="AJ1141" s="699"/>
      <c r="AK1141" s="699"/>
      <c r="AL1141" s="699"/>
      <c r="AM1141" s="699"/>
      <c r="AN1141" s="699"/>
      <c r="AO1141" s="699"/>
      <c r="AP1141" s="699"/>
      <c r="AQ1141" s="699"/>
      <c r="AR1141" s="699"/>
      <c r="AS1141" s="699"/>
      <c r="AT1141" s="699"/>
      <c r="AU1141" s="699"/>
      <c r="AV1141" s="699"/>
      <c r="AW1141" s="699"/>
      <c r="AX1141" s="700"/>
      <c r="AY1141" s="700"/>
      <c r="AZ1141" s="701"/>
    </row>
    <row r="1142" spans="1:52" ht="30.75" thickBot="1">
      <c r="A1142" s="67">
        <f t="shared" si="651"/>
        <v>44881</v>
      </c>
      <c r="B1142" s="155"/>
      <c r="C1142" s="155"/>
      <c r="D1142" s="155"/>
      <c r="E1142" s="155"/>
      <c r="F1142" s="155"/>
      <c r="G1142" s="155"/>
      <c r="H1142" s="155"/>
      <c r="I1142" s="155"/>
      <c r="J1142" s="155"/>
      <c r="K1142" s="155"/>
      <c r="L1142" s="155"/>
      <c r="M1142" s="155"/>
      <c r="N1142" s="138"/>
      <c r="O1142" s="155"/>
      <c r="P1142" s="155"/>
      <c r="Q1142" s="155"/>
      <c r="R1142" s="156"/>
      <c r="S1142" s="180"/>
      <c r="T1142" s="838"/>
      <c r="U1142" s="838"/>
      <c r="V1142" s="838"/>
      <c r="W1142" s="838"/>
      <c r="X1142" s="838"/>
      <c r="Y1142" s="255">
        <f t="shared" si="649"/>
        <v>0</v>
      </c>
      <c r="Z1142" s="309">
        <f t="shared" si="650"/>
        <v>0</v>
      </c>
      <c r="AA1142" s="256">
        <f t="shared" si="647"/>
        <v>0</v>
      </c>
      <c r="AB1142" s="309"/>
      <c r="AC1142" s="309"/>
      <c r="AD1142" s="320">
        <f t="shared" si="648"/>
        <v>0</v>
      </c>
      <c r="AH1142" s="64">
        <f t="shared" si="652"/>
        <v>43389</v>
      </c>
      <c r="AI1142" s="698"/>
      <c r="AJ1142" s="699"/>
      <c r="AK1142" s="699"/>
      <c r="AL1142" s="699"/>
      <c r="AM1142" s="699"/>
      <c r="AN1142" s="699"/>
      <c r="AO1142" s="699"/>
      <c r="AP1142" s="699"/>
      <c r="AQ1142" s="699"/>
      <c r="AR1142" s="699"/>
      <c r="AS1142" s="699"/>
      <c r="AT1142" s="699"/>
      <c r="AU1142" s="699"/>
      <c r="AV1142" s="699"/>
      <c r="AW1142" s="699"/>
      <c r="AX1142" s="700"/>
      <c r="AY1142" s="700"/>
      <c r="AZ1142" s="701"/>
    </row>
    <row r="1143" spans="1:52" ht="30.75" thickBot="1">
      <c r="A1143" s="67">
        <f t="shared" si="651"/>
        <v>44882</v>
      </c>
      <c r="B1143" s="155"/>
      <c r="C1143" s="155"/>
      <c r="D1143" s="155"/>
      <c r="E1143" s="155"/>
      <c r="F1143" s="155"/>
      <c r="G1143" s="155"/>
      <c r="H1143" s="155"/>
      <c r="I1143" s="155"/>
      <c r="J1143" s="155"/>
      <c r="K1143" s="155"/>
      <c r="L1143" s="155"/>
      <c r="M1143" s="155"/>
      <c r="N1143" s="155"/>
      <c r="O1143" s="155"/>
      <c r="P1143" s="155"/>
      <c r="Q1143" s="155"/>
      <c r="R1143" s="156"/>
      <c r="S1143" s="180"/>
      <c r="T1143" s="838"/>
      <c r="U1143" s="838"/>
      <c r="V1143" s="838"/>
      <c r="W1143" s="838"/>
      <c r="X1143" s="838"/>
      <c r="Y1143" s="255">
        <f t="shared" si="649"/>
        <v>0</v>
      </c>
      <c r="Z1143" s="309">
        <f t="shared" si="650"/>
        <v>0</v>
      </c>
      <c r="AA1143" s="256">
        <f t="shared" si="647"/>
        <v>0</v>
      </c>
      <c r="AB1143" s="309"/>
      <c r="AC1143" s="309"/>
      <c r="AD1143" s="320">
        <f t="shared" si="648"/>
        <v>0</v>
      </c>
      <c r="AH1143" s="64">
        <f t="shared" si="652"/>
        <v>43390</v>
      </c>
      <c r="AI1143" s="698"/>
      <c r="AJ1143" s="699"/>
      <c r="AK1143" s="699"/>
      <c r="AL1143" s="699"/>
      <c r="AM1143" s="699"/>
      <c r="AN1143" s="699"/>
      <c r="AO1143" s="699"/>
      <c r="AP1143" s="699"/>
      <c r="AQ1143" s="699"/>
      <c r="AR1143" s="699"/>
      <c r="AS1143" s="699"/>
      <c r="AT1143" s="699"/>
      <c r="AU1143" s="699"/>
      <c r="AV1143" s="699"/>
      <c r="AW1143" s="699"/>
      <c r="AX1143" s="700"/>
      <c r="AY1143" s="700"/>
      <c r="AZ1143" s="701"/>
    </row>
    <row r="1144" spans="1:52" ht="30.75" thickBot="1">
      <c r="A1144" s="67">
        <f t="shared" si="651"/>
        <v>44883</v>
      </c>
      <c r="B1144" s="155"/>
      <c r="C1144" s="155"/>
      <c r="D1144" s="155"/>
      <c r="E1144" s="155"/>
      <c r="F1144" s="155"/>
      <c r="G1144" s="155"/>
      <c r="H1144" s="155"/>
      <c r="I1144" s="155"/>
      <c r="J1144" s="155"/>
      <c r="K1144" s="155"/>
      <c r="L1144" s="155"/>
      <c r="M1144" s="155"/>
      <c r="N1144" s="155"/>
      <c r="O1144" s="155"/>
      <c r="P1144" s="155"/>
      <c r="Q1144" s="155"/>
      <c r="R1144" s="156"/>
      <c r="S1144" s="180"/>
      <c r="T1144" s="838"/>
      <c r="U1144" s="838"/>
      <c r="V1144" s="838"/>
      <c r="W1144" s="838"/>
      <c r="X1144" s="838"/>
      <c r="Y1144" s="255">
        <f t="shared" si="649"/>
        <v>0</v>
      </c>
      <c r="Z1144" s="309">
        <f t="shared" si="650"/>
        <v>0</v>
      </c>
      <c r="AA1144" s="256">
        <f t="shared" si="647"/>
        <v>0</v>
      </c>
      <c r="AB1144" s="309"/>
      <c r="AC1144" s="309"/>
      <c r="AD1144" s="320">
        <f t="shared" si="648"/>
        <v>0</v>
      </c>
      <c r="AH1144" s="64">
        <f t="shared" si="652"/>
        <v>43391</v>
      </c>
      <c r="AI1144" s="698"/>
      <c r="AJ1144" s="699"/>
      <c r="AK1144" s="699"/>
      <c r="AL1144" s="699"/>
      <c r="AM1144" s="699"/>
      <c r="AN1144" s="699"/>
      <c r="AO1144" s="699"/>
      <c r="AP1144" s="699"/>
      <c r="AQ1144" s="699"/>
      <c r="AR1144" s="699"/>
      <c r="AS1144" s="699"/>
      <c r="AT1144" s="699"/>
      <c r="AU1144" s="699"/>
      <c r="AV1144" s="699"/>
      <c r="AW1144" s="699"/>
      <c r="AX1144" s="700"/>
      <c r="AY1144" s="700"/>
      <c r="AZ1144" s="701"/>
    </row>
    <row r="1145" spans="1:52" ht="30.75" thickBot="1">
      <c r="A1145" s="67">
        <f t="shared" si="651"/>
        <v>44884</v>
      </c>
      <c r="B1145" s="155"/>
      <c r="C1145" s="155"/>
      <c r="D1145" s="155"/>
      <c r="E1145" s="155"/>
      <c r="F1145" s="155"/>
      <c r="G1145" s="155"/>
      <c r="H1145" s="155"/>
      <c r="I1145" s="155"/>
      <c r="J1145" s="155"/>
      <c r="K1145" s="155"/>
      <c r="L1145" s="155"/>
      <c r="M1145" s="155"/>
      <c r="N1145" s="155"/>
      <c r="O1145" s="155"/>
      <c r="P1145" s="155"/>
      <c r="Q1145" s="155"/>
      <c r="R1145" s="156"/>
      <c r="S1145" s="180"/>
      <c r="T1145" s="838"/>
      <c r="U1145" s="838"/>
      <c r="V1145" s="838"/>
      <c r="W1145" s="838"/>
      <c r="X1145" s="838"/>
      <c r="Y1145" s="255">
        <f t="shared" si="649"/>
        <v>0</v>
      </c>
      <c r="Z1145" s="309">
        <f t="shared" si="650"/>
        <v>0</v>
      </c>
      <c r="AA1145" s="256">
        <f t="shared" si="647"/>
        <v>0</v>
      </c>
      <c r="AB1145" s="309"/>
      <c r="AC1145" s="309"/>
      <c r="AD1145" s="320">
        <f t="shared" si="648"/>
        <v>0</v>
      </c>
      <c r="AH1145" s="64">
        <f t="shared" si="652"/>
        <v>43392</v>
      </c>
      <c r="AI1145" s="698"/>
      <c r="AJ1145" s="699"/>
      <c r="AK1145" s="699"/>
      <c r="AL1145" s="699"/>
      <c r="AM1145" s="699"/>
      <c r="AN1145" s="699"/>
      <c r="AO1145" s="699"/>
      <c r="AP1145" s="699"/>
      <c r="AQ1145" s="699"/>
      <c r="AR1145" s="699"/>
      <c r="AS1145" s="699"/>
      <c r="AT1145" s="699"/>
      <c r="AU1145" s="699"/>
      <c r="AV1145" s="699"/>
      <c r="AW1145" s="699"/>
      <c r="AX1145" s="700"/>
      <c r="AY1145" s="700"/>
      <c r="AZ1145" s="701"/>
    </row>
    <row r="1146" spans="1:52" ht="30.75" thickBot="1">
      <c r="A1146" s="67">
        <f t="shared" si="651"/>
        <v>44885</v>
      </c>
      <c r="B1146" s="155"/>
      <c r="C1146" s="155"/>
      <c r="D1146" s="155"/>
      <c r="E1146" s="155"/>
      <c r="F1146" s="155"/>
      <c r="G1146" s="155"/>
      <c r="H1146" s="155"/>
      <c r="I1146" s="155"/>
      <c r="J1146" s="155"/>
      <c r="K1146" s="155"/>
      <c r="L1146" s="155"/>
      <c r="M1146" s="155"/>
      <c r="N1146" s="155"/>
      <c r="O1146" s="155"/>
      <c r="P1146" s="155"/>
      <c r="Q1146" s="155"/>
      <c r="R1146" s="156"/>
      <c r="S1146" s="180"/>
      <c r="T1146" s="838"/>
      <c r="U1146" s="838"/>
      <c r="V1146" s="838"/>
      <c r="W1146" s="838"/>
      <c r="X1146" s="838"/>
      <c r="Y1146" s="255">
        <f t="shared" si="649"/>
        <v>0</v>
      </c>
      <c r="Z1146" s="309">
        <f t="shared" si="650"/>
        <v>0</v>
      </c>
      <c r="AA1146" s="256">
        <f t="shared" si="647"/>
        <v>0</v>
      </c>
      <c r="AB1146" s="309"/>
      <c r="AC1146" s="309"/>
      <c r="AD1146" s="320">
        <f t="shared" si="648"/>
        <v>0</v>
      </c>
      <c r="AH1146" s="64">
        <f t="shared" si="652"/>
        <v>43393</v>
      </c>
      <c r="AI1146" s="698"/>
      <c r="AJ1146" s="699"/>
      <c r="AK1146" s="699"/>
      <c r="AL1146" s="699"/>
      <c r="AM1146" s="699"/>
      <c r="AN1146" s="699"/>
      <c r="AO1146" s="699"/>
      <c r="AP1146" s="699"/>
      <c r="AQ1146" s="699"/>
      <c r="AR1146" s="699"/>
      <c r="AS1146" s="699"/>
      <c r="AT1146" s="699"/>
      <c r="AU1146" s="699"/>
      <c r="AV1146" s="699"/>
      <c r="AW1146" s="699"/>
      <c r="AX1146" s="700"/>
      <c r="AY1146" s="700"/>
      <c r="AZ1146" s="701"/>
    </row>
    <row r="1147" spans="1:52" ht="30.75" thickBot="1">
      <c r="A1147" s="67">
        <f t="shared" si="651"/>
        <v>44886</v>
      </c>
      <c r="B1147" s="155"/>
      <c r="C1147" s="155"/>
      <c r="D1147" s="155"/>
      <c r="E1147" s="155"/>
      <c r="F1147" s="155"/>
      <c r="G1147" s="155"/>
      <c r="H1147" s="155"/>
      <c r="I1147" s="155"/>
      <c r="J1147" s="155"/>
      <c r="K1147" s="155"/>
      <c r="L1147" s="155"/>
      <c r="M1147" s="155"/>
      <c r="N1147" s="155"/>
      <c r="O1147" s="155"/>
      <c r="P1147" s="155"/>
      <c r="Q1147" s="155"/>
      <c r="R1147" s="156"/>
      <c r="S1147" s="180"/>
      <c r="T1147" s="838"/>
      <c r="U1147" s="838"/>
      <c r="V1147" s="838"/>
      <c r="W1147" s="838"/>
      <c r="X1147" s="838"/>
      <c r="Y1147" s="255">
        <f t="shared" si="649"/>
        <v>0</v>
      </c>
      <c r="Z1147" s="309">
        <f t="shared" si="650"/>
        <v>0</v>
      </c>
      <c r="AA1147" s="256">
        <f t="shared" si="647"/>
        <v>0</v>
      </c>
      <c r="AB1147" s="309"/>
      <c r="AC1147" s="309"/>
      <c r="AD1147" s="320">
        <f t="shared" si="648"/>
        <v>0</v>
      </c>
      <c r="AH1147" s="64">
        <f t="shared" si="652"/>
        <v>43394</v>
      </c>
      <c r="AI1147" s="698"/>
      <c r="AJ1147" s="699"/>
      <c r="AK1147" s="699"/>
      <c r="AL1147" s="699"/>
      <c r="AM1147" s="699"/>
      <c r="AN1147" s="699"/>
      <c r="AO1147" s="699"/>
      <c r="AP1147" s="699"/>
      <c r="AQ1147" s="699"/>
      <c r="AR1147" s="699"/>
      <c r="AS1147" s="699"/>
      <c r="AT1147" s="699"/>
      <c r="AU1147" s="699"/>
      <c r="AV1147" s="699"/>
      <c r="AW1147" s="699"/>
      <c r="AX1147" s="700"/>
      <c r="AY1147" s="700"/>
      <c r="AZ1147" s="701"/>
    </row>
    <row r="1148" spans="1:52" ht="30.75" thickBot="1">
      <c r="A1148" s="67">
        <f t="shared" si="651"/>
        <v>44887</v>
      </c>
      <c r="B1148" s="155"/>
      <c r="C1148" s="155"/>
      <c r="D1148" s="155"/>
      <c r="E1148" s="155"/>
      <c r="F1148" s="155"/>
      <c r="G1148" s="155"/>
      <c r="H1148" s="155"/>
      <c r="I1148" s="155"/>
      <c r="J1148" s="155"/>
      <c r="K1148" s="155"/>
      <c r="L1148" s="155"/>
      <c r="M1148" s="155"/>
      <c r="N1148" s="155"/>
      <c r="O1148" s="155"/>
      <c r="P1148" s="155"/>
      <c r="Q1148" s="155"/>
      <c r="R1148" s="156"/>
      <c r="S1148" s="180"/>
      <c r="T1148" s="838"/>
      <c r="U1148" s="838"/>
      <c r="V1148" s="838"/>
      <c r="W1148" s="838"/>
      <c r="X1148" s="838"/>
      <c r="Y1148" s="255">
        <f t="shared" si="649"/>
        <v>0</v>
      </c>
      <c r="Z1148" s="309">
        <f t="shared" si="650"/>
        <v>0</v>
      </c>
      <c r="AA1148" s="256">
        <f t="shared" si="647"/>
        <v>0</v>
      </c>
      <c r="AB1148" s="309"/>
      <c r="AC1148" s="309"/>
      <c r="AD1148" s="320">
        <f t="shared" si="648"/>
        <v>0</v>
      </c>
      <c r="AH1148" s="64">
        <f t="shared" si="652"/>
        <v>43395</v>
      </c>
      <c r="AI1148" s="698"/>
      <c r="AJ1148" s="699"/>
      <c r="AK1148" s="699"/>
      <c r="AL1148" s="699"/>
      <c r="AM1148" s="699"/>
      <c r="AN1148" s="699"/>
      <c r="AO1148" s="699"/>
      <c r="AP1148" s="699"/>
      <c r="AQ1148" s="699"/>
      <c r="AR1148" s="699"/>
      <c r="AS1148" s="699"/>
      <c r="AT1148" s="699"/>
      <c r="AU1148" s="699"/>
      <c r="AV1148" s="699"/>
      <c r="AW1148" s="699"/>
      <c r="AX1148" s="700"/>
      <c r="AY1148" s="700"/>
      <c r="AZ1148" s="701"/>
    </row>
    <row r="1149" spans="1:52" ht="30.75" thickBot="1">
      <c r="A1149" s="67">
        <f t="shared" si="651"/>
        <v>44888</v>
      </c>
      <c r="B1149" s="155"/>
      <c r="C1149" s="155"/>
      <c r="D1149" s="155"/>
      <c r="E1149" s="155"/>
      <c r="F1149" s="155"/>
      <c r="G1149" s="155"/>
      <c r="H1149" s="155"/>
      <c r="I1149" s="155"/>
      <c r="J1149" s="155"/>
      <c r="K1149" s="155"/>
      <c r="L1149" s="155"/>
      <c r="M1149" s="155"/>
      <c r="N1149" s="155"/>
      <c r="O1149" s="155"/>
      <c r="P1149" s="155"/>
      <c r="Q1149" s="155"/>
      <c r="R1149" s="156"/>
      <c r="S1149" s="180"/>
      <c r="T1149" s="838"/>
      <c r="U1149" s="838"/>
      <c r="V1149" s="838"/>
      <c r="W1149" s="838"/>
      <c r="X1149" s="838"/>
      <c r="Y1149" s="255">
        <f t="shared" si="649"/>
        <v>0</v>
      </c>
      <c r="Z1149" s="309">
        <f t="shared" si="650"/>
        <v>0</v>
      </c>
      <c r="AA1149" s="256">
        <f t="shared" si="647"/>
        <v>0</v>
      </c>
      <c r="AB1149" s="309"/>
      <c r="AC1149" s="309"/>
      <c r="AD1149" s="320">
        <f t="shared" si="648"/>
        <v>0</v>
      </c>
      <c r="AH1149" s="64">
        <f t="shared" si="652"/>
        <v>43396</v>
      </c>
      <c r="AI1149" s="698"/>
      <c r="AJ1149" s="699"/>
      <c r="AK1149" s="699"/>
      <c r="AL1149" s="699"/>
      <c r="AM1149" s="699"/>
      <c r="AN1149" s="699"/>
      <c r="AO1149" s="699"/>
      <c r="AP1149" s="699"/>
      <c r="AQ1149" s="699"/>
      <c r="AR1149" s="699"/>
      <c r="AS1149" s="699"/>
      <c r="AT1149" s="699"/>
      <c r="AU1149" s="699"/>
      <c r="AV1149" s="699"/>
      <c r="AW1149" s="699"/>
      <c r="AX1149" s="700"/>
      <c r="AY1149" s="700"/>
      <c r="AZ1149" s="701"/>
    </row>
    <row r="1150" spans="1:52" ht="30.75" thickBot="1">
      <c r="A1150" s="67">
        <f t="shared" si="651"/>
        <v>44889</v>
      </c>
      <c r="B1150" s="155"/>
      <c r="C1150" s="155"/>
      <c r="D1150" s="155"/>
      <c r="E1150" s="155"/>
      <c r="F1150" s="155"/>
      <c r="G1150" s="155"/>
      <c r="H1150" s="155"/>
      <c r="I1150" s="155"/>
      <c r="J1150" s="155"/>
      <c r="K1150" s="155"/>
      <c r="L1150" s="155"/>
      <c r="M1150" s="155"/>
      <c r="N1150" s="155"/>
      <c r="O1150" s="155"/>
      <c r="P1150" s="155"/>
      <c r="Q1150" s="155"/>
      <c r="R1150" s="156"/>
      <c r="S1150" s="180"/>
      <c r="T1150" s="838"/>
      <c r="U1150" s="838"/>
      <c r="V1150" s="838"/>
      <c r="W1150" s="838"/>
      <c r="X1150" s="838"/>
      <c r="Y1150" s="255">
        <f t="shared" si="649"/>
        <v>0</v>
      </c>
      <c r="Z1150" s="309">
        <f t="shared" si="650"/>
        <v>0</v>
      </c>
      <c r="AA1150" s="256">
        <f t="shared" si="647"/>
        <v>0</v>
      </c>
      <c r="AB1150" s="309"/>
      <c r="AC1150" s="309"/>
      <c r="AD1150" s="320">
        <f t="shared" si="648"/>
        <v>0</v>
      </c>
      <c r="AH1150" s="64">
        <f t="shared" si="652"/>
        <v>43397</v>
      </c>
      <c r="AI1150" s="698"/>
      <c r="AJ1150" s="699"/>
      <c r="AK1150" s="699"/>
      <c r="AL1150" s="699"/>
      <c r="AM1150" s="699"/>
      <c r="AN1150" s="699"/>
      <c r="AO1150" s="699"/>
      <c r="AP1150" s="699"/>
      <c r="AQ1150" s="699"/>
      <c r="AR1150" s="699"/>
      <c r="AS1150" s="699"/>
      <c r="AT1150" s="699"/>
      <c r="AU1150" s="699"/>
      <c r="AV1150" s="699"/>
      <c r="AW1150" s="699"/>
      <c r="AX1150" s="700"/>
      <c r="AY1150" s="700"/>
      <c r="AZ1150" s="701"/>
    </row>
    <row r="1151" spans="1:52" ht="30.75" thickBot="1">
      <c r="A1151" s="67">
        <f t="shared" si="651"/>
        <v>44890</v>
      </c>
      <c r="B1151" s="155"/>
      <c r="C1151" s="155"/>
      <c r="D1151" s="155"/>
      <c r="E1151" s="155"/>
      <c r="F1151" s="155"/>
      <c r="G1151" s="155"/>
      <c r="H1151" s="155"/>
      <c r="I1151" s="155"/>
      <c r="J1151" s="155"/>
      <c r="K1151" s="155"/>
      <c r="L1151" s="155"/>
      <c r="M1151" s="155"/>
      <c r="N1151" s="155"/>
      <c r="O1151" s="155"/>
      <c r="P1151" s="155"/>
      <c r="Q1151" s="155"/>
      <c r="R1151" s="909"/>
      <c r="S1151" s="180"/>
      <c r="T1151" s="838"/>
      <c r="U1151" s="838"/>
      <c r="V1151" s="838"/>
      <c r="W1151" s="838"/>
      <c r="X1151" s="838"/>
      <c r="Y1151" s="255">
        <f t="shared" si="649"/>
        <v>0</v>
      </c>
      <c r="Z1151" s="309">
        <f t="shared" si="650"/>
        <v>0</v>
      </c>
      <c r="AA1151" s="256">
        <f t="shared" si="647"/>
        <v>0</v>
      </c>
      <c r="AB1151" s="309"/>
      <c r="AC1151" s="309"/>
      <c r="AD1151" s="320">
        <f t="shared" si="648"/>
        <v>0</v>
      </c>
      <c r="AH1151" s="64">
        <f t="shared" si="652"/>
        <v>43398</v>
      </c>
      <c r="AI1151" s="698"/>
      <c r="AJ1151" s="699"/>
      <c r="AK1151" s="699"/>
      <c r="AL1151" s="699"/>
      <c r="AM1151" s="699"/>
      <c r="AN1151" s="699"/>
      <c r="AO1151" s="699"/>
      <c r="AP1151" s="699"/>
      <c r="AQ1151" s="699"/>
      <c r="AR1151" s="699"/>
      <c r="AS1151" s="699"/>
      <c r="AT1151" s="699"/>
      <c r="AU1151" s="699"/>
      <c r="AV1151" s="699"/>
      <c r="AW1151" s="699"/>
      <c r="AX1151" s="700"/>
      <c r="AY1151" s="700"/>
      <c r="AZ1151" s="701"/>
    </row>
    <row r="1152" spans="1:52" ht="30.75" thickBot="1">
      <c r="A1152" s="67">
        <f t="shared" si="651"/>
        <v>44891</v>
      </c>
      <c r="B1152" s="155"/>
      <c r="C1152" s="155"/>
      <c r="D1152" s="155"/>
      <c r="E1152" s="155"/>
      <c r="F1152" s="155"/>
      <c r="G1152" s="155"/>
      <c r="H1152" s="155"/>
      <c r="I1152" s="155"/>
      <c r="J1152" s="155"/>
      <c r="K1152" s="155"/>
      <c r="L1152" s="155"/>
      <c r="M1152" s="155"/>
      <c r="N1152" s="155"/>
      <c r="O1152" s="155"/>
      <c r="P1152" s="155"/>
      <c r="Q1152" s="155"/>
      <c r="R1152" s="156"/>
      <c r="S1152" s="180"/>
      <c r="T1152" s="838"/>
      <c r="U1152" s="838"/>
      <c r="V1152" s="838"/>
      <c r="W1152" s="838"/>
      <c r="X1152" s="838"/>
      <c r="Y1152" s="255">
        <f t="shared" si="649"/>
        <v>0</v>
      </c>
      <c r="Z1152" s="309">
        <f t="shared" si="650"/>
        <v>0</v>
      </c>
      <c r="AA1152" s="256">
        <f t="shared" si="647"/>
        <v>0</v>
      </c>
      <c r="AB1152" s="309"/>
      <c r="AC1152" s="309"/>
      <c r="AD1152" s="320">
        <f t="shared" si="648"/>
        <v>0</v>
      </c>
      <c r="AH1152" s="64">
        <f t="shared" si="652"/>
        <v>43399</v>
      </c>
      <c r="AI1152" s="698"/>
      <c r="AJ1152" s="699"/>
      <c r="AK1152" s="699"/>
      <c r="AL1152" s="699"/>
      <c r="AM1152" s="699"/>
      <c r="AN1152" s="699"/>
      <c r="AO1152" s="699"/>
      <c r="AP1152" s="699"/>
      <c r="AQ1152" s="699"/>
      <c r="AR1152" s="699"/>
      <c r="AS1152" s="699"/>
      <c r="AT1152" s="699"/>
      <c r="AU1152" s="699"/>
      <c r="AV1152" s="699"/>
      <c r="AW1152" s="699"/>
      <c r="AX1152" s="700"/>
      <c r="AY1152" s="700"/>
      <c r="AZ1152" s="701"/>
    </row>
    <row r="1153" spans="1:52" ht="30.75" thickBot="1">
      <c r="A1153" s="67">
        <f t="shared" si="651"/>
        <v>44892</v>
      </c>
      <c r="B1153" s="155"/>
      <c r="C1153" s="155"/>
      <c r="D1153" s="155"/>
      <c r="E1153" s="155"/>
      <c r="F1153" s="155"/>
      <c r="G1153" s="155"/>
      <c r="H1153" s="155"/>
      <c r="I1153" s="155"/>
      <c r="J1153" s="155"/>
      <c r="K1153" s="155"/>
      <c r="L1153" s="155"/>
      <c r="M1153" s="155"/>
      <c r="N1153" s="155"/>
      <c r="O1153" s="155"/>
      <c r="P1153" s="155"/>
      <c r="Q1153" s="155"/>
      <c r="R1153" s="156"/>
      <c r="S1153" s="180"/>
      <c r="T1153" s="838"/>
      <c r="U1153" s="838"/>
      <c r="V1153" s="838"/>
      <c r="W1153" s="838"/>
      <c r="X1153" s="838"/>
      <c r="Y1153" s="255">
        <f t="shared" si="649"/>
        <v>0</v>
      </c>
      <c r="Z1153" s="309">
        <f t="shared" si="650"/>
        <v>0</v>
      </c>
      <c r="AA1153" s="256">
        <f t="shared" si="647"/>
        <v>0</v>
      </c>
      <c r="AB1153" s="309"/>
      <c r="AC1153" s="309"/>
      <c r="AD1153" s="320">
        <f t="shared" si="648"/>
        <v>0</v>
      </c>
      <c r="AH1153" s="64">
        <f t="shared" si="652"/>
        <v>43400</v>
      </c>
      <c r="AI1153" s="698"/>
      <c r="AJ1153" s="699"/>
      <c r="AK1153" s="699"/>
      <c r="AL1153" s="699"/>
      <c r="AM1153" s="699"/>
      <c r="AN1153" s="699"/>
      <c r="AO1153" s="699"/>
      <c r="AP1153" s="699"/>
      <c r="AQ1153" s="699"/>
      <c r="AR1153" s="699"/>
      <c r="AS1153" s="699"/>
      <c r="AT1153" s="699"/>
      <c r="AU1153" s="699"/>
      <c r="AV1153" s="699"/>
      <c r="AW1153" s="699"/>
      <c r="AX1153" s="700"/>
      <c r="AY1153" s="700"/>
      <c r="AZ1153" s="701"/>
    </row>
    <row r="1154" spans="1:52" ht="30.75" thickBot="1">
      <c r="A1154" s="67">
        <f t="shared" si="651"/>
        <v>44893</v>
      </c>
      <c r="B1154" s="155"/>
      <c r="C1154" s="155"/>
      <c r="D1154" s="155"/>
      <c r="E1154" s="155"/>
      <c r="F1154" s="155"/>
      <c r="G1154" s="155"/>
      <c r="H1154" s="155"/>
      <c r="I1154" s="155"/>
      <c r="J1154" s="155"/>
      <c r="K1154" s="155"/>
      <c r="L1154" s="155"/>
      <c r="M1154" s="155"/>
      <c r="N1154" s="155"/>
      <c r="O1154" s="155"/>
      <c r="P1154" s="155"/>
      <c r="Q1154" s="155"/>
      <c r="R1154" s="156"/>
      <c r="S1154" s="180"/>
      <c r="T1154" s="838"/>
      <c r="U1154" s="838"/>
      <c r="V1154" s="838"/>
      <c r="W1154" s="838"/>
      <c r="X1154" s="838"/>
      <c r="Y1154" s="255">
        <f t="shared" si="649"/>
        <v>0</v>
      </c>
      <c r="Z1154" s="309">
        <f t="shared" si="650"/>
        <v>0</v>
      </c>
      <c r="AA1154" s="256">
        <f t="shared" si="647"/>
        <v>0</v>
      </c>
      <c r="AB1154" s="309"/>
      <c r="AC1154" s="309"/>
      <c r="AD1154" s="320">
        <f t="shared" si="648"/>
        <v>0</v>
      </c>
      <c r="AH1154" s="64">
        <f t="shared" si="652"/>
        <v>43401</v>
      </c>
      <c r="AI1154" s="698"/>
      <c r="AJ1154" s="699"/>
      <c r="AK1154" s="699"/>
      <c r="AL1154" s="699"/>
      <c r="AM1154" s="699"/>
      <c r="AN1154" s="699"/>
      <c r="AO1154" s="699"/>
      <c r="AP1154" s="699"/>
      <c r="AQ1154" s="699"/>
      <c r="AR1154" s="699"/>
      <c r="AS1154" s="699"/>
      <c r="AT1154" s="699"/>
      <c r="AU1154" s="699"/>
      <c r="AV1154" s="699"/>
      <c r="AW1154" s="699"/>
      <c r="AX1154" s="700"/>
      <c r="AY1154" s="700"/>
      <c r="AZ1154" s="701"/>
    </row>
    <row r="1155" spans="1:52" ht="30.75" thickBot="1">
      <c r="A1155" s="67">
        <f t="shared" si="651"/>
        <v>44894</v>
      </c>
      <c r="B1155" s="155"/>
      <c r="C1155" s="155"/>
      <c r="D1155" s="155"/>
      <c r="E1155" s="155"/>
      <c r="F1155" s="155"/>
      <c r="G1155" s="155"/>
      <c r="H1155" s="155"/>
      <c r="I1155" s="155"/>
      <c r="J1155" s="155"/>
      <c r="K1155" s="155"/>
      <c r="L1155" s="155"/>
      <c r="M1155" s="155"/>
      <c r="N1155" s="155"/>
      <c r="O1155" s="155"/>
      <c r="P1155" s="155"/>
      <c r="Q1155" s="155"/>
      <c r="R1155" s="156"/>
      <c r="S1155" s="180"/>
      <c r="T1155" s="838"/>
      <c r="U1155" s="838"/>
      <c r="V1155" s="838"/>
      <c r="W1155" s="838"/>
      <c r="X1155" s="838"/>
      <c r="Y1155" s="255">
        <f t="shared" si="649"/>
        <v>0</v>
      </c>
      <c r="Z1155" s="309">
        <f t="shared" si="650"/>
        <v>0</v>
      </c>
      <c r="AA1155" s="256">
        <f t="shared" si="647"/>
        <v>0</v>
      </c>
      <c r="AB1155" s="309"/>
      <c r="AC1155" s="309"/>
      <c r="AD1155" s="320">
        <f t="shared" si="648"/>
        <v>0</v>
      </c>
      <c r="AH1155" s="64">
        <f>AH1154+1</f>
        <v>43402</v>
      </c>
      <c r="AI1155" s="698"/>
      <c r="AJ1155" s="699"/>
      <c r="AK1155" s="699"/>
      <c r="AL1155" s="699"/>
      <c r="AM1155" s="699"/>
      <c r="AN1155" s="699"/>
      <c r="AO1155" s="699"/>
      <c r="AP1155" s="699"/>
      <c r="AQ1155" s="699"/>
      <c r="AR1155" s="699"/>
      <c r="AS1155" s="699"/>
      <c r="AT1155" s="699"/>
      <c r="AU1155" s="699"/>
      <c r="AV1155" s="699"/>
      <c r="AW1155" s="699"/>
      <c r="AX1155" s="700"/>
      <c r="AY1155" s="700"/>
      <c r="AZ1155" s="701"/>
    </row>
    <row r="1156" spans="1:52" ht="30.75" thickBot="1">
      <c r="A1156" s="67">
        <f t="shared" si="651"/>
        <v>44895</v>
      </c>
      <c r="B1156" s="155"/>
      <c r="C1156" s="155"/>
      <c r="D1156" s="155"/>
      <c r="E1156" s="155"/>
      <c r="F1156" s="155"/>
      <c r="G1156" s="155"/>
      <c r="H1156" s="155"/>
      <c r="I1156" s="155"/>
      <c r="J1156" s="155"/>
      <c r="K1156" s="155"/>
      <c r="L1156" s="155"/>
      <c r="M1156" s="155"/>
      <c r="N1156" s="155"/>
      <c r="O1156" s="155"/>
      <c r="P1156" s="155"/>
      <c r="Q1156" s="155"/>
      <c r="R1156" s="156"/>
      <c r="S1156" s="180"/>
      <c r="T1156" s="838"/>
      <c r="U1156" s="838"/>
      <c r="V1156" s="838"/>
      <c r="W1156" s="838"/>
      <c r="X1156" s="838"/>
      <c r="Y1156" s="255">
        <f t="shared" si="649"/>
        <v>0</v>
      </c>
      <c r="Z1156" s="309">
        <f t="shared" si="650"/>
        <v>0</v>
      </c>
      <c r="AA1156" s="256">
        <f t="shared" si="647"/>
        <v>0</v>
      </c>
      <c r="AB1156" s="309"/>
      <c r="AC1156" s="309"/>
      <c r="AD1156" s="320">
        <f t="shared" si="648"/>
        <v>0</v>
      </c>
      <c r="AH1156" s="64">
        <f t="shared" si="652"/>
        <v>43403</v>
      </c>
      <c r="AI1156" s="698"/>
      <c r="AJ1156" s="699"/>
      <c r="AK1156" s="699"/>
      <c r="AL1156" s="699"/>
      <c r="AM1156" s="699"/>
      <c r="AN1156" s="699"/>
      <c r="AO1156" s="699"/>
      <c r="AP1156" s="699"/>
      <c r="AQ1156" s="699"/>
      <c r="AR1156" s="699"/>
      <c r="AS1156" s="699"/>
      <c r="AT1156" s="699"/>
      <c r="AU1156" s="699"/>
      <c r="AV1156" s="699"/>
      <c r="AW1156" s="699"/>
      <c r="AX1156" s="700"/>
      <c r="AY1156" s="700"/>
      <c r="AZ1156" s="701"/>
    </row>
    <row r="1157" spans="1:52" ht="30.75" thickBot="1">
      <c r="A1157" s="102">
        <f t="shared" si="651"/>
        <v>44896</v>
      </c>
      <c r="B1157" s="165"/>
      <c r="C1157" s="162"/>
      <c r="D1157" s="162"/>
      <c r="E1157" s="162"/>
      <c r="F1157" s="162"/>
      <c r="G1157" s="162"/>
      <c r="H1157" s="162"/>
      <c r="I1157" s="162"/>
      <c r="J1157" s="162"/>
      <c r="K1157" s="162"/>
      <c r="L1157" s="165"/>
      <c r="M1157" s="162"/>
      <c r="N1157" s="162"/>
      <c r="O1157" s="162"/>
      <c r="P1157" s="162"/>
      <c r="Q1157" s="162"/>
      <c r="R1157" s="164"/>
      <c r="S1157" s="181"/>
      <c r="T1157" s="839"/>
      <c r="U1157" s="839"/>
      <c r="V1157" s="839"/>
      <c r="W1157" s="839"/>
      <c r="X1157" s="839"/>
      <c r="Y1157" s="255">
        <f t="shared" si="649"/>
        <v>0</v>
      </c>
      <c r="Z1157" s="309">
        <f t="shared" si="650"/>
        <v>0</v>
      </c>
      <c r="AA1157" s="256">
        <f t="shared" si="647"/>
        <v>0</v>
      </c>
      <c r="AB1157" s="309"/>
      <c r="AC1157" s="309">
        <f>AA1157</f>
        <v>0</v>
      </c>
      <c r="AD1157" s="320">
        <f t="shared" si="648"/>
        <v>0</v>
      </c>
      <c r="AH1157" s="65">
        <f t="shared" si="652"/>
        <v>43404</v>
      </c>
      <c r="AI1157" s="702"/>
      <c r="AJ1157" s="703"/>
      <c r="AK1157" s="703"/>
      <c r="AL1157" s="703"/>
      <c r="AM1157" s="703"/>
      <c r="AN1157" s="703"/>
      <c r="AO1157" s="703"/>
      <c r="AP1157" s="703"/>
      <c r="AQ1157" s="703"/>
      <c r="AR1157" s="703"/>
      <c r="AS1157" s="703"/>
      <c r="AT1157" s="703"/>
      <c r="AU1157" s="703"/>
      <c r="AV1157" s="703"/>
      <c r="AW1157" s="703"/>
      <c r="AX1157" s="704"/>
      <c r="AY1157" s="704"/>
      <c r="AZ1157" s="705"/>
    </row>
    <row r="1158" spans="1:52" ht="50.1" customHeight="1" thickTop="1" thickBot="1">
      <c r="A1158" s="96" t="s">
        <v>74</v>
      </c>
      <c r="B1158" s="104">
        <f>SUM(B1127:B1157)</f>
        <v>0</v>
      </c>
      <c r="C1158" s="104">
        <f t="shared" ref="C1158:Y1158" si="653">SUM(C1127:C1157)</f>
        <v>0</v>
      </c>
      <c r="D1158" s="104">
        <f t="shared" si="653"/>
        <v>0</v>
      </c>
      <c r="E1158" s="104"/>
      <c r="F1158" s="104">
        <f t="shared" si="653"/>
        <v>0</v>
      </c>
      <c r="G1158" s="104">
        <f t="shared" si="653"/>
        <v>0</v>
      </c>
      <c r="H1158" s="104">
        <f t="shared" si="653"/>
        <v>0</v>
      </c>
      <c r="I1158" s="104">
        <f t="shared" si="653"/>
        <v>0</v>
      </c>
      <c r="J1158" s="104">
        <f t="shared" si="653"/>
        <v>0</v>
      </c>
      <c r="K1158" s="104">
        <f t="shared" si="653"/>
        <v>0</v>
      </c>
      <c r="L1158" s="104">
        <f t="shared" si="653"/>
        <v>0</v>
      </c>
      <c r="M1158" s="104">
        <f t="shared" si="653"/>
        <v>0</v>
      </c>
      <c r="N1158" s="104">
        <f t="shared" si="653"/>
        <v>0</v>
      </c>
      <c r="O1158" s="104">
        <f t="shared" si="653"/>
        <v>0</v>
      </c>
      <c r="P1158" s="104"/>
      <c r="Q1158" s="104">
        <f t="shared" si="653"/>
        <v>0</v>
      </c>
      <c r="R1158" s="104">
        <f t="shared" si="653"/>
        <v>0</v>
      </c>
      <c r="S1158" s="104">
        <f t="shared" si="653"/>
        <v>0</v>
      </c>
      <c r="T1158" s="104"/>
      <c r="U1158" s="104"/>
      <c r="V1158" s="104"/>
      <c r="W1158" s="104"/>
      <c r="X1158" s="104"/>
      <c r="Y1158" s="292">
        <f t="shared" si="653"/>
        <v>0</v>
      </c>
      <c r="Z1158" s="259"/>
      <c r="AA1158" s="259"/>
      <c r="AB1158" s="316">
        <f>SUM(AB1127:AB1157)</f>
        <v>0</v>
      </c>
      <c r="AC1158" s="316"/>
      <c r="AD1158" s="260"/>
      <c r="AH1158" s="706" t="s">
        <v>101</v>
      </c>
      <c r="AI1158" s="707">
        <f>SUM(AI1127:AI1157)</f>
        <v>0</v>
      </c>
      <c r="AJ1158" s="707">
        <f>SUM(AJ1127:AJ1157)</f>
        <v>0</v>
      </c>
      <c r="AK1158" s="707">
        <f t="shared" ref="AK1158:AZ1158" si="654">SUM(AK1127:AK1157)</f>
        <v>0</v>
      </c>
      <c r="AL1158" s="707">
        <f t="shared" si="654"/>
        <v>0</v>
      </c>
      <c r="AM1158" s="707">
        <f t="shared" si="654"/>
        <v>0</v>
      </c>
      <c r="AN1158" s="707">
        <f t="shared" si="654"/>
        <v>0</v>
      </c>
      <c r="AO1158" s="707">
        <f t="shared" si="654"/>
        <v>0</v>
      </c>
      <c r="AP1158" s="707">
        <f t="shared" si="654"/>
        <v>0</v>
      </c>
      <c r="AQ1158" s="707">
        <f t="shared" si="654"/>
        <v>0</v>
      </c>
      <c r="AR1158" s="707">
        <f t="shared" si="654"/>
        <v>0</v>
      </c>
      <c r="AS1158" s="707">
        <f t="shared" si="654"/>
        <v>0</v>
      </c>
      <c r="AT1158" s="707">
        <f t="shared" si="654"/>
        <v>0</v>
      </c>
      <c r="AU1158" s="707">
        <f t="shared" si="654"/>
        <v>0</v>
      </c>
      <c r="AV1158" s="707">
        <f t="shared" si="654"/>
        <v>0</v>
      </c>
      <c r="AW1158" s="707">
        <f t="shared" si="654"/>
        <v>0</v>
      </c>
      <c r="AX1158" s="707">
        <f t="shared" si="654"/>
        <v>0</v>
      </c>
      <c r="AY1158" s="707">
        <f t="shared" si="654"/>
        <v>0</v>
      </c>
      <c r="AZ1158" s="707">
        <f t="shared" si="654"/>
        <v>0</v>
      </c>
    </row>
    <row r="1159" spans="1:52" ht="24" thickTop="1"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714" t="e">
        <f>SUM(#REF!)</f>
        <v>#REF!</v>
      </c>
    </row>
    <row r="1160" spans="1:52" ht="15.75" thickBot="1">
      <c r="I1160" t="s">
        <v>1</v>
      </c>
    </row>
    <row r="1161" spans="1:52" ht="43.5" thickBot="1">
      <c r="A1161" s="109">
        <f>A5</f>
        <v>2022</v>
      </c>
      <c r="B1161" s="1424"/>
      <c r="C1161" s="1425"/>
      <c r="D1161" s="1425"/>
      <c r="E1161" s="1425"/>
      <c r="F1161" s="1425"/>
      <c r="G1161" s="1425"/>
      <c r="H1161" s="1425"/>
      <c r="I1161" s="1425"/>
      <c r="J1161" s="1425"/>
      <c r="K1161" s="1425"/>
      <c r="L1161" s="1425"/>
      <c r="M1161" s="1425"/>
      <c r="N1161" s="1425"/>
      <c r="O1161" s="1425"/>
      <c r="P1161" s="1425"/>
      <c r="Q1161" s="1425"/>
      <c r="R1161" s="1425"/>
      <c r="S1161" s="1425"/>
      <c r="T1161" s="1425"/>
      <c r="U1161" s="1425"/>
      <c r="V1161" s="1425"/>
      <c r="W1161" s="1425"/>
      <c r="X1161" s="1425"/>
      <c r="Y1161" s="1426"/>
      <c r="Z1161" s="21"/>
      <c r="AA1161" s="21"/>
      <c r="AB1161" s="21"/>
      <c r="AC1161" s="2"/>
      <c r="AD1161" t="s">
        <v>1</v>
      </c>
      <c r="AN1161" t="s">
        <v>1</v>
      </c>
    </row>
    <row r="1162" spans="1:52" ht="60.75" thickTop="1" thickBot="1">
      <c r="A1162" s="1422" t="s">
        <v>94</v>
      </c>
      <c r="B1162" s="1402" t="s">
        <v>95</v>
      </c>
      <c r="C1162" s="1403"/>
      <c r="D1162" s="1403"/>
      <c r="E1162" s="1404"/>
      <c r="F1162" s="1402" t="s">
        <v>7</v>
      </c>
      <c r="G1162" s="1403"/>
      <c r="H1162" s="1404"/>
      <c r="I1162" s="1402" t="s">
        <v>8</v>
      </c>
      <c r="J1162" s="1404"/>
      <c r="K1162" s="1402" t="s">
        <v>9</v>
      </c>
      <c r="L1162" s="1403"/>
      <c r="M1162" s="1403"/>
      <c r="N1162" s="1403"/>
      <c r="O1162" s="1403"/>
      <c r="P1162" s="1403"/>
      <c r="Q1162" s="1403"/>
      <c r="R1162" s="1405" t="s">
        <v>10</v>
      </c>
      <c r="S1162" s="1406"/>
      <c r="T1162" s="1400" t="s">
        <v>289</v>
      </c>
      <c r="U1162" s="1401"/>
      <c r="V1162" s="842" t="s">
        <v>258</v>
      </c>
      <c r="W1162" s="842"/>
      <c r="X1162" s="842"/>
      <c r="Y1162" s="211"/>
      <c r="Z1162" s="21"/>
      <c r="AA1162" s="21"/>
      <c r="AB1162" s="21"/>
      <c r="AC1162" s="21"/>
    </row>
    <row r="1163" spans="1:52" ht="42" thickTop="1" thickBot="1">
      <c r="A1163" s="1423"/>
      <c r="B1163" s="482" t="s">
        <v>12</v>
      </c>
      <c r="C1163" s="482" t="s">
        <v>13</v>
      </c>
      <c r="D1163" s="482" t="s">
        <v>14</v>
      </c>
      <c r="E1163" s="688" t="s">
        <v>198</v>
      </c>
      <c r="F1163" s="482" t="s">
        <v>12</v>
      </c>
      <c r="G1163" s="482" t="s">
        <v>13</v>
      </c>
      <c r="H1163" s="482" t="s">
        <v>282</v>
      </c>
      <c r="I1163" s="482" t="s">
        <v>12</v>
      </c>
      <c r="J1163" s="482" t="s">
        <v>16</v>
      </c>
      <c r="K1163" s="482" t="s">
        <v>17</v>
      </c>
      <c r="L1163" s="482" t="s">
        <v>18</v>
      </c>
      <c r="M1163" s="482" t="s">
        <v>19</v>
      </c>
      <c r="N1163" s="484" t="s">
        <v>96</v>
      </c>
      <c r="O1163" s="484" t="s">
        <v>257</v>
      </c>
      <c r="P1163" s="484" t="s">
        <v>254</v>
      </c>
      <c r="Q1163" s="484" t="s">
        <v>20</v>
      </c>
      <c r="R1163" s="483" t="s">
        <v>14</v>
      </c>
      <c r="S1163" s="482" t="s">
        <v>13</v>
      </c>
      <c r="T1163" s="846" t="s">
        <v>284</v>
      </c>
      <c r="U1163" s="846" t="s">
        <v>288</v>
      </c>
      <c r="V1163" s="484" t="s">
        <v>259</v>
      </c>
      <c r="W1163" s="484"/>
      <c r="X1163" s="484"/>
      <c r="Y1163" s="209" t="s">
        <v>90</v>
      </c>
      <c r="Z1163" s="210" t="s">
        <v>97</v>
      </c>
      <c r="AA1163" s="210" t="s">
        <v>74</v>
      </c>
      <c r="AB1163" s="210" t="s">
        <v>98</v>
      </c>
      <c r="AC1163" s="210" t="s">
        <v>99</v>
      </c>
      <c r="AD1163" s="210" t="s">
        <v>100</v>
      </c>
    </row>
    <row r="1164" spans="1:52" ht="30.75" thickBot="1">
      <c r="A1164" s="67">
        <f>A1127</f>
        <v>44866</v>
      </c>
      <c r="B1164" s="153"/>
      <c r="C1164" s="153"/>
      <c r="D1164" s="153"/>
      <c r="E1164" s="153"/>
      <c r="F1164" s="153"/>
      <c r="G1164" s="153"/>
      <c r="H1164" s="153"/>
      <c r="I1164" s="153"/>
      <c r="J1164" s="153"/>
      <c r="K1164" s="153"/>
      <c r="L1164" s="153"/>
      <c r="M1164" s="153"/>
      <c r="N1164" s="153"/>
      <c r="O1164" s="153"/>
      <c r="P1164" s="153"/>
      <c r="Q1164" s="153"/>
      <c r="R1164" s="153"/>
      <c r="S1164" s="153"/>
      <c r="T1164" s="153">
        <f t="shared" ref="T1164:X1173" si="655">T8+T54+T92+T131+T169+T209+T246+T286+T327+T369+T408+T446+T482+T519+T557+T593+T631+T669+T707+T745+T783+T821+T859+T898+T937+T975+T1013+T1051+T1089+T1127</f>
        <v>0</v>
      </c>
      <c r="U1164" s="153">
        <f t="shared" si="655"/>
        <v>0</v>
      </c>
      <c r="V1164" s="153">
        <f t="shared" si="655"/>
        <v>0</v>
      </c>
      <c r="W1164" s="153">
        <f t="shared" si="655"/>
        <v>0</v>
      </c>
      <c r="X1164" s="153">
        <f t="shared" si="655"/>
        <v>0</v>
      </c>
      <c r="Y1164" s="255">
        <f>B1164*280+C1164*280+D1164*280+E1164*280+F1164*130+G1164*130+H1164*90+I1164*35+J1164*35+K1164*400+L1164*400+M1164*400+N1164*381.25+O1164*387.5+P1164*80+Q1164*200+R1164*260+S1164*41+T1164*30+U1164*60</f>
        <v>0</v>
      </c>
      <c r="Z1164" s="308"/>
      <c r="AA1164" s="263">
        <f t="shared" ref="AA1164:AA1194" si="656">Y1164+Z1164</f>
        <v>0</v>
      </c>
      <c r="AB1164" s="308"/>
      <c r="AC1164" s="308"/>
      <c r="AD1164" s="319">
        <f t="shared" ref="AD1164:AD1194" si="657">AA1164-AB1164-AC1164</f>
        <v>0</v>
      </c>
    </row>
    <row r="1165" spans="1:52" ht="30.75" thickBot="1">
      <c r="A1165" s="67">
        <f>A1164+1</f>
        <v>44867</v>
      </c>
      <c r="B1165" s="153"/>
      <c r="C1165" s="153"/>
      <c r="D1165" s="153"/>
      <c r="E1165" s="153"/>
      <c r="F1165" s="153"/>
      <c r="G1165" s="153"/>
      <c r="H1165" s="153"/>
      <c r="I1165" s="153"/>
      <c r="J1165" s="153"/>
      <c r="K1165" s="153"/>
      <c r="L1165" s="153"/>
      <c r="M1165" s="153"/>
      <c r="N1165" s="153"/>
      <c r="O1165" s="153"/>
      <c r="P1165" s="153"/>
      <c r="Q1165" s="153"/>
      <c r="R1165" s="153"/>
      <c r="S1165" s="153"/>
      <c r="T1165" s="153">
        <f t="shared" si="655"/>
        <v>0</v>
      </c>
      <c r="U1165" s="153">
        <f t="shared" si="655"/>
        <v>0</v>
      </c>
      <c r="V1165" s="153">
        <f t="shared" si="655"/>
        <v>0</v>
      </c>
      <c r="W1165" s="153">
        <f t="shared" si="655"/>
        <v>0</v>
      </c>
      <c r="X1165" s="153">
        <f t="shared" si="655"/>
        <v>0</v>
      </c>
      <c r="Y1165" s="255">
        <f t="shared" ref="Y1165:Y1194" si="658">B1165*280+C1165*280+D1165*280+E1165*280+F1165*130+G1165*130+H1165*90+I1165*35+J1165*35+K1165*400+L1165*400+M1165*400+N1165*381.25+O1165*387.5+P1165*80+Q1165*200+R1165*260+S1165*41+T1165*30+U1165*60</f>
        <v>0</v>
      </c>
      <c r="Z1165" s="309">
        <f t="shared" ref="Z1165:Z1194" si="659">AD1164</f>
        <v>0</v>
      </c>
      <c r="AA1165" s="256">
        <f t="shared" si="656"/>
        <v>0</v>
      </c>
      <c r="AB1165" s="309"/>
      <c r="AC1165" s="309"/>
      <c r="AD1165" s="320">
        <f t="shared" si="657"/>
        <v>0</v>
      </c>
    </row>
    <row r="1166" spans="1:52" ht="30.75" thickBot="1">
      <c r="A1166" s="67">
        <f t="shared" ref="A1166:A1194" si="660">A1165+1</f>
        <v>44868</v>
      </c>
      <c r="B1166" s="153"/>
      <c r="C1166" s="153"/>
      <c r="D1166" s="153"/>
      <c r="E1166" s="153"/>
      <c r="F1166" s="153"/>
      <c r="G1166" s="153"/>
      <c r="H1166" s="153"/>
      <c r="I1166" s="153"/>
      <c r="J1166" s="153"/>
      <c r="K1166" s="153"/>
      <c r="L1166" s="153"/>
      <c r="M1166" s="153"/>
      <c r="N1166" s="153"/>
      <c r="O1166" s="153"/>
      <c r="P1166" s="153"/>
      <c r="Q1166" s="153"/>
      <c r="R1166" s="153"/>
      <c r="S1166" s="153"/>
      <c r="T1166" s="153">
        <f t="shared" si="655"/>
        <v>0</v>
      </c>
      <c r="U1166" s="153">
        <f t="shared" si="655"/>
        <v>0</v>
      </c>
      <c r="V1166" s="153">
        <f t="shared" si="655"/>
        <v>0</v>
      </c>
      <c r="W1166" s="153">
        <f t="shared" si="655"/>
        <v>0</v>
      </c>
      <c r="X1166" s="153">
        <f t="shared" si="655"/>
        <v>0</v>
      </c>
      <c r="Y1166" s="255">
        <f t="shared" si="658"/>
        <v>0</v>
      </c>
      <c r="Z1166" s="309">
        <f t="shared" si="659"/>
        <v>0</v>
      </c>
      <c r="AA1166" s="256">
        <f t="shared" si="656"/>
        <v>0</v>
      </c>
      <c r="AB1166" s="309"/>
      <c r="AC1166" s="309"/>
      <c r="AD1166" s="320">
        <f t="shared" si="657"/>
        <v>0</v>
      </c>
    </row>
    <row r="1167" spans="1:52" ht="30.75" thickBot="1">
      <c r="A1167" s="67">
        <f t="shared" si="660"/>
        <v>44869</v>
      </c>
      <c r="B1167" s="153"/>
      <c r="C1167" s="153"/>
      <c r="D1167" s="153"/>
      <c r="E1167" s="153"/>
      <c r="F1167" s="153"/>
      <c r="G1167" s="153"/>
      <c r="H1167" s="153"/>
      <c r="I1167" s="153"/>
      <c r="J1167" s="153"/>
      <c r="K1167" s="153"/>
      <c r="L1167" s="153"/>
      <c r="M1167" s="153"/>
      <c r="N1167" s="153"/>
      <c r="O1167" s="153"/>
      <c r="P1167" s="153"/>
      <c r="Q1167" s="153"/>
      <c r="R1167" s="153"/>
      <c r="S1167" s="153"/>
      <c r="T1167" s="153">
        <f t="shared" si="655"/>
        <v>0</v>
      </c>
      <c r="U1167" s="153">
        <f t="shared" si="655"/>
        <v>0</v>
      </c>
      <c r="V1167" s="153">
        <f t="shared" si="655"/>
        <v>0</v>
      </c>
      <c r="W1167" s="153">
        <f t="shared" si="655"/>
        <v>0</v>
      </c>
      <c r="X1167" s="153">
        <f t="shared" si="655"/>
        <v>0</v>
      </c>
      <c r="Y1167" s="255">
        <f t="shared" si="658"/>
        <v>0</v>
      </c>
      <c r="Z1167" s="309">
        <f t="shared" si="659"/>
        <v>0</v>
      </c>
      <c r="AA1167" s="256">
        <f t="shared" si="656"/>
        <v>0</v>
      </c>
      <c r="AB1167" s="309"/>
      <c r="AC1167" s="309"/>
      <c r="AD1167" s="320">
        <f t="shared" si="657"/>
        <v>0</v>
      </c>
    </row>
    <row r="1168" spans="1:52" ht="30.75" thickBot="1">
      <c r="A1168" s="67">
        <f t="shared" si="660"/>
        <v>44870</v>
      </c>
      <c r="B1168" s="153"/>
      <c r="C1168" s="153"/>
      <c r="D1168" s="153"/>
      <c r="E1168" s="153"/>
      <c r="F1168" s="153"/>
      <c r="G1168" s="153"/>
      <c r="H1168" s="153"/>
      <c r="I1168" s="153"/>
      <c r="J1168" s="153"/>
      <c r="K1168" s="153"/>
      <c r="L1168" s="153"/>
      <c r="M1168" s="153"/>
      <c r="N1168" s="153"/>
      <c r="O1168" s="153"/>
      <c r="P1168" s="153"/>
      <c r="Q1168" s="153"/>
      <c r="R1168" s="153"/>
      <c r="S1168" s="153"/>
      <c r="T1168" s="153">
        <f t="shared" si="655"/>
        <v>0</v>
      </c>
      <c r="U1168" s="153">
        <f t="shared" si="655"/>
        <v>0</v>
      </c>
      <c r="V1168" s="153">
        <f t="shared" si="655"/>
        <v>0</v>
      </c>
      <c r="W1168" s="153">
        <f t="shared" si="655"/>
        <v>0</v>
      </c>
      <c r="X1168" s="153">
        <f t="shared" si="655"/>
        <v>0</v>
      </c>
      <c r="Y1168" s="255">
        <f t="shared" si="658"/>
        <v>0</v>
      </c>
      <c r="Z1168" s="309">
        <f t="shared" si="659"/>
        <v>0</v>
      </c>
      <c r="AA1168" s="256">
        <f t="shared" si="656"/>
        <v>0</v>
      </c>
      <c r="AB1168" s="309"/>
      <c r="AC1168" s="309"/>
      <c r="AD1168" s="320">
        <f t="shared" si="657"/>
        <v>0</v>
      </c>
    </row>
    <row r="1169" spans="1:30" ht="30.75" thickBot="1">
      <c r="A1169" s="67">
        <f t="shared" si="660"/>
        <v>44871</v>
      </c>
      <c r="B1169" s="153"/>
      <c r="C1169" s="153"/>
      <c r="D1169" s="153"/>
      <c r="E1169" s="153"/>
      <c r="F1169" s="153"/>
      <c r="G1169" s="153"/>
      <c r="H1169" s="153"/>
      <c r="I1169" s="153"/>
      <c r="J1169" s="153"/>
      <c r="K1169" s="153"/>
      <c r="L1169" s="153"/>
      <c r="M1169" s="153"/>
      <c r="N1169" s="153"/>
      <c r="O1169" s="153"/>
      <c r="P1169" s="153"/>
      <c r="Q1169" s="153"/>
      <c r="R1169" s="153"/>
      <c r="S1169" s="153"/>
      <c r="T1169" s="153">
        <f t="shared" si="655"/>
        <v>0</v>
      </c>
      <c r="U1169" s="153">
        <f t="shared" si="655"/>
        <v>0</v>
      </c>
      <c r="V1169" s="153">
        <f t="shared" si="655"/>
        <v>0</v>
      </c>
      <c r="W1169" s="153">
        <f t="shared" si="655"/>
        <v>0</v>
      </c>
      <c r="X1169" s="153">
        <f t="shared" si="655"/>
        <v>0</v>
      </c>
      <c r="Y1169" s="255">
        <f t="shared" si="658"/>
        <v>0</v>
      </c>
      <c r="Z1169" s="309">
        <f t="shared" si="659"/>
        <v>0</v>
      </c>
      <c r="AA1169" s="256">
        <f t="shared" si="656"/>
        <v>0</v>
      </c>
      <c r="AB1169" s="309"/>
      <c r="AC1169" s="309"/>
      <c r="AD1169" s="320">
        <f t="shared" si="657"/>
        <v>0</v>
      </c>
    </row>
    <row r="1170" spans="1:30" ht="30.75" thickBot="1">
      <c r="A1170" s="67">
        <f t="shared" si="660"/>
        <v>44872</v>
      </c>
      <c r="B1170" s="153"/>
      <c r="C1170" s="153"/>
      <c r="D1170" s="153"/>
      <c r="E1170" s="153"/>
      <c r="F1170" s="153"/>
      <c r="G1170" s="153"/>
      <c r="H1170" s="153"/>
      <c r="I1170" s="153"/>
      <c r="J1170" s="153"/>
      <c r="K1170" s="153"/>
      <c r="L1170" s="153"/>
      <c r="M1170" s="153"/>
      <c r="N1170" s="153"/>
      <c r="O1170" s="153"/>
      <c r="P1170" s="153"/>
      <c r="Q1170" s="153"/>
      <c r="R1170" s="153"/>
      <c r="S1170" s="153"/>
      <c r="T1170" s="153">
        <f t="shared" si="655"/>
        <v>0</v>
      </c>
      <c r="U1170" s="153">
        <f t="shared" si="655"/>
        <v>0</v>
      </c>
      <c r="V1170" s="153">
        <f t="shared" si="655"/>
        <v>0</v>
      </c>
      <c r="W1170" s="153">
        <f t="shared" si="655"/>
        <v>0</v>
      </c>
      <c r="X1170" s="153">
        <f t="shared" si="655"/>
        <v>0</v>
      </c>
      <c r="Y1170" s="255">
        <f>B1170*280+C1170*280+D1170*280+E1170*280+F1170*130+G1170*130+H1170*90+I1170*35+J1170*35+K1170*400+L1170*385+M1170*400+N1170*381.25+O1170*387.5+P1170*80+Q1170*200+R1170*260+S1170*41+T1170*30+U1170*60</f>
        <v>0</v>
      </c>
      <c r="Z1170" s="309">
        <f t="shared" si="659"/>
        <v>0</v>
      </c>
      <c r="AA1170" s="256">
        <f t="shared" si="656"/>
        <v>0</v>
      </c>
      <c r="AB1170" s="309"/>
      <c r="AC1170" s="309"/>
      <c r="AD1170" s="320">
        <f t="shared" si="657"/>
        <v>0</v>
      </c>
    </row>
    <row r="1171" spans="1:30" ht="30.75" thickBot="1">
      <c r="A1171" s="67">
        <f t="shared" si="660"/>
        <v>44873</v>
      </c>
      <c r="B1171" s="153"/>
      <c r="C1171" s="153"/>
      <c r="D1171" s="153"/>
      <c r="E1171" s="153"/>
      <c r="F1171" s="153"/>
      <c r="G1171" s="153"/>
      <c r="H1171" s="153"/>
      <c r="I1171" s="153"/>
      <c r="J1171" s="153"/>
      <c r="K1171" s="153"/>
      <c r="L1171" s="153"/>
      <c r="M1171" s="153"/>
      <c r="N1171" s="153"/>
      <c r="O1171" s="153"/>
      <c r="P1171" s="153"/>
      <c r="Q1171" s="153"/>
      <c r="R1171" s="153"/>
      <c r="S1171" s="153"/>
      <c r="T1171" s="153">
        <f t="shared" si="655"/>
        <v>0</v>
      </c>
      <c r="U1171" s="153">
        <f t="shared" si="655"/>
        <v>0</v>
      </c>
      <c r="V1171" s="153">
        <f t="shared" si="655"/>
        <v>0</v>
      </c>
      <c r="W1171" s="153">
        <f t="shared" si="655"/>
        <v>0</v>
      </c>
      <c r="X1171" s="153">
        <f t="shared" si="655"/>
        <v>0</v>
      </c>
      <c r="Y1171" s="255">
        <f t="shared" si="658"/>
        <v>0</v>
      </c>
      <c r="Z1171" s="309">
        <f t="shared" si="659"/>
        <v>0</v>
      </c>
      <c r="AA1171" s="256">
        <f t="shared" si="656"/>
        <v>0</v>
      </c>
      <c r="AB1171" s="309"/>
      <c r="AC1171" s="309"/>
      <c r="AD1171" s="320">
        <f t="shared" si="657"/>
        <v>0</v>
      </c>
    </row>
    <row r="1172" spans="1:30" ht="30.75" thickBot="1">
      <c r="A1172" s="67">
        <f t="shared" si="660"/>
        <v>44874</v>
      </c>
      <c r="B1172" s="153"/>
      <c r="C1172" s="153"/>
      <c r="D1172" s="153"/>
      <c r="E1172" s="153"/>
      <c r="F1172" s="153"/>
      <c r="G1172" s="153"/>
      <c r="H1172" s="153"/>
      <c r="I1172" s="153"/>
      <c r="J1172" s="153"/>
      <c r="K1172" s="153"/>
      <c r="L1172" s="153"/>
      <c r="M1172" s="153"/>
      <c r="N1172" s="153"/>
      <c r="O1172" s="153"/>
      <c r="P1172" s="153"/>
      <c r="Q1172" s="153"/>
      <c r="R1172" s="153"/>
      <c r="S1172" s="153"/>
      <c r="T1172" s="153">
        <f t="shared" si="655"/>
        <v>0</v>
      </c>
      <c r="U1172" s="153">
        <f t="shared" si="655"/>
        <v>0</v>
      </c>
      <c r="V1172" s="153">
        <f t="shared" si="655"/>
        <v>0</v>
      </c>
      <c r="W1172" s="153">
        <f t="shared" si="655"/>
        <v>0</v>
      </c>
      <c r="X1172" s="153">
        <f t="shared" si="655"/>
        <v>0</v>
      </c>
      <c r="Y1172" s="255">
        <f t="shared" si="658"/>
        <v>0</v>
      </c>
      <c r="Z1172" s="309">
        <f t="shared" si="659"/>
        <v>0</v>
      </c>
      <c r="AA1172" s="256">
        <f t="shared" si="656"/>
        <v>0</v>
      </c>
      <c r="AB1172" s="309"/>
      <c r="AC1172" s="309"/>
      <c r="AD1172" s="320">
        <f t="shared" si="657"/>
        <v>0</v>
      </c>
    </row>
    <row r="1173" spans="1:30" ht="30.75" thickBot="1">
      <c r="A1173" s="67">
        <f t="shared" si="660"/>
        <v>44875</v>
      </c>
      <c r="B1173" s="153"/>
      <c r="C1173" s="153"/>
      <c r="D1173" s="153"/>
      <c r="E1173" s="153"/>
      <c r="F1173" s="153"/>
      <c r="G1173" s="153"/>
      <c r="H1173" s="153"/>
      <c r="I1173" s="153"/>
      <c r="J1173" s="153"/>
      <c r="K1173" s="153"/>
      <c r="L1173" s="153"/>
      <c r="M1173" s="153"/>
      <c r="N1173" s="153"/>
      <c r="O1173" s="153"/>
      <c r="P1173" s="153"/>
      <c r="Q1173" s="153"/>
      <c r="R1173" s="153"/>
      <c r="S1173" s="153"/>
      <c r="T1173" s="153">
        <f t="shared" si="655"/>
        <v>0</v>
      </c>
      <c r="U1173" s="153">
        <f t="shared" si="655"/>
        <v>0</v>
      </c>
      <c r="V1173" s="153">
        <f t="shared" si="655"/>
        <v>0</v>
      </c>
      <c r="W1173" s="153">
        <f t="shared" si="655"/>
        <v>0</v>
      </c>
      <c r="X1173" s="153">
        <f t="shared" si="655"/>
        <v>0</v>
      </c>
      <c r="Y1173" s="255">
        <f t="shared" si="658"/>
        <v>0</v>
      </c>
      <c r="Z1173" s="309">
        <f t="shared" si="659"/>
        <v>0</v>
      </c>
      <c r="AA1173" s="256">
        <f t="shared" si="656"/>
        <v>0</v>
      </c>
      <c r="AB1173" s="309"/>
      <c r="AC1173" s="309"/>
      <c r="AD1173" s="320">
        <f t="shared" si="657"/>
        <v>0</v>
      </c>
    </row>
    <row r="1174" spans="1:30" ht="30.75" thickBot="1">
      <c r="A1174" s="67">
        <f t="shared" si="660"/>
        <v>44876</v>
      </c>
      <c r="B1174" s="153"/>
      <c r="C1174" s="153"/>
      <c r="D1174" s="153"/>
      <c r="E1174" s="153"/>
      <c r="F1174" s="153"/>
      <c r="G1174" s="153"/>
      <c r="H1174" s="153"/>
      <c r="I1174" s="153"/>
      <c r="J1174" s="153"/>
      <c r="K1174" s="153"/>
      <c r="L1174" s="153"/>
      <c r="M1174" s="153"/>
      <c r="N1174" s="153"/>
      <c r="O1174" s="153"/>
      <c r="P1174" s="153"/>
      <c r="Q1174" s="153"/>
      <c r="R1174" s="153"/>
      <c r="S1174" s="153"/>
      <c r="T1174" s="153">
        <f t="shared" ref="T1174:X1183" si="661">T18+T64+T102+T141+T179+T219+T256+T296+T337+T379+T418+T456+T492+T529+T567+T603+T641+T679+T717+T755+T793+T831+T869+T908+T947+T985+T1023+T1061+T1099+T1137</f>
        <v>0</v>
      </c>
      <c r="U1174" s="153">
        <f t="shared" si="661"/>
        <v>0</v>
      </c>
      <c r="V1174" s="153">
        <f t="shared" si="661"/>
        <v>0</v>
      </c>
      <c r="W1174" s="153">
        <f t="shared" si="661"/>
        <v>0</v>
      </c>
      <c r="X1174" s="153">
        <f t="shared" si="661"/>
        <v>0</v>
      </c>
      <c r="Y1174" s="255">
        <f t="shared" si="658"/>
        <v>0</v>
      </c>
      <c r="Z1174" s="309">
        <f t="shared" si="659"/>
        <v>0</v>
      </c>
      <c r="AA1174" s="256">
        <f t="shared" si="656"/>
        <v>0</v>
      </c>
      <c r="AB1174" s="309"/>
      <c r="AC1174" s="309"/>
      <c r="AD1174" s="320">
        <f t="shared" si="657"/>
        <v>0</v>
      </c>
    </row>
    <row r="1175" spans="1:30" ht="30.75" thickBot="1">
      <c r="A1175" s="67">
        <f t="shared" si="660"/>
        <v>44877</v>
      </c>
      <c r="B1175" s="153"/>
      <c r="C1175" s="153"/>
      <c r="D1175" s="153"/>
      <c r="E1175" s="153"/>
      <c r="F1175" s="153"/>
      <c r="G1175" s="153"/>
      <c r="H1175" s="153"/>
      <c r="I1175" s="153"/>
      <c r="J1175" s="153"/>
      <c r="K1175" s="153"/>
      <c r="L1175" s="153"/>
      <c r="M1175" s="153"/>
      <c r="N1175" s="153"/>
      <c r="O1175" s="153"/>
      <c r="P1175" s="153"/>
      <c r="Q1175" s="153"/>
      <c r="R1175" s="153"/>
      <c r="S1175" s="153"/>
      <c r="T1175" s="153">
        <f t="shared" si="661"/>
        <v>0</v>
      </c>
      <c r="U1175" s="153">
        <f t="shared" si="661"/>
        <v>0</v>
      </c>
      <c r="V1175" s="153">
        <f t="shared" si="661"/>
        <v>0</v>
      </c>
      <c r="W1175" s="153">
        <f t="shared" si="661"/>
        <v>0</v>
      </c>
      <c r="X1175" s="153">
        <f t="shared" si="661"/>
        <v>0</v>
      </c>
      <c r="Y1175" s="255">
        <f t="shared" si="658"/>
        <v>0</v>
      </c>
      <c r="Z1175" s="309">
        <f t="shared" si="659"/>
        <v>0</v>
      </c>
      <c r="AA1175" s="256">
        <f t="shared" si="656"/>
        <v>0</v>
      </c>
      <c r="AB1175" s="309"/>
      <c r="AC1175" s="309"/>
      <c r="AD1175" s="320">
        <f t="shared" si="657"/>
        <v>0</v>
      </c>
    </row>
    <row r="1176" spans="1:30" ht="30.75" thickBot="1">
      <c r="A1176" s="67">
        <f t="shared" si="660"/>
        <v>44878</v>
      </c>
      <c r="B1176" s="153"/>
      <c r="C1176" s="153"/>
      <c r="D1176" s="153"/>
      <c r="E1176" s="153"/>
      <c r="F1176" s="153"/>
      <c r="G1176" s="153"/>
      <c r="H1176" s="153"/>
      <c r="I1176" s="153"/>
      <c r="J1176" s="153"/>
      <c r="K1176" s="153"/>
      <c r="L1176" s="153"/>
      <c r="M1176" s="153"/>
      <c r="N1176" s="153"/>
      <c r="O1176" s="153"/>
      <c r="P1176" s="153"/>
      <c r="Q1176" s="153"/>
      <c r="R1176" s="153"/>
      <c r="S1176" s="153"/>
      <c r="T1176" s="153">
        <f t="shared" si="661"/>
        <v>0</v>
      </c>
      <c r="U1176" s="153">
        <f t="shared" si="661"/>
        <v>0</v>
      </c>
      <c r="V1176" s="153">
        <f t="shared" si="661"/>
        <v>0</v>
      </c>
      <c r="W1176" s="153">
        <f t="shared" si="661"/>
        <v>0</v>
      </c>
      <c r="X1176" s="153">
        <f t="shared" si="661"/>
        <v>0</v>
      </c>
      <c r="Y1176" s="255">
        <f t="shared" si="658"/>
        <v>0</v>
      </c>
      <c r="Z1176" s="309">
        <f t="shared" si="659"/>
        <v>0</v>
      </c>
      <c r="AA1176" s="256">
        <f t="shared" si="656"/>
        <v>0</v>
      </c>
      <c r="AB1176" s="309"/>
      <c r="AC1176" s="309"/>
      <c r="AD1176" s="320">
        <f t="shared" si="657"/>
        <v>0</v>
      </c>
    </row>
    <row r="1177" spans="1:30" ht="30.75" thickBot="1">
      <c r="A1177" s="67">
        <f t="shared" si="660"/>
        <v>44879</v>
      </c>
      <c r="B1177" s="153"/>
      <c r="C1177" s="153"/>
      <c r="D1177" s="153"/>
      <c r="E1177" s="153"/>
      <c r="F1177" s="153"/>
      <c r="G1177" s="153"/>
      <c r="H1177" s="153"/>
      <c r="I1177" s="153"/>
      <c r="J1177" s="153"/>
      <c r="K1177" s="153"/>
      <c r="L1177" s="153"/>
      <c r="M1177" s="153"/>
      <c r="N1177" s="153"/>
      <c r="O1177" s="153"/>
      <c r="P1177" s="153"/>
      <c r="Q1177" s="153"/>
      <c r="R1177" s="153"/>
      <c r="S1177" s="153"/>
      <c r="T1177" s="153">
        <f t="shared" si="661"/>
        <v>0</v>
      </c>
      <c r="U1177" s="153">
        <f t="shared" si="661"/>
        <v>0</v>
      </c>
      <c r="V1177" s="153">
        <f t="shared" si="661"/>
        <v>0</v>
      </c>
      <c r="W1177" s="153">
        <f t="shared" si="661"/>
        <v>0</v>
      </c>
      <c r="X1177" s="153">
        <f t="shared" si="661"/>
        <v>0</v>
      </c>
      <c r="Y1177" s="255">
        <f t="shared" si="658"/>
        <v>0</v>
      </c>
      <c r="Z1177" s="309">
        <f t="shared" si="659"/>
        <v>0</v>
      </c>
      <c r="AA1177" s="256">
        <f t="shared" si="656"/>
        <v>0</v>
      </c>
      <c r="AB1177" s="309"/>
      <c r="AC1177" s="309"/>
      <c r="AD1177" s="320">
        <f t="shared" si="657"/>
        <v>0</v>
      </c>
    </row>
    <row r="1178" spans="1:30" ht="30.75" thickBot="1">
      <c r="A1178" s="67">
        <f t="shared" si="660"/>
        <v>44880</v>
      </c>
      <c r="B1178" s="153"/>
      <c r="C1178" s="153"/>
      <c r="D1178" s="153"/>
      <c r="E1178" s="153"/>
      <c r="F1178" s="153"/>
      <c r="G1178" s="153"/>
      <c r="H1178" s="153"/>
      <c r="I1178" s="153"/>
      <c r="J1178" s="153"/>
      <c r="K1178" s="153"/>
      <c r="L1178" s="153"/>
      <c r="M1178" s="153"/>
      <c r="N1178" s="153"/>
      <c r="O1178" s="153"/>
      <c r="P1178" s="153"/>
      <c r="Q1178" s="153"/>
      <c r="R1178" s="153"/>
      <c r="S1178" s="153"/>
      <c r="T1178" s="153">
        <f t="shared" si="661"/>
        <v>0</v>
      </c>
      <c r="U1178" s="153">
        <f t="shared" si="661"/>
        <v>0</v>
      </c>
      <c r="V1178" s="153">
        <f t="shared" si="661"/>
        <v>0</v>
      </c>
      <c r="W1178" s="153">
        <f t="shared" si="661"/>
        <v>0</v>
      </c>
      <c r="X1178" s="153">
        <f t="shared" si="661"/>
        <v>0</v>
      </c>
      <c r="Y1178" s="255">
        <f t="shared" si="658"/>
        <v>0</v>
      </c>
      <c r="Z1178" s="309">
        <f t="shared" si="659"/>
        <v>0</v>
      </c>
      <c r="AA1178" s="256">
        <f t="shared" si="656"/>
        <v>0</v>
      </c>
      <c r="AB1178" s="309"/>
      <c r="AC1178" s="309"/>
      <c r="AD1178" s="320">
        <f t="shared" si="657"/>
        <v>0</v>
      </c>
    </row>
    <row r="1179" spans="1:30" ht="30.75" thickBot="1">
      <c r="A1179" s="67">
        <f t="shared" si="660"/>
        <v>44881</v>
      </c>
      <c r="B1179" s="153"/>
      <c r="C1179" s="153"/>
      <c r="D1179" s="153"/>
      <c r="E1179" s="153"/>
      <c r="F1179" s="153"/>
      <c r="G1179" s="153"/>
      <c r="H1179" s="153"/>
      <c r="I1179" s="153"/>
      <c r="J1179" s="153"/>
      <c r="K1179" s="153"/>
      <c r="L1179" s="153"/>
      <c r="M1179" s="153"/>
      <c r="N1179" s="153"/>
      <c r="O1179" s="153"/>
      <c r="P1179" s="153"/>
      <c r="Q1179" s="153"/>
      <c r="R1179" s="153"/>
      <c r="S1179" s="153"/>
      <c r="T1179" s="153">
        <f t="shared" si="661"/>
        <v>0</v>
      </c>
      <c r="U1179" s="153">
        <f t="shared" si="661"/>
        <v>0</v>
      </c>
      <c r="V1179" s="153">
        <f t="shared" si="661"/>
        <v>0</v>
      </c>
      <c r="W1179" s="153">
        <f t="shared" si="661"/>
        <v>0</v>
      </c>
      <c r="X1179" s="153">
        <f t="shared" si="661"/>
        <v>0</v>
      </c>
      <c r="Y1179" s="255">
        <f t="shared" si="658"/>
        <v>0</v>
      </c>
      <c r="Z1179" s="309">
        <f t="shared" si="659"/>
        <v>0</v>
      </c>
      <c r="AA1179" s="256">
        <f t="shared" si="656"/>
        <v>0</v>
      </c>
      <c r="AB1179" s="309"/>
      <c r="AC1179" s="309"/>
      <c r="AD1179" s="320">
        <f t="shared" si="657"/>
        <v>0</v>
      </c>
    </row>
    <row r="1180" spans="1:30" ht="30.75" thickBot="1">
      <c r="A1180" s="67">
        <f t="shared" si="660"/>
        <v>44882</v>
      </c>
      <c r="B1180" s="153"/>
      <c r="C1180" s="153"/>
      <c r="D1180" s="153"/>
      <c r="E1180" s="153"/>
      <c r="F1180" s="153"/>
      <c r="G1180" s="153"/>
      <c r="H1180" s="153"/>
      <c r="I1180" s="153"/>
      <c r="J1180" s="153"/>
      <c r="K1180" s="153"/>
      <c r="L1180" s="153"/>
      <c r="M1180" s="153"/>
      <c r="N1180" s="153"/>
      <c r="O1180" s="153"/>
      <c r="P1180" s="153"/>
      <c r="Q1180" s="153"/>
      <c r="R1180" s="153"/>
      <c r="S1180" s="153"/>
      <c r="T1180" s="153">
        <f t="shared" si="661"/>
        <v>0</v>
      </c>
      <c r="U1180" s="153">
        <f t="shared" si="661"/>
        <v>0</v>
      </c>
      <c r="V1180" s="153">
        <f t="shared" si="661"/>
        <v>0</v>
      </c>
      <c r="W1180" s="153">
        <f t="shared" si="661"/>
        <v>0</v>
      </c>
      <c r="X1180" s="153">
        <f t="shared" si="661"/>
        <v>0</v>
      </c>
      <c r="Y1180" s="255">
        <f t="shared" si="658"/>
        <v>0</v>
      </c>
      <c r="Z1180" s="309">
        <f t="shared" si="659"/>
        <v>0</v>
      </c>
      <c r="AA1180" s="256">
        <f t="shared" si="656"/>
        <v>0</v>
      </c>
      <c r="AB1180" s="309"/>
      <c r="AC1180" s="309"/>
      <c r="AD1180" s="320">
        <f t="shared" si="657"/>
        <v>0</v>
      </c>
    </row>
    <row r="1181" spans="1:30" ht="30.75" thickBot="1">
      <c r="A1181" s="67">
        <f t="shared" si="660"/>
        <v>44883</v>
      </c>
      <c r="B1181" s="153"/>
      <c r="C1181" s="153"/>
      <c r="D1181" s="153"/>
      <c r="E1181" s="153"/>
      <c r="F1181" s="153"/>
      <c r="G1181" s="153"/>
      <c r="H1181" s="153"/>
      <c r="I1181" s="153"/>
      <c r="J1181" s="153"/>
      <c r="K1181" s="153"/>
      <c r="L1181" s="153"/>
      <c r="M1181" s="153"/>
      <c r="N1181" s="153"/>
      <c r="O1181" s="153"/>
      <c r="P1181" s="153"/>
      <c r="Q1181" s="153"/>
      <c r="R1181" s="153"/>
      <c r="S1181" s="153"/>
      <c r="T1181" s="153">
        <f t="shared" si="661"/>
        <v>0</v>
      </c>
      <c r="U1181" s="153">
        <f t="shared" si="661"/>
        <v>0</v>
      </c>
      <c r="V1181" s="153">
        <f t="shared" si="661"/>
        <v>0</v>
      </c>
      <c r="W1181" s="153">
        <f t="shared" si="661"/>
        <v>0</v>
      </c>
      <c r="X1181" s="153">
        <f t="shared" si="661"/>
        <v>0</v>
      </c>
      <c r="Y1181" s="255">
        <f t="shared" si="658"/>
        <v>0</v>
      </c>
      <c r="Z1181" s="309">
        <f t="shared" si="659"/>
        <v>0</v>
      </c>
      <c r="AA1181" s="256">
        <f t="shared" si="656"/>
        <v>0</v>
      </c>
      <c r="AB1181" s="309"/>
      <c r="AC1181" s="309"/>
      <c r="AD1181" s="320">
        <f t="shared" si="657"/>
        <v>0</v>
      </c>
    </row>
    <row r="1182" spans="1:30" ht="30.75" thickBot="1">
      <c r="A1182" s="67">
        <f t="shared" si="660"/>
        <v>44884</v>
      </c>
      <c r="B1182" s="153"/>
      <c r="C1182" s="153"/>
      <c r="D1182" s="153"/>
      <c r="E1182" s="153"/>
      <c r="F1182" s="153"/>
      <c r="G1182" s="153"/>
      <c r="H1182" s="153"/>
      <c r="I1182" s="153"/>
      <c r="J1182" s="153"/>
      <c r="K1182" s="153"/>
      <c r="L1182" s="153"/>
      <c r="M1182" s="153"/>
      <c r="N1182" s="153"/>
      <c r="O1182" s="153"/>
      <c r="P1182" s="153"/>
      <c r="Q1182" s="153"/>
      <c r="R1182" s="153"/>
      <c r="S1182" s="153"/>
      <c r="T1182" s="153">
        <f t="shared" si="661"/>
        <v>0</v>
      </c>
      <c r="U1182" s="153">
        <f t="shared" si="661"/>
        <v>0</v>
      </c>
      <c r="V1182" s="153">
        <f t="shared" si="661"/>
        <v>0</v>
      </c>
      <c r="W1182" s="153">
        <f t="shared" si="661"/>
        <v>0</v>
      </c>
      <c r="X1182" s="153">
        <f t="shared" si="661"/>
        <v>0</v>
      </c>
      <c r="Y1182" s="255">
        <f t="shared" si="658"/>
        <v>0</v>
      </c>
      <c r="Z1182" s="309">
        <f t="shared" si="659"/>
        <v>0</v>
      </c>
      <c r="AA1182" s="256">
        <f t="shared" si="656"/>
        <v>0</v>
      </c>
      <c r="AB1182" s="309"/>
      <c r="AC1182" s="309"/>
      <c r="AD1182" s="320">
        <f t="shared" si="657"/>
        <v>0</v>
      </c>
    </row>
    <row r="1183" spans="1:30" ht="30.75" thickBot="1">
      <c r="A1183" s="67">
        <f t="shared" si="660"/>
        <v>44885</v>
      </c>
      <c r="B1183" s="153"/>
      <c r="C1183" s="153"/>
      <c r="D1183" s="153"/>
      <c r="E1183" s="153"/>
      <c r="F1183" s="153"/>
      <c r="G1183" s="153"/>
      <c r="H1183" s="153"/>
      <c r="I1183" s="153"/>
      <c r="J1183" s="153"/>
      <c r="K1183" s="153"/>
      <c r="L1183" s="153"/>
      <c r="M1183" s="153"/>
      <c r="N1183" s="153"/>
      <c r="O1183" s="153"/>
      <c r="P1183" s="153"/>
      <c r="Q1183" s="153"/>
      <c r="R1183" s="153"/>
      <c r="S1183" s="153"/>
      <c r="T1183" s="153">
        <f t="shared" si="661"/>
        <v>0</v>
      </c>
      <c r="U1183" s="153">
        <f t="shared" si="661"/>
        <v>0</v>
      </c>
      <c r="V1183" s="153">
        <f t="shared" si="661"/>
        <v>0</v>
      </c>
      <c r="W1183" s="153">
        <f t="shared" si="661"/>
        <v>0</v>
      </c>
      <c r="X1183" s="153">
        <f t="shared" si="661"/>
        <v>0</v>
      </c>
      <c r="Y1183" s="255">
        <f t="shared" si="658"/>
        <v>0</v>
      </c>
      <c r="Z1183" s="309">
        <f t="shared" si="659"/>
        <v>0</v>
      </c>
      <c r="AA1183" s="256">
        <f t="shared" si="656"/>
        <v>0</v>
      </c>
      <c r="AB1183" s="309"/>
      <c r="AC1183" s="309"/>
      <c r="AD1183" s="320">
        <f t="shared" si="657"/>
        <v>0</v>
      </c>
    </row>
    <row r="1184" spans="1:30" ht="30.75" thickBot="1">
      <c r="A1184" s="67">
        <f t="shared" si="660"/>
        <v>44886</v>
      </c>
      <c r="B1184" s="153"/>
      <c r="C1184" s="153"/>
      <c r="D1184" s="153"/>
      <c r="E1184" s="153"/>
      <c r="F1184" s="153"/>
      <c r="G1184" s="153"/>
      <c r="H1184" s="153"/>
      <c r="I1184" s="153"/>
      <c r="J1184" s="153"/>
      <c r="K1184" s="153"/>
      <c r="L1184" s="153"/>
      <c r="M1184" s="153"/>
      <c r="N1184" s="153"/>
      <c r="O1184" s="153"/>
      <c r="P1184" s="153"/>
      <c r="Q1184" s="153"/>
      <c r="R1184" s="153"/>
      <c r="S1184" s="153"/>
      <c r="T1184" s="153">
        <f t="shared" ref="T1184:X1193" si="662">T28+T74+T112+T151+T189+T229+T266+T306+T347+T389+T428+T466+T502+T539+T577+T613+T651+T689+T727+T765+T803+T841+T879+T918+T957+T995+T1033+T1071+T1109+T1147</f>
        <v>0</v>
      </c>
      <c r="U1184" s="153">
        <f t="shared" si="662"/>
        <v>0</v>
      </c>
      <c r="V1184" s="153">
        <f t="shared" si="662"/>
        <v>0</v>
      </c>
      <c r="W1184" s="153">
        <f t="shared" si="662"/>
        <v>0</v>
      </c>
      <c r="X1184" s="153">
        <f t="shared" si="662"/>
        <v>0</v>
      </c>
      <c r="Y1184" s="255">
        <f t="shared" si="658"/>
        <v>0</v>
      </c>
      <c r="Z1184" s="309">
        <f t="shared" si="659"/>
        <v>0</v>
      </c>
      <c r="AA1184" s="256">
        <f t="shared" si="656"/>
        <v>0</v>
      </c>
      <c r="AB1184" s="309"/>
      <c r="AC1184" s="309"/>
      <c r="AD1184" s="320">
        <f t="shared" si="657"/>
        <v>0</v>
      </c>
    </row>
    <row r="1185" spans="1:43" ht="30.75" thickBot="1">
      <c r="A1185" s="67">
        <f t="shared" si="660"/>
        <v>44887</v>
      </c>
      <c r="B1185" s="153"/>
      <c r="C1185" s="153"/>
      <c r="D1185" s="153"/>
      <c r="E1185" s="153"/>
      <c r="F1185" s="153"/>
      <c r="G1185" s="153"/>
      <c r="H1185" s="153"/>
      <c r="I1185" s="153"/>
      <c r="J1185" s="153"/>
      <c r="K1185" s="153"/>
      <c r="L1185" s="153"/>
      <c r="M1185" s="153"/>
      <c r="N1185" s="153"/>
      <c r="O1185" s="153"/>
      <c r="P1185" s="153"/>
      <c r="Q1185" s="153"/>
      <c r="R1185" s="153"/>
      <c r="S1185" s="153"/>
      <c r="T1185" s="153">
        <f t="shared" si="662"/>
        <v>0</v>
      </c>
      <c r="U1185" s="153">
        <f t="shared" si="662"/>
        <v>0</v>
      </c>
      <c r="V1185" s="153">
        <f t="shared" si="662"/>
        <v>0</v>
      </c>
      <c r="W1185" s="153">
        <f t="shared" si="662"/>
        <v>0</v>
      </c>
      <c r="X1185" s="153">
        <f t="shared" si="662"/>
        <v>0</v>
      </c>
      <c r="Y1185" s="255">
        <f t="shared" si="658"/>
        <v>0</v>
      </c>
      <c r="Z1185" s="309">
        <f t="shared" si="659"/>
        <v>0</v>
      </c>
      <c r="AA1185" s="256">
        <f t="shared" si="656"/>
        <v>0</v>
      </c>
      <c r="AB1185" s="309"/>
      <c r="AC1185" s="309"/>
      <c r="AD1185" s="320">
        <f t="shared" si="657"/>
        <v>0</v>
      </c>
    </row>
    <row r="1186" spans="1:43" ht="30.75" thickBot="1">
      <c r="A1186" s="67">
        <f t="shared" si="660"/>
        <v>44888</v>
      </c>
      <c r="B1186" s="153"/>
      <c r="C1186" s="153"/>
      <c r="D1186" s="153"/>
      <c r="E1186" s="153"/>
      <c r="F1186" s="153"/>
      <c r="G1186" s="153"/>
      <c r="H1186" s="153"/>
      <c r="I1186" s="153"/>
      <c r="J1186" s="153"/>
      <c r="K1186" s="153"/>
      <c r="L1186" s="153"/>
      <c r="M1186" s="153"/>
      <c r="N1186" s="153"/>
      <c r="O1186" s="153"/>
      <c r="P1186" s="153"/>
      <c r="Q1186" s="153"/>
      <c r="R1186" s="153"/>
      <c r="S1186" s="153"/>
      <c r="T1186" s="153">
        <f t="shared" si="662"/>
        <v>0</v>
      </c>
      <c r="U1186" s="153">
        <f t="shared" si="662"/>
        <v>0</v>
      </c>
      <c r="V1186" s="153">
        <f t="shared" si="662"/>
        <v>0</v>
      </c>
      <c r="W1186" s="153">
        <f t="shared" si="662"/>
        <v>0</v>
      </c>
      <c r="X1186" s="153">
        <f t="shared" si="662"/>
        <v>0</v>
      </c>
      <c r="Y1186" s="255">
        <f t="shared" si="658"/>
        <v>0</v>
      </c>
      <c r="Z1186" s="309">
        <f t="shared" si="659"/>
        <v>0</v>
      </c>
      <c r="AA1186" s="256">
        <f t="shared" si="656"/>
        <v>0</v>
      </c>
      <c r="AB1186" s="309"/>
      <c r="AC1186" s="309"/>
      <c r="AD1186" s="320">
        <f t="shared" si="657"/>
        <v>0</v>
      </c>
    </row>
    <row r="1187" spans="1:43" ht="30.75" thickBot="1">
      <c r="A1187" s="67">
        <f t="shared" si="660"/>
        <v>44889</v>
      </c>
      <c r="B1187" s="153"/>
      <c r="C1187" s="153"/>
      <c r="D1187" s="153"/>
      <c r="E1187" s="153"/>
      <c r="F1187" s="153"/>
      <c r="G1187" s="153"/>
      <c r="H1187" s="153"/>
      <c r="I1187" s="153"/>
      <c r="J1187" s="153"/>
      <c r="K1187" s="153"/>
      <c r="L1187" s="153"/>
      <c r="M1187" s="153"/>
      <c r="N1187" s="153"/>
      <c r="O1187" s="153"/>
      <c r="P1187" s="153"/>
      <c r="Q1187" s="153"/>
      <c r="R1187" s="153"/>
      <c r="S1187" s="153"/>
      <c r="T1187" s="153">
        <f t="shared" si="662"/>
        <v>0</v>
      </c>
      <c r="U1187" s="153">
        <f t="shared" si="662"/>
        <v>0</v>
      </c>
      <c r="V1187" s="153">
        <f t="shared" si="662"/>
        <v>0</v>
      </c>
      <c r="W1187" s="153">
        <f t="shared" si="662"/>
        <v>0</v>
      </c>
      <c r="X1187" s="153">
        <f t="shared" si="662"/>
        <v>0</v>
      </c>
      <c r="Y1187" s="255">
        <f t="shared" si="658"/>
        <v>0</v>
      </c>
      <c r="Z1187" s="309">
        <f t="shared" si="659"/>
        <v>0</v>
      </c>
      <c r="AA1187" s="256">
        <f t="shared" si="656"/>
        <v>0</v>
      </c>
      <c r="AB1187" s="309"/>
      <c r="AC1187" s="309"/>
      <c r="AD1187" s="320">
        <f t="shared" si="657"/>
        <v>0</v>
      </c>
    </row>
    <row r="1188" spans="1:43" ht="30.75" thickBot="1">
      <c r="A1188" s="67">
        <f t="shared" si="660"/>
        <v>44890</v>
      </c>
      <c r="B1188" s="153"/>
      <c r="C1188" s="153"/>
      <c r="D1188" s="153"/>
      <c r="E1188" s="153"/>
      <c r="F1188" s="153"/>
      <c r="G1188" s="153"/>
      <c r="H1188" s="153"/>
      <c r="I1188" s="153"/>
      <c r="J1188" s="153"/>
      <c r="K1188" s="153"/>
      <c r="L1188" s="153"/>
      <c r="M1188" s="153"/>
      <c r="N1188" s="153"/>
      <c r="O1188" s="153"/>
      <c r="P1188" s="153"/>
      <c r="Q1188" s="153"/>
      <c r="R1188" s="153"/>
      <c r="S1188" s="153"/>
      <c r="T1188" s="153">
        <f t="shared" si="662"/>
        <v>0</v>
      </c>
      <c r="U1188" s="153">
        <f t="shared" si="662"/>
        <v>0</v>
      </c>
      <c r="V1188" s="153">
        <f t="shared" si="662"/>
        <v>0</v>
      </c>
      <c r="W1188" s="153">
        <f t="shared" si="662"/>
        <v>0</v>
      </c>
      <c r="X1188" s="153">
        <f t="shared" si="662"/>
        <v>0</v>
      </c>
      <c r="Y1188" s="255">
        <f t="shared" si="658"/>
        <v>0</v>
      </c>
      <c r="Z1188" s="309">
        <f t="shared" si="659"/>
        <v>0</v>
      </c>
      <c r="AA1188" s="256">
        <f t="shared" si="656"/>
        <v>0</v>
      </c>
      <c r="AB1188" s="309"/>
      <c r="AC1188" s="309"/>
      <c r="AD1188" s="320">
        <f t="shared" si="657"/>
        <v>0</v>
      </c>
    </row>
    <row r="1189" spans="1:43" ht="30.75" thickBot="1">
      <c r="A1189" s="67">
        <f t="shared" si="660"/>
        <v>44891</v>
      </c>
      <c r="B1189" s="153"/>
      <c r="C1189" s="153"/>
      <c r="D1189" s="153"/>
      <c r="E1189" s="153"/>
      <c r="F1189" s="153"/>
      <c r="G1189" s="153"/>
      <c r="H1189" s="153"/>
      <c r="I1189" s="153"/>
      <c r="J1189" s="153"/>
      <c r="K1189" s="153"/>
      <c r="L1189" s="153"/>
      <c r="M1189" s="153"/>
      <c r="N1189" s="153"/>
      <c r="O1189" s="153"/>
      <c r="P1189" s="153"/>
      <c r="Q1189" s="153"/>
      <c r="R1189" s="153"/>
      <c r="S1189" s="153"/>
      <c r="T1189" s="153">
        <f t="shared" si="662"/>
        <v>0</v>
      </c>
      <c r="U1189" s="153">
        <f t="shared" si="662"/>
        <v>0</v>
      </c>
      <c r="V1189" s="153">
        <f t="shared" si="662"/>
        <v>0</v>
      </c>
      <c r="W1189" s="153">
        <f t="shared" si="662"/>
        <v>0</v>
      </c>
      <c r="X1189" s="153">
        <f t="shared" si="662"/>
        <v>0</v>
      </c>
      <c r="Y1189" s="255">
        <f t="shared" si="658"/>
        <v>0</v>
      </c>
      <c r="Z1189" s="309">
        <f t="shared" si="659"/>
        <v>0</v>
      </c>
      <c r="AA1189" s="256">
        <f t="shared" si="656"/>
        <v>0</v>
      </c>
      <c r="AB1189" s="309"/>
      <c r="AC1189" s="309"/>
      <c r="AD1189" s="320">
        <f t="shared" si="657"/>
        <v>0</v>
      </c>
    </row>
    <row r="1190" spans="1:43" ht="30.75" thickBot="1">
      <c r="A1190" s="67">
        <f t="shared" si="660"/>
        <v>44892</v>
      </c>
      <c r="B1190" s="153"/>
      <c r="C1190" s="153"/>
      <c r="D1190" s="153"/>
      <c r="E1190" s="153"/>
      <c r="F1190" s="153"/>
      <c r="G1190" s="153"/>
      <c r="H1190" s="153"/>
      <c r="I1190" s="153"/>
      <c r="J1190" s="153"/>
      <c r="K1190" s="153"/>
      <c r="L1190" s="153"/>
      <c r="M1190" s="153"/>
      <c r="N1190" s="153"/>
      <c r="O1190" s="153"/>
      <c r="P1190" s="153"/>
      <c r="Q1190" s="153"/>
      <c r="R1190" s="153"/>
      <c r="S1190" s="153"/>
      <c r="T1190" s="153">
        <f t="shared" si="662"/>
        <v>0</v>
      </c>
      <c r="U1190" s="153">
        <f t="shared" si="662"/>
        <v>0</v>
      </c>
      <c r="V1190" s="153">
        <f t="shared" si="662"/>
        <v>0</v>
      </c>
      <c r="W1190" s="153">
        <f t="shared" si="662"/>
        <v>0</v>
      </c>
      <c r="X1190" s="153">
        <f t="shared" si="662"/>
        <v>0</v>
      </c>
      <c r="Y1190" s="255">
        <f t="shared" si="658"/>
        <v>0</v>
      </c>
      <c r="Z1190" s="309">
        <f t="shared" si="659"/>
        <v>0</v>
      </c>
      <c r="AA1190" s="256">
        <f t="shared" si="656"/>
        <v>0</v>
      </c>
      <c r="AB1190" s="309"/>
      <c r="AC1190" s="309"/>
      <c r="AD1190" s="320">
        <f t="shared" si="657"/>
        <v>0</v>
      </c>
      <c r="AF1190" t="s">
        <v>1</v>
      </c>
    </row>
    <row r="1191" spans="1:43" ht="30.75" thickBot="1">
      <c r="A1191" s="67">
        <f t="shared" si="660"/>
        <v>44893</v>
      </c>
      <c r="B1191" s="153"/>
      <c r="C1191" s="153"/>
      <c r="D1191" s="153"/>
      <c r="E1191" s="153"/>
      <c r="F1191" s="153"/>
      <c r="G1191" s="153"/>
      <c r="H1191" s="153"/>
      <c r="I1191" s="153"/>
      <c r="J1191" s="153"/>
      <c r="K1191" s="153"/>
      <c r="L1191" s="153"/>
      <c r="M1191" s="153"/>
      <c r="N1191" s="153"/>
      <c r="O1191" s="153"/>
      <c r="P1191" s="153"/>
      <c r="Q1191" s="153"/>
      <c r="R1191" s="153"/>
      <c r="S1191" s="153"/>
      <c r="T1191" s="153">
        <f t="shared" si="662"/>
        <v>0</v>
      </c>
      <c r="U1191" s="153">
        <f t="shared" si="662"/>
        <v>0</v>
      </c>
      <c r="V1191" s="153">
        <f t="shared" si="662"/>
        <v>0</v>
      </c>
      <c r="W1191" s="153">
        <f t="shared" si="662"/>
        <v>0</v>
      </c>
      <c r="X1191" s="153">
        <f t="shared" si="662"/>
        <v>0</v>
      </c>
      <c r="Y1191" s="255">
        <f t="shared" si="658"/>
        <v>0</v>
      </c>
      <c r="Z1191" s="309">
        <f t="shared" si="659"/>
        <v>0</v>
      </c>
      <c r="AA1191" s="256">
        <f t="shared" si="656"/>
        <v>0</v>
      </c>
      <c r="AB1191" s="309"/>
      <c r="AC1191" s="309"/>
      <c r="AD1191" s="320">
        <f t="shared" si="657"/>
        <v>0</v>
      </c>
    </row>
    <row r="1192" spans="1:43" ht="30.75" thickBot="1">
      <c r="A1192" s="67">
        <f t="shared" si="660"/>
        <v>44894</v>
      </c>
      <c r="B1192" s="153"/>
      <c r="C1192" s="153"/>
      <c r="D1192" s="153"/>
      <c r="E1192" s="153"/>
      <c r="F1192" s="153"/>
      <c r="G1192" s="153"/>
      <c r="H1192" s="153"/>
      <c r="I1192" s="153"/>
      <c r="J1192" s="153"/>
      <c r="K1192" s="153"/>
      <c r="L1192" s="153"/>
      <c r="M1192" s="153"/>
      <c r="N1192" s="153"/>
      <c r="O1192" s="153"/>
      <c r="P1192" s="153"/>
      <c r="Q1192" s="153"/>
      <c r="R1192" s="153"/>
      <c r="S1192" s="153"/>
      <c r="T1192" s="153">
        <f t="shared" si="662"/>
        <v>0</v>
      </c>
      <c r="U1192" s="153">
        <f t="shared" si="662"/>
        <v>0</v>
      </c>
      <c r="V1192" s="153">
        <f t="shared" si="662"/>
        <v>0</v>
      </c>
      <c r="W1192" s="153">
        <f t="shared" si="662"/>
        <v>0</v>
      </c>
      <c r="X1192" s="153">
        <f t="shared" si="662"/>
        <v>0</v>
      </c>
      <c r="Y1192" s="255">
        <f t="shared" si="658"/>
        <v>0</v>
      </c>
      <c r="Z1192" s="309">
        <f t="shared" si="659"/>
        <v>0</v>
      </c>
      <c r="AA1192" s="256">
        <f t="shared" si="656"/>
        <v>0</v>
      </c>
      <c r="AB1192" s="309"/>
      <c r="AC1192" s="309"/>
      <c r="AD1192" s="320">
        <f t="shared" si="657"/>
        <v>0</v>
      </c>
    </row>
    <row r="1193" spans="1:43" ht="30.75" thickBot="1">
      <c r="A1193" s="67">
        <f t="shared" si="660"/>
        <v>44895</v>
      </c>
      <c r="B1193" s="153"/>
      <c r="C1193" s="153"/>
      <c r="D1193" s="153"/>
      <c r="E1193" s="153"/>
      <c r="F1193" s="153"/>
      <c r="G1193" s="153"/>
      <c r="H1193" s="153"/>
      <c r="I1193" s="153"/>
      <c r="J1193" s="153"/>
      <c r="K1193" s="153"/>
      <c r="L1193" s="153"/>
      <c r="M1193" s="153"/>
      <c r="N1193" s="153"/>
      <c r="O1193" s="153"/>
      <c r="P1193" s="153"/>
      <c r="Q1193" s="153"/>
      <c r="R1193" s="153"/>
      <c r="S1193" s="153"/>
      <c r="T1193" s="153">
        <f t="shared" si="662"/>
        <v>0</v>
      </c>
      <c r="U1193" s="153">
        <f t="shared" si="662"/>
        <v>0</v>
      </c>
      <c r="V1193" s="153">
        <f t="shared" si="662"/>
        <v>0</v>
      </c>
      <c r="W1193" s="153">
        <f t="shared" si="662"/>
        <v>0</v>
      </c>
      <c r="X1193" s="153">
        <f t="shared" si="662"/>
        <v>0</v>
      </c>
      <c r="Y1193" s="255">
        <f t="shared" si="658"/>
        <v>0</v>
      </c>
      <c r="Z1193" s="309">
        <f t="shared" si="659"/>
        <v>0</v>
      </c>
      <c r="AA1193" s="256">
        <f t="shared" si="656"/>
        <v>0</v>
      </c>
      <c r="AB1193" s="309"/>
      <c r="AC1193" s="309"/>
      <c r="AD1193" s="320">
        <f t="shared" si="657"/>
        <v>0</v>
      </c>
      <c r="AQ1193" t="s">
        <v>1</v>
      </c>
    </row>
    <row r="1194" spans="1:43" ht="30.75" thickBot="1">
      <c r="A1194" s="102">
        <f t="shared" si="660"/>
        <v>44896</v>
      </c>
      <c r="B1194" s="153"/>
      <c r="C1194" s="153"/>
      <c r="D1194" s="153"/>
      <c r="E1194" s="153"/>
      <c r="F1194" s="153"/>
      <c r="G1194" s="153"/>
      <c r="H1194" s="153"/>
      <c r="I1194" s="153"/>
      <c r="J1194" s="153"/>
      <c r="K1194" s="153"/>
      <c r="L1194" s="153"/>
      <c r="M1194" s="153"/>
      <c r="N1194" s="153"/>
      <c r="O1194" s="153"/>
      <c r="P1194" s="153"/>
      <c r="Q1194" s="153"/>
      <c r="R1194" s="153"/>
      <c r="S1194" s="153"/>
      <c r="T1194" s="153">
        <f t="shared" ref="T1194:X1194" si="663">T38+T84+T122+T161+T199+T239+T276+T316+T357+T399+T438+T476+T512+T549+T587+T623+T661+T699+T737+T775+T813+T851+T889+T928+T967+T1005+T1043+T1081+T1119+T1157</f>
        <v>0</v>
      </c>
      <c r="U1194" s="153">
        <f t="shared" si="663"/>
        <v>0</v>
      </c>
      <c r="V1194" s="153">
        <f t="shared" si="663"/>
        <v>0</v>
      </c>
      <c r="W1194" s="153">
        <f t="shared" si="663"/>
        <v>0</v>
      </c>
      <c r="X1194" s="153">
        <f t="shared" si="663"/>
        <v>0</v>
      </c>
      <c r="Y1194" s="255">
        <f t="shared" si="658"/>
        <v>0</v>
      </c>
      <c r="Z1194" s="309">
        <f t="shared" si="659"/>
        <v>0</v>
      </c>
      <c r="AA1194" s="256">
        <f t="shared" si="656"/>
        <v>0</v>
      </c>
      <c r="AB1194" s="309"/>
      <c r="AC1194" s="309"/>
      <c r="AD1194" s="320">
        <f t="shared" si="657"/>
        <v>0</v>
      </c>
    </row>
    <row r="1195" spans="1:43" ht="30" thickTop="1" thickBot="1">
      <c r="A1195" s="96" t="s">
        <v>74</v>
      </c>
      <c r="B1195" s="104">
        <f>SUM(B1164:B1194)</f>
        <v>0</v>
      </c>
      <c r="C1195" s="104">
        <f t="shared" ref="C1195:D1195" si="664">SUM(C1164:C1194)</f>
        <v>0</v>
      </c>
      <c r="D1195" s="104">
        <f t="shared" si="664"/>
        <v>0</v>
      </c>
      <c r="E1195" s="104"/>
      <c r="F1195" s="104">
        <f t="shared" ref="F1195:O1195" si="665">SUM(F1164:F1194)</f>
        <v>0</v>
      </c>
      <c r="G1195" s="104">
        <f t="shared" si="665"/>
        <v>0</v>
      </c>
      <c r="H1195" s="104">
        <f t="shared" si="665"/>
        <v>0</v>
      </c>
      <c r="I1195" s="104">
        <f t="shared" si="665"/>
        <v>0</v>
      </c>
      <c r="J1195" s="104">
        <f t="shared" si="665"/>
        <v>0</v>
      </c>
      <c r="K1195" s="104">
        <f t="shared" si="665"/>
        <v>0</v>
      </c>
      <c r="L1195" s="104">
        <f t="shared" si="665"/>
        <v>0</v>
      </c>
      <c r="M1195" s="104">
        <f t="shared" si="665"/>
        <v>0</v>
      </c>
      <c r="N1195" s="104">
        <f t="shared" si="665"/>
        <v>0</v>
      </c>
      <c r="O1195" s="104">
        <f t="shared" si="665"/>
        <v>0</v>
      </c>
      <c r="P1195" s="104"/>
      <c r="Q1195" s="104">
        <f t="shared" ref="Q1195:R1195" si="666">SUM(Q1164:Q1194)</f>
        <v>0</v>
      </c>
      <c r="R1195" s="104">
        <f t="shared" si="666"/>
        <v>0</v>
      </c>
      <c r="S1195" s="104">
        <f t="shared" ref="S1195" si="667">SUM(S1164:S1194)</f>
        <v>0</v>
      </c>
      <c r="T1195" s="104"/>
      <c r="U1195" s="104"/>
      <c r="V1195" s="104"/>
      <c r="W1195" s="104"/>
      <c r="X1195" s="104"/>
      <c r="Y1195" s="292">
        <f t="shared" ref="Y1195" si="668">SUM(Y1164:Y1194)</f>
        <v>0</v>
      </c>
      <c r="Z1195" s="259"/>
      <c r="AA1195" s="259"/>
      <c r="AB1195" s="316">
        <f>SUM(AB1164:AB1194)</f>
        <v>0</v>
      </c>
      <c r="AC1195" s="316"/>
      <c r="AD1195" s="260"/>
    </row>
    <row r="1196" spans="1:43" ht="15.75" thickTop="1"/>
    <row r="1197" spans="1:43" ht="15.75" thickBot="1"/>
    <row r="1198" spans="1:43" ht="43.5" thickBot="1">
      <c r="A1198" s="109">
        <f>A5</f>
        <v>2022</v>
      </c>
      <c r="B1198" s="1424"/>
      <c r="C1198" s="1425"/>
      <c r="D1198" s="1425"/>
      <c r="E1198" s="1425"/>
      <c r="F1198" s="1425"/>
      <c r="G1198" s="1425"/>
      <c r="H1198" s="1425"/>
      <c r="I1198" s="1425"/>
      <c r="J1198" s="1425"/>
      <c r="K1198" s="1425"/>
      <c r="L1198" s="1425"/>
      <c r="M1198" s="1425"/>
      <c r="N1198" s="1425"/>
      <c r="O1198" s="1425"/>
      <c r="P1198" s="1425"/>
      <c r="Q1198" s="1425"/>
      <c r="R1198" s="1425"/>
      <c r="S1198" s="1425"/>
      <c r="T1198" s="1425"/>
      <c r="U1198" s="1425"/>
      <c r="V1198" s="1425"/>
      <c r="W1198" s="1425"/>
      <c r="X1198" s="1425"/>
      <c r="Y1198" s="1426"/>
      <c r="Z1198" s="21"/>
      <c r="AA1198" s="21"/>
      <c r="AB1198" s="21"/>
      <c r="AC1198" s="2"/>
      <c r="AD1198" t="s">
        <v>1</v>
      </c>
    </row>
    <row r="1199" spans="1:43" ht="60.75" thickTop="1" thickBot="1">
      <c r="A1199" s="1422" t="s">
        <v>94</v>
      </c>
      <c r="B1199" s="1402" t="s">
        <v>95</v>
      </c>
      <c r="C1199" s="1403"/>
      <c r="D1199" s="1403"/>
      <c r="E1199" s="1404"/>
      <c r="F1199" s="1402" t="s">
        <v>7</v>
      </c>
      <c r="G1199" s="1403"/>
      <c r="H1199" s="1404"/>
      <c r="I1199" s="1402" t="s">
        <v>8</v>
      </c>
      <c r="J1199" s="1404"/>
      <c r="K1199" s="1402" t="s">
        <v>9</v>
      </c>
      <c r="L1199" s="1403"/>
      <c r="M1199" s="1403"/>
      <c r="N1199" s="1403"/>
      <c r="O1199" s="1403"/>
      <c r="P1199" s="1403"/>
      <c r="Q1199" s="1403"/>
      <c r="R1199" s="1405" t="s">
        <v>10</v>
      </c>
      <c r="S1199" s="1406"/>
      <c r="T1199" s="1400" t="s">
        <v>289</v>
      </c>
      <c r="U1199" s="1401"/>
      <c r="V1199" s="842" t="s">
        <v>258</v>
      </c>
      <c r="W1199" s="842"/>
      <c r="X1199" s="842"/>
      <c r="Y1199" s="211"/>
      <c r="Z1199" s="21"/>
      <c r="AA1199" s="21"/>
      <c r="AB1199" s="21"/>
      <c r="AC1199" s="21"/>
    </row>
    <row r="1200" spans="1:43" ht="42" thickTop="1" thickBot="1">
      <c r="A1200" s="1423"/>
      <c r="B1200" s="482" t="s">
        <v>12</v>
      </c>
      <c r="C1200" s="482" t="s">
        <v>13</v>
      </c>
      <c r="D1200" s="482" t="s">
        <v>14</v>
      </c>
      <c r="E1200" s="688" t="s">
        <v>198</v>
      </c>
      <c r="F1200" s="482" t="s">
        <v>12</v>
      </c>
      <c r="G1200" s="482" t="s">
        <v>13</v>
      </c>
      <c r="H1200" s="482" t="s">
        <v>282</v>
      </c>
      <c r="I1200" s="482" t="s">
        <v>12</v>
      </c>
      <c r="J1200" s="482" t="s">
        <v>16</v>
      </c>
      <c r="K1200" s="482" t="s">
        <v>17</v>
      </c>
      <c r="L1200" s="482" t="s">
        <v>18</v>
      </c>
      <c r="M1200" s="482" t="s">
        <v>19</v>
      </c>
      <c r="N1200" s="484" t="s">
        <v>96</v>
      </c>
      <c r="O1200" s="484" t="s">
        <v>257</v>
      </c>
      <c r="P1200" s="484" t="s">
        <v>254</v>
      </c>
      <c r="Q1200" s="484" t="s">
        <v>20</v>
      </c>
      <c r="R1200" s="483" t="s">
        <v>14</v>
      </c>
      <c r="S1200" s="482" t="s">
        <v>13</v>
      </c>
      <c r="T1200" s="846" t="s">
        <v>284</v>
      </c>
      <c r="U1200" s="846" t="s">
        <v>288</v>
      </c>
      <c r="V1200" s="484" t="s">
        <v>259</v>
      </c>
      <c r="W1200" s="484"/>
      <c r="X1200" s="484"/>
      <c r="Y1200" s="209" t="s">
        <v>90</v>
      </c>
      <c r="Z1200" s="210" t="s">
        <v>97</v>
      </c>
      <c r="AA1200" s="210" t="s">
        <v>74</v>
      </c>
      <c r="AB1200" s="210" t="s">
        <v>98</v>
      </c>
      <c r="AC1200" s="210" t="s">
        <v>99</v>
      </c>
      <c r="AD1200" s="210" t="s">
        <v>100</v>
      </c>
    </row>
    <row r="1201" spans="1:30" ht="30.75" thickBot="1">
      <c r="A1201" s="67">
        <f>A1164</f>
        <v>44866</v>
      </c>
      <c r="B1201" s="153"/>
      <c r="C1201" s="153"/>
      <c r="D1201" s="153"/>
      <c r="E1201" s="153"/>
      <c r="F1201" s="153"/>
      <c r="G1201" s="153"/>
      <c r="H1201" s="153"/>
      <c r="I1201" s="153"/>
      <c r="J1201" s="153"/>
      <c r="K1201" s="153"/>
      <c r="L1201" s="153"/>
      <c r="M1201" s="153"/>
      <c r="N1201" s="153"/>
      <c r="O1201" s="153"/>
      <c r="P1201" s="153"/>
      <c r="Q1201" s="153"/>
      <c r="R1201" s="153"/>
      <c r="S1201" s="153"/>
      <c r="T1201" s="153" t="e">
        <f t="shared" ref="T1201:X1210" si="669">T45+T91+T129+T168+T206+T246+T283+T323+T364+T406+T445+T483+T519+T556+T594+T630+T668+T706+T744+T782+T820+T858+T896+T935+T974+T1012+T1050+T1088+T1126+T1164</f>
        <v>#VALUE!</v>
      </c>
      <c r="U1201" s="153" t="e">
        <f t="shared" si="669"/>
        <v>#VALUE!</v>
      </c>
      <c r="V1201" s="153" t="e">
        <f t="shared" si="669"/>
        <v>#VALUE!</v>
      </c>
      <c r="W1201" s="153">
        <f t="shared" si="669"/>
        <v>0</v>
      </c>
      <c r="X1201" s="153">
        <f t="shared" si="669"/>
        <v>0</v>
      </c>
      <c r="Y1201" s="255">
        <f>B1201*340+D1201*340+E1201*340+F1201*150+G1201*150+H1201*130+I1201*42+J1201*45+K1201*350+L1201*360+M1201*350+N1201*365+O1201*350+P1201*80+Q1201*60+R1201*350+S1201*340</f>
        <v>0</v>
      </c>
      <c r="Z1201" s="308"/>
      <c r="AA1201" s="263">
        <f t="shared" ref="AA1201:AA1231" si="670">Y1201+Z1201</f>
        <v>0</v>
      </c>
      <c r="AB1201" s="308"/>
      <c r="AC1201" s="308"/>
      <c r="AD1201" s="319">
        <f t="shared" ref="AD1201:AD1231" si="671">AA1201-AB1201-AC1201</f>
        <v>0</v>
      </c>
    </row>
    <row r="1202" spans="1:30" ht="30.75" thickBot="1">
      <c r="A1202" s="67">
        <f>A1201+1</f>
        <v>44867</v>
      </c>
      <c r="B1202" s="153"/>
      <c r="C1202" s="153"/>
      <c r="D1202" s="153"/>
      <c r="E1202" s="153"/>
      <c r="F1202" s="153"/>
      <c r="G1202" s="153"/>
      <c r="H1202" s="153"/>
      <c r="I1202" s="153"/>
      <c r="J1202" s="153"/>
      <c r="K1202" s="153"/>
      <c r="L1202" s="153"/>
      <c r="M1202" s="153"/>
      <c r="N1202" s="153"/>
      <c r="O1202" s="153"/>
      <c r="P1202" s="153"/>
      <c r="Q1202" s="153"/>
      <c r="R1202" s="153"/>
      <c r="S1202" s="153"/>
      <c r="T1202" s="153" t="e">
        <f t="shared" si="669"/>
        <v>#VALUE!</v>
      </c>
      <c r="U1202" s="153" t="e">
        <f t="shared" si="669"/>
        <v>#VALUE!</v>
      </c>
      <c r="V1202" s="153" t="e">
        <f t="shared" si="669"/>
        <v>#VALUE!</v>
      </c>
      <c r="W1202" s="153">
        <f t="shared" si="669"/>
        <v>0</v>
      </c>
      <c r="X1202" s="153">
        <f t="shared" si="669"/>
        <v>0</v>
      </c>
      <c r="Y1202" s="255">
        <f t="shared" ref="Y1202:Y1231" si="672">B1202*340+D1202*340+E1202*340+F1202*150+G1202*150+H1202*130+I1202*42+J1202*45+K1202*350+L1202*360+M1202*350+N1202*365+O1202*350+P1202*80+Q1202*60+R1202*350+S1202*340</f>
        <v>0</v>
      </c>
      <c r="Z1202" s="309">
        <f t="shared" ref="Z1202:Z1231" si="673">AD1201</f>
        <v>0</v>
      </c>
      <c r="AA1202" s="256">
        <f t="shared" si="670"/>
        <v>0</v>
      </c>
      <c r="AB1202" s="309"/>
      <c r="AC1202" s="309"/>
      <c r="AD1202" s="320">
        <f t="shared" si="671"/>
        <v>0</v>
      </c>
    </row>
    <row r="1203" spans="1:30" ht="30.75" thickBot="1">
      <c r="A1203" s="67">
        <f t="shared" ref="A1203:A1231" si="674">A1202+1</f>
        <v>44868</v>
      </c>
      <c r="B1203" s="153"/>
      <c r="C1203" s="153"/>
      <c r="D1203" s="153"/>
      <c r="E1203" s="153"/>
      <c r="F1203" s="153"/>
      <c r="G1203" s="153"/>
      <c r="H1203" s="153"/>
      <c r="I1203" s="153"/>
      <c r="J1203" s="153"/>
      <c r="K1203" s="153"/>
      <c r="L1203" s="153"/>
      <c r="M1203" s="153"/>
      <c r="N1203" s="153"/>
      <c r="O1203" s="153"/>
      <c r="P1203" s="153"/>
      <c r="Q1203" s="153"/>
      <c r="R1203" s="153"/>
      <c r="S1203" s="153"/>
      <c r="T1203" s="153" t="e">
        <f t="shared" si="669"/>
        <v>#VALUE!</v>
      </c>
      <c r="U1203" s="153" t="e">
        <f t="shared" si="669"/>
        <v>#VALUE!</v>
      </c>
      <c r="V1203" s="153" t="e">
        <f t="shared" si="669"/>
        <v>#VALUE!</v>
      </c>
      <c r="W1203" s="153">
        <f t="shared" si="669"/>
        <v>0</v>
      </c>
      <c r="X1203" s="153">
        <f t="shared" si="669"/>
        <v>0</v>
      </c>
      <c r="Y1203" s="255">
        <f t="shared" si="672"/>
        <v>0</v>
      </c>
      <c r="Z1203" s="309">
        <f t="shared" si="673"/>
        <v>0</v>
      </c>
      <c r="AA1203" s="256">
        <f t="shared" si="670"/>
        <v>0</v>
      </c>
      <c r="AB1203" s="309"/>
      <c r="AC1203" s="309"/>
      <c r="AD1203" s="320">
        <f t="shared" si="671"/>
        <v>0</v>
      </c>
    </row>
    <row r="1204" spans="1:30" ht="30.75" thickBot="1">
      <c r="A1204" s="67">
        <f t="shared" si="674"/>
        <v>44869</v>
      </c>
      <c r="B1204" s="153"/>
      <c r="C1204" s="153"/>
      <c r="D1204" s="153"/>
      <c r="E1204" s="153"/>
      <c r="F1204" s="153"/>
      <c r="G1204" s="153"/>
      <c r="H1204" s="153"/>
      <c r="I1204" s="153"/>
      <c r="J1204" s="153"/>
      <c r="K1204" s="153"/>
      <c r="L1204" s="153"/>
      <c r="M1204" s="153"/>
      <c r="N1204" s="153"/>
      <c r="O1204" s="153"/>
      <c r="P1204" s="153"/>
      <c r="Q1204" s="153"/>
      <c r="R1204" s="153"/>
      <c r="S1204" s="153"/>
      <c r="T1204" s="153" t="e">
        <f t="shared" si="669"/>
        <v>#VALUE!</v>
      </c>
      <c r="U1204" s="153" t="e">
        <f t="shared" si="669"/>
        <v>#VALUE!</v>
      </c>
      <c r="V1204" s="153" t="e">
        <f t="shared" si="669"/>
        <v>#VALUE!</v>
      </c>
      <c r="W1204" s="153">
        <f t="shared" si="669"/>
        <v>0</v>
      </c>
      <c r="X1204" s="153">
        <f t="shared" si="669"/>
        <v>0</v>
      </c>
      <c r="Y1204" s="255">
        <f t="shared" si="672"/>
        <v>0</v>
      </c>
      <c r="Z1204" s="309">
        <f t="shared" si="673"/>
        <v>0</v>
      </c>
      <c r="AA1204" s="256">
        <f t="shared" si="670"/>
        <v>0</v>
      </c>
      <c r="AB1204" s="309"/>
      <c r="AC1204" s="309"/>
      <c r="AD1204" s="320">
        <f t="shared" si="671"/>
        <v>0</v>
      </c>
    </row>
    <row r="1205" spans="1:30" ht="30.75" thickBot="1">
      <c r="A1205" s="67">
        <f t="shared" si="674"/>
        <v>44870</v>
      </c>
      <c r="B1205" s="153"/>
      <c r="C1205" s="153"/>
      <c r="D1205" s="153"/>
      <c r="E1205" s="153"/>
      <c r="F1205" s="153"/>
      <c r="G1205" s="153"/>
      <c r="H1205" s="153"/>
      <c r="I1205" s="153"/>
      <c r="J1205" s="153"/>
      <c r="K1205" s="153"/>
      <c r="L1205" s="153"/>
      <c r="M1205" s="153"/>
      <c r="N1205" s="153"/>
      <c r="O1205" s="153"/>
      <c r="P1205" s="153"/>
      <c r="Q1205" s="153"/>
      <c r="R1205" s="153"/>
      <c r="S1205" s="153"/>
      <c r="T1205" s="153" t="e">
        <f t="shared" si="669"/>
        <v>#VALUE!</v>
      </c>
      <c r="U1205" s="153" t="e">
        <f t="shared" si="669"/>
        <v>#VALUE!</v>
      </c>
      <c r="V1205" s="153" t="e">
        <f t="shared" si="669"/>
        <v>#VALUE!</v>
      </c>
      <c r="W1205" s="153">
        <f t="shared" si="669"/>
        <v>0</v>
      </c>
      <c r="X1205" s="153">
        <f t="shared" si="669"/>
        <v>0</v>
      </c>
      <c r="Y1205" s="255">
        <f t="shared" si="672"/>
        <v>0</v>
      </c>
      <c r="Z1205" s="309">
        <f t="shared" si="673"/>
        <v>0</v>
      </c>
      <c r="AA1205" s="256">
        <f t="shared" si="670"/>
        <v>0</v>
      </c>
      <c r="AB1205" s="309"/>
      <c r="AC1205" s="309"/>
      <c r="AD1205" s="320">
        <f t="shared" si="671"/>
        <v>0</v>
      </c>
    </row>
    <row r="1206" spans="1:30" ht="30.75" thickBot="1">
      <c r="A1206" s="67">
        <f t="shared" si="674"/>
        <v>44871</v>
      </c>
      <c r="B1206" s="153"/>
      <c r="C1206" s="153"/>
      <c r="D1206" s="153"/>
      <c r="E1206" s="153"/>
      <c r="F1206" s="153"/>
      <c r="G1206" s="153"/>
      <c r="H1206" s="153"/>
      <c r="I1206" s="153"/>
      <c r="J1206" s="153"/>
      <c r="K1206" s="153"/>
      <c r="L1206" s="153"/>
      <c r="M1206" s="153"/>
      <c r="N1206" s="153"/>
      <c r="O1206" s="153"/>
      <c r="P1206" s="153"/>
      <c r="Q1206" s="153"/>
      <c r="R1206" s="153"/>
      <c r="S1206" s="153"/>
      <c r="T1206" s="153">
        <f t="shared" si="669"/>
        <v>0</v>
      </c>
      <c r="U1206" s="153">
        <f t="shared" si="669"/>
        <v>0</v>
      </c>
      <c r="V1206" s="153">
        <f t="shared" si="669"/>
        <v>0</v>
      </c>
      <c r="W1206" s="153">
        <f t="shared" si="669"/>
        <v>0</v>
      </c>
      <c r="X1206" s="153">
        <f t="shared" si="669"/>
        <v>0</v>
      </c>
      <c r="Y1206" s="255">
        <f t="shared" si="672"/>
        <v>0</v>
      </c>
      <c r="Z1206" s="309">
        <f t="shared" si="673"/>
        <v>0</v>
      </c>
      <c r="AA1206" s="256">
        <f t="shared" si="670"/>
        <v>0</v>
      </c>
      <c r="AB1206" s="309"/>
      <c r="AC1206" s="309"/>
      <c r="AD1206" s="320">
        <f t="shared" si="671"/>
        <v>0</v>
      </c>
    </row>
    <row r="1207" spans="1:30" ht="30.75" thickBot="1">
      <c r="A1207" s="67">
        <f t="shared" si="674"/>
        <v>44872</v>
      </c>
      <c r="B1207" s="153"/>
      <c r="C1207" s="153"/>
      <c r="D1207" s="153"/>
      <c r="E1207" s="153"/>
      <c r="F1207" s="153"/>
      <c r="G1207" s="153"/>
      <c r="H1207" s="153"/>
      <c r="I1207" s="153"/>
      <c r="J1207" s="153"/>
      <c r="K1207" s="153"/>
      <c r="L1207" s="153"/>
      <c r="M1207" s="153"/>
      <c r="N1207" s="153"/>
      <c r="O1207" s="153"/>
      <c r="P1207" s="153"/>
      <c r="Q1207" s="153"/>
      <c r="R1207" s="153"/>
      <c r="S1207" s="153"/>
      <c r="T1207" s="153">
        <f t="shared" si="669"/>
        <v>0</v>
      </c>
      <c r="U1207" s="153">
        <f t="shared" si="669"/>
        <v>0</v>
      </c>
      <c r="V1207" s="153">
        <f t="shared" si="669"/>
        <v>0</v>
      </c>
      <c r="W1207" s="153">
        <f t="shared" si="669"/>
        <v>0</v>
      </c>
      <c r="X1207" s="153">
        <f t="shared" si="669"/>
        <v>0</v>
      </c>
      <c r="Y1207" s="255">
        <f t="shared" si="672"/>
        <v>0</v>
      </c>
      <c r="Z1207" s="309">
        <f t="shared" si="673"/>
        <v>0</v>
      </c>
      <c r="AA1207" s="256">
        <f t="shared" si="670"/>
        <v>0</v>
      </c>
      <c r="AB1207" s="309"/>
      <c r="AC1207" s="309"/>
      <c r="AD1207" s="320">
        <f t="shared" si="671"/>
        <v>0</v>
      </c>
    </row>
    <row r="1208" spans="1:30" ht="30.75" thickBot="1">
      <c r="A1208" s="67">
        <f t="shared" si="674"/>
        <v>44873</v>
      </c>
      <c r="B1208" s="153"/>
      <c r="C1208" s="153"/>
      <c r="D1208" s="153"/>
      <c r="E1208" s="153"/>
      <c r="F1208" s="153"/>
      <c r="G1208" s="153"/>
      <c r="H1208" s="153"/>
      <c r="I1208" s="153"/>
      <c r="J1208" s="153"/>
      <c r="K1208" s="153"/>
      <c r="L1208" s="153"/>
      <c r="M1208" s="153"/>
      <c r="N1208" s="153"/>
      <c r="O1208" s="153"/>
      <c r="P1208" s="153"/>
      <c r="Q1208" s="153"/>
      <c r="R1208" s="153"/>
      <c r="S1208" s="153"/>
      <c r="T1208" s="153" t="e">
        <f t="shared" si="669"/>
        <v>#VALUE!</v>
      </c>
      <c r="U1208" s="153">
        <f t="shared" si="669"/>
        <v>0</v>
      </c>
      <c r="V1208" s="153" t="e">
        <f t="shared" si="669"/>
        <v>#VALUE!</v>
      </c>
      <c r="W1208" s="153">
        <f t="shared" si="669"/>
        <v>0</v>
      </c>
      <c r="X1208" s="153">
        <f t="shared" si="669"/>
        <v>0</v>
      </c>
      <c r="Y1208" s="255">
        <f t="shared" si="672"/>
        <v>0</v>
      </c>
      <c r="Z1208" s="309">
        <f t="shared" si="673"/>
        <v>0</v>
      </c>
      <c r="AA1208" s="256">
        <f t="shared" si="670"/>
        <v>0</v>
      </c>
      <c r="AB1208" s="309"/>
      <c r="AC1208" s="309"/>
      <c r="AD1208" s="320">
        <f t="shared" si="671"/>
        <v>0</v>
      </c>
    </row>
    <row r="1209" spans="1:30" ht="30.75" thickBot="1">
      <c r="A1209" s="67">
        <f t="shared" si="674"/>
        <v>44874</v>
      </c>
      <c r="B1209" s="153"/>
      <c r="C1209" s="153"/>
      <c r="D1209" s="153"/>
      <c r="E1209" s="153"/>
      <c r="F1209" s="153"/>
      <c r="G1209" s="153"/>
      <c r="H1209" s="153"/>
      <c r="I1209" s="153"/>
      <c r="J1209" s="153"/>
      <c r="K1209" s="153"/>
      <c r="L1209" s="153"/>
      <c r="M1209" s="153"/>
      <c r="N1209" s="153"/>
      <c r="O1209" s="153"/>
      <c r="P1209" s="153"/>
      <c r="Q1209" s="153"/>
      <c r="R1209" s="153"/>
      <c r="S1209" s="153"/>
      <c r="T1209" s="153" t="e">
        <f t="shared" si="669"/>
        <v>#VALUE!</v>
      </c>
      <c r="U1209" s="153" t="e">
        <f t="shared" si="669"/>
        <v>#VALUE!</v>
      </c>
      <c r="V1209" s="153" t="e">
        <f t="shared" si="669"/>
        <v>#VALUE!</v>
      </c>
      <c r="W1209" s="153">
        <f t="shared" si="669"/>
        <v>0</v>
      </c>
      <c r="X1209" s="153">
        <f t="shared" si="669"/>
        <v>0</v>
      </c>
      <c r="Y1209" s="255">
        <f t="shared" si="672"/>
        <v>0</v>
      </c>
      <c r="Z1209" s="309">
        <f t="shared" si="673"/>
        <v>0</v>
      </c>
      <c r="AA1209" s="256">
        <f t="shared" si="670"/>
        <v>0</v>
      </c>
      <c r="AB1209" s="309"/>
      <c r="AC1209" s="309"/>
      <c r="AD1209" s="320">
        <f t="shared" si="671"/>
        <v>0</v>
      </c>
    </row>
    <row r="1210" spans="1:30" ht="30.75" thickBot="1">
      <c r="A1210" s="67">
        <f t="shared" si="674"/>
        <v>44875</v>
      </c>
      <c r="B1210" s="153"/>
      <c r="C1210" s="153"/>
      <c r="D1210" s="153"/>
      <c r="E1210" s="153"/>
      <c r="F1210" s="153"/>
      <c r="G1210" s="153"/>
      <c r="H1210" s="153"/>
      <c r="I1210" s="153"/>
      <c r="J1210" s="153"/>
      <c r="K1210" s="153"/>
      <c r="L1210" s="153"/>
      <c r="M1210" s="153"/>
      <c r="N1210" s="153"/>
      <c r="O1210" s="153"/>
      <c r="P1210" s="153"/>
      <c r="Q1210" s="153"/>
      <c r="R1210" s="153"/>
      <c r="S1210" s="153"/>
      <c r="T1210" s="153">
        <f t="shared" si="669"/>
        <v>0</v>
      </c>
      <c r="U1210" s="153">
        <f t="shared" si="669"/>
        <v>0</v>
      </c>
      <c r="V1210" s="153">
        <f t="shared" si="669"/>
        <v>0</v>
      </c>
      <c r="W1210" s="153">
        <f t="shared" si="669"/>
        <v>0</v>
      </c>
      <c r="X1210" s="153">
        <f t="shared" si="669"/>
        <v>0</v>
      </c>
      <c r="Y1210" s="255">
        <f t="shared" si="672"/>
        <v>0</v>
      </c>
      <c r="Z1210" s="309">
        <f t="shared" si="673"/>
        <v>0</v>
      </c>
      <c r="AA1210" s="256">
        <f t="shared" si="670"/>
        <v>0</v>
      </c>
      <c r="AB1210" s="309"/>
      <c r="AC1210" s="309"/>
      <c r="AD1210" s="320">
        <f t="shared" si="671"/>
        <v>0</v>
      </c>
    </row>
    <row r="1211" spans="1:30" ht="30.75" thickBot="1">
      <c r="A1211" s="67">
        <f t="shared" si="674"/>
        <v>44876</v>
      </c>
      <c r="B1211" s="153"/>
      <c r="C1211" s="153"/>
      <c r="D1211" s="153"/>
      <c r="E1211" s="153"/>
      <c r="F1211" s="153"/>
      <c r="G1211" s="153"/>
      <c r="H1211" s="153"/>
      <c r="I1211" s="153"/>
      <c r="J1211" s="153"/>
      <c r="K1211" s="153"/>
      <c r="L1211" s="153"/>
      <c r="M1211" s="153"/>
      <c r="N1211" s="153"/>
      <c r="O1211" s="153"/>
      <c r="P1211" s="153"/>
      <c r="Q1211" s="153"/>
      <c r="R1211" s="153"/>
      <c r="S1211" s="153"/>
      <c r="T1211" s="153">
        <f t="shared" ref="T1211:X1220" si="675">T55+T101+T139+T178+T216+T256+T293+T333+T374+T416+T455+T493+T529+T566+T604+T640+T678+T716+T754+T792+T830+T868+T906+T945+T984+T1022+T1060+T1098+T1136+T1174</f>
        <v>0</v>
      </c>
      <c r="U1211" s="153">
        <f t="shared" si="675"/>
        <v>0</v>
      </c>
      <c r="V1211" s="153">
        <f t="shared" si="675"/>
        <v>0</v>
      </c>
      <c r="W1211" s="153">
        <f t="shared" si="675"/>
        <v>0</v>
      </c>
      <c r="X1211" s="153">
        <f t="shared" si="675"/>
        <v>0</v>
      </c>
      <c r="Y1211" s="255">
        <f t="shared" si="672"/>
        <v>0</v>
      </c>
      <c r="Z1211" s="309">
        <f t="shared" si="673"/>
        <v>0</v>
      </c>
      <c r="AA1211" s="256">
        <f t="shared" si="670"/>
        <v>0</v>
      </c>
      <c r="AB1211" s="309"/>
      <c r="AC1211" s="309"/>
      <c r="AD1211" s="320">
        <f t="shared" si="671"/>
        <v>0</v>
      </c>
    </row>
    <row r="1212" spans="1:30" ht="30.75" thickBot="1">
      <c r="A1212" s="67">
        <f t="shared" si="674"/>
        <v>44877</v>
      </c>
      <c r="B1212" s="153"/>
      <c r="C1212" s="153"/>
      <c r="D1212" s="153"/>
      <c r="E1212" s="153"/>
      <c r="F1212" s="153"/>
      <c r="G1212" s="153"/>
      <c r="H1212" s="153"/>
      <c r="I1212" s="153"/>
      <c r="J1212" s="153"/>
      <c r="K1212" s="153"/>
      <c r="L1212" s="153"/>
      <c r="M1212" s="153"/>
      <c r="N1212" s="153"/>
      <c r="O1212" s="153"/>
      <c r="P1212" s="153"/>
      <c r="Q1212" s="153"/>
      <c r="R1212" s="153"/>
      <c r="S1212" s="153"/>
      <c r="T1212" s="153">
        <f t="shared" si="675"/>
        <v>0</v>
      </c>
      <c r="U1212" s="153">
        <f t="shared" si="675"/>
        <v>0</v>
      </c>
      <c r="V1212" s="153">
        <f t="shared" si="675"/>
        <v>0</v>
      </c>
      <c r="W1212" s="153">
        <f t="shared" si="675"/>
        <v>0</v>
      </c>
      <c r="X1212" s="153">
        <f t="shared" si="675"/>
        <v>0</v>
      </c>
      <c r="Y1212" s="255">
        <f t="shared" si="672"/>
        <v>0</v>
      </c>
      <c r="Z1212" s="309">
        <f t="shared" si="673"/>
        <v>0</v>
      </c>
      <c r="AA1212" s="256">
        <f t="shared" si="670"/>
        <v>0</v>
      </c>
      <c r="AB1212" s="309"/>
      <c r="AC1212" s="309"/>
      <c r="AD1212" s="320">
        <f t="shared" si="671"/>
        <v>0</v>
      </c>
    </row>
    <row r="1213" spans="1:30" ht="30.75" thickBot="1">
      <c r="A1213" s="67">
        <f t="shared" si="674"/>
        <v>44878</v>
      </c>
      <c r="B1213" s="153"/>
      <c r="C1213" s="153"/>
      <c r="D1213" s="153"/>
      <c r="E1213" s="153"/>
      <c r="F1213" s="153"/>
      <c r="G1213" s="153"/>
      <c r="H1213" s="153"/>
      <c r="I1213" s="153"/>
      <c r="J1213" s="153"/>
      <c r="K1213" s="153"/>
      <c r="L1213" s="153"/>
      <c r="M1213" s="153"/>
      <c r="N1213" s="153"/>
      <c r="O1213" s="153"/>
      <c r="P1213" s="153"/>
      <c r="Q1213" s="153"/>
      <c r="R1213" s="153"/>
      <c r="S1213" s="153"/>
      <c r="T1213" s="153">
        <f t="shared" si="675"/>
        <v>0</v>
      </c>
      <c r="U1213" s="153">
        <f t="shared" si="675"/>
        <v>0</v>
      </c>
      <c r="V1213" s="153">
        <f t="shared" si="675"/>
        <v>0</v>
      </c>
      <c r="W1213" s="153">
        <f t="shared" si="675"/>
        <v>0</v>
      </c>
      <c r="X1213" s="153">
        <f t="shared" si="675"/>
        <v>0</v>
      </c>
      <c r="Y1213" s="255">
        <f t="shared" si="672"/>
        <v>0</v>
      </c>
      <c r="Z1213" s="309">
        <f t="shared" si="673"/>
        <v>0</v>
      </c>
      <c r="AA1213" s="256">
        <f t="shared" si="670"/>
        <v>0</v>
      </c>
      <c r="AB1213" s="309"/>
      <c r="AC1213" s="309"/>
      <c r="AD1213" s="320">
        <f t="shared" si="671"/>
        <v>0</v>
      </c>
    </row>
    <row r="1214" spans="1:30" ht="30.75" thickBot="1">
      <c r="A1214" s="67">
        <f t="shared" si="674"/>
        <v>44879</v>
      </c>
      <c r="B1214" s="153"/>
      <c r="C1214" s="153"/>
      <c r="D1214" s="153"/>
      <c r="E1214" s="153"/>
      <c r="F1214" s="153"/>
      <c r="G1214" s="153"/>
      <c r="H1214" s="153"/>
      <c r="I1214" s="153"/>
      <c r="J1214" s="153"/>
      <c r="K1214" s="153"/>
      <c r="L1214" s="153"/>
      <c r="M1214" s="153"/>
      <c r="N1214" s="153"/>
      <c r="O1214" s="153"/>
      <c r="P1214" s="153"/>
      <c r="Q1214" s="153"/>
      <c r="R1214" s="153"/>
      <c r="S1214" s="153"/>
      <c r="T1214" s="153">
        <f t="shared" si="675"/>
        <v>0</v>
      </c>
      <c r="U1214" s="153">
        <f t="shared" si="675"/>
        <v>0</v>
      </c>
      <c r="V1214" s="153">
        <f t="shared" si="675"/>
        <v>0</v>
      </c>
      <c r="W1214" s="153">
        <f t="shared" si="675"/>
        <v>0</v>
      </c>
      <c r="X1214" s="153">
        <f t="shared" si="675"/>
        <v>0</v>
      </c>
      <c r="Y1214" s="255">
        <f t="shared" si="672"/>
        <v>0</v>
      </c>
      <c r="Z1214" s="309">
        <f t="shared" si="673"/>
        <v>0</v>
      </c>
      <c r="AA1214" s="256">
        <f t="shared" si="670"/>
        <v>0</v>
      </c>
      <c r="AB1214" s="309"/>
      <c r="AC1214" s="309"/>
      <c r="AD1214" s="320">
        <f t="shared" si="671"/>
        <v>0</v>
      </c>
    </row>
    <row r="1215" spans="1:30" ht="30.75" thickBot="1">
      <c r="A1215" s="67">
        <f t="shared" si="674"/>
        <v>44880</v>
      </c>
      <c r="B1215" s="153"/>
      <c r="C1215" s="153"/>
      <c r="D1215" s="153"/>
      <c r="E1215" s="153"/>
      <c r="F1215" s="153"/>
      <c r="G1215" s="153"/>
      <c r="H1215" s="153"/>
      <c r="I1215" s="153"/>
      <c r="J1215" s="153"/>
      <c r="K1215" s="153"/>
      <c r="L1215" s="153"/>
      <c r="M1215" s="153"/>
      <c r="N1215" s="153"/>
      <c r="O1215" s="153"/>
      <c r="P1215" s="153"/>
      <c r="Q1215" s="153"/>
      <c r="R1215" s="153"/>
      <c r="S1215" s="153"/>
      <c r="T1215" s="153">
        <f t="shared" si="675"/>
        <v>0</v>
      </c>
      <c r="U1215" s="153">
        <f t="shared" si="675"/>
        <v>0</v>
      </c>
      <c r="V1215" s="153">
        <f t="shared" si="675"/>
        <v>0</v>
      </c>
      <c r="W1215" s="153">
        <f t="shared" si="675"/>
        <v>0</v>
      </c>
      <c r="X1215" s="153">
        <f t="shared" si="675"/>
        <v>0</v>
      </c>
      <c r="Y1215" s="255">
        <f t="shared" si="672"/>
        <v>0</v>
      </c>
      <c r="Z1215" s="309">
        <f t="shared" si="673"/>
        <v>0</v>
      </c>
      <c r="AA1215" s="256">
        <f t="shared" si="670"/>
        <v>0</v>
      </c>
      <c r="AB1215" s="309"/>
      <c r="AC1215" s="309"/>
      <c r="AD1215" s="320">
        <f t="shared" si="671"/>
        <v>0</v>
      </c>
    </row>
    <row r="1216" spans="1:30" ht="30.75" thickBot="1">
      <c r="A1216" s="67">
        <f t="shared" si="674"/>
        <v>44881</v>
      </c>
      <c r="B1216" s="153"/>
      <c r="C1216" s="153"/>
      <c r="D1216" s="153"/>
      <c r="E1216" s="153"/>
      <c r="F1216" s="153"/>
      <c r="G1216" s="153"/>
      <c r="H1216" s="153"/>
      <c r="I1216" s="153"/>
      <c r="J1216" s="153"/>
      <c r="K1216" s="153"/>
      <c r="L1216" s="153"/>
      <c r="M1216" s="153"/>
      <c r="N1216" s="153"/>
      <c r="O1216" s="153"/>
      <c r="P1216" s="153"/>
      <c r="Q1216" s="153"/>
      <c r="R1216" s="153"/>
      <c r="S1216" s="153"/>
      <c r="T1216" s="153">
        <f t="shared" si="675"/>
        <v>0</v>
      </c>
      <c r="U1216" s="153">
        <f t="shared" si="675"/>
        <v>0</v>
      </c>
      <c r="V1216" s="153">
        <f t="shared" si="675"/>
        <v>0</v>
      </c>
      <c r="W1216" s="153">
        <f t="shared" si="675"/>
        <v>0</v>
      </c>
      <c r="X1216" s="153">
        <f t="shared" si="675"/>
        <v>0</v>
      </c>
      <c r="Y1216" s="255">
        <f>B1216*340+D1216*340+E1216*340+F1216*150+G1216*150+H1216*130+I1216*42+J1216*45+K1216*350+L1216*360+M1216*350+N1216*365+O1216*350+P1216*80+Q1216*69+R1216*350+S1216*340</f>
        <v>0</v>
      </c>
      <c r="Z1216" s="309">
        <f t="shared" si="673"/>
        <v>0</v>
      </c>
      <c r="AA1216" s="256">
        <f t="shared" si="670"/>
        <v>0</v>
      </c>
      <c r="AB1216" s="309"/>
      <c r="AC1216" s="309"/>
      <c r="AD1216" s="320">
        <f t="shared" si="671"/>
        <v>0</v>
      </c>
    </row>
    <row r="1217" spans="1:30" ht="30.75" thickBot="1">
      <c r="A1217" s="67">
        <f t="shared" si="674"/>
        <v>44882</v>
      </c>
      <c r="B1217" s="153"/>
      <c r="C1217" s="153"/>
      <c r="D1217" s="153"/>
      <c r="E1217" s="153"/>
      <c r="F1217" s="153"/>
      <c r="G1217" s="153"/>
      <c r="H1217" s="153"/>
      <c r="I1217" s="153"/>
      <c r="J1217" s="153"/>
      <c r="K1217" s="153"/>
      <c r="L1217" s="153"/>
      <c r="M1217" s="153"/>
      <c r="N1217" s="153"/>
      <c r="O1217" s="153"/>
      <c r="P1217" s="153"/>
      <c r="Q1217" s="153"/>
      <c r="R1217" s="153"/>
      <c r="S1217" s="153"/>
      <c r="T1217" s="153">
        <f t="shared" si="675"/>
        <v>0</v>
      </c>
      <c r="U1217" s="153">
        <f t="shared" si="675"/>
        <v>0</v>
      </c>
      <c r="V1217" s="153">
        <f t="shared" si="675"/>
        <v>0</v>
      </c>
      <c r="W1217" s="153">
        <f t="shared" si="675"/>
        <v>0</v>
      </c>
      <c r="X1217" s="153">
        <f t="shared" si="675"/>
        <v>0</v>
      </c>
      <c r="Y1217" s="255">
        <f t="shared" si="672"/>
        <v>0</v>
      </c>
      <c r="Z1217" s="309">
        <f t="shared" si="673"/>
        <v>0</v>
      </c>
      <c r="AA1217" s="256">
        <f t="shared" si="670"/>
        <v>0</v>
      </c>
      <c r="AB1217" s="309"/>
      <c r="AC1217" s="309"/>
      <c r="AD1217" s="320">
        <f t="shared" si="671"/>
        <v>0</v>
      </c>
    </row>
    <row r="1218" spans="1:30" ht="30.75" thickBot="1">
      <c r="A1218" s="67">
        <f t="shared" si="674"/>
        <v>44883</v>
      </c>
      <c r="B1218" s="153"/>
      <c r="C1218" s="153"/>
      <c r="D1218" s="153"/>
      <c r="E1218" s="153"/>
      <c r="F1218" s="153"/>
      <c r="G1218" s="153"/>
      <c r="H1218" s="153"/>
      <c r="I1218" s="153"/>
      <c r="J1218" s="153"/>
      <c r="K1218" s="153"/>
      <c r="L1218" s="153"/>
      <c r="M1218" s="153"/>
      <c r="N1218" s="153"/>
      <c r="O1218" s="153"/>
      <c r="P1218" s="153"/>
      <c r="Q1218" s="153"/>
      <c r="R1218" s="153"/>
      <c r="S1218" s="153"/>
      <c r="T1218" s="153">
        <f t="shared" si="675"/>
        <v>0</v>
      </c>
      <c r="U1218" s="153">
        <f t="shared" si="675"/>
        <v>0</v>
      </c>
      <c r="V1218" s="153">
        <f t="shared" si="675"/>
        <v>0</v>
      </c>
      <c r="W1218" s="153">
        <f t="shared" si="675"/>
        <v>0</v>
      </c>
      <c r="X1218" s="153">
        <f t="shared" si="675"/>
        <v>0</v>
      </c>
      <c r="Y1218" s="255">
        <f t="shared" si="672"/>
        <v>0</v>
      </c>
      <c r="Z1218" s="309">
        <f t="shared" si="673"/>
        <v>0</v>
      </c>
      <c r="AA1218" s="256">
        <f t="shared" si="670"/>
        <v>0</v>
      </c>
      <c r="AB1218" s="309"/>
      <c r="AC1218" s="309"/>
      <c r="AD1218" s="320">
        <f t="shared" si="671"/>
        <v>0</v>
      </c>
    </row>
    <row r="1219" spans="1:30" ht="30.75" thickBot="1">
      <c r="A1219" s="67">
        <f t="shared" si="674"/>
        <v>44884</v>
      </c>
      <c r="B1219" s="153"/>
      <c r="C1219" s="153"/>
      <c r="D1219" s="153"/>
      <c r="E1219" s="153"/>
      <c r="F1219" s="153"/>
      <c r="G1219" s="153"/>
      <c r="H1219" s="153"/>
      <c r="I1219" s="153"/>
      <c r="J1219" s="153"/>
      <c r="K1219" s="153"/>
      <c r="L1219" s="153"/>
      <c r="M1219" s="153"/>
      <c r="N1219" s="153"/>
      <c r="O1219" s="153"/>
      <c r="P1219" s="153"/>
      <c r="Q1219" s="153"/>
      <c r="R1219" s="153"/>
      <c r="S1219" s="153"/>
      <c r="T1219" s="153">
        <f t="shared" si="675"/>
        <v>0</v>
      </c>
      <c r="U1219" s="153">
        <f t="shared" si="675"/>
        <v>0</v>
      </c>
      <c r="V1219" s="153">
        <f t="shared" si="675"/>
        <v>0</v>
      </c>
      <c r="W1219" s="153">
        <f t="shared" si="675"/>
        <v>0</v>
      </c>
      <c r="X1219" s="153">
        <f t="shared" si="675"/>
        <v>0</v>
      </c>
      <c r="Y1219" s="255">
        <f t="shared" si="672"/>
        <v>0</v>
      </c>
      <c r="Z1219" s="309">
        <f t="shared" si="673"/>
        <v>0</v>
      </c>
      <c r="AA1219" s="256">
        <f t="shared" si="670"/>
        <v>0</v>
      </c>
      <c r="AB1219" s="309"/>
      <c r="AC1219" s="309"/>
      <c r="AD1219" s="320">
        <f t="shared" si="671"/>
        <v>0</v>
      </c>
    </row>
    <row r="1220" spans="1:30" ht="30.75" thickBot="1">
      <c r="A1220" s="67">
        <f t="shared" si="674"/>
        <v>44885</v>
      </c>
      <c r="B1220" s="153"/>
      <c r="C1220" s="153"/>
      <c r="D1220" s="153"/>
      <c r="E1220" s="153"/>
      <c r="F1220" s="153"/>
      <c r="G1220" s="153"/>
      <c r="H1220" s="153"/>
      <c r="I1220" s="153"/>
      <c r="J1220" s="153"/>
      <c r="K1220" s="153"/>
      <c r="L1220" s="153"/>
      <c r="M1220" s="153"/>
      <c r="N1220" s="153"/>
      <c r="O1220" s="153"/>
      <c r="P1220" s="153"/>
      <c r="Q1220" s="153"/>
      <c r="R1220" s="153"/>
      <c r="S1220" s="153"/>
      <c r="T1220" s="153">
        <f t="shared" si="675"/>
        <v>0</v>
      </c>
      <c r="U1220" s="153">
        <f t="shared" si="675"/>
        <v>0</v>
      </c>
      <c r="V1220" s="153">
        <f t="shared" si="675"/>
        <v>0</v>
      </c>
      <c r="W1220" s="153">
        <f t="shared" si="675"/>
        <v>0</v>
      </c>
      <c r="X1220" s="153">
        <f t="shared" si="675"/>
        <v>0</v>
      </c>
      <c r="Y1220" s="255">
        <f t="shared" si="672"/>
        <v>0</v>
      </c>
      <c r="Z1220" s="309">
        <f t="shared" si="673"/>
        <v>0</v>
      </c>
      <c r="AA1220" s="256">
        <f t="shared" si="670"/>
        <v>0</v>
      </c>
      <c r="AB1220" s="309"/>
      <c r="AC1220" s="309"/>
      <c r="AD1220" s="320">
        <f t="shared" si="671"/>
        <v>0</v>
      </c>
    </row>
    <row r="1221" spans="1:30" ht="30.75" thickBot="1">
      <c r="A1221" s="67">
        <f t="shared" si="674"/>
        <v>44886</v>
      </c>
      <c r="B1221" s="153"/>
      <c r="C1221" s="153"/>
      <c r="D1221" s="153"/>
      <c r="E1221" s="153"/>
      <c r="F1221" s="153"/>
      <c r="G1221" s="153"/>
      <c r="H1221" s="153"/>
      <c r="I1221" s="153"/>
      <c r="J1221" s="153"/>
      <c r="K1221" s="153"/>
      <c r="L1221" s="153"/>
      <c r="M1221" s="153"/>
      <c r="N1221" s="153"/>
      <c r="O1221" s="153"/>
      <c r="P1221" s="153"/>
      <c r="Q1221" s="153"/>
      <c r="R1221" s="153"/>
      <c r="S1221" s="153"/>
      <c r="T1221" s="153">
        <f t="shared" ref="T1221:X1230" si="676">T65+T111+T149+T188+T226+T266+T303+T343+T384+T426+T465+T503+T539+T576+T614+T650+T688+T726+T764+T802+T840+T878+T916+T955+T994+T1032+T1070+T1108+T1146+T1184</f>
        <v>0</v>
      </c>
      <c r="U1221" s="153">
        <f t="shared" si="676"/>
        <v>0</v>
      </c>
      <c r="V1221" s="153">
        <f t="shared" si="676"/>
        <v>0</v>
      </c>
      <c r="W1221" s="153">
        <f t="shared" si="676"/>
        <v>0</v>
      </c>
      <c r="X1221" s="153">
        <f t="shared" si="676"/>
        <v>0</v>
      </c>
      <c r="Y1221" s="255">
        <f t="shared" si="672"/>
        <v>0</v>
      </c>
      <c r="Z1221" s="309">
        <f t="shared" si="673"/>
        <v>0</v>
      </c>
      <c r="AA1221" s="256">
        <f t="shared" si="670"/>
        <v>0</v>
      </c>
      <c r="AB1221" s="309"/>
      <c r="AC1221" s="309"/>
      <c r="AD1221" s="320">
        <f t="shared" si="671"/>
        <v>0</v>
      </c>
    </row>
    <row r="1222" spans="1:30" ht="30.75" thickBot="1">
      <c r="A1222" s="67">
        <f t="shared" si="674"/>
        <v>44887</v>
      </c>
      <c r="B1222" s="153"/>
      <c r="C1222" s="153"/>
      <c r="D1222" s="153"/>
      <c r="E1222" s="153"/>
      <c r="F1222" s="153"/>
      <c r="G1222" s="153"/>
      <c r="H1222" s="153"/>
      <c r="I1222" s="153"/>
      <c r="J1222" s="153"/>
      <c r="K1222" s="153"/>
      <c r="L1222" s="153"/>
      <c r="M1222" s="153"/>
      <c r="N1222" s="153"/>
      <c r="O1222" s="153"/>
      <c r="P1222" s="153"/>
      <c r="Q1222" s="153"/>
      <c r="R1222" s="153"/>
      <c r="S1222" s="153"/>
      <c r="T1222" s="153">
        <f t="shared" si="676"/>
        <v>0</v>
      </c>
      <c r="U1222" s="153">
        <f t="shared" si="676"/>
        <v>0</v>
      </c>
      <c r="V1222" s="153">
        <f t="shared" si="676"/>
        <v>0</v>
      </c>
      <c r="W1222" s="153">
        <f t="shared" si="676"/>
        <v>0</v>
      </c>
      <c r="X1222" s="153">
        <f t="shared" si="676"/>
        <v>0</v>
      </c>
      <c r="Y1222" s="255">
        <f t="shared" si="672"/>
        <v>0</v>
      </c>
      <c r="Z1222" s="309">
        <f t="shared" si="673"/>
        <v>0</v>
      </c>
      <c r="AA1222" s="256">
        <f t="shared" si="670"/>
        <v>0</v>
      </c>
      <c r="AB1222" s="309"/>
      <c r="AC1222" s="309"/>
      <c r="AD1222" s="320">
        <f t="shared" si="671"/>
        <v>0</v>
      </c>
    </row>
    <row r="1223" spans="1:30" ht="30.75" thickBot="1">
      <c r="A1223" s="67">
        <f t="shared" si="674"/>
        <v>44888</v>
      </c>
      <c r="B1223" s="153"/>
      <c r="C1223" s="153"/>
      <c r="D1223" s="153"/>
      <c r="E1223" s="153"/>
      <c r="F1223" s="153"/>
      <c r="G1223" s="153"/>
      <c r="H1223" s="153"/>
      <c r="I1223" s="153"/>
      <c r="J1223" s="153"/>
      <c r="K1223" s="153"/>
      <c r="L1223" s="153"/>
      <c r="M1223" s="153"/>
      <c r="N1223" s="153"/>
      <c r="O1223" s="153"/>
      <c r="P1223" s="153"/>
      <c r="Q1223" s="153"/>
      <c r="R1223" s="153"/>
      <c r="S1223" s="153"/>
      <c r="T1223" s="153">
        <f t="shared" si="676"/>
        <v>0</v>
      </c>
      <c r="U1223" s="153">
        <f t="shared" si="676"/>
        <v>0</v>
      </c>
      <c r="V1223" s="153">
        <f t="shared" si="676"/>
        <v>0</v>
      </c>
      <c r="W1223" s="153">
        <f t="shared" si="676"/>
        <v>0</v>
      </c>
      <c r="X1223" s="153">
        <f t="shared" si="676"/>
        <v>0</v>
      </c>
      <c r="Y1223" s="255">
        <f t="shared" si="672"/>
        <v>0</v>
      </c>
      <c r="Z1223" s="309">
        <f t="shared" si="673"/>
        <v>0</v>
      </c>
      <c r="AA1223" s="256">
        <f t="shared" si="670"/>
        <v>0</v>
      </c>
      <c r="AB1223" s="309"/>
      <c r="AC1223" s="309"/>
      <c r="AD1223" s="320">
        <f t="shared" si="671"/>
        <v>0</v>
      </c>
    </row>
    <row r="1224" spans="1:30" ht="30.75" thickBot="1">
      <c r="A1224" s="67">
        <f t="shared" si="674"/>
        <v>44889</v>
      </c>
      <c r="B1224" s="153"/>
      <c r="C1224" s="153"/>
      <c r="D1224" s="153"/>
      <c r="E1224" s="153"/>
      <c r="F1224" s="153"/>
      <c r="G1224" s="153"/>
      <c r="H1224" s="153"/>
      <c r="I1224" s="153"/>
      <c r="J1224" s="153"/>
      <c r="K1224" s="153"/>
      <c r="L1224" s="153"/>
      <c r="M1224" s="153"/>
      <c r="N1224" s="153"/>
      <c r="O1224" s="153"/>
      <c r="P1224" s="153"/>
      <c r="Q1224" s="153"/>
      <c r="R1224" s="153"/>
      <c r="S1224" s="153"/>
      <c r="T1224" s="153">
        <f t="shared" si="676"/>
        <v>0</v>
      </c>
      <c r="U1224" s="153">
        <f t="shared" si="676"/>
        <v>0</v>
      </c>
      <c r="V1224" s="153">
        <f t="shared" si="676"/>
        <v>0</v>
      </c>
      <c r="W1224" s="153">
        <f t="shared" si="676"/>
        <v>0</v>
      </c>
      <c r="X1224" s="153">
        <f t="shared" si="676"/>
        <v>0</v>
      </c>
      <c r="Y1224" s="255">
        <f t="shared" si="672"/>
        <v>0</v>
      </c>
      <c r="Z1224" s="309">
        <f t="shared" si="673"/>
        <v>0</v>
      </c>
      <c r="AA1224" s="256">
        <f t="shared" si="670"/>
        <v>0</v>
      </c>
      <c r="AB1224" s="309"/>
      <c r="AC1224" s="309"/>
      <c r="AD1224" s="320">
        <f t="shared" si="671"/>
        <v>0</v>
      </c>
    </row>
    <row r="1225" spans="1:30" ht="30.75" thickBot="1">
      <c r="A1225" s="67">
        <f t="shared" si="674"/>
        <v>44890</v>
      </c>
      <c r="B1225" s="153"/>
      <c r="C1225" s="153"/>
      <c r="D1225" s="153"/>
      <c r="E1225" s="153"/>
      <c r="F1225" s="153"/>
      <c r="G1225" s="153"/>
      <c r="H1225" s="153"/>
      <c r="I1225" s="153"/>
      <c r="J1225" s="153"/>
      <c r="K1225" s="153"/>
      <c r="L1225" s="153"/>
      <c r="M1225" s="153"/>
      <c r="N1225" s="153"/>
      <c r="O1225" s="153"/>
      <c r="P1225" s="153"/>
      <c r="Q1225" s="153"/>
      <c r="R1225" s="153"/>
      <c r="S1225" s="153"/>
      <c r="T1225" s="153">
        <f t="shared" si="676"/>
        <v>0</v>
      </c>
      <c r="U1225" s="153">
        <f t="shared" si="676"/>
        <v>0</v>
      </c>
      <c r="V1225" s="153">
        <f t="shared" si="676"/>
        <v>0</v>
      </c>
      <c r="W1225" s="153">
        <f t="shared" si="676"/>
        <v>0</v>
      </c>
      <c r="X1225" s="153">
        <f t="shared" si="676"/>
        <v>0</v>
      </c>
      <c r="Y1225" s="255">
        <f t="shared" si="672"/>
        <v>0</v>
      </c>
      <c r="Z1225" s="309">
        <f t="shared" si="673"/>
        <v>0</v>
      </c>
      <c r="AA1225" s="256">
        <f t="shared" si="670"/>
        <v>0</v>
      </c>
      <c r="AB1225" s="309"/>
      <c r="AC1225" s="309"/>
      <c r="AD1225" s="320">
        <f t="shared" si="671"/>
        <v>0</v>
      </c>
    </row>
    <row r="1226" spans="1:30" ht="30.75" thickBot="1">
      <c r="A1226" s="67">
        <f t="shared" si="674"/>
        <v>44891</v>
      </c>
      <c r="B1226" s="153"/>
      <c r="C1226" s="153"/>
      <c r="D1226" s="153"/>
      <c r="E1226" s="153"/>
      <c r="F1226" s="153"/>
      <c r="G1226" s="153"/>
      <c r="H1226" s="153"/>
      <c r="I1226" s="153"/>
      <c r="J1226" s="153"/>
      <c r="K1226" s="153"/>
      <c r="L1226" s="153"/>
      <c r="M1226" s="153"/>
      <c r="N1226" s="153"/>
      <c r="O1226" s="153"/>
      <c r="P1226" s="153"/>
      <c r="Q1226" s="153"/>
      <c r="R1226" s="153"/>
      <c r="S1226" s="153"/>
      <c r="T1226" s="153">
        <f t="shared" si="676"/>
        <v>0</v>
      </c>
      <c r="U1226" s="153">
        <f t="shared" si="676"/>
        <v>0</v>
      </c>
      <c r="V1226" s="153">
        <f t="shared" si="676"/>
        <v>0</v>
      </c>
      <c r="W1226" s="153">
        <f t="shared" si="676"/>
        <v>0</v>
      </c>
      <c r="X1226" s="153">
        <f t="shared" si="676"/>
        <v>0</v>
      </c>
      <c r="Y1226" s="255">
        <f t="shared" si="672"/>
        <v>0</v>
      </c>
      <c r="Z1226" s="309">
        <f t="shared" si="673"/>
        <v>0</v>
      </c>
      <c r="AA1226" s="256">
        <f t="shared" si="670"/>
        <v>0</v>
      </c>
      <c r="AB1226" s="309"/>
      <c r="AC1226" s="309"/>
      <c r="AD1226" s="320">
        <f t="shared" si="671"/>
        <v>0</v>
      </c>
    </row>
    <row r="1227" spans="1:30" ht="30.75" thickBot="1">
      <c r="A1227" s="67">
        <f t="shared" si="674"/>
        <v>44892</v>
      </c>
      <c r="B1227" s="153"/>
      <c r="C1227" s="153"/>
      <c r="D1227" s="153"/>
      <c r="E1227" s="153"/>
      <c r="F1227" s="153"/>
      <c r="G1227" s="153"/>
      <c r="H1227" s="153"/>
      <c r="I1227" s="153"/>
      <c r="J1227" s="153"/>
      <c r="K1227" s="153"/>
      <c r="L1227" s="153"/>
      <c r="M1227" s="153"/>
      <c r="N1227" s="153"/>
      <c r="O1227" s="153"/>
      <c r="P1227" s="153"/>
      <c r="Q1227" s="153"/>
      <c r="R1227" s="153"/>
      <c r="S1227" s="153"/>
      <c r="T1227" s="153">
        <f t="shared" si="676"/>
        <v>0</v>
      </c>
      <c r="U1227" s="153">
        <f t="shared" si="676"/>
        <v>0</v>
      </c>
      <c r="V1227" s="153">
        <f t="shared" si="676"/>
        <v>0</v>
      </c>
      <c r="W1227" s="153">
        <f t="shared" si="676"/>
        <v>0</v>
      </c>
      <c r="X1227" s="153">
        <f t="shared" si="676"/>
        <v>0</v>
      </c>
      <c r="Y1227" s="255">
        <f t="shared" si="672"/>
        <v>0</v>
      </c>
      <c r="Z1227" s="309">
        <f t="shared" si="673"/>
        <v>0</v>
      </c>
      <c r="AA1227" s="256">
        <f t="shared" si="670"/>
        <v>0</v>
      </c>
      <c r="AB1227" s="309"/>
      <c r="AC1227" s="309"/>
      <c r="AD1227" s="320">
        <f t="shared" si="671"/>
        <v>0</v>
      </c>
    </row>
    <row r="1228" spans="1:30" ht="30.75" thickBot="1">
      <c r="A1228" s="67">
        <f t="shared" si="674"/>
        <v>44893</v>
      </c>
      <c r="B1228" s="153"/>
      <c r="C1228" s="153"/>
      <c r="D1228" s="153"/>
      <c r="E1228" s="153"/>
      <c r="F1228" s="153"/>
      <c r="G1228" s="153"/>
      <c r="H1228" s="153"/>
      <c r="I1228" s="153"/>
      <c r="J1228" s="153"/>
      <c r="K1228" s="153"/>
      <c r="L1228" s="153"/>
      <c r="M1228" s="153"/>
      <c r="N1228" s="153"/>
      <c r="O1228" s="153"/>
      <c r="P1228" s="153"/>
      <c r="Q1228" s="153"/>
      <c r="R1228" s="153"/>
      <c r="S1228" s="153"/>
      <c r="T1228" s="153">
        <f t="shared" si="676"/>
        <v>0</v>
      </c>
      <c r="U1228" s="153">
        <f t="shared" si="676"/>
        <v>0</v>
      </c>
      <c r="V1228" s="153">
        <f t="shared" si="676"/>
        <v>0</v>
      </c>
      <c r="W1228" s="153">
        <f t="shared" si="676"/>
        <v>0</v>
      </c>
      <c r="X1228" s="153">
        <f t="shared" si="676"/>
        <v>0</v>
      </c>
      <c r="Y1228" s="255">
        <f t="shared" si="672"/>
        <v>0</v>
      </c>
      <c r="Z1228" s="309">
        <f t="shared" si="673"/>
        <v>0</v>
      </c>
      <c r="AA1228" s="256">
        <f t="shared" si="670"/>
        <v>0</v>
      </c>
      <c r="AB1228" s="309"/>
      <c r="AC1228" s="309"/>
      <c r="AD1228" s="320">
        <f t="shared" si="671"/>
        <v>0</v>
      </c>
    </row>
    <row r="1229" spans="1:30" ht="30.75" thickBot="1">
      <c r="A1229" s="67">
        <f t="shared" si="674"/>
        <v>44894</v>
      </c>
      <c r="B1229" s="153"/>
      <c r="C1229" s="153"/>
      <c r="D1229" s="153"/>
      <c r="E1229" s="153"/>
      <c r="F1229" s="153"/>
      <c r="G1229" s="153"/>
      <c r="H1229" s="153"/>
      <c r="I1229" s="153"/>
      <c r="J1229" s="153"/>
      <c r="K1229" s="153"/>
      <c r="L1229" s="153"/>
      <c r="M1229" s="153"/>
      <c r="N1229" s="153"/>
      <c r="O1229" s="153"/>
      <c r="P1229" s="153"/>
      <c r="Q1229" s="153"/>
      <c r="R1229" s="153"/>
      <c r="S1229" s="153"/>
      <c r="T1229" s="153">
        <f t="shared" si="676"/>
        <v>0</v>
      </c>
      <c r="U1229" s="153">
        <f t="shared" si="676"/>
        <v>0</v>
      </c>
      <c r="V1229" s="153">
        <f t="shared" si="676"/>
        <v>0</v>
      </c>
      <c r="W1229" s="153">
        <f t="shared" si="676"/>
        <v>0</v>
      </c>
      <c r="X1229" s="153">
        <f t="shared" si="676"/>
        <v>0</v>
      </c>
      <c r="Y1229" s="255">
        <f t="shared" si="672"/>
        <v>0</v>
      </c>
      <c r="Z1229" s="309">
        <f t="shared" si="673"/>
        <v>0</v>
      </c>
      <c r="AA1229" s="256">
        <f t="shared" si="670"/>
        <v>0</v>
      </c>
      <c r="AB1229" s="309"/>
      <c r="AC1229" s="309"/>
      <c r="AD1229" s="320">
        <f t="shared" si="671"/>
        <v>0</v>
      </c>
    </row>
    <row r="1230" spans="1:30" ht="30.75" thickBot="1">
      <c r="A1230" s="67">
        <f t="shared" si="674"/>
        <v>44895</v>
      </c>
      <c r="B1230" s="153"/>
      <c r="C1230" s="153"/>
      <c r="D1230" s="153"/>
      <c r="E1230" s="153"/>
      <c r="F1230" s="153"/>
      <c r="G1230" s="153"/>
      <c r="H1230" s="153"/>
      <c r="I1230" s="153"/>
      <c r="J1230" s="153"/>
      <c r="K1230" s="153"/>
      <c r="L1230" s="153"/>
      <c r="M1230" s="153"/>
      <c r="N1230" s="153"/>
      <c r="O1230" s="153"/>
      <c r="P1230" s="153"/>
      <c r="Q1230" s="153"/>
      <c r="R1230" s="153"/>
      <c r="S1230" s="153"/>
      <c r="T1230" s="153">
        <f t="shared" si="676"/>
        <v>0</v>
      </c>
      <c r="U1230" s="153">
        <f t="shared" si="676"/>
        <v>0</v>
      </c>
      <c r="V1230" s="153">
        <f t="shared" si="676"/>
        <v>0</v>
      </c>
      <c r="W1230" s="153">
        <f t="shared" si="676"/>
        <v>0</v>
      </c>
      <c r="X1230" s="153">
        <f t="shared" si="676"/>
        <v>0</v>
      </c>
      <c r="Y1230" s="255">
        <f t="shared" si="672"/>
        <v>0</v>
      </c>
      <c r="Z1230" s="309">
        <f t="shared" si="673"/>
        <v>0</v>
      </c>
      <c r="AA1230" s="256">
        <f t="shared" si="670"/>
        <v>0</v>
      </c>
      <c r="AB1230" s="309"/>
      <c r="AC1230" s="309"/>
      <c r="AD1230" s="320">
        <f t="shared" si="671"/>
        <v>0</v>
      </c>
    </row>
    <row r="1231" spans="1:30" ht="30.75" thickBot="1">
      <c r="A1231" s="102">
        <f t="shared" si="674"/>
        <v>44896</v>
      </c>
      <c r="B1231" s="153"/>
      <c r="C1231" s="153"/>
      <c r="D1231" s="153"/>
      <c r="E1231" s="153"/>
      <c r="F1231" s="153"/>
      <c r="G1231" s="153"/>
      <c r="H1231" s="153"/>
      <c r="I1231" s="153"/>
      <c r="J1231" s="153"/>
      <c r="K1231" s="153"/>
      <c r="L1231" s="153"/>
      <c r="M1231" s="153"/>
      <c r="N1231" s="153"/>
      <c r="O1231" s="153"/>
      <c r="P1231" s="153"/>
      <c r="Q1231" s="153"/>
      <c r="R1231" s="153"/>
      <c r="S1231" s="153"/>
      <c r="T1231" s="153">
        <f t="shared" ref="T1231:X1231" si="677">T75+T121+T159+T198+T236+T276+T313+T353+T394+T436+T475+T513+T549+T586+T624+T660+T698+T736+T774+T812+T850+T888+T926+T965+T1004+T1042+T1080+T1118+T1156+T1194</f>
        <v>0</v>
      </c>
      <c r="U1231" s="153">
        <f t="shared" si="677"/>
        <v>0</v>
      </c>
      <c r="V1231" s="153">
        <f t="shared" si="677"/>
        <v>0</v>
      </c>
      <c r="W1231" s="153">
        <f t="shared" si="677"/>
        <v>0</v>
      </c>
      <c r="X1231" s="153">
        <f t="shared" si="677"/>
        <v>0</v>
      </c>
      <c r="Y1231" s="255">
        <f t="shared" si="672"/>
        <v>0</v>
      </c>
      <c r="Z1231" s="309">
        <f t="shared" si="673"/>
        <v>0</v>
      </c>
      <c r="AA1231" s="256">
        <f t="shared" si="670"/>
        <v>0</v>
      </c>
      <c r="AB1231" s="309"/>
      <c r="AC1231" s="309"/>
      <c r="AD1231" s="320">
        <f t="shared" si="671"/>
        <v>0</v>
      </c>
    </row>
    <row r="1232" spans="1:30" ht="30" thickTop="1" thickBot="1">
      <c r="A1232" s="96" t="s">
        <v>74</v>
      </c>
      <c r="B1232" s="104">
        <f>SUM(B1201:B1231)</f>
        <v>0</v>
      </c>
      <c r="C1232" s="104">
        <f t="shared" ref="C1232:D1232" si="678">SUM(C1201:C1231)</f>
        <v>0</v>
      </c>
      <c r="D1232" s="104">
        <f t="shared" si="678"/>
        <v>0</v>
      </c>
      <c r="E1232" s="104"/>
      <c r="F1232" s="104">
        <f t="shared" ref="F1232:O1232" si="679">SUM(F1201:F1231)</f>
        <v>0</v>
      </c>
      <c r="G1232" s="104">
        <f t="shared" si="679"/>
        <v>0</v>
      </c>
      <c r="H1232" s="104">
        <f t="shared" si="679"/>
        <v>0</v>
      </c>
      <c r="I1232" s="104">
        <f t="shared" si="679"/>
        <v>0</v>
      </c>
      <c r="J1232" s="104">
        <f t="shared" si="679"/>
        <v>0</v>
      </c>
      <c r="K1232" s="104">
        <f t="shared" si="679"/>
        <v>0</v>
      </c>
      <c r="L1232" s="104">
        <f t="shared" si="679"/>
        <v>0</v>
      </c>
      <c r="M1232" s="104">
        <f t="shared" si="679"/>
        <v>0</v>
      </c>
      <c r="N1232" s="104">
        <f t="shared" si="679"/>
        <v>0</v>
      </c>
      <c r="O1232" s="104">
        <f t="shared" si="679"/>
        <v>0</v>
      </c>
      <c r="P1232" s="104"/>
      <c r="Q1232" s="104">
        <f t="shared" ref="Q1232:S1232" si="680">SUM(Q1201:Q1231)</f>
        <v>0</v>
      </c>
      <c r="R1232" s="104">
        <f t="shared" si="680"/>
        <v>0</v>
      </c>
      <c r="S1232" s="104">
        <f t="shared" si="680"/>
        <v>0</v>
      </c>
      <c r="T1232" s="104"/>
      <c r="U1232" s="104"/>
      <c r="V1232" s="104"/>
      <c r="W1232" s="104"/>
      <c r="X1232" s="104"/>
      <c r="Y1232" s="292">
        <f t="shared" ref="Y1232" si="681">SUM(Y1201:Y1231)</f>
        <v>0</v>
      </c>
      <c r="Z1232" s="259"/>
      <c r="AA1232" s="259"/>
      <c r="AB1232" s="316">
        <f>SUM(AB1201:AB1231)</f>
        <v>0</v>
      </c>
      <c r="AC1232" s="316"/>
      <c r="AD1232" s="260"/>
    </row>
    <row r="1233" spans="1:30" ht="15.75" thickTop="1"/>
    <row r="1234" spans="1:30" ht="15.75" thickBot="1"/>
    <row r="1235" spans="1:30" ht="43.5" thickBot="1">
      <c r="A1235" s="109">
        <v>2021</v>
      </c>
      <c r="B1235" s="1424" t="s">
        <v>408</v>
      </c>
      <c r="C1235" s="1425"/>
      <c r="D1235" s="1425"/>
      <c r="E1235" s="1425"/>
      <c r="F1235" s="1425"/>
      <c r="G1235" s="1425"/>
      <c r="H1235" s="1425"/>
      <c r="I1235" s="1425"/>
      <c r="J1235" s="1425"/>
      <c r="K1235" s="1425"/>
      <c r="L1235" s="1425"/>
      <c r="M1235" s="1425"/>
      <c r="N1235" s="1425"/>
      <c r="O1235" s="1425"/>
      <c r="P1235" s="1425"/>
      <c r="Q1235" s="1425"/>
      <c r="R1235" s="1425"/>
      <c r="S1235" s="1425"/>
      <c r="T1235" s="1425"/>
      <c r="U1235" s="1425"/>
      <c r="V1235" s="1425"/>
      <c r="W1235" s="1425"/>
      <c r="X1235" s="1425"/>
      <c r="Y1235" s="1426"/>
      <c r="Z1235" s="21"/>
      <c r="AA1235" s="21"/>
      <c r="AB1235" s="21"/>
      <c r="AC1235" s="2"/>
      <c r="AD1235" t="s">
        <v>1</v>
      </c>
    </row>
    <row r="1236" spans="1:30" ht="60.75" thickTop="1" thickBot="1">
      <c r="A1236" s="1422" t="s">
        <v>94</v>
      </c>
      <c r="B1236" s="1402" t="s">
        <v>95</v>
      </c>
      <c r="C1236" s="1403"/>
      <c r="D1236" s="1403"/>
      <c r="E1236" s="1404"/>
      <c r="F1236" s="1402" t="s">
        <v>7</v>
      </c>
      <c r="G1236" s="1403"/>
      <c r="H1236" s="1404"/>
      <c r="I1236" s="1402" t="s">
        <v>8</v>
      </c>
      <c r="J1236" s="1404"/>
      <c r="K1236" s="1402" t="s">
        <v>9</v>
      </c>
      <c r="L1236" s="1403"/>
      <c r="M1236" s="1403"/>
      <c r="N1236" s="1403"/>
      <c r="O1236" s="1403"/>
      <c r="P1236" s="1403"/>
      <c r="Q1236" s="1403"/>
      <c r="R1236" s="1405" t="s">
        <v>10</v>
      </c>
      <c r="S1236" s="1406"/>
      <c r="T1236" s="1400" t="s">
        <v>289</v>
      </c>
      <c r="U1236" s="1401"/>
      <c r="V1236" s="842" t="s">
        <v>258</v>
      </c>
      <c r="W1236" s="842"/>
      <c r="X1236" s="842"/>
      <c r="Y1236" s="211"/>
      <c r="Z1236" s="21"/>
      <c r="AA1236" s="21"/>
      <c r="AB1236" s="21"/>
      <c r="AC1236" s="21"/>
    </row>
    <row r="1237" spans="1:30" ht="42" thickTop="1" thickBot="1">
      <c r="A1237" s="1423"/>
      <c r="B1237" s="482" t="s">
        <v>12</v>
      </c>
      <c r="C1237" s="482" t="s">
        <v>13</v>
      </c>
      <c r="D1237" s="482" t="s">
        <v>14</v>
      </c>
      <c r="E1237" s="688" t="s">
        <v>198</v>
      </c>
      <c r="F1237" s="482" t="s">
        <v>12</v>
      </c>
      <c r="G1237" s="482" t="s">
        <v>13</v>
      </c>
      <c r="H1237" s="482" t="s">
        <v>282</v>
      </c>
      <c r="I1237" s="482" t="s">
        <v>12</v>
      </c>
      <c r="J1237" s="482" t="s">
        <v>16</v>
      </c>
      <c r="K1237" s="482" t="s">
        <v>17</v>
      </c>
      <c r="L1237" s="482" t="s">
        <v>18</v>
      </c>
      <c r="M1237" s="482" t="s">
        <v>19</v>
      </c>
      <c r="N1237" s="484" t="s">
        <v>96</v>
      </c>
      <c r="O1237" s="484" t="s">
        <v>257</v>
      </c>
      <c r="P1237" s="484" t="s">
        <v>254</v>
      </c>
      <c r="Q1237" s="484" t="s">
        <v>20</v>
      </c>
      <c r="R1237" s="483" t="s">
        <v>14</v>
      </c>
      <c r="S1237" s="482" t="s">
        <v>13</v>
      </c>
      <c r="T1237" s="846" t="s">
        <v>284</v>
      </c>
      <c r="U1237" s="846" t="s">
        <v>288</v>
      </c>
      <c r="V1237" s="484" t="s">
        <v>259</v>
      </c>
      <c r="W1237" s="484"/>
      <c r="X1237" s="484"/>
      <c r="Y1237" s="209" t="s">
        <v>90</v>
      </c>
      <c r="Z1237" s="210" t="s">
        <v>97</v>
      </c>
      <c r="AA1237" s="210" t="s">
        <v>74</v>
      </c>
      <c r="AB1237" s="210" t="s">
        <v>98</v>
      </c>
      <c r="AC1237" s="210" t="s">
        <v>99</v>
      </c>
      <c r="AD1237" s="210" t="s">
        <v>100</v>
      </c>
    </row>
    <row r="1238" spans="1:30" ht="30.75" thickBot="1">
      <c r="A1238" s="67">
        <f>A1201</f>
        <v>44866</v>
      </c>
      <c r="B1238" s="153"/>
      <c r="C1238" s="153"/>
      <c r="D1238" s="153"/>
      <c r="E1238" s="153"/>
      <c r="F1238" s="153"/>
      <c r="G1238" s="153"/>
      <c r="H1238" s="153"/>
      <c r="I1238" s="153"/>
      <c r="J1238" s="153"/>
      <c r="K1238" s="153"/>
      <c r="L1238" s="153"/>
      <c r="M1238" s="153"/>
      <c r="N1238" s="153"/>
      <c r="O1238" s="153"/>
      <c r="P1238" s="153"/>
      <c r="Q1238" s="153"/>
      <c r="R1238" s="153"/>
      <c r="S1238" s="153"/>
      <c r="T1238" s="153" t="e">
        <f t="shared" ref="T1238:X1247" si="682">T82+T128+T166+T205+T243+T283+T320+T360+T401+T443+T482+T520+T556+T593+T631+T667+T705+T743+T781+T819+T857+T895+T933+T972+T1011+T1049+T1087+T1125+T1163+T1201</f>
        <v>#VALUE!</v>
      </c>
      <c r="U1238" s="153" t="e">
        <f t="shared" si="682"/>
        <v>#VALUE!</v>
      </c>
      <c r="V1238" s="153" t="e">
        <f t="shared" si="682"/>
        <v>#VALUE!</v>
      </c>
      <c r="W1238" s="153">
        <f t="shared" si="682"/>
        <v>0</v>
      </c>
      <c r="X1238" s="153">
        <f t="shared" si="682"/>
        <v>0</v>
      </c>
      <c r="Y1238" s="255">
        <f>B1238*300+D1238*300+E1238*300+F1238*150+G1238*150+H1238*120+I1238*40+J1238*40+K1238*400+L1238*400+M1238*400+N1238*390+O1238*387.5+P1238*80+Q1238*200+R1238*300+S1238*300</f>
        <v>0</v>
      </c>
      <c r="Z1238" s="308"/>
      <c r="AA1238" s="263">
        <f t="shared" ref="AA1238:AA1268" si="683">Y1238+Z1238</f>
        <v>0</v>
      </c>
      <c r="AB1238" s="308"/>
      <c r="AC1238" s="308"/>
      <c r="AD1238" s="319">
        <f t="shared" ref="AD1238:AD1268" si="684">AA1238-AB1238-AC1238</f>
        <v>0</v>
      </c>
    </row>
    <row r="1239" spans="1:30" ht="30.75" thickBot="1">
      <c r="A1239" s="67">
        <f>A1238+1</f>
        <v>44867</v>
      </c>
      <c r="B1239" s="153"/>
      <c r="C1239" s="153"/>
      <c r="D1239" s="153"/>
      <c r="E1239" s="153"/>
      <c r="F1239" s="153"/>
      <c r="G1239" s="153"/>
      <c r="H1239" s="153"/>
      <c r="I1239" s="153"/>
      <c r="J1239" s="153"/>
      <c r="K1239" s="153"/>
      <c r="L1239" s="153"/>
      <c r="M1239" s="153"/>
      <c r="N1239" s="153"/>
      <c r="O1239" s="153"/>
      <c r="P1239" s="153"/>
      <c r="Q1239" s="153"/>
      <c r="R1239" s="153"/>
      <c r="S1239" s="153"/>
      <c r="T1239" s="153" t="e">
        <f t="shared" si="682"/>
        <v>#VALUE!</v>
      </c>
      <c r="U1239" s="153" t="e">
        <f t="shared" si="682"/>
        <v>#VALUE!</v>
      </c>
      <c r="V1239" s="153" t="e">
        <f t="shared" si="682"/>
        <v>#VALUE!</v>
      </c>
      <c r="W1239" s="153">
        <f t="shared" si="682"/>
        <v>0</v>
      </c>
      <c r="X1239" s="153">
        <f t="shared" si="682"/>
        <v>0</v>
      </c>
      <c r="Y1239" s="255">
        <f t="shared" ref="Y1239:Y1268" si="685">B1239*300+D1239*300+E1239*300+F1239*150+G1239*150+H1239*120+I1239*40+J1239*40+K1239*400+L1239*400+M1239*400+N1239*390+O1239*387.5+P1239*80+Q1239*200+R1239*300+S1239*300</f>
        <v>0</v>
      </c>
      <c r="Z1239" s="309">
        <f t="shared" ref="Z1239:Z1268" si="686">AD1238</f>
        <v>0</v>
      </c>
      <c r="AA1239" s="256">
        <f t="shared" si="683"/>
        <v>0</v>
      </c>
      <c r="AB1239" s="309"/>
      <c r="AC1239" s="309"/>
      <c r="AD1239" s="320">
        <f t="shared" si="684"/>
        <v>0</v>
      </c>
    </row>
    <row r="1240" spans="1:30" ht="30.75" thickBot="1">
      <c r="A1240" s="67">
        <f t="shared" ref="A1240:A1268" si="687">A1239+1</f>
        <v>44868</v>
      </c>
      <c r="B1240" s="153"/>
      <c r="C1240" s="153"/>
      <c r="D1240" s="153"/>
      <c r="E1240" s="153"/>
      <c r="F1240" s="153"/>
      <c r="G1240" s="153"/>
      <c r="H1240" s="153"/>
      <c r="I1240" s="153"/>
      <c r="J1240" s="153"/>
      <c r="K1240" s="153"/>
      <c r="L1240" s="153"/>
      <c r="M1240" s="153"/>
      <c r="N1240" s="153"/>
      <c r="O1240" s="153"/>
      <c r="P1240" s="153"/>
      <c r="Q1240" s="153"/>
      <c r="R1240" s="153"/>
      <c r="S1240" s="153"/>
      <c r="T1240" s="153" t="e">
        <f t="shared" si="682"/>
        <v>#VALUE!</v>
      </c>
      <c r="U1240" s="153" t="e">
        <f t="shared" si="682"/>
        <v>#VALUE!</v>
      </c>
      <c r="V1240" s="153" t="e">
        <f t="shared" si="682"/>
        <v>#VALUE!</v>
      </c>
      <c r="W1240" s="153">
        <f t="shared" si="682"/>
        <v>0</v>
      </c>
      <c r="X1240" s="153">
        <f t="shared" si="682"/>
        <v>0</v>
      </c>
      <c r="Y1240" s="255">
        <f t="shared" si="685"/>
        <v>0</v>
      </c>
      <c r="Z1240" s="309">
        <f t="shared" si="686"/>
        <v>0</v>
      </c>
      <c r="AA1240" s="256">
        <f t="shared" si="683"/>
        <v>0</v>
      </c>
      <c r="AB1240" s="309"/>
      <c r="AC1240" s="309"/>
      <c r="AD1240" s="320">
        <f t="shared" si="684"/>
        <v>0</v>
      </c>
    </row>
    <row r="1241" spans="1:30" ht="30.75" thickBot="1">
      <c r="A1241" s="67">
        <f t="shared" si="687"/>
        <v>44869</v>
      </c>
      <c r="B1241" s="153"/>
      <c r="C1241" s="153"/>
      <c r="D1241" s="153"/>
      <c r="E1241" s="153"/>
      <c r="F1241" s="153"/>
      <c r="G1241" s="153"/>
      <c r="H1241" s="153"/>
      <c r="I1241" s="153"/>
      <c r="J1241" s="153"/>
      <c r="K1241" s="153"/>
      <c r="L1241" s="153"/>
      <c r="M1241" s="153"/>
      <c r="N1241" s="153"/>
      <c r="O1241" s="153"/>
      <c r="P1241" s="153"/>
      <c r="Q1241" s="153"/>
      <c r="R1241" s="153"/>
      <c r="S1241" s="153"/>
      <c r="T1241" s="153" t="e">
        <f t="shared" si="682"/>
        <v>#VALUE!</v>
      </c>
      <c r="U1241" s="153" t="e">
        <f t="shared" si="682"/>
        <v>#VALUE!</v>
      </c>
      <c r="V1241" s="153" t="e">
        <f t="shared" si="682"/>
        <v>#VALUE!</v>
      </c>
      <c r="W1241" s="153">
        <f t="shared" si="682"/>
        <v>0</v>
      </c>
      <c r="X1241" s="153">
        <f t="shared" si="682"/>
        <v>0</v>
      </c>
      <c r="Y1241" s="255">
        <f t="shared" si="685"/>
        <v>0</v>
      </c>
      <c r="Z1241" s="309">
        <f t="shared" si="686"/>
        <v>0</v>
      </c>
      <c r="AA1241" s="256">
        <f t="shared" si="683"/>
        <v>0</v>
      </c>
      <c r="AB1241" s="309"/>
      <c r="AC1241" s="309"/>
      <c r="AD1241" s="320">
        <f t="shared" si="684"/>
        <v>0</v>
      </c>
    </row>
    <row r="1242" spans="1:30" ht="30.75" thickBot="1">
      <c r="A1242" s="67">
        <f t="shared" si="687"/>
        <v>44870</v>
      </c>
      <c r="B1242" s="153"/>
      <c r="C1242" s="153"/>
      <c r="D1242" s="153"/>
      <c r="E1242" s="153"/>
      <c r="F1242" s="153"/>
      <c r="G1242" s="153"/>
      <c r="H1242" s="153"/>
      <c r="I1242" s="153"/>
      <c r="J1242" s="153"/>
      <c r="K1242" s="153"/>
      <c r="L1242" s="153"/>
      <c r="M1242" s="153"/>
      <c r="N1242" s="153"/>
      <c r="O1242" s="153"/>
      <c r="P1242" s="153"/>
      <c r="Q1242" s="153"/>
      <c r="R1242" s="153"/>
      <c r="S1242" s="153"/>
      <c r="T1242" s="153" t="e">
        <f t="shared" si="682"/>
        <v>#VALUE!</v>
      </c>
      <c r="U1242" s="153" t="e">
        <f t="shared" si="682"/>
        <v>#VALUE!</v>
      </c>
      <c r="V1242" s="153" t="e">
        <f t="shared" si="682"/>
        <v>#VALUE!</v>
      </c>
      <c r="W1242" s="153">
        <f t="shared" si="682"/>
        <v>0</v>
      </c>
      <c r="X1242" s="153">
        <f t="shared" si="682"/>
        <v>0</v>
      </c>
      <c r="Y1242" s="255">
        <f t="shared" si="685"/>
        <v>0</v>
      </c>
      <c r="Z1242" s="309">
        <f t="shared" si="686"/>
        <v>0</v>
      </c>
      <c r="AA1242" s="256">
        <f t="shared" si="683"/>
        <v>0</v>
      </c>
      <c r="AB1242" s="309"/>
      <c r="AC1242" s="309"/>
      <c r="AD1242" s="320">
        <f t="shared" si="684"/>
        <v>0</v>
      </c>
    </row>
    <row r="1243" spans="1:30" ht="30.75" thickBot="1">
      <c r="A1243" s="67">
        <f t="shared" si="687"/>
        <v>44871</v>
      </c>
      <c r="B1243" s="153"/>
      <c r="C1243" s="153"/>
      <c r="D1243" s="153"/>
      <c r="E1243" s="153"/>
      <c r="F1243" s="153"/>
      <c r="G1243" s="153"/>
      <c r="H1243" s="153"/>
      <c r="I1243" s="153"/>
      <c r="J1243" s="153"/>
      <c r="K1243" s="153"/>
      <c r="L1243" s="153"/>
      <c r="M1243" s="153"/>
      <c r="N1243" s="153"/>
      <c r="O1243" s="153"/>
      <c r="P1243" s="153"/>
      <c r="Q1243" s="153"/>
      <c r="R1243" s="153"/>
      <c r="S1243" s="153"/>
      <c r="T1243" s="153" t="e">
        <f t="shared" si="682"/>
        <v>#VALUE!</v>
      </c>
      <c r="U1243" s="153">
        <f t="shared" si="682"/>
        <v>0</v>
      </c>
      <c r="V1243" s="153" t="e">
        <f t="shared" si="682"/>
        <v>#VALUE!</v>
      </c>
      <c r="W1243" s="153">
        <f t="shared" si="682"/>
        <v>0</v>
      </c>
      <c r="X1243" s="153">
        <f t="shared" si="682"/>
        <v>0</v>
      </c>
      <c r="Y1243" s="255">
        <f t="shared" si="685"/>
        <v>0</v>
      </c>
      <c r="Z1243" s="309">
        <f t="shared" si="686"/>
        <v>0</v>
      </c>
      <c r="AA1243" s="256">
        <f t="shared" si="683"/>
        <v>0</v>
      </c>
      <c r="AB1243" s="309"/>
      <c r="AC1243" s="309"/>
      <c r="AD1243" s="320">
        <f t="shared" si="684"/>
        <v>0</v>
      </c>
    </row>
    <row r="1244" spans="1:30" ht="30.75" thickBot="1">
      <c r="A1244" s="67">
        <f t="shared" si="687"/>
        <v>44872</v>
      </c>
      <c r="B1244" s="153"/>
      <c r="C1244" s="153"/>
      <c r="D1244" s="153"/>
      <c r="E1244" s="153"/>
      <c r="F1244" s="153"/>
      <c r="G1244" s="153"/>
      <c r="H1244" s="153"/>
      <c r="I1244" s="153"/>
      <c r="J1244" s="153"/>
      <c r="K1244" s="153"/>
      <c r="L1244" s="153"/>
      <c r="M1244" s="153"/>
      <c r="N1244" s="153"/>
      <c r="O1244" s="153"/>
      <c r="P1244" s="153"/>
      <c r="Q1244" s="153"/>
      <c r="R1244" s="153"/>
      <c r="S1244" s="153"/>
      <c r="T1244" s="153" t="e">
        <f t="shared" si="682"/>
        <v>#VALUE!</v>
      </c>
      <c r="U1244" s="153" t="e">
        <f t="shared" si="682"/>
        <v>#VALUE!</v>
      </c>
      <c r="V1244" s="153" t="e">
        <f t="shared" si="682"/>
        <v>#VALUE!</v>
      </c>
      <c r="W1244" s="153">
        <f t="shared" si="682"/>
        <v>0</v>
      </c>
      <c r="X1244" s="153">
        <f t="shared" si="682"/>
        <v>0</v>
      </c>
      <c r="Y1244" s="255">
        <f t="shared" si="685"/>
        <v>0</v>
      </c>
      <c r="Z1244" s="309">
        <f t="shared" si="686"/>
        <v>0</v>
      </c>
      <c r="AA1244" s="256">
        <f t="shared" si="683"/>
        <v>0</v>
      </c>
      <c r="AB1244" s="309"/>
      <c r="AC1244" s="309"/>
      <c r="AD1244" s="320">
        <f t="shared" si="684"/>
        <v>0</v>
      </c>
    </row>
    <row r="1245" spans="1:30" ht="30.75" thickBot="1">
      <c r="A1245" s="67">
        <f t="shared" si="687"/>
        <v>44873</v>
      </c>
      <c r="B1245" s="153"/>
      <c r="C1245" s="153"/>
      <c r="D1245" s="153"/>
      <c r="E1245" s="153"/>
      <c r="F1245" s="153"/>
      <c r="G1245" s="153"/>
      <c r="H1245" s="153"/>
      <c r="I1245" s="153"/>
      <c r="J1245" s="153"/>
      <c r="K1245" s="153"/>
      <c r="L1245" s="153"/>
      <c r="M1245" s="153"/>
      <c r="N1245" s="153"/>
      <c r="O1245" s="153"/>
      <c r="P1245" s="153"/>
      <c r="Q1245" s="153"/>
      <c r="R1245" s="153"/>
      <c r="S1245" s="153"/>
      <c r="T1245" s="153" t="e">
        <f t="shared" si="682"/>
        <v>#VALUE!</v>
      </c>
      <c r="U1245" s="153">
        <f t="shared" si="682"/>
        <v>0</v>
      </c>
      <c r="V1245" s="153" t="e">
        <f t="shared" si="682"/>
        <v>#VALUE!</v>
      </c>
      <c r="W1245" s="153">
        <f t="shared" si="682"/>
        <v>0</v>
      </c>
      <c r="X1245" s="153">
        <f t="shared" si="682"/>
        <v>0</v>
      </c>
      <c r="Y1245" s="255">
        <f t="shared" si="685"/>
        <v>0</v>
      </c>
      <c r="Z1245" s="309">
        <f t="shared" si="686"/>
        <v>0</v>
      </c>
      <c r="AA1245" s="256">
        <f t="shared" si="683"/>
        <v>0</v>
      </c>
      <c r="AB1245" s="309"/>
      <c r="AC1245" s="309"/>
      <c r="AD1245" s="320">
        <f t="shared" si="684"/>
        <v>0</v>
      </c>
    </row>
    <row r="1246" spans="1:30" ht="30.75" thickBot="1">
      <c r="A1246" s="67">
        <f t="shared" si="687"/>
        <v>44874</v>
      </c>
      <c r="B1246" s="153"/>
      <c r="C1246" s="153"/>
      <c r="D1246" s="153"/>
      <c r="E1246" s="153"/>
      <c r="F1246" s="153"/>
      <c r="G1246" s="153"/>
      <c r="H1246" s="153"/>
      <c r="I1246" s="153"/>
      <c r="J1246" s="153"/>
      <c r="K1246" s="153"/>
      <c r="L1246" s="153"/>
      <c r="M1246" s="153"/>
      <c r="N1246" s="153"/>
      <c r="O1246" s="153"/>
      <c r="P1246" s="153"/>
      <c r="Q1246" s="153"/>
      <c r="R1246" s="153"/>
      <c r="S1246" s="153"/>
      <c r="T1246" s="153" t="e">
        <f t="shared" si="682"/>
        <v>#VALUE!</v>
      </c>
      <c r="U1246" s="153" t="e">
        <f t="shared" si="682"/>
        <v>#VALUE!</v>
      </c>
      <c r="V1246" s="153" t="e">
        <f t="shared" si="682"/>
        <v>#VALUE!</v>
      </c>
      <c r="W1246" s="153">
        <f t="shared" si="682"/>
        <v>0</v>
      </c>
      <c r="X1246" s="153">
        <f t="shared" si="682"/>
        <v>0</v>
      </c>
      <c r="Y1246" s="255">
        <f t="shared" si="685"/>
        <v>0</v>
      </c>
      <c r="Z1246" s="309">
        <f t="shared" si="686"/>
        <v>0</v>
      </c>
      <c r="AA1246" s="256">
        <f t="shared" si="683"/>
        <v>0</v>
      </c>
      <c r="AB1246" s="309"/>
      <c r="AC1246" s="309"/>
      <c r="AD1246" s="320">
        <f t="shared" si="684"/>
        <v>0</v>
      </c>
    </row>
    <row r="1247" spans="1:30" ht="30.75" thickBot="1">
      <c r="A1247" s="67">
        <f t="shared" si="687"/>
        <v>44875</v>
      </c>
      <c r="B1247" s="153"/>
      <c r="C1247" s="153"/>
      <c r="D1247" s="153"/>
      <c r="E1247" s="153"/>
      <c r="F1247" s="153"/>
      <c r="G1247" s="153"/>
      <c r="H1247" s="153"/>
      <c r="I1247" s="153"/>
      <c r="J1247" s="153"/>
      <c r="K1247" s="153"/>
      <c r="L1247" s="153"/>
      <c r="M1247" s="153"/>
      <c r="N1247" s="153"/>
      <c r="O1247" s="153"/>
      <c r="P1247" s="153"/>
      <c r="Q1247" s="153"/>
      <c r="R1247" s="153"/>
      <c r="S1247" s="153"/>
      <c r="T1247" s="153" t="e">
        <f t="shared" si="682"/>
        <v>#VALUE!</v>
      </c>
      <c r="U1247" s="153" t="e">
        <f t="shared" si="682"/>
        <v>#VALUE!</v>
      </c>
      <c r="V1247" s="153" t="e">
        <f t="shared" si="682"/>
        <v>#VALUE!</v>
      </c>
      <c r="W1247" s="153">
        <f t="shared" si="682"/>
        <v>0</v>
      </c>
      <c r="X1247" s="153">
        <f t="shared" si="682"/>
        <v>0</v>
      </c>
      <c r="Y1247" s="255">
        <f t="shared" si="685"/>
        <v>0</v>
      </c>
      <c r="Z1247" s="309">
        <f t="shared" si="686"/>
        <v>0</v>
      </c>
      <c r="AA1247" s="256">
        <f t="shared" si="683"/>
        <v>0</v>
      </c>
      <c r="AB1247" s="309"/>
      <c r="AC1247" s="309"/>
      <c r="AD1247" s="320">
        <f t="shared" si="684"/>
        <v>0</v>
      </c>
    </row>
    <row r="1248" spans="1:30" ht="30.75" thickBot="1">
      <c r="A1248" s="67">
        <f t="shared" si="687"/>
        <v>44876</v>
      </c>
      <c r="B1248" s="153"/>
      <c r="C1248" s="153"/>
      <c r="D1248" s="153"/>
      <c r="E1248" s="153"/>
      <c r="F1248" s="153"/>
      <c r="G1248" s="153"/>
      <c r="H1248" s="153"/>
      <c r="I1248" s="153"/>
      <c r="J1248" s="153"/>
      <c r="K1248" s="153"/>
      <c r="L1248" s="153"/>
      <c r="M1248" s="153"/>
      <c r="N1248" s="153"/>
      <c r="O1248" s="153"/>
      <c r="P1248" s="153"/>
      <c r="Q1248" s="153"/>
      <c r="R1248" s="153"/>
      <c r="S1248" s="153"/>
      <c r="T1248" s="153">
        <f t="shared" ref="T1248:X1257" si="688">T92+T138+T176+T215+T253+T293+T330+T370+T411+T453+T492+T530+T566+T603+T641+T677+T715+T753+T791+T829+T867+T905+T943+T982+T1021+T1059+T1097+T1135+T1173+T1211</f>
        <v>0</v>
      </c>
      <c r="U1248" s="153">
        <f t="shared" si="688"/>
        <v>0</v>
      </c>
      <c r="V1248" s="153">
        <f t="shared" si="688"/>
        <v>0</v>
      </c>
      <c r="W1248" s="153">
        <f t="shared" si="688"/>
        <v>0</v>
      </c>
      <c r="X1248" s="153">
        <f t="shared" si="688"/>
        <v>0</v>
      </c>
      <c r="Y1248" s="255">
        <f t="shared" si="685"/>
        <v>0</v>
      </c>
      <c r="Z1248" s="309">
        <f t="shared" si="686"/>
        <v>0</v>
      </c>
      <c r="AA1248" s="256">
        <f t="shared" si="683"/>
        <v>0</v>
      </c>
      <c r="AB1248" s="309"/>
      <c r="AC1248" s="309"/>
      <c r="AD1248" s="320">
        <f t="shared" si="684"/>
        <v>0</v>
      </c>
    </row>
    <row r="1249" spans="1:30" ht="30.75" thickBot="1">
      <c r="A1249" s="67">
        <f t="shared" si="687"/>
        <v>44877</v>
      </c>
      <c r="B1249" s="153"/>
      <c r="C1249" s="153"/>
      <c r="D1249" s="153"/>
      <c r="E1249" s="153"/>
      <c r="F1249" s="153"/>
      <c r="G1249" s="153"/>
      <c r="H1249" s="153"/>
      <c r="I1249" s="153"/>
      <c r="J1249" s="153"/>
      <c r="K1249" s="153"/>
      <c r="L1249" s="153"/>
      <c r="M1249" s="153"/>
      <c r="N1249" s="153"/>
      <c r="O1249" s="153"/>
      <c r="P1249" s="153"/>
      <c r="Q1249" s="153"/>
      <c r="R1249" s="153"/>
      <c r="S1249" s="153"/>
      <c r="T1249" s="153">
        <f t="shared" si="688"/>
        <v>0</v>
      </c>
      <c r="U1249" s="153">
        <f t="shared" si="688"/>
        <v>0</v>
      </c>
      <c r="V1249" s="153">
        <f t="shared" si="688"/>
        <v>0</v>
      </c>
      <c r="W1249" s="153">
        <f t="shared" si="688"/>
        <v>0</v>
      </c>
      <c r="X1249" s="153">
        <f t="shared" si="688"/>
        <v>0</v>
      </c>
      <c r="Y1249" s="255">
        <f t="shared" si="685"/>
        <v>0</v>
      </c>
      <c r="Z1249" s="309">
        <f t="shared" si="686"/>
        <v>0</v>
      </c>
      <c r="AA1249" s="256">
        <f t="shared" si="683"/>
        <v>0</v>
      </c>
      <c r="AB1249" s="309"/>
      <c r="AC1249" s="309"/>
      <c r="AD1249" s="320">
        <f t="shared" si="684"/>
        <v>0</v>
      </c>
    </row>
    <row r="1250" spans="1:30" ht="30.75" thickBot="1">
      <c r="A1250" s="67">
        <f t="shared" si="687"/>
        <v>44878</v>
      </c>
      <c r="B1250" s="153"/>
      <c r="C1250" s="153"/>
      <c r="D1250" s="153"/>
      <c r="E1250" s="153"/>
      <c r="F1250" s="153"/>
      <c r="G1250" s="153"/>
      <c r="H1250" s="153"/>
      <c r="I1250" s="153"/>
      <c r="J1250" s="153"/>
      <c r="K1250" s="153"/>
      <c r="L1250" s="153"/>
      <c r="M1250" s="153"/>
      <c r="N1250" s="153"/>
      <c r="O1250" s="153"/>
      <c r="P1250" s="153"/>
      <c r="Q1250" s="153"/>
      <c r="R1250" s="153"/>
      <c r="S1250" s="153"/>
      <c r="T1250" s="153">
        <f t="shared" si="688"/>
        <v>0</v>
      </c>
      <c r="U1250" s="153">
        <f t="shared" si="688"/>
        <v>0</v>
      </c>
      <c r="V1250" s="153">
        <f t="shared" si="688"/>
        <v>0</v>
      </c>
      <c r="W1250" s="153">
        <f t="shared" si="688"/>
        <v>0</v>
      </c>
      <c r="X1250" s="153">
        <f t="shared" si="688"/>
        <v>0</v>
      </c>
      <c r="Y1250" s="255">
        <f t="shared" si="685"/>
        <v>0</v>
      </c>
      <c r="Z1250" s="309">
        <f t="shared" si="686"/>
        <v>0</v>
      </c>
      <c r="AA1250" s="256">
        <f t="shared" si="683"/>
        <v>0</v>
      </c>
      <c r="AB1250" s="309"/>
      <c r="AC1250" s="309"/>
      <c r="AD1250" s="320">
        <f t="shared" si="684"/>
        <v>0</v>
      </c>
    </row>
    <row r="1251" spans="1:30" ht="30.75" thickBot="1">
      <c r="A1251" s="67">
        <f t="shared" si="687"/>
        <v>44879</v>
      </c>
      <c r="B1251" s="153"/>
      <c r="C1251" s="153"/>
      <c r="D1251" s="153"/>
      <c r="E1251" s="153"/>
      <c r="F1251" s="153"/>
      <c r="G1251" s="153"/>
      <c r="H1251" s="153"/>
      <c r="I1251" s="153"/>
      <c r="J1251" s="153"/>
      <c r="K1251" s="153"/>
      <c r="L1251" s="153"/>
      <c r="M1251" s="153"/>
      <c r="N1251" s="153"/>
      <c r="O1251" s="153"/>
      <c r="P1251" s="153"/>
      <c r="Q1251" s="153"/>
      <c r="R1251" s="153"/>
      <c r="S1251" s="153"/>
      <c r="T1251" s="153">
        <f t="shared" si="688"/>
        <v>0</v>
      </c>
      <c r="U1251" s="153">
        <f t="shared" si="688"/>
        <v>0</v>
      </c>
      <c r="V1251" s="153">
        <f t="shared" si="688"/>
        <v>0</v>
      </c>
      <c r="W1251" s="153">
        <f t="shared" si="688"/>
        <v>0</v>
      </c>
      <c r="X1251" s="153">
        <f t="shared" si="688"/>
        <v>0</v>
      </c>
      <c r="Y1251" s="255">
        <f t="shared" si="685"/>
        <v>0</v>
      </c>
      <c r="Z1251" s="309">
        <f t="shared" si="686"/>
        <v>0</v>
      </c>
      <c r="AA1251" s="256">
        <f t="shared" si="683"/>
        <v>0</v>
      </c>
      <c r="AB1251" s="309"/>
      <c r="AC1251" s="309"/>
      <c r="AD1251" s="320">
        <f t="shared" si="684"/>
        <v>0</v>
      </c>
    </row>
    <row r="1252" spans="1:30" ht="30.75" thickBot="1">
      <c r="A1252" s="67">
        <f t="shared" si="687"/>
        <v>44880</v>
      </c>
      <c r="B1252" s="153"/>
      <c r="C1252" s="153"/>
      <c r="D1252" s="153"/>
      <c r="E1252" s="153"/>
      <c r="F1252" s="153"/>
      <c r="G1252" s="153"/>
      <c r="H1252" s="153"/>
      <c r="I1252" s="153"/>
      <c r="J1252" s="153"/>
      <c r="K1252" s="153"/>
      <c r="L1252" s="153"/>
      <c r="M1252" s="153"/>
      <c r="N1252" s="153"/>
      <c r="O1252" s="153"/>
      <c r="P1252" s="153"/>
      <c r="Q1252" s="153"/>
      <c r="R1252" s="153"/>
      <c r="S1252" s="153"/>
      <c r="T1252" s="153">
        <f t="shared" si="688"/>
        <v>0</v>
      </c>
      <c r="U1252" s="153">
        <f t="shared" si="688"/>
        <v>0</v>
      </c>
      <c r="V1252" s="153">
        <f t="shared" si="688"/>
        <v>0</v>
      </c>
      <c r="W1252" s="153">
        <f t="shared" si="688"/>
        <v>0</v>
      </c>
      <c r="X1252" s="153">
        <f t="shared" si="688"/>
        <v>0</v>
      </c>
      <c r="Y1252" s="255">
        <f t="shared" si="685"/>
        <v>0</v>
      </c>
      <c r="Z1252" s="309">
        <f t="shared" si="686"/>
        <v>0</v>
      </c>
      <c r="AA1252" s="256">
        <f t="shared" si="683"/>
        <v>0</v>
      </c>
      <c r="AB1252" s="309"/>
      <c r="AC1252" s="309"/>
      <c r="AD1252" s="320">
        <f t="shared" si="684"/>
        <v>0</v>
      </c>
    </row>
    <row r="1253" spans="1:30" ht="30.75" thickBot="1">
      <c r="A1253" s="67">
        <f t="shared" si="687"/>
        <v>44881</v>
      </c>
      <c r="B1253" s="153"/>
      <c r="C1253" s="153"/>
      <c r="D1253" s="153"/>
      <c r="E1253" s="153"/>
      <c r="F1253" s="153"/>
      <c r="G1253" s="153"/>
      <c r="H1253" s="153"/>
      <c r="I1253" s="153"/>
      <c r="J1253" s="153"/>
      <c r="K1253" s="153"/>
      <c r="L1253" s="153"/>
      <c r="M1253" s="153"/>
      <c r="N1253" s="153"/>
      <c r="O1253" s="153"/>
      <c r="P1253" s="153"/>
      <c r="Q1253" s="153"/>
      <c r="R1253" s="153"/>
      <c r="S1253" s="153"/>
      <c r="T1253" s="153">
        <f t="shared" si="688"/>
        <v>0</v>
      </c>
      <c r="U1253" s="153">
        <f t="shared" si="688"/>
        <v>0</v>
      </c>
      <c r="V1253" s="153">
        <f t="shared" si="688"/>
        <v>0</v>
      </c>
      <c r="W1253" s="153">
        <f t="shared" si="688"/>
        <v>0</v>
      </c>
      <c r="X1253" s="153">
        <f t="shared" si="688"/>
        <v>0</v>
      </c>
      <c r="Y1253" s="255">
        <f t="shared" si="685"/>
        <v>0</v>
      </c>
      <c r="Z1253" s="309">
        <f t="shared" si="686"/>
        <v>0</v>
      </c>
      <c r="AA1253" s="256">
        <f t="shared" si="683"/>
        <v>0</v>
      </c>
      <c r="AB1253" s="309"/>
      <c r="AC1253" s="309"/>
      <c r="AD1253" s="320">
        <f t="shared" si="684"/>
        <v>0</v>
      </c>
    </row>
    <row r="1254" spans="1:30" ht="30.75" thickBot="1">
      <c r="A1254" s="67">
        <f t="shared" si="687"/>
        <v>44882</v>
      </c>
      <c r="B1254" s="153"/>
      <c r="C1254" s="153"/>
      <c r="D1254" s="153"/>
      <c r="E1254" s="153"/>
      <c r="F1254" s="153"/>
      <c r="G1254" s="153"/>
      <c r="H1254" s="153"/>
      <c r="I1254" s="153"/>
      <c r="J1254" s="153"/>
      <c r="K1254" s="153"/>
      <c r="L1254" s="153"/>
      <c r="M1254" s="153"/>
      <c r="N1254" s="153"/>
      <c r="O1254" s="153"/>
      <c r="P1254" s="153"/>
      <c r="Q1254" s="153"/>
      <c r="R1254" s="153"/>
      <c r="S1254" s="153"/>
      <c r="T1254" s="153">
        <f t="shared" si="688"/>
        <v>0</v>
      </c>
      <c r="U1254" s="153">
        <f t="shared" si="688"/>
        <v>0</v>
      </c>
      <c r="V1254" s="153">
        <f t="shared" si="688"/>
        <v>0</v>
      </c>
      <c r="W1254" s="153">
        <f t="shared" si="688"/>
        <v>0</v>
      </c>
      <c r="X1254" s="153">
        <f t="shared" si="688"/>
        <v>0</v>
      </c>
      <c r="Y1254" s="255">
        <f t="shared" si="685"/>
        <v>0</v>
      </c>
      <c r="Z1254" s="309">
        <f t="shared" si="686"/>
        <v>0</v>
      </c>
      <c r="AA1254" s="256">
        <f t="shared" si="683"/>
        <v>0</v>
      </c>
      <c r="AB1254" s="309"/>
      <c r="AC1254" s="309"/>
      <c r="AD1254" s="320">
        <f t="shared" si="684"/>
        <v>0</v>
      </c>
    </row>
    <row r="1255" spans="1:30" ht="30.75" thickBot="1">
      <c r="A1255" s="67">
        <f t="shared" si="687"/>
        <v>44883</v>
      </c>
      <c r="B1255" s="153"/>
      <c r="C1255" s="153"/>
      <c r="D1255" s="153"/>
      <c r="E1255" s="153"/>
      <c r="F1255" s="153"/>
      <c r="G1255" s="153"/>
      <c r="H1255" s="153"/>
      <c r="I1255" s="153"/>
      <c r="J1255" s="153"/>
      <c r="K1255" s="153"/>
      <c r="L1255" s="153"/>
      <c r="M1255" s="153"/>
      <c r="N1255" s="153"/>
      <c r="O1255" s="153"/>
      <c r="P1255" s="153"/>
      <c r="Q1255" s="153"/>
      <c r="R1255" s="153"/>
      <c r="S1255" s="153"/>
      <c r="T1255" s="153">
        <f t="shared" si="688"/>
        <v>0</v>
      </c>
      <c r="U1255" s="153">
        <f t="shared" si="688"/>
        <v>0</v>
      </c>
      <c r="V1255" s="153">
        <f t="shared" si="688"/>
        <v>0</v>
      </c>
      <c r="W1255" s="153">
        <f t="shared" si="688"/>
        <v>0</v>
      </c>
      <c r="X1255" s="153">
        <f t="shared" si="688"/>
        <v>0</v>
      </c>
      <c r="Y1255" s="255">
        <f t="shared" si="685"/>
        <v>0</v>
      </c>
      <c r="Z1255" s="309">
        <f t="shared" si="686"/>
        <v>0</v>
      </c>
      <c r="AA1255" s="256">
        <f t="shared" si="683"/>
        <v>0</v>
      </c>
      <c r="AB1255" s="309"/>
      <c r="AC1255" s="309"/>
      <c r="AD1255" s="320">
        <f t="shared" si="684"/>
        <v>0</v>
      </c>
    </row>
    <row r="1256" spans="1:30" ht="30.75" thickBot="1">
      <c r="A1256" s="67">
        <f t="shared" si="687"/>
        <v>44884</v>
      </c>
      <c r="B1256" s="153"/>
      <c r="C1256" s="153"/>
      <c r="D1256" s="153"/>
      <c r="E1256" s="153"/>
      <c r="F1256" s="153"/>
      <c r="G1256" s="153"/>
      <c r="H1256" s="153"/>
      <c r="I1256" s="153"/>
      <c r="J1256" s="153"/>
      <c r="K1256" s="153"/>
      <c r="L1256" s="153"/>
      <c r="M1256" s="153"/>
      <c r="N1256" s="153"/>
      <c r="O1256" s="153"/>
      <c r="P1256" s="153"/>
      <c r="Q1256" s="153"/>
      <c r="R1256" s="153"/>
      <c r="S1256" s="153"/>
      <c r="T1256" s="153">
        <f t="shared" si="688"/>
        <v>0</v>
      </c>
      <c r="U1256" s="153">
        <f t="shared" si="688"/>
        <v>0</v>
      </c>
      <c r="V1256" s="153">
        <f t="shared" si="688"/>
        <v>0</v>
      </c>
      <c r="W1256" s="153">
        <f t="shared" si="688"/>
        <v>0</v>
      </c>
      <c r="X1256" s="153">
        <f t="shared" si="688"/>
        <v>0</v>
      </c>
      <c r="Y1256" s="255">
        <f t="shared" si="685"/>
        <v>0</v>
      </c>
      <c r="Z1256" s="309">
        <f t="shared" si="686"/>
        <v>0</v>
      </c>
      <c r="AA1256" s="256">
        <f t="shared" si="683"/>
        <v>0</v>
      </c>
      <c r="AB1256" s="309"/>
      <c r="AC1256" s="309"/>
      <c r="AD1256" s="320">
        <f t="shared" si="684"/>
        <v>0</v>
      </c>
    </row>
    <row r="1257" spans="1:30" ht="30.75" thickBot="1">
      <c r="A1257" s="67">
        <f t="shared" si="687"/>
        <v>44885</v>
      </c>
      <c r="B1257" s="153"/>
      <c r="C1257" s="153"/>
      <c r="D1257" s="153"/>
      <c r="E1257" s="153"/>
      <c r="F1257" s="153"/>
      <c r="G1257" s="153"/>
      <c r="H1257" s="153"/>
      <c r="I1257" s="153"/>
      <c r="J1257" s="153"/>
      <c r="K1257" s="153"/>
      <c r="L1257" s="153"/>
      <c r="M1257" s="153"/>
      <c r="N1257" s="153"/>
      <c r="O1257" s="153"/>
      <c r="P1257" s="153"/>
      <c r="Q1257" s="153"/>
      <c r="R1257" s="153"/>
      <c r="S1257" s="153"/>
      <c r="T1257" s="153">
        <f t="shared" si="688"/>
        <v>0</v>
      </c>
      <c r="U1257" s="153">
        <f t="shared" si="688"/>
        <v>0</v>
      </c>
      <c r="V1257" s="153">
        <f t="shared" si="688"/>
        <v>0</v>
      </c>
      <c r="W1257" s="153">
        <f t="shared" si="688"/>
        <v>0</v>
      </c>
      <c r="X1257" s="153">
        <f t="shared" si="688"/>
        <v>0</v>
      </c>
      <c r="Y1257" s="255">
        <f t="shared" si="685"/>
        <v>0</v>
      </c>
      <c r="Z1257" s="309">
        <f t="shared" si="686"/>
        <v>0</v>
      </c>
      <c r="AA1257" s="256">
        <f t="shared" si="683"/>
        <v>0</v>
      </c>
      <c r="AB1257" s="309"/>
      <c r="AC1257" s="309"/>
      <c r="AD1257" s="320">
        <f t="shared" si="684"/>
        <v>0</v>
      </c>
    </row>
    <row r="1258" spans="1:30" ht="30.75" thickBot="1">
      <c r="A1258" s="67">
        <f t="shared" si="687"/>
        <v>44886</v>
      </c>
      <c r="B1258" s="153"/>
      <c r="C1258" s="153"/>
      <c r="D1258" s="153"/>
      <c r="E1258" s="153"/>
      <c r="F1258" s="153"/>
      <c r="G1258" s="153"/>
      <c r="H1258" s="153"/>
      <c r="I1258" s="153"/>
      <c r="J1258" s="153"/>
      <c r="K1258" s="153"/>
      <c r="L1258" s="153"/>
      <c r="M1258" s="153"/>
      <c r="N1258" s="153"/>
      <c r="O1258" s="153"/>
      <c r="P1258" s="153"/>
      <c r="Q1258" s="153"/>
      <c r="R1258" s="153"/>
      <c r="S1258" s="153"/>
      <c r="T1258" s="153">
        <f t="shared" ref="T1258:X1267" si="689">T102+T148+T186+T225+T263+T303+T340+T380+T421+T463+T502+T540+T576+T613+T651+T687+T725+T763+T801+T839+T877+T915+T953+T992+T1031+T1069+T1107+T1145+T1183+T1221</f>
        <v>0</v>
      </c>
      <c r="U1258" s="153">
        <f t="shared" si="689"/>
        <v>0</v>
      </c>
      <c r="V1258" s="153">
        <f t="shared" si="689"/>
        <v>0</v>
      </c>
      <c r="W1258" s="153">
        <f t="shared" si="689"/>
        <v>0</v>
      </c>
      <c r="X1258" s="153">
        <f t="shared" si="689"/>
        <v>0</v>
      </c>
      <c r="Y1258" s="255">
        <f t="shared" si="685"/>
        <v>0</v>
      </c>
      <c r="Z1258" s="309">
        <f t="shared" si="686"/>
        <v>0</v>
      </c>
      <c r="AA1258" s="256">
        <f t="shared" si="683"/>
        <v>0</v>
      </c>
      <c r="AB1258" s="309"/>
      <c r="AC1258" s="309"/>
      <c r="AD1258" s="320">
        <f t="shared" si="684"/>
        <v>0</v>
      </c>
    </row>
    <row r="1259" spans="1:30" ht="30.75" thickBot="1">
      <c r="A1259" s="67">
        <f t="shared" si="687"/>
        <v>44887</v>
      </c>
      <c r="B1259" s="153"/>
      <c r="C1259" s="153"/>
      <c r="D1259" s="153"/>
      <c r="E1259" s="153"/>
      <c r="F1259" s="153"/>
      <c r="G1259" s="153"/>
      <c r="H1259" s="153"/>
      <c r="I1259" s="153"/>
      <c r="J1259" s="153"/>
      <c r="K1259" s="153"/>
      <c r="L1259" s="153"/>
      <c r="M1259" s="153"/>
      <c r="N1259" s="153"/>
      <c r="O1259" s="153"/>
      <c r="P1259" s="153"/>
      <c r="Q1259" s="153"/>
      <c r="R1259" s="153"/>
      <c r="S1259" s="153"/>
      <c r="T1259" s="153">
        <f t="shared" si="689"/>
        <v>0</v>
      </c>
      <c r="U1259" s="153">
        <f t="shared" si="689"/>
        <v>0</v>
      </c>
      <c r="V1259" s="153">
        <f t="shared" si="689"/>
        <v>0</v>
      </c>
      <c r="W1259" s="153">
        <f t="shared" si="689"/>
        <v>0</v>
      </c>
      <c r="X1259" s="153">
        <f t="shared" si="689"/>
        <v>0</v>
      </c>
      <c r="Y1259" s="255">
        <f t="shared" si="685"/>
        <v>0</v>
      </c>
      <c r="Z1259" s="309">
        <f t="shared" si="686"/>
        <v>0</v>
      </c>
      <c r="AA1259" s="256">
        <f t="shared" si="683"/>
        <v>0</v>
      </c>
      <c r="AB1259" s="309"/>
      <c r="AC1259" s="309"/>
      <c r="AD1259" s="320">
        <f t="shared" si="684"/>
        <v>0</v>
      </c>
    </row>
    <row r="1260" spans="1:30" ht="30.75" thickBot="1">
      <c r="A1260" s="67">
        <f t="shared" si="687"/>
        <v>44888</v>
      </c>
      <c r="B1260" s="153"/>
      <c r="C1260" s="153"/>
      <c r="D1260" s="153"/>
      <c r="E1260" s="153"/>
      <c r="F1260" s="153"/>
      <c r="G1260" s="153"/>
      <c r="H1260" s="153"/>
      <c r="I1260" s="153"/>
      <c r="J1260" s="153"/>
      <c r="K1260" s="153"/>
      <c r="L1260" s="153"/>
      <c r="M1260" s="153"/>
      <c r="N1260" s="153"/>
      <c r="O1260" s="153"/>
      <c r="P1260" s="153"/>
      <c r="Q1260" s="153"/>
      <c r="R1260" s="153"/>
      <c r="S1260" s="153"/>
      <c r="T1260" s="153">
        <f t="shared" si="689"/>
        <v>0</v>
      </c>
      <c r="U1260" s="153">
        <f t="shared" si="689"/>
        <v>0</v>
      </c>
      <c r="V1260" s="153">
        <f t="shared" si="689"/>
        <v>0</v>
      </c>
      <c r="W1260" s="153">
        <f t="shared" si="689"/>
        <v>0</v>
      </c>
      <c r="X1260" s="153">
        <f t="shared" si="689"/>
        <v>0</v>
      </c>
      <c r="Y1260" s="255">
        <f t="shared" si="685"/>
        <v>0</v>
      </c>
      <c r="Z1260" s="309">
        <f t="shared" si="686"/>
        <v>0</v>
      </c>
      <c r="AA1260" s="256">
        <f t="shared" si="683"/>
        <v>0</v>
      </c>
      <c r="AB1260" s="309"/>
      <c r="AC1260" s="309"/>
      <c r="AD1260" s="320">
        <f t="shared" si="684"/>
        <v>0</v>
      </c>
    </row>
    <row r="1261" spans="1:30" ht="30.75" thickBot="1">
      <c r="A1261" s="67">
        <f t="shared" si="687"/>
        <v>44889</v>
      </c>
      <c r="B1261" s="153"/>
      <c r="C1261" s="153"/>
      <c r="D1261" s="153"/>
      <c r="E1261" s="153"/>
      <c r="F1261" s="153"/>
      <c r="G1261" s="153"/>
      <c r="H1261" s="153"/>
      <c r="I1261" s="153"/>
      <c r="J1261" s="153"/>
      <c r="K1261" s="153"/>
      <c r="L1261" s="153"/>
      <c r="M1261" s="153"/>
      <c r="N1261" s="153"/>
      <c r="O1261" s="153"/>
      <c r="P1261" s="153"/>
      <c r="Q1261" s="153"/>
      <c r="R1261" s="153"/>
      <c r="S1261" s="153"/>
      <c r="T1261" s="153">
        <f t="shared" si="689"/>
        <v>0</v>
      </c>
      <c r="U1261" s="153">
        <f t="shared" si="689"/>
        <v>0</v>
      </c>
      <c r="V1261" s="153">
        <f t="shared" si="689"/>
        <v>0</v>
      </c>
      <c r="W1261" s="153">
        <f t="shared" si="689"/>
        <v>0</v>
      </c>
      <c r="X1261" s="153">
        <f t="shared" si="689"/>
        <v>0</v>
      </c>
      <c r="Y1261" s="255">
        <f t="shared" si="685"/>
        <v>0</v>
      </c>
      <c r="Z1261" s="309">
        <f t="shared" si="686"/>
        <v>0</v>
      </c>
      <c r="AA1261" s="256">
        <f t="shared" si="683"/>
        <v>0</v>
      </c>
      <c r="AB1261" s="309"/>
      <c r="AC1261" s="309"/>
      <c r="AD1261" s="320">
        <f t="shared" si="684"/>
        <v>0</v>
      </c>
    </row>
    <row r="1262" spans="1:30" ht="30.75" thickBot="1">
      <c r="A1262" s="67">
        <f t="shared" si="687"/>
        <v>44890</v>
      </c>
      <c r="B1262" s="153"/>
      <c r="C1262" s="153"/>
      <c r="D1262" s="153"/>
      <c r="E1262" s="153"/>
      <c r="F1262" s="153"/>
      <c r="G1262" s="153"/>
      <c r="H1262" s="153"/>
      <c r="I1262" s="153"/>
      <c r="J1262" s="153"/>
      <c r="K1262" s="153"/>
      <c r="L1262" s="153"/>
      <c r="M1262" s="153"/>
      <c r="N1262" s="153"/>
      <c r="O1262" s="153"/>
      <c r="P1262" s="153"/>
      <c r="Q1262" s="153"/>
      <c r="R1262" s="153"/>
      <c r="S1262" s="153"/>
      <c r="T1262" s="153">
        <f t="shared" si="689"/>
        <v>0</v>
      </c>
      <c r="U1262" s="153">
        <f t="shared" si="689"/>
        <v>0</v>
      </c>
      <c r="V1262" s="153">
        <f t="shared" si="689"/>
        <v>0</v>
      </c>
      <c r="W1262" s="153">
        <f t="shared" si="689"/>
        <v>0</v>
      </c>
      <c r="X1262" s="153">
        <f t="shared" si="689"/>
        <v>0</v>
      </c>
      <c r="Y1262" s="255">
        <f t="shared" si="685"/>
        <v>0</v>
      </c>
      <c r="Z1262" s="309">
        <f t="shared" si="686"/>
        <v>0</v>
      </c>
      <c r="AA1262" s="256">
        <f t="shared" si="683"/>
        <v>0</v>
      </c>
      <c r="AB1262" s="309"/>
      <c r="AC1262" s="309"/>
      <c r="AD1262" s="320">
        <f t="shared" si="684"/>
        <v>0</v>
      </c>
    </row>
    <row r="1263" spans="1:30" ht="30.75" thickBot="1">
      <c r="A1263" s="67">
        <f t="shared" si="687"/>
        <v>44891</v>
      </c>
      <c r="B1263" s="153"/>
      <c r="C1263" s="153"/>
      <c r="D1263" s="153"/>
      <c r="E1263" s="153"/>
      <c r="F1263" s="153"/>
      <c r="G1263" s="153"/>
      <c r="H1263" s="153"/>
      <c r="I1263" s="153"/>
      <c r="J1263" s="153"/>
      <c r="K1263" s="153"/>
      <c r="L1263" s="153"/>
      <c r="M1263" s="153"/>
      <c r="N1263" s="153"/>
      <c r="O1263" s="153"/>
      <c r="P1263" s="153"/>
      <c r="Q1263" s="153"/>
      <c r="R1263" s="153"/>
      <c r="S1263" s="153"/>
      <c r="T1263" s="153">
        <f t="shared" si="689"/>
        <v>0</v>
      </c>
      <c r="U1263" s="153">
        <f t="shared" si="689"/>
        <v>0</v>
      </c>
      <c r="V1263" s="153">
        <f t="shared" si="689"/>
        <v>0</v>
      </c>
      <c r="W1263" s="153">
        <f t="shared" si="689"/>
        <v>0</v>
      </c>
      <c r="X1263" s="153">
        <f t="shared" si="689"/>
        <v>0</v>
      </c>
      <c r="Y1263" s="255">
        <f t="shared" si="685"/>
        <v>0</v>
      </c>
      <c r="Z1263" s="309">
        <f t="shared" si="686"/>
        <v>0</v>
      </c>
      <c r="AA1263" s="256">
        <f t="shared" si="683"/>
        <v>0</v>
      </c>
      <c r="AB1263" s="309"/>
      <c r="AC1263" s="309"/>
      <c r="AD1263" s="320">
        <f t="shared" si="684"/>
        <v>0</v>
      </c>
    </row>
    <row r="1264" spans="1:30" ht="30.75" thickBot="1">
      <c r="A1264" s="67">
        <f t="shared" si="687"/>
        <v>44892</v>
      </c>
      <c r="B1264" s="153"/>
      <c r="C1264" s="153"/>
      <c r="D1264" s="153"/>
      <c r="E1264" s="153"/>
      <c r="F1264" s="153"/>
      <c r="G1264" s="153"/>
      <c r="H1264" s="153"/>
      <c r="I1264" s="153"/>
      <c r="J1264" s="153"/>
      <c r="K1264" s="153"/>
      <c r="L1264" s="153"/>
      <c r="M1264" s="153"/>
      <c r="N1264" s="153"/>
      <c r="O1264" s="153"/>
      <c r="P1264" s="153"/>
      <c r="Q1264" s="153"/>
      <c r="R1264" s="153"/>
      <c r="S1264" s="153"/>
      <c r="T1264" s="153">
        <f t="shared" si="689"/>
        <v>0</v>
      </c>
      <c r="U1264" s="153">
        <f t="shared" si="689"/>
        <v>0</v>
      </c>
      <c r="V1264" s="153">
        <f t="shared" si="689"/>
        <v>0</v>
      </c>
      <c r="W1264" s="153">
        <f t="shared" si="689"/>
        <v>0</v>
      </c>
      <c r="X1264" s="153">
        <f t="shared" si="689"/>
        <v>0</v>
      </c>
      <c r="Y1264" s="255">
        <f t="shared" si="685"/>
        <v>0</v>
      </c>
      <c r="Z1264" s="309">
        <f t="shared" si="686"/>
        <v>0</v>
      </c>
      <c r="AA1264" s="256">
        <f t="shared" si="683"/>
        <v>0</v>
      </c>
      <c r="AB1264" s="309"/>
      <c r="AC1264" s="309"/>
      <c r="AD1264" s="320">
        <f t="shared" si="684"/>
        <v>0</v>
      </c>
    </row>
    <row r="1265" spans="1:30" ht="30.75" thickBot="1">
      <c r="A1265" s="67">
        <f t="shared" si="687"/>
        <v>44893</v>
      </c>
      <c r="B1265" s="153"/>
      <c r="C1265" s="153"/>
      <c r="D1265" s="153"/>
      <c r="E1265" s="153"/>
      <c r="F1265" s="153"/>
      <c r="G1265" s="153"/>
      <c r="H1265" s="153"/>
      <c r="I1265" s="153"/>
      <c r="J1265" s="153"/>
      <c r="K1265" s="153"/>
      <c r="L1265" s="153"/>
      <c r="M1265" s="153"/>
      <c r="N1265" s="153"/>
      <c r="O1265" s="153"/>
      <c r="P1265" s="153"/>
      <c r="Q1265" s="153"/>
      <c r="R1265" s="153"/>
      <c r="S1265" s="153"/>
      <c r="T1265" s="153">
        <f t="shared" si="689"/>
        <v>0</v>
      </c>
      <c r="U1265" s="153">
        <f t="shared" si="689"/>
        <v>0</v>
      </c>
      <c r="V1265" s="153">
        <f t="shared" si="689"/>
        <v>0</v>
      </c>
      <c r="W1265" s="153">
        <f t="shared" si="689"/>
        <v>0</v>
      </c>
      <c r="X1265" s="153">
        <f t="shared" si="689"/>
        <v>0</v>
      </c>
      <c r="Y1265" s="255">
        <f t="shared" si="685"/>
        <v>0</v>
      </c>
      <c r="Z1265" s="309">
        <f t="shared" si="686"/>
        <v>0</v>
      </c>
      <c r="AA1265" s="256">
        <f t="shared" si="683"/>
        <v>0</v>
      </c>
      <c r="AB1265" s="309"/>
      <c r="AC1265" s="309"/>
      <c r="AD1265" s="320">
        <f t="shared" si="684"/>
        <v>0</v>
      </c>
    </row>
    <row r="1266" spans="1:30" ht="30.75" thickBot="1">
      <c r="A1266" s="67">
        <f t="shared" si="687"/>
        <v>44894</v>
      </c>
      <c r="B1266" s="153"/>
      <c r="C1266" s="153"/>
      <c r="D1266" s="153"/>
      <c r="E1266" s="153"/>
      <c r="F1266" s="153"/>
      <c r="G1266" s="153"/>
      <c r="H1266" s="153"/>
      <c r="I1266" s="153"/>
      <c r="J1266" s="153"/>
      <c r="K1266" s="153"/>
      <c r="L1266" s="153"/>
      <c r="M1266" s="153"/>
      <c r="N1266" s="153"/>
      <c r="O1266" s="153"/>
      <c r="P1266" s="153"/>
      <c r="Q1266" s="153"/>
      <c r="R1266" s="153"/>
      <c r="S1266" s="153"/>
      <c r="T1266" s="153">
        <f t="shared" si="689"/>
        <v>0</v>
      </c>
      <c r="U1266" s="153">
        <f t="shared" si="689"/>
        <v>0</v>
      </c>
      <c r="V1266" s="153">
        <f t="shared" si="689"/>
        <v>0</v>
      </c>
      <c r="W1266" s="153">
        <f t="shared" si="689"/>
        <v>0</v>
      </c>
      <c r="X1266" s="153">
        <f t="shared" si="689"/>
        <v>0</v>
      </c>
      <c r="Y1266" s="255">
        <f t="shared" si="685"/>
        <v>0</v>
      </c>
      <c r="Z1266" s="309">
        <f t="shared" si="686"/>
        <v>0</v>
      </c>
      <c r="AA1266" s="256">
        <f t="shared" si="683"/>
        <v>0</v>
      </c>
      <c r="AB1266" s="309"/>
      <c r="AC1266" s="309"/>
      <c r="AD1266" s="320">
        <f t="shared" si="684"/>
        <v>0</v>
      </c>
    </row>
    <row r="1267" spans="1:30" ht="30.75" thickBot="1">
      <c r="A1267" s="67">
        <f t="shared" si="687"/>
        <v>44895</v>
      </c>
      <c r="B1267" s="153"/>
      <c r="C1267" s="153"/>
      <c r="D1267" s="153"/>
      <c r="E1267" s="153"/>
      <c r="F1267" s="153"/>
      <c r="G1267" s="153"/>
      <c r="H1267" s="153"/>
      <c r="I1267" s="153"/>
      <c r="J1267" s="153"/>
      <c r="K1267" s="153"/>
      <c r="L1267" s="153"/>
      <c r="M1267" s="153"/>
      <c r="N1267" s="153"/>
      <c r="O1267" s="153"/>
      <c r="P1267" s="153"/>
      <c r="Q1267" s="153"/>
      <c r="R1267" s="153"/>
      <c r="S1267" s="153"/>
      <c r="T1267" s="153">
        <f t="shared" si="689"/>
        <v>0</v>
      </c>
      <c r="U1267" s="153">
        <f t="shared" si="689"/>
        <v>0</v>
      </c>
      <c r="V1267" s="153">
        <f t="shared" si="689"/>
        <v>0</v>
      </c>
      <c r="W1267" s="153">
        <f t="shared" si="689"/>
        <v>0</v>
      </c>
      <c r="X1267" s="153">
        <f t="shared" si="689"/>
        <v>0</v>
      </c>
      <c r="Y1267" s="255">
        <f t="shared" si="685"/>
        <v>0</v>
      </c>
      <c r="Z1267" s="309">
        <f t="shared" si="686"/>
        <v>0</v>
      </c>
      <c r="AA1267" s="256">
        <f t="shared" si="683"/>
        <v>0</v>
      </c>
      <c r="AB1267" s="309"/>
      <c r="AC1267" s="309"/>
      <c r="AD1267" s="320">
        <f t="shared" si="684"/>
        <v>0</v>
      </c>
    </row>
    <row r="1268" spans="1:30" ht="30.75" thickBot="1">
      <c r="A1268" s="102">
        <f t="shared" si="687"/>
        <v>44896</v>
      </c>
      <c r="B1268" s="153"/>
      <c r="C1268" s="153"/>
      <c r="D1268" s="153"/>
      <c r="E1268" s="153"/>
      <c r="F1268" s="153"/>
      <c r="G1268" s="153"/>
      <c r="H1268" s="153"/>
      <c r="I1268" s="153"/>
      <c r="J1268" s="153"/>
      <c r="K1268" s="153"/>
      <c r="L1268" s="153"/>
      <c r="M1268" s="153"/>
      <c r="N1268" s="153"/>
      <c r="O1268" s="153"/>
      <c r="P1268" s="153"/>
      <c r="Q1268" s="153"/>
      <c r="R1268" s="153"/>
      <c r="S1268" s="153"/>
      <c r="T1268" s="153">
        <f t="shared" ref="T1268:X1268" si="690">T112+T158+T196+T235+T273+T313+T350+T390+T431+T473+T512+T550+T586+T623+T661+T697+T735+T773+T811+T849+T887+T925+T963+T1002+T1041+T1079+T1117+T1155+T1193+T1231</f>
        <v>0</v>
      </c>
      <c r="U1268" s="153">
        <f t="shared" si="690"/>
        <v>0</v>
      </c>
      <c r="V1268" s="153">
        <f t="shared" si="690"/>
        <v>0</v>
      </c>
      <c r="W1268" s="153">
        <f t="shared" si="690"/>
        <v>0</v>
      </c>
      <c r="X1268" s="153">
        <f t="shared" si="690"/>
        <v>0</v>
      </c>
      <c r="Y1268" s="255">
        <f t="shared" si="685"/>
        <v>0</v>
      </c>
      <c r="Z1268" s="309">
        <f t="shared" si="686"/>
        <v>0</v>
      </c>
      <c r="AA1268" s="256">
        <f t="shared" si="683"/>
        <v>0</v>
      </c>
      <c r="AB1268" s="309"/>
      <c r="AC1268" s="309"/>
      <c r="AD1268" s="320">
        <f t="shared" si="684"/>
        <v>0</v>
      </c>
    </row>
    <row r="1269" spans="1:30" ht="30" thickTop="1" thickBot="1">
      <c r="A1269" s="96" t="s">
        <v>74</v>
      </c>
      <c r="B1269" s="104">
        <f>SUM(B1238:B1268)</f>
        <v>0</v>
      </c>
      <c r="C1269" s="104">
        <f t="shared" ref="C1269:D1269" si="691">SUM(C1238:C1268)</f>
        <v>0</v>
      </c>
      <c r="D1269" s="104">
        <f t="shared" si="691"/>
        <v>0</v>
      </c>
      <c r="E1269" s="104"/>
      <c r="F1269" s="104">
        <f t="shared" ref="F1269:O1269" si="692">SUM(F1238:F1268)</f>
        <v>0</v>
      </c>
      <c r="G1269" s="104">
        <f t="shared" si="692"/>
        <v>0</v>
      </c>
      <c r="H1269" s="104">
        <f t="shared" si="692"/>
        <v>0</v>
      </c>
      <c r="I1269" s="104">
        <f t="shared" si="692"/>
        <v>0</v>
      </c>
      <c r="J1269" s="104">
        <f t="shared" si="692"/>
        <v>0</v>
      </c>
      <c r="K1269" s="104">
        <f t="shared" si="692"/>
        <v>0</v>
      </c>
      <c r="L1269" s="104">
        <f t="shared" si="692"/>
        <v>0</v>
      </c>
      <c r="M1269" s="104">
        <f t="shared" si="692"/>
        <v>0</v>
      </c>
      <c r="N1269" s="104">
        <f t="shared" si="692"/>
        <v>0</v>
      </c>
      <c r="O1269" s="104">
        <f t="shared" si="692"/>
        <v>0</v>
      </c>
      <c r="P1269" s="104"/>
      <c r="Q1269" s="104">
        <f t="shared" ref="Q1269:S1269" si="693">SUM(Q1238:Q1268)</f>
        <v>0</v>
      </c>
      <c r="R1269" s="104">
        <f t="shared" si="693"/>
        <v>0</v>
      </c>
      <c r="S1269" s="104">
        <f t="shared" si="693"/>
        <v>0</v>
      </c>
      <c r="T1269" s="104"/>
      <c r="U1269" s="104"/>
      <c r="V1269" s="104"/>
      <c r="W1269" s="104"/>
      <c r="X1269" s="104"/>
      <c r="Y1269" s="292">
        <f t="shared" ref="Y1269" si="694">SUM(Y1238:Y1268)</f>
        <v>0</v>
      </c>
      <c r="Z1269" s="259"/>
      <c r="AA1269" s="259"/>
      <c r="AB1269" s="316">
        <f>SUM(AB1238:AB1268)</f>
        <v>0</v>
      </c>
      <c r="AC1269" s="316"/>
      <c r="AD1269" s="260"/>
    </row>
    <row r="1270" spans="1:30" ht="15.75" thickTop="1"/>
    <row r="1271" spans="1:30" ht="15.75" thickBot="1"/>
    <row r="1272" spans="1:30" ht="43.5" thickBot="1">
      <c r="A1272" s="109">
        <f>A5</f>
        <v>2022</v>
      </c>
      <c r="B1272" s="1424"/>
      <c r="C1272" s="1425"/>
      <c r="D1272" s="1425"/>
      <c r="E1272" s="1425"/>
      <c r="F1272" s="1425"/>
      <c r="G1272" s="1425"/>
      <c r="H1272" s="1425"/>
      <c r="I1272" s="1425"/>
      <c r="J1272" s="1425"/>
      <c r="K1272" s="1425"/>
      <c r="L1272" s="1425"/>
      <c r="M1272" s="1425"/>
      <c r="N1272" s="1425"/>
      <c r="O1272" s="1425"/>
      <c r="P1272" s="1425"/>
      <c r="Q1272" s="1425"/>
      <c r="R1272" s="1425"/>
      <c r="S1272" s="1425"/>
      <c r="T1272" s="1425"/>
      <c r="U1272" s="1425"/>
      <c r="V1272" s="1425"/>
      <c r="W1272" s="1425"/>
      <c r="X1272" s="1425"/>
      <c r="Y1272" s="1426"/>
      <c r="Z1272" s="21"/>
      <c r="AA1272" s="21"/>
      <c r="AB1272" s="21"/>
      <c r="AC1272" s="2"/>
      <c r="AD1272" t="s">
        <v>1</v>
      </c>
    </row>
    <row r="1273" spans="1:30" ht="60.75" thickTop="1" thickBot="1">
      <c r="A1273" s="1422" t="s">
        <v>94</v>
      </c>
      <c r="B1273" s="1402" t="s">
        <v>95</v>
      </c>
      <c r="C1273" s="1403"/>
      <c r="D1273" s="1403"/>
      <c r="E1273" s="1404"/>
      <c r="F1273" s="1402" t="s">
        <v>7</v>
      </c>
      <c r="G1273" s="1403"/>
      <c r="H1273" s="1404"/>
      <c r="I1273" s="1402" t="s">
        <v>8</v>
      </c>
      <c r="J1273" s="1404"/>
      <c r="K1273" s="1402" t="s">
        <v>9</v>
      </c>
      <c r="L1273" s="1403"/>
      <c r="M1273" s="1403"/>
      <c r="N1273" s="1403"/>
      <c r="O1273" s="1403"/>
      <c r="P1273" s="1403"/>
      <c r="Q1273" s="1403"/>
      <c r="R1273" s="1405" t="s">
        <v>10</v>
      </c>
      <c r="S1273" s="1406"/>
      <c r="T1273" s="1400" t="s">
        <v>289</v>
      </c>
      <c r="U1273" s="1401"/>
      <c r="V1273" s="842" t="s">
        <v>258</v>
      </c>
      <c r="W1273" s="842"/>
      <c r="X1273" s="842"/>
      <c r="Y1273" s="211"/>
      <c r="Z1273" s="21"/>
      <c r="AA1273" s="21"/>
      <c r="AB1273" s="21"/>
      <c r="AC1273" s="21"/>
    </row>
    <row r="1274" spans="1:30" ht="42" thickTop="1" thickBot="1">
      <c r="A1274" s="1423"/>
      <c r="B1274" s="482" t="s">
        <v>12</v>
      </c>
      <c r="C1274" s="482" t="s">
        <v>13</v>
      </c>
      <c r="D1274" s="482" t="s">
        <v>14</v>
      </c>
      <c r="E1274" s="688" t="s">
        <v>198</v>
      </c>
      <c r="F1274" s="482" t="s">
        <v>12</v>
      </c>
      <c r="G1274" s="482" t="s">
        <v>13</v>
      </c>
      <c r="H1274" s="482" t="s">
        <v>282</v>
      </c>
      <c r="I1274" s="482" t="s">
        <v>12</v>
      </c>
      <c r="J1274" s="482" t="s">
        <v>16</v>
      </c>
      <c r="K1274" s="482" t="s">
        <v>17</v>
      </c>
      <c r="L1274" s="482" t="s">
        <v>18</v>
      </c>
      <c r="M1274" s="482" t="s">
        <v>19</v>
      </c>
      <c r="N1274" s="484" t="s">
        <v>96</v>
      </c>
      <c r="O1274" s="484" t="s">
        <v>257</v>
      </c>
      <c r="P1274" s="484" t="s">
        <v>254</v>
      </c>
      <c r="Q1274" s="484" t="s">
        <v>20</v>
      </c>
      <c r="R1274" s="483" t="s">
        <v>14</v>
      </c>
      <c r="S1274" s="482" t="s">
        <v>13</v>
      </c>
      <c r="T1274" s="846" t="s">
        <v>284</v>
      </c>
      <c r="U1274" s="846" t="s">
        <v>288</v>
      </c>
      <c r="V1274" s="484" t="s">
        <v>259</v>
      </c>
      <c r="W1274" s="484"/>
      <c r="X1274" s="484"/>
      <c r="Y1274" s="209" t="s">
        <v>90</v>
      </c>
      <c r="Z1274" s="210" t="s">
        <v>97</v>
      </c>
      <c r="AA1274" s="210" t="s">
        <v>74</v>
      </c>
      <c r="AB1274" s="210" t="s">
        <v>98</v>
      </c>
      <c r="AC1274" s="210" t="s">
        <v>99</v>
      </c>
      <c r="AD1274" s="210" t="s">
        <v>100</v>
      </c>
    </row>
    <row r="1275" spans="1:30" ht="30.75" thickBot="1">
      <c r="A1275" s="67">
        <f>A1238</f>
        <v>44866</v>
      </c>
      <c r="B1275" s="153"/>
      <c r="C1275" s="153"/>
      <c r="D1275" s="153"/>
      <c r="E1275" s="153"/>
      <c r="F1275" s="153"/>
      <c r="G1275" s="153"/>
      <c r="H1275" s="153"/>
      <c r="I1275" s="153"/>
      <c r="J1275" s="153"/>
      <c r="K1275" s="153"/>
      <c r="L1275" s="153"/>
      <c r="M1275" s="153"/>
      <c r="N1275" s="153"/>
      <c r="O1275" s="153"/>
      <c r="P1275" s="153"/>
      <c r="Q1275" s="153"/>
      <c r="R1275" s="153"/>
      <c r="S1275" s="153"/>
      <c r="T1275" s="153" t="e">
        <f t="shared" ref="T1275:X1284" si="695">T119+T165+T203+T242+T280+T320+T357+T397+T438+T480+T519+T557+T593+T630+T668+T704+T742+T780+T818+T856+T894+T932+T970+T1009+T1048+T1086+T1124+T1162+T1200+T1238</f>
        <v>#VALUE!</v>
      </c>
      <c r="U1275" s="153" t="e">
        <f t="shared" si="695"/>
        <v>#VALUE!</v>
      </c>
      <c r="V1275" s="153" t="e">
        <f t="shared" si="695"/>
        <v>#VALUE!</v>
      </c>
      <c r="W1275" s="153">
        <f t="shared" si="695"/>
        <v>0</v>
      </c>
      <c r="X1275" s="153">
        <f t="shared" si="695"/>
        <v>0</v>
      </c>
      <c r="Y1275" s="255">
        <f t="shared" ref="Y1275:Y1305" si="696">B1275*300+D1275*300+E1275*300+F1275*150+G1275*150+H1275*120+I1275*40+J1275*40+K1275*400+L1275*400+M1275*400+N1275*381.25+O1275*387.5+P1275*80+Q1275*200+R1275*300+S1275*300</f>
        <v>0</v>
      </c>
      <c r="Z1275" s="308">
        <v>0</v>
      </c>
      <c r="AA1275" s="263">
        <f t="shared" ref="AA1275:AA1305" si="697">Y1275+Z1275</f>
        <v>0</v>
      </c>
      <c r="AB1275" s="308"/>
      <c r="AC1275" s="308"/>
      <c r="AD1275" s="319">
        <f t="shared" ref="AD1275:AD1305" si="698">AA1275-AB1275-AC1275</f>
        <v>0</v>
      </c>
    </row>
    <row r="1276" spans="1:30" ht="30.75" thickBot="1">
      <c r="A1276" s="67">
        <f>A1275+1</f>
        <v>44867</v>
      </c>
      <c r="B1276" s="153"/>
      <c r="C1276" s="153"/>
      <c r="D1276" s="153"/>
      <c r="E1276" s="153"/>
      <c r="F1276" s="153"/>
      <c r="G1276" s="153"/>
      <c r="H1276" s="153"/>
      <c r="I1276" s="153"/>
      <c r="J1276" s="153"/>
      <c r="K1276" s="153"/>
      <c r="L1276" s="153"/>
      <c r="M1276" s="153"/>
      <c r="N1276" s="153"/>
      <c r="O1276" s="153"/>
      <c r="P1276" s="153"/>
      <c r="Q1276" s="153"/>
      <c r="R1276" s="153"/>
      <c r="S1276" s="153"/>
      <c r="T1276" s="153" t="e">
        <f t="shared" si="695"/>
        <v>#VALUE!</v>
      </c>
      <c r="U1276" s="153" t="e">
        <f t="shared" si="695"/>
        <v>#VALUE!</v>
      </c>
      <c r="V1276" s="153" t="e">
        <f t="shared" si="695"/>
        <v>#VALUE!</v>
      </c>
      <c r="W1276" s="153">
        <f t="shared" si="695"/>
        <v>0</v>
      </c>
      <c r="X1276" s="153">
        <f t="shared" si="695"/>
        <v>0</v>
      </c>
      <c r="Y1276" s="255">
        <f t="shared" si="696"/>
        <v>0</v>
      </c>
      <c r="Z1276" s="309">
        <f t="shared" ref="Z1276:Z1305" si="699">AD1275</f>
        <v>0</v>
      </c>
      <c r="AA1276" s="256">
        <f t="shared" si="697"/>
        <v>0</v>
      </c>
      <c r="AB1276" s="309"/>
      <c r="AC1276" s="309"/>
      <c r="AD1276" s="320">
        <f t="shared" si="698"/>
        <v>0</v>
      </c>
    </row>
    <row r="1277" spans="1:30" ht="30.75" thickBot="1">
      <c r="A1277" s="67">
        <f t="shared" ref="A1277:A1305" si="700">A1276+1</f>
        <v>44868</v>
      </c>
      <c r="B1277" s="153"/>
      <c r="C1277" s="153"/>
      <c r="D1277" s="153"/>
      <c r="E1277" s="153"/>
      <c r="F1277" s="153"/>
      <c r="G1277" s="153"/>
      <c r="H1277" s="153"/>
      <c r="I1277" s="153"/>
      <c r="J1277" s="153"/>
      <c r="K1277" s="153"/>
      <c r="L1277" s="153"/>
      <c r="M1277" s="153"/>
      <c r="N1277" s="153"/>
      <c r="O1277" s="153"/>
      <c r="P1277" s="153"/>
      <c r="Q1277" s="153"/>
      <c r="R1277" s="153"/>
      <c r="S1277" s="153"/>
      <c r="T1277" s="153" t="e">
        <f t="shared" si="695"/>
        <v>#VALUE!</v>
      </c>
      <c r="U1277" s="153" t="e">
        <f t="shared" si="695"/>
        <v>#VALUE!</v>
      </c>
      <c r="V1277" s="153" t="e">
        <f t="shared" si="695"/>
        <v>#VALUE!</v>
      </c>
      <c r="W1277" s="153">
        <f t="shared" si="695"/>
        <v>0</v>
      </c>
      <c r="X1277" s="153">
        <f t="shared" si="695"/>
        <v>0</v>
      </c>
      <c r="Y1277" s="255">
        <f>B1277*300+D1277*300+E1277*300+F1277*150+G1277*150+H1277*120+I1277*40+J1277*40+K1277*400+L1277*400+M1277*400+N1277*400+O1277*400+P1277*80+Q1277*77.27+R1277*300+S1277*300</f>
        <v>0</v>
      </c>
      <c r="Z1277" s="309">
        <f t="shared" si="699"/>
        <v>0</v>
      </c>
      <c r="AA1277" s="256">
        <f t="shared" si="697"/>
        <v>0</v>
      </c>
      <c r="AB1277" s="309"/>
      <c r="AC1277" s="309"/>
      <c r="AD1277" s="320">
        <f t="shared" si="698"/>
        <v>0</v>
      </c>
    </row>
    <row r="1278" spans="1:30" ht="30.75" thickBot="1">
      <c r="A1278" s="67">
        <f t="shared" si="700"/>
        <v>44869</v>
      </c>
      <c r="B1278" s="153"/>
      <c r="C1278" s="153"/>
      <c r="D1278" s="153"/>
      <c r="E1278" s="153"/>
      <c r="F1278" s="153"/>
      <c r="G1278" s="153"/>
      <c r="H1278" s="153"/>
      <c r="I1278" s="153"/>
      <c r="J1278" s="153"/>
      <c r="K1278" s="153"/>
      <c r="L1278" s="153"/>
      <c r="M1278" s="153"/>
      <c r="N1278" s="153"/>
      <c r="O1278" s="153"/>
      <c r="P1278" s="153"/>
      <c r="Q1278" s="153"/>
      <c r="R1278" s="153"/>
      <c r="S1278" s="153"/>
      <c r="T1278" s="153" t="e">
        <f t="shared" si="695"/>
        <v>#VALUE!</v>
      </c>
      <c r="U1278" s="153" t="e">
        <f t="shared" si="695"/>
        <v>#VALUE!</v>
      </c>
      <c r="V1278" s="153" t="e">
        <f t="shared" si="695"/>
        <v>#VALUE!</v>
      </c>
      <c r="W1278" s="153">
        <f t="shared" si="695"/>
        <v>0</v>
      </c>
      <c r="X1278" s="153">
        <f t="shared" si="695"/>
        <v>0</v>
      </c>
      <c r="Y1278" s="255">
        <f t="shared" si="696"/>
        <v>0</v>
      </c>
      <c r="Z1278" s="309">
        <f t="shared" si="699"/>
        <v>0</v>
      </c>
      <c r="AA1278" s="256">
        <f t="shared" si="697"/>
        <v>0</v>
      </c>
      <c r="AB1278" s="309"/>
      <c r="AC1278" s="309"/>
      <c r="AD1278" s="320">
        <f t="shared" si="698"/>
        <v>0</v>
      </c>
    </row>
    <row r="1279" spans="1:30" ht="30.75" thickBot="1">
      <c r="A1279" s="67">
        <f t="shared" si="700"/>
        <v>44870</v>
      </c>
      <c r="B1279" s="153"/>
      <c r="C1279" s="153"/>
      <c r="D1279" s="153"/>
      <c r="E1279" s="153"/>
      <c r="F1279" s="153"/>
      <c r="G1279" s="153"/>
      <c r="H1279" s="153"/>
      <c r="I1279" s="153"/>
      <c r="J1279" s="153"/>
      <c r="K1279" s="153"/>
      <c r="L1279" s="153"/>
      <c r="M1279" s="153"/>
      <c r="N1279" s="153"/>
      <c r="O1279" s="153"/>
      <c r="P1279" s="153"/>
      <c r="Q1279" s="153"/>
      <c r="R1279" s="153"/>
      <c r="S1279" s="153"/>
      <c r="T1279" s="153" t="e">
        <f t="shared" si="695"/>
        <v>#VALUE!</v>
      </c>
      <c r="U1279" s="153" t="e">
        <f t="shared" si="695"/>
        <v>#VALUE!</v>
      </c>
      <c r="V1279" s="153" t="e">
        <f t="shared" si="695"/>
        <v>#VALUE!</v>
      </c>
      <c r="W1279" s="153">
        <f t="shared" si="695"/>
        <v>0</v>
      </c>
      <c r="X1279" s="153">
        <f t="shared" si="695"/>
        <v>0</v>
      </c>
      <c r="Y1279" s="255">
        <f t="shared" si="696"/>
        <v>0</v>
      </c>
      <c r="Z1279" s="309">
        <f t="shared" si="699"/>
        <v>0</v>
      </c>
      <c r="AA1279" s="256">
        <f t="shared" si="697"/>
        <v>0</v>
      </c>
      <c r="AB1279" s="309"/>
      <c r="AC1279" s="309"/>
      <c r="AD1279" s="320">
        <f t="shared" si="698"/>
        <v>0</v>
      </c>
    </row>
    <row r="1280" spans="1:30" ht="30.75" thickBot="1">
      <c r="A1280" s="67">
        <f t="shared" si="700"/>
        <v>44871</v>
      </c>
      <c r="B1280" s="153"/>
      <c r="C1280" s="153"/>
      <c r="D1280" s="153"/>
      <c r="E1280" s="153"/>
      <c r="F1280" s="153"/>
      <c r="G1280" s="153"/>
      <c r="H1280" s="153"/>
      <c r="I1280" s="153"/>
      <c r="J1280" s="153"/>
      <c r="K1280" s="153"/>
      <c r="L1280" s="153"/>
      <c r="M1280" s="153"/>
      <c r="N1280" s="153"/>
      <c r="O1280" s="153"/>
      <c r="P1280" s="153"/>
      <c r="Q1280" s="153"/>
      <c r="R1280" s="153"/>
      <c r="S1280" s="153"/>
      <c r="T1280" s="153" t="e">
        <f t="shared" si="695"/>
        <v>#VALUE!</v>
      </c>
      <c r="U1280" s="153" t="e">
        <f t="shared" si="695"/>
        <v>#VALUE!</v>
      </c>
      <c r="V1280" s="153" t="e">
        <f t="shared" si="695"/>
        <v>#VALUE!</v>
      </c>
      <c r="W1280" s="153">
        <f t="shared" si="695"/>
        <v>0</v>
      </c>
      <c r="X1280" s="153">
        <f t="shared" si="695"/>
        <v>0</v>
      </c>
      <c r="Y1280" s="255">
        <f t="shared" si="696"/>
        <v>0</v>
      </c>
      <c r="Z1280" s="309">
        <f t="shared" si="699"/>
        <v>0</v>
      </c>
      <c r="AA1280" s="256">
        <f t="shared" si="697"/>
        <v>0</v>
      </c>
      <c r="AB1280" s="309"/>
      <c r="AC1280" s="309"/>
      <c r="AD1280" s="320">
        <f t="shared" si="698"/>
        <v>0</v>
      </c>
    </row>
    <row r="1281" spans="1:30" ht="30.75" thickBot="1">
      <c r="A1281" s="67">
        <f t="shared" si="700"/>
        <v>44872</v>
      </c>
      <c r="B1281" s="153"/>
      <c r="C1281" s="153"/>
      <c r="D1281" s="153"/>
      <c r="E1281" s="153"/>
      <c r="F1281" s="153"/>
      <c r="G1281" s="153"/>
      <c r="H1281" s="153"/>
      <c r="I1281" s="153"/>
      <c r="J1281" s="153"/>
      <c r="K1281" s="153"/>
      <c r="L1281" s="153"/>
      <c r="M1281" s="153"/>
      <c r="N1281" s="153"/>
      <c r="O1281" s="153"/>
      <c r="P1281" s="153"/>
      <c r="Q1281" s="153"/>
      <c r="R1281" s="153"/>
      <c r="S1281" s="153"/>
      <c r="T1281" s="153" t="e">
        <f t="shared" si="695"/>
        <v>#VALUE!</v>
      </c>
      <c r="U1281" s="153" t="e">
        <f t="shared" si="695"/>
        <v>#VALUE!</v>
      </c>
      <c r="V1281" s="153" t="e">
        <f t="shared" si="695"/>
        <v>#VALUE!</v>
      </c>
      <c r="W1281" s="153">
        <f t="shared" si="695"/>
        <v>0</v>
      </c>
      <c r="X1281" s="153">
        <f t="shared" si="695"/>
        <v>0</v>
      </c>
      <c r="Y1281" s="255">
        <f t="shared" si="696"/>
        <v>0</v>
      </c>
      <c r="Z1281" s="309">
        <f t="shared" si="699"/>
        <v>0</v>
      </c>
      <c r="AA1281" s="256">
        <f t="shared" si="697"/>
        <v>0</v>
      </c>
      <c r="AB1281" s="309"/>
      <c r="AC1281" s="309"/>
      <c r="AD1281" s="320">
        <f t="shared" si="698"/>
        <v>0</v>
      </c>
    </row>
    <row r="1282" spans="1:30" ht="30.75" thickBot="1">
      <c r="A1282" s="67">
        <f t="shared" si="700"/>
        <v>44873</v>
      </c>
      <c r="B1282" s="153"/>
      <c r="C1282" s="153"/>
      <c r="D1282" s="153"/>
      <c r="E1282" s="153"/>
      <c r="F1282" s="153"/>
      <c r="G1282" s="153"/>
      <c r="H1282" s="153"/>
      <c r="I1282" s="153"/>
      <c r="J1282" s="153"/>
      <c r="K1282" s="153"/>
      <c r="L1282" s="153"/>
      <c r="M1282" s="153"/>
      <c r="N1282" s="153"/>
      <c r="O1282" s="153"/>
      <c r="P1282" s="153"/>
      <c r="Q1282" s="153"/>
      <c r="R1282" s="153"/>
      <c r="S1282" s="153"/>
      <c r="T1282" s="153" t="e">
        <f t="shared" si="695"/>
        <v>#VALUE!</v>
      </c>
      <c r="U1282" s="153" t="e">
        <f t="shared" si="695"/>
        <v>#VALUE!</v>
      </c>
      <c r="V1282" s="153" t="e">
        <f t="shared" si="695"/>
        <v>#VALUE!</v>
      </c>
      <c r="W1282" s="153">
        <f t="shared" si="695"/>
        <v>0</v>
      </c>
      <c r="X1282" s="153">
        <f t="shared" si="695"/>
        <v>0</v>
      </c>
      <c r="Y1282" s="255">
        <f t="shared" si="696"/>
        <v>0</v>
      </c>
      <c r="Z1282" s="309">
        <f t="shared" si="699"/>
        <v>0</v>
      </c>
      <c r="AA1282" s="256">
        <f t="shared" si="697"/>
        <v>0</v>
      </c>
      <c r="AB1282" s="309"/>
      <c r="AC1282" s="309"/>
      <c r="AD1282" s="320">
        <f t="shared" si="698"/>
        <v>0</v>
      </c>
    </row>
    <row r="1283" spans="1:30" ht="30.75" thickBot="1">
      <c r="A1283" s="67">
        <f t="shared" si="700"/>
        <v>44874</v>
      </c>
      <c r="B1283" s="153"/>
      <c r="C1283" s="153"/>
      <c r="D1283" s="153"/>
      <c r="E1283" s="153"/>
      <c r="F1283" s="153"/>
      <c r="G1283" s="153"/>
      <c r="H1283" s="153"/>
      <c r="I1283" s="153"/>
      <c r="J1283" s="153"/>
      <c r="K1283" s="153"/>
      <c r="L1283" s="153"/>
      <c r="M1283" s="153"/>
      <c r="N1283" s="153"/>
      <c r="O1283" s="153"/>
      <c r="P1283" s="153"/>
      <c r="Q1283" s="153"/>
      <c r="R1283" s="153"/>
      <c r="S1283" s="153"/>
      <c r="T1283" s="153" t="e">
        <f t="shared" si="695"/>
        <v>#VALUE!</v>
      </c>
      <c r="U1283" s="153" t="e">
        <f t="shared" si="695"/>
        <v>#VALUE!</v>
      </c>
      <c r="V1283" s="153" t="e">
        <f t="shared" si="695"/>
        <v>#VALUE!</v>
      </c>
      <c r="W1283" s="153">
        <f t="shared" si="695"/>
        <v>0</v>
      </c>
      <c r="X1283" s="153">
        <f t="shared" si="695"/>
        <v>0</v>
      </c>
      <c r="Y1283" s="255">
        <f t="shared" si="696"/>
        <v>0</v>
      </c>
      <c r="Z1283" s="309">
        <f t="shared" si="699"/>
        <v>0</v>
      </c>
      <c r="AA1283" s="256">
        <f t="shared" si="697"/>
        <v>0</v>
      </c>
      <c r="AB1283" s="309"/>
      <c r="AC1283" s="309"/>
      <c r="AD1283" s="320">
        <f t="shared" si="698"/>
        <v>0</v>
      </c>
    </row>
    <row r="1284" spans="1:30" ht="30.75" thickBot="1">
      <c r="A1284" s="67">
        <f t="shared" si="700"/>
        <v>44875</v>
      </c>
      <c r="B1284" s="153"/>
      <c r="C1284" s="153"/>
      <c r="D1284" s="153"/>
      <c r="E1284" s="153"/>
      <c r="F1284" s="153"/>
      <c r="G1284" s="153"/>
      <c r="H1284" s="153"/>
      <c r="I1284" s="153"/>
      <c r="J1284" s="153"/>
      <c r="K1284" s="153"/>
      <c r="L1284" s="153"/>
      <c r="M1284" s="153"/>
      <c r="N1284" s="153"/>
      <c r="O1284" s="153"/>
      <c r="P1284" s="153"/>
      <c r="Q1284" s="153"/>
      <c r="R1284" s="153"/>
      <c r="S1284" s="153"/>
      <c r="T1284" s="153" t="e">
        <f t="shared" si="695"/>
        <v>#VALUE!</v>
      </c>
      <c r="U1284" s="153" t="e">
        <f t="shared" si="695"/>
        <v>#VALUE!</v>
      </c>
      <c r="V1284" s="153" t="e">
        <f t="shared" si="695"/>
        <v>#VALUE!</v>
      </c>
      <c r="W1284" s="153">
        <f t="shared" si="695"/>
        <v>0</v>
      </c>
      <c r="X1284" s="153">
        <f t="shared" si="695"/>
        <v>0</v>
      </c>
      <c r="Y1284" s="255">
        <f t="shared" si="696"/>
        <v>0</v>
      </c>
      <c r="Z1284" s="309">
        <f t="shared" si="699"/>
        <v>0</v>
      </c>
      <c r="AA1284" s="256">
        <f t="shared" si="697"/>
        <v>0</v>
      </c>
      <c r="AB1284" s="309"/>
      <c r="AC1284" s="309"/>
      <c r="AD1284" s="320">
        <f t="shared" si="698"/>
        <v>0</v>
      </c>
    </row>
    <row r="1285" spans="1:30" ht="30.75" thickBot="1">
      <c r="A1285" s="67">
        <f t="shared" si="700"/>
        <v>44876</v>
      </c>
      <c r="B1285" s="153"/>
      <c r="C1285" s="153"/>
      <c r="D1285" s="153"/>
      <c r="E1285" s="153"/>
      <c r="F1285" s="153"/>
      <c r="G1285" s="153"/>
      <c r="H1285" s="153"/>
      <c r="I1285" s="153"/>
      <c r="J1285" s="153"/>
      <c r="K1285" s="153"/>
      <c r="L1285" s="153"/>
      <c r="M1285" s="153"/>
      <c r="N1285" s="153"/>
      <c r="O1285" s="153"/>
      <c r="P1285" s="153"/>
      <c r="Q1285" s="153"/>
      <c r="R1285" s="153"/>
      <c r="S1285" s="153"/>
      <c r="T1285" s="153" t="e">
        <f t="shared" ref="T1285:X1294" si="701">T129+T175+T213+T252+T290+T330+T367+T407+T448+T490+T529+T567+T603+T640+T678+T714+T752+T790+T828+T866+T904+T942+T980+T1019+T1058+T1096+T1134+T1172+T1210+T1248</f>
        <v>#VALUE!</v>
      </c>
      <c r="U1285" s="153" t="e">
        <f t="shared" si="701"/>
        <v>#VALUE!</v>
      </c>
      <c r="V1285" s="153" t="e">
        <f t="shared" si="701"/>
        <v>#VALUE!</v>
      </c>
      <c r="W1285" s="153">
        <f t="shared" si="701"/>
        <v>0</v>
      </c>
      <c r="X1285" s="153">
        <f t="shared" si="701"/>
        <v>0</v>
      </c>
      <c r="Y1285" s="255">
        <f t="shared" si="696"/>
        <v>0</v>
      </c>
      <c r="Z1285" s="309">
        <f t="shared" si="699"/>
        <v>0</v>
      </c>
      <c r="AA1285" s="256">
        <f t="shared" si="697"/>
        <v>0</v>
      </c>
      <c r="AB1285" s="309"/>
      <c r="AC1285" s="309"/>
      <c r="AD1285" s="320">
        <f t="shared" si="698"/>
        <v>0</v>
      </c>
    </row>
    <row r="1286" spans="1:30" ht="30.75" thickBot="1">
      <c r="A1286" s="67">
        <f t="shared" si="700"/>
        <v>44877</v>
      </c>
      <c r="B1286" s="153"/>
      <c r="C1286" s="153"/>
      <c r="D1286" s="153"/>
      <c r="E1286" s="153"/>
      <c r="F1286" s="153"/>
      <c r="G1286" s="153"/>
      <c r="H1286" s="153"/>
      <c r="I1286" s="153"/>
      <c r="J1286" s="153"/>
      <c r="K1286" s="153"/>
      <c r="L1286" s="153"/>
      <c r="M1286" s="153"/>
      <c r="N1286" s="153"/>
      <c r="O1286" s="153"/>
      <c r="P1286" s="153"/>
      <c r="Q1286" s="153"/>
      <c r="R1286" s="153"/>
      <c r="S1286" s="153"/>
      <c r="T1286" s="153" t="e">
        <f t="shared" si="701"/>
        <v>#VALUE!</v>
      </c>
      <c r="U1286" s="153" t="e">
        <f t="shared" si="701"/>
        <v>#VALUE!</v>
      </c>
      <c r="V1286" s="153" t="e">
        <f t="shared" si="701"/>
        <v>#VALUE!</v>
      </c>
      <c r="W1286" s="153">
        <f t="shared" si="701"/>
        <v>0</v>
      </c>
      <c r="X1286" s="153">
        <f t="shared" si="701"/>
        <v>0</v>
      </c>
      <c r="Y1286" s="255">
        <f t="shared" si="696"/>
        <v>0</v>
      </c>
      <c r="Z1286" s="309">
        <f t="shared" si="699"/>
        <v>0</v>
      </c>
      <c r="AA1286" s="256">
        <f t="shared" si="697"/>
        <v>0</v>
      </c>
      <c r="AB1286" s="309"/>
      <c r="AC1286" s="309"/>
      <c r="AD1286" s="320">
        <f t="shared" si="698"/>
        <v>0</v>
      </c>
    </row>
    <row r="1287" spans="1:30" ht="30.75" thickBot="1">
      <c r="A1287" s="67">
        <f t="shared" si="700"/>
        <v>44878</v>
      </c>
      <c r="B1287" s="153"/>
      <c r="C1287" s="153"/>
      <c r="D1287" s="153"/>
      <c r="E1287" s="153"/>
      <c r="F1287" s="153"/>
      <c r="G1287" s="153"/>
      <c r="H1287" s="153"/>
      <c r="I1287" s="153"/>
      <c r="J1287" s="153"/>
      <c r="K1287" s="153"/>
      <c r="L1287" s="153"/>
      <c r="M1287" s="153"/>
      <c r="N1287" s="153"/>
      <c r="O1287" s="153"/>
      <c r="P1287" s="153"/>
      <c r="Q1287" s="153"/>
      <c r="R1287" s="153"/>
      <c r="S1287" s="153"/>
      <c r="T1287" s="153">
        <f t="shared" si="701"/>
        <v>0</v>
      </c>
      <c r="U1287" s="153">
        <f t="shared" si="701"/>
        <v>0</v>
      </c>
      <c r="V1287" s="153">
        <f t="shared" si="701"/>
        <v>0</v>
      </c>
      <c r="W1287" s="153">
        <f t="shared" si="701"/>
        <v>0</v>
      </c>
      <c r="X1287" s="153">
        <f t="shared" si="701"/>
        <v>0</v>
      </c>
      <c r="Y1287" s="255">
        <f t="shared" si="696"/>
        <v>0</v>
      </c>
      <c r="Z1287" s="309">
        <f t="shared" si="699"/>
        <v>0</v>
      </c>
      <c r="AA1287" s="256">
        <f t="shared" si="697"/>
        <v>0</v>
      </c>
      <c r="AB1287" s="309"/>
      <c r="AC1287" s="309"/>
      <c r="AD1287" s="320">
        <f t="shared" si="698"/>
        <v>0</v>
      </c>
    </row>
    <row r="1288" spans="1:30" ht="30.75" thickBot="1">
      <c r="A1288" s="67">
        <f t="shared" si="700"/>
        <v>44879</v>
      </c>
      <c r="B1288" s="153"/>
      <c r="C1288" s="153"/>
      <c r="D1288" s="153"/>
      <c r="E1288" s="153"/>
      <c r="F1288" s="153"/>
      <c r="G1288" s="153"/>
      <c r="H1288" s="153"/>
      <c r="I1288" s="153"/>
      <c r="J1288" s="153"/>
      <c r="K1288" s="153"/>
      <c r="L1288" s="153"/>
      <c r="M1288" s="153"/>
      <c r="N1288" s="153"/>
      <c r="O1288" s="153"/>
      <c r="P1288" s="153"/>
      <c r="Q1288" s="153"/>
      <c r="R1288" s="153"/>
      <c r="S1288" s="153"/>
      <c r="T1288" s="153">
        <f t="shared" si="701"/>
        <v>0</v>
      </c>
      <c r="U1288" s="153">
        <f t="shared" si="701"/>
        <v>0</v>
      </c>
      <c r="V1288" s="153">
        <f t="shared" si="701"/>
        <v>0</v>
      </c>
      <c r="W1288" s="153">
        <f t="shared" si="701"/>
        <v>0</v>
      </c>
      <c r="X1288" s="153">
        <f t="shared" si="701"/>
        <v>0</v>
      </c>
      <c r="Y1288" s="255">
        <f t="shared" si="696"/>
        <v>0</v>
      </c>
      <c r="Z1288" s="309">
        <f t="shared" si="699"/>
        <v>0</v>
      </c>
      <c r="AA1288" s="256">
        <f t="shared" si="697"/>
        <v>0</v>
      </c>
      <c r="AB1288" s="309"/>
      <c r="AC1288" s="309"/>
      <c r="AD1288" s="320">
        <f t="shared" si="698"/>
        <v>0</v>
      </c>
    </row>
    <row r="1289" spans="1:30" ht="30.75" thickBot="1">
      <c r="A1289" s="67">
        <f t="shared" si="700"/>
        <v>44880</v>
      </c>
      <c r="B1289" s="153"/>
      <c r="C1289" s="153"/>
      <c r="D1289" s="153"/>
      <c r="E1289" s="153"/>
      <c r="F1289" s="153"/>
      <c r="G1289" s="153"/>
      <c r="H1289" s="153"/>
      <c r="I1289" s="153"/>
      <c r="J1289" s="153"/>
      <c r="K1289" s="153"/>
      <c r="L1289" s="153"/>
      <c r="M1289" s="153"/>
      <c r="N1289" s="153"/>
      <c r="O1289" s="153"/>
      <c r="P1289" s="153"/>
      <c r="Q1289" s="153"/>
      <c r="R1289" s="153"/>
      <c r="S1289" s="153"/>
      <c r="T1289" s="153">
        <f t="shared" si="701"/>
        <v>0</v>
      </c>
      <c r="U1289" s="153">
        <f t="shared" si="701"/>
        <v>0</v>
      </c>
      <c r="V1289" s="153">
        <f t="shared" si="701"/>
        <v>0</v>
      </c>
      <c r="W1289" s="153">
        <f t="shared" si="701"/>
        <v>0</v>
      </c>
      <c r="X1289" s="153">
        <f t="shared" si="701"/>
        <v>0</v>
      </c>
      <c r="Y1289" s="255">
        <f t="shared" si="696"/>
        <v>0</v>
      </c>
      <c r="Z1289" s="309">
        <f t="shared" si="699"/>
        <v>0</v>
      </c>
      <c r="AA1289" s="256">
        <f t="shared" si="697"/>
        <v>0</v>
      </c>
      <c r="AB1289" s="309"/>
      <c r="AC1289" s="309"/>
      <c r="AD1289" s="320">
        <f t="shared" si="698"/>
        <v>0</v>
      </c>
    </row>
    <row r="1290" spans="1:30" ht="30.75" thickBot="1">
      <c r="A1290" s="67">
        <f t="shared" si="700"/>
        <v>44881</v>
      </c>
      <c r="B1290" s="153"/>
      <c r="C1290" s="153"/>
      <c r="D1290" s="153"/>
      <c r="E1290" s="153"/>
      <c r="F1290" s="153"/>
      <c r="G1290" s="153"/>
      <c r="H1290" s="153"/>
      <c r="I1290" s="153"/>
      <c r="J1290" s="153"/>
      <c r="K1290" s="153"/>
      <c r="L1290" s="153"/>
      <c r="M1290" s="153"/>
      <c r="N1290" s="153"/>
      <c r="O1290" s="153"/>
      <c r="P1290" s="153"/>
      <c r="Q1290" s="153"/>
      <c r="R1290" s="153"/>
      <c r="S1290" s="153"/>
      <c r="T1290" s="153">
        <f t="shared" si="701"/>
        <v>0</v>
      </c>
      <c r="U1290" s="153">
        <f t="shared" si="701"/>
        <v>0</v>
      </c>
      <c r="V1290" s="153">
        <f t="shared" si="701"/>
        <v>0</v>
      </c>
      <c r="W1290" s="153">
        <f t="shared" si="701"/>
        <v>0</v>
      </c>
      <c r="X1290" s="153">
        <f t="shared" si="701"/>
        <v>0</v>
      </c>
      <c r="Y1290" s="255">
        <f t="shared" si="696"/>
        <v>0</v>
      </c>
      <c r="Z1290" s="309">
        <f t="shared" si="699"/>
        <v>0</v>
      </c>
      <c r="AA1290" s="256">
        <f t="shared" si="697"/>
        <v>0</v>
      </c>
      <c r="AB1290" s="309"/>
      <c r="AC1290" s="309"/>
      <c r="AD1290" s="320">
        <f t="shared" si="698"/>
        <v>0</v>
      </c>
    </row>
    <row r="1291" spans="1:30" ht="30.75" thickBot="1">
      <c r="A1291" s="67">
        <f t="shared" si="700"/>
        <v>44882</v>
      </c>
      <c r="B1291" s="153"/>
      <c r="C1291" s="153"/>
      <c r="D1291" s="153"/>
      <c r="E1291" s="153"/>
      <c r="F1291" s="153"/>
      <c r="G1291" s="153"/>
      <c r="H1291" s="153"/>
      <c r="I1291" s="153"/>
      <c r="J1291" s="153"/>
      <c r="K1291" s="153"/>
      <c r="L1291" s="153"/>
      <c r="M1291" s="153"/>
      <c r="N1291" s="153"/>
      <c r="O1291" s="153"/>
      <c r="P1291" s="153"/>
      <c r="Q1291" s="153"/>
      <c r="R1291" s="153"/>
      <c r="S1291" s="153"/>
      <c r="T1291" s="153">
        <f t="shared" si="701"/>
        <v>0</v>
      </c>
      <c r="U1291" s="153">
        <f t="shared" si="701"/>
        <v>0</v>
      </c>
      <c r="V1291" s="153">
        <f t="shared" si="701"/>
        <v>0</v>
      </c>
      <c r="W1291" s="153">
        <f t="shared" si="701"/>
        <v>0</v>
      </c>
      <c r="X1291" s="153">
        <f t="shared" si="701"/>
        <v>0</v>
      </c>
      <c r="Y1291" s="255">
        <f t="shared" si="696"/>
        <v>0</v>
      </c>
      <c r="Z1291" s="309">
        <f t="shared" si="699"/>
        <v>0</v>
      </c>
      <c r="AA1291" s="256">
        <f t="shared" si="697"/>
        <v>0</v>
      </c>
      <c r="AB1291" s="309"/>
      <c r="AC1291" s="309"/>
      <c r="AD1291" s="320">
        <f t="shared" si="698"/>
        <v>0</v>
      </c>
    </row>
    <row r="1292" spans="1:30" ht="30.75" thickBot="1">
      <c r="A1292" s="67">
        <f t="shared" si="700"/>
        <v>44883</v>
      </c>
      <c r="B1292" s="153"/>
      <c r="C1292" s="153"/>
      <c r="D1292" s="153"/>
      <c r="E1292" s="153"/>
      <c r="F1292" s="153"/>
      <c r="G1292" s="153"/>
      <c r="H1292" s="153"/>
      <c r="I1292" s="153"/>
      <c r="J1292" s="153"/>
      <c r="K1292" s="153"/>
      <c r="L1292" s="153"/>
      <c r="M1292" s="153"/>
      <c r="N1292" s="153"/>
      <c r="O1292" s="153"/>
      <c r="P1292" s="153"/>
      <c r="Q1292" s="153"/>
      <c r="R1292" s="153"/>
      <c r="S1292" s="153"/>
      <c r="T1292" s="153">
        <f t="shared" si="701"/>
        <v>0</v>
      </c>
      <c r="U1292" s="153">
        <f t="shared" si="701"/>
        <v>0</v>
      </c>
      <c r="V1292" s="153">
        <f t="shared" si="701"/>
        <v>0</v>
      </c>
      <c r="W1292" s="153">
        <f t="shared" si="701"/>
        <v>0</v>
      </c>
      <c r="X1292" s="153">
        <f t="shared" si="701"/>
        <v>0</v>
      </c>
      <c r="Y1292" s="255">
        <f t="shared" si="696"/>
        <v>0</v>
      </c>
      <c r="Z1292" s="309">
        <f t="shared" si="699"/>
        <v>0</v>
      </c>
      <c r="AA1292" s="256">
        <f t="shared" si="697"/>
        <v>0</v>
      </c>
      <c r="AB1292" s="309"/>
      <c r="AC1292" s="309"/>
      <c r="AD1292" s="320">
        <f t="shared" si="698"/>
        <v>0</v>
      </c>
    </row>
    <row r="1293" spans="1:30" ht="30.75" thickBot="1">
      <c r="A1293" s="67">
        <f t="shared" si="700"/>
        <v>44884</v>
      </c>
      <c r="B1293" s="153"/>
      <c r="C1293" s="153"/>
      <c r="D1293" s="153"/>
      <c r="E1293" s="153"/>
      <c r="F1293" s="153"/>
      <c r="G1293" s="153"/>
      <c r="H1293" s="153"/>
      <c r="I1293" s="153"/>
      <c r="J1293" s="153"/>
      <c r="K1293" s="153"/>
      <c r="L1293" s="153"/>
      <c r="M1293" s="153"/>
      <c r="N1293" s="153"/>
      <c r="O1293" s="153"/>
      <c r="P1293" s="153"/>
      <c r="Q1293" s="153"/>
      <c r="R1293" s="153"/>
      <c r="S1293" s="153"/>
      <c r="T1293" s="153">
        <f t="shared" si="701"/>
        <v>0</v>
      </c>
      <c r="U1293" s="153">
        <f t="shared" si="701"/>
        <v>0</v>
      </c>
      <c r="V1293" s="153">
        <f t="shared" si="701"/>
        <v>0</v>
      </c>
      <c r="W1293" s="153">
        <f t="shared" si="701"/>
        <v>0</v>
      </c>
      <c r="X1293" s="153">
        <f t="shared" si="701"/>
        <v>0</v>
      </c>
      <c r="Y1293" s="255">
        <f>B1293*300+D1293*300+E1293*300+F1293*150+G1293*150+H1293*120+I1293*40+J1293*40+K1293*390+L1293*400+M1293*400+N1293*390+O1293*387.5+P1293*80+Q1293*200+R1293*300+S1293*300</f>
        <v>0</v>
      </c>
      <c r="Z1293" s="309">
        <f t="shared" si="699"/>
        <v>0</v>
      </c>
      <c r="AA1293" s="256">
        <f t="shared" si="697"/>
        <v>0</v>
      </c>
      <c r="AB1293" s="309"/>
      <c r="AC1293" s="309"/>
      <c r="AD1293" s="320">
        <f t="shared" si="698"/>
        <v>0</v>
      </c>
    </row>
    <row r="1294" spans="1:30" ht="30.75" thickBot="1">
      <c r="A1294" s="67">
        <f t="shared" si="700"/>
        <v>44885</v>
      </c>
      <c r="B1294" s="153"/>
      <c r="C1294" s="153"/>
      <c r="D1294" s="153"/>
      <c r="E1294" s="153"/>
      <c r="F1294" s="153"/>
      <c r="G1294" s="153"/>
      <c r="H1294" s="153"/>
      <c r="I1294" s="153"/>
      <c r="J1294" s="153"/>
      <c r="K1294" s="153"/>
      <c r="L1294" s="153"/>
      <c r="M1294" s="153"/>
      <c r="N1294" s="153"/>
      <c r="O1294" s="153"/>
      <c r="P1294" s="153"/>
      <c r="Q1294" s="153"/>
      <c r="R1294" s="153"/>
      <c r="S1294" s="153"/>
      <c r="T1294" s="153">
        <f t="shared" si="701"/>
        <v>0</v>
      </c>
      <c r="U1294" s="153">
        <f t="shared" si="701"/>
        <v>0</v>
      </c>
      <c r="V1294" s="153">
        <f t="shared" si="701"/>
        <v>0</v>
      </c>
      <c r="W1294" s="153">
        <f t="shared" si="701"/>
        <v>0</v>
      </c>
      <c r="X1294" s="153">
        <f t="shared" si="701"/>
        <v>0</v>
      </c>
      <c r="Y1294" s="255">
        <f t="shared" si="696"/>
        <v>0</v>
      </c>
      <c r="Z1294" s="309">
        <f t="shared" si="699"/>
        <v>0</v>
      </c>
      <c r="AA1294" s="256">
        <f t="shared" si="697"/>
        <v>0</v>
      </c>
      <c r="AB1294" s="309"/>
      <c r="AC1294" s="309"/>
      <c r="AD1294" s="320">
        <f t="shared" si="698"/>
        <v>0</v>
      </c>
    </row>
    <row r="1295" spans="1:30" ht="30.75" thickBot="1">
      <c r="A1295" s="67">
        <f t="shared" si="700"/>
        <v>44886</v>
      </c>
      <c r="B1295" s="153"/>
      <c r="C1295" s="153"/>
      <c r="D1295" s="153"/>
      <c r="E1295" s="153"/>
      <c r="F1295" s="153"/>
      <c r="G1295" s="153"/>
      <c r="H1295" s="153"/>
      <c r="I1295" s="153"/>
      <c r="J1295" s="153"/>
      <c r="K1295" s="153"/>
      <c r="L1295" s="153"/>
      <c r="M1295" s="153"/>
      <c r="N1295" s="153"/>
      <c r="O1295" s="153"/>
      <c r="P1295" s="153"/>
      <c r="Q1295" s="153"/>
      <c r="R1295" s="153"/>
      <c r="S1295" s="153"/>
      <c r="T1295" s="153">
        <f t="shared" ref="T1295:X1304" si="702">T139+T185+T223+T262+T300+T340+T377+T417+T458+T500+T539+T577+T613+T650+T688+T724+T762+T800+T838+T876+T914+T952+T990+T1029+T1068+T1106+T1144+T1182+T1220+T1258</f>
        <v>0</v>
      </c>
      <c r="U1295" s="153">
        <f t="shared" si="702"/>
        <v>0</v>
      </c>
      <c r="V1295" s="153">
        <f t="shared" si="702"/>
        <v>0</v>
      </c>
      <c r="W1295" s="153">
        <f t="shared" si="702"/>
        <v>0</v>
      </c>
      <c r="X1295" s="153">
        <f t="shared" si="702"/>
        <v>0</v>
      </c>
      <c r="Y1295" s="255">
        <f t="shared" si="696"/>
        <v>0</v>
      </c>
      <c r="Z1295" s="309">
        <f t="shared" si="699"/>
        <v>0</v>
      </c>
      <c r="AA1295" s="256">
        <f t="shared" si="697"/>
        <v>0</v>
      </c>
      <c r="AB1295" s="309"/>
      <c r="AC1295" s="309"/>
      <c r="AD1295" s="320">
        <f t="shared" si="698"/>
        <v>0</v>
      </c>
    </row>
    <row r="1296" spans="1:30" ht="30.75" thickBot="1">
      <c r="A1296" s="67">
        <f t="shared" si="700"/>
        <v>44887</v>
      </c>
      <c r="B1296" s="153"/>
      <c r="C1296" s="153"/>
      <c r="D1296" s="153"/>
      <c r="E1296" s="153"/>
      <c r="F1296" s="153"/>
      <c r="G1296" s="153"/>
      <c r="H1296" s="153"/>
      <c r="I1296" s="153"/>
      <c r="J1296" s="153"/>
      <c r="K1296" s="153"/>
      <c r="L1296" s="153"/>
      <c r="M1296" s="153"/>
      <c r="N1296" s="153"/>
      <c r="O1296" s="153"/>
      <c r="P1296" s="153"/>
      <c r="Q1296" s="153"/>
      <c r="R1296" s="153"/>
      <c r="S1296" s="153"/>
      <c r="T1296" s="153">
        <f t="shared" si="702"/>
        <v>0</v>
      </c>
      <c r="U1296" s="153">
        <f t="shared" si="702"/>
        <v>0</v>
      </c>
      <c r="V1296" s="153">
        <f t="shared" si="702"/>
        <v>0</v>
      </c>
      <c r="W1296" s="153">
        <f t="shared" si="702"/>
        <v>0</v>
      </c>
      <c r="X1296" s="153">
        <f t="shared" si="702"/>
        <v>0</v>
      </c>
      <c r="Y1296" s="255">
        <f t="shared" si="696"/>
        <v>0</v>
      </c>
      <c r="Z1296" s="309">
        <f t="shared" si="699"/>
        <v>0</v>
      </c>
      <c r="AA1296" s="256">
        <f t="shared" si="697"/>
        <v>0</v>
      </c>
      <c r="AB1296" s="309"/>
      <c r="AC1296" s="309"/>
      <c r="AD1296" s="320">
        <f t="shared" si="698"/>
        <v>0</v>
      </c>
    </row>
    <row r="1297" spans="1:30" ht="30.75" thickBot="1">
      <c r="A1297" s="67">
        <f t="shared" si="700"/>
        <v>44888</v>
      </c>
      <c r="B1297" s="153"/>
      <c r="C1297" s="153"/>
      <c r="D1297" s="153"/>
      <c r="E1297" s="153"/>
      <c r="F1297" s="153"/>
      <c r="G1297" s="153"/>
      <c r="H1297" s="153"/>
      <c r="I1297" s="153"/>
      <c r="J1297" s="153"/>
      <c r="K1297" s="153"/>
      <c r="L1297" s="153"/>
      <c r="M1297" s="153"/>
      <c r="N1297" s="153"/>
      <c r="O1297" s="153"/>
      <c r="P1297" s="153"/>
      <c r="Q1297" s="153"/>
      <c r="R1297" s="153"/>
      <c r="S1297" s="153"/>
      <c r="T1297" s="153">
        <f t="shared" si="702"/>
        <v>0</v>
      </c>
      <c r="U1297" s="153">
        <f t="shared" si="702"/>
        <v>0</v>
      </c>
      <c r="V1297" s="153">
        <f t="shared" si="702"/>
        <v>0</v>
      </c>
      <c r="W1297" s="153">
        <f t="shared" si="702"/>
        <v>0</v>
      </c>
      <c r="X1297" s="153">
        <f t="shared" si="702"/>
        <v>0</v>
      </c>
      <c r="Y1297" s="255">
        <f t="shared" si="696"/>
        <v>0</v>
      </c>
      <c r="Z1297" s="309">
        <f t="shared" si="699"/>
        <v>0</v>
      </c>
      <c r="AA1297" s="256">
        <f t="shared" si="697"/>
        <v>0</v>
      </c>
      <c r="AB1297" s="309"/>
      <c r="AC1297" s="309"/>
      <c r="AD1297" s="320">
        <f t="shared" si="698"/>
        <v>0</v>
      </c>
    </row>
    <row r="1298" spans="1:30" ht="30.75" thickBot="1">
      <c r="A1298" s="67">
        <f t="shared" si="700"/>
        <v>44889</v>
      </c>
      <c r="B1298" s="153"/>
      <c r="C1298" s="153"/>
      <c r="D1298" s="153"/>
      <c r="E1298" s="153"/>
      <c r="F1298" s="153"/>
      <c r="G1298" s="153"/>
      <c r="H1298" s="153"/>
      <c r="I1298" s="153"/>
      <c r="J1298" s="153"/>
      <c r="K1298" s="153"/>
      <c r="L1298" s="153"/>
      <c r="M1298" s="153"/>
      <c r="N1298" s="153"/>
      <c r="O1298" s="153"/>
      <c r="P1298" s="153"/>
      <c r="Q1298" s="153"/>
      <c r="R1298" s="153"/>
      <c r="S1298" s="153"/>
      <c r="T1298" s="153">
        <f t="shared" si="702"/>
        <v>0</v>
      </c>
      <c r="U1298" s="153">
        <f t="shared" si="702"/>
        <v>0</v>
      </c>
      <c r="V1298" s="153">
        <f t="shared" si="702"/>
        <v>0</v>
      </c>
      <c r="W1298" s="153">
        <f t="shared" si="702"/>
        <v>0</v>
      </c>
      <c r="X1298" s="153">
        <f t="shared" si="702"/>
        <v>0</v>
      </c>
      <c r="Y1298" s="255">
        <f t="shared" si="696"/>
        <v>0</v>
      </c>
      <c r="Z1298" s="309">
        <f t="shared" si="699"/>
        <v>0</v>
      </c>
      <c r="AA1298" s="256">
        <f t="shared" si="697"/>
        <v>0</v>
      </c>
      <c r="AB1298" s="309"/>
      <c r="AC1298" s="309"/>
      <c r="AD1298" s="320">
        <f t="shared" si="698"/>
        <v>0</v>
      </c>
    </row>
    <row r="1299" spans="1:30" ht="30.75" thickBot="1">
      <c r="A1299" s="67">
        <f t="shared" si="700"/>
        <v>44890</v>
      </c>
      <c r="B1299" s="153"/>
      <c r="C1299" s="153"/>
      <c r="D1299" s="153"/>
      <c r="E1299" s="153"/>
      <c r="F1299" s="153"/>
      <c r="G1299" s="153"/>
      <c r="H1299" s="153"/>
      <c r="I1299" s="153"/>
      <c r="J1299" s="153"/>
      <c r="K1299" s="153"/>
      <c r="L1299" s="153"/>
      <c r="M1299" s="153"/>
      <c r="N1299" s="153"/>
      <c r="O1299" s="153"/>
      <c r="P1299" s="153"/>
      <c r="Q1299" s="153"/>
      <c r="R1299" s="153"/>
      <c r="S1299" s="153"/>
      <c r="T1299" s="153">
        <f t="shared" si="702"/>
        <v>0</v>
      </c>
      <c r="U1299" s="153">
        <f t="shared" si="702"/>
        <v>0</v>
      </c>
      <c r="V1299" s="153">
        <f t="shared" si="702"/>
        <v>0</v>
      </c>
      <c r="W1299" s="153">
        <f t="shared" si="702"/>
        <v>0</v>
      </c>
      <c r="X1299" s="153">
        <f t="shared" si="702"/>
        <v>0</v>
      </c>
      <c r="Y1299" s="255">
        <f t="shared" si="696"/>
        <v>0</v>
      </c>
      <c r="Z1299" s="309">
        <f t="shared" si="699"/>
        <v>0</v>
      </c>
      <c r="AA1299" s="256">
        <f t="shared" si="697"/>
        <v>0</v>
      </c>
      <c r="AB1299" s="309"/>
      <c r="AC1299" s="309"/>
      <c r="AD1299" s="320">
        <f t="shared" si="698"/>
        <v>0</v>
      </c>
    </row>
    <row r="1300" spans="1:30" ht="30.75" thickBot="1">
      <c r="A1300" s="67">
        <f t="shared" si="700"/>
        <v>44891</v>
      </c>
      <c r="B1300" s="153"/>
      <c r="C1300" s="153"/>
      <c r="D1300" s="153"/>
      <c r="E1300" s="153"/>
      <c r="F1300" s="153"/>
      <c r="G1300" s="153"/>
      <c r="H1300" s="153"/>
      <c r="I1300" s="153"/>
      <c r="J1300" s="153"/>
      <c r="K1300" s="153"/>
      <c r="L1300" s="153"/>
      <c r="M1300" s="153"/>
      <c r="N1300" s="153"/>
      <c r="O1300" s="153"/>
      <c r="P1300" s="153"/>
      <c r="Q1300" s="153"/>
      <c r="R1300" s="153"/>
      <c r="S1300" s="153"/>
      <c r="T1300" s="153">
        <f t="shared" si="702"/>
        <v>0</v>
      </c>
      <c r="U1300" s="153">
        <f t="shared" si="702"/>
        <v>0</v>
      </c>
      <c r="V1300" s="153">
        <f t="shared" si="702"/>
        <v>0</v>
      </c>
      <c r="W1300" s="153">
        <f t="shared" si="702"/>
        <v>0</v>
      </c>
      <c r="X1300" s="153">
        <f t="shared" si="702"/>
        <v>0</v>
      </c>
      <c r="Y1300" s="255">
        <f t="shared" si="696"/>
        <v>0</v>
      </c>
      <c r="Z1300" s="309">
        <f t="shared" si="699"/>
        <v>0</v>
      </c>
      <c r="AA1300" s="256">
        <f t="shared" si="697"/>
        <v>0</v>
      </c>
      <c r="AB1300" s="309"/>
      <c r="AC1300" s="309"/>
      <c r="AD1300" s="320">
        <f t="shared" si="698"/>
        <v>0</v>
      </c>
    </row>
    <row r="1301" spans="1:30" ht="30.75" thickBot="1">
      <c r="A1301" s="67">
        <f t="shared" si="700"/>
        <v>44892</v>
      </c>
      <c r="B1301" s="153"/>
      <c r="C1301" s="153"/>
      <c r="D1301" s="153"/>
      <c r="E1301" s="153"/>
      <c r="F1301" s="153"/>
      <c r="G1301" s="153"/>
      <c r="H1301" s="153"/>
      <c r="I1301" s="153"/>
      <c r="J1301" s="153"/>
      <c r="K1301" s="153"/>
      <c r="L1301" s="153"/>
      <c r="M1301" s="153"/>
      <c r="N1301" s="153"/>
      <c r="O1301" s="153"/>
      <c r="P1301" s="153"/>
      <c r="Q1301" s="153"/>
      <c r="R1301" s="153"/>
      <c r="S1301" s="153"/>
      <c r="T1301" s="153">
        <f t="shared" si="702"/>
        <v>0</v>
      </c>
      <c r="U1301" s="153">
        <f t="shared" si="702"/>
        <v>0</v>
      </c>
      <c r="V1301" s="153">
        <f t="shared" si="702"/>
        <v>0</v>
      </c>
      <c r="W1301" s="153">
        <f t="shared" si="702"/>
        <v>0</v>
      </c>
      <c r="X1301" s="153">
        <f t="shared" si="702"/>
        <v>0</v>
      </c>
      <c r="Y1301" s="255">
        <f t="shared" si="696"/>
        <v>0</v>
      </c>
      <c r="Z1301" s="309">
        <f t="shared" si="699"/>
        <v>0</v>
      </c>
      <c r="AA1301" s="256">
        <f t="shared" si="697"/>
        <v>0</v>
      </c>
      <c r="AB1301" s="309"/>
      <c r="AC1301" s="309"/>
      <c r="AD1301" s="320">
        <f t="shared" si="698"/>
        <v>0</v>
      </c>
    </row>
    <row r="1302" spans="1:30" ht="30.75" thickBot="1">
      <c r="A1302" s="67">
        <f t="shared" si="700"/>
        <v>44893</v>
      </c>
      <c r="B1302" s="153"/>
      <c r="C1302" s="153"/>
      <c r="D1302" s="153"/>
      <c r="E1302" s="153"/>
      <c r="F1302" s="153"/>
      <c r="G1302" s="153"/>
      <c r="H1302" s="153"/>
      <c r="I1302" s="153"/>
      <c r="J1302" s="153"/>
      <c r="K1302" s="153"/>
      <c r="L1302" s="153"/>
      <c r="M1302" s="153"/>
      <c r="N1302" s="153"/>
      <c r="O1302" s="153"/>
      <c r="P1302" s="153"/>
      <c r="Q1302" s="153"/>
      <c r="R1302" s="153"/>
      <c r="S1302" s="153"/>
      <c r="T1302" s="153">
        <f t="shared" si="702"/>
        <v>0</v>
      </c>
      <c r="U1302" s="153">
        <f t="shared" si="702"/>
        <v>0</v>
      </c>
      <c r="V1302" s="153">
        <f t="shared" si="702"/>
        <v>0</v>
      </c>
      <c r="W1302" s="153">
        <f t="shared" si="702"/>
        <v>0</v>
      </c>
      <c r="X1302" s="153">
        <f t="shared" si="702"/>
        <v>0</v>
      </c>
      <c r="Y1302" s="255">
        <f t="shared" si="696"/>
        <v>0</v>
      </c>
      <c r="Z1302" s="309">
        <f t="shared" si="699"/>
        <v>0</v>
      </c>
      <c r="AA1302" s="256">
        <f t="shared" si="697"/>
        <v>0</v>
      </c>
      <c r="AB1302" s="309"/>
      <c r="AC1302" s="309"/>
      <c r="AD1302" s="320">
        <f t="shared" si="698"/>
        <v>0</v>
      </c>
    </row>
    <row r="1303" spans="1:30" ht="30.75" thickBot="1">
      <c r="A1303" s="67">
        <f t="shared" si="700"/>
        <v>44894</v>
      </c>
      <c r="B1303" s="153"/>
      <c r="C1303" s="153"/>
      <c r="D1303" s="153"/>
      <c r="E1303" s="153"/>
      <c r="F1303" s="153"/>
      <c r="G1303" s="153"/>
      <c r="H1303" s="153"/>
      <c r="I1303" s="153"/>
      <c r="J1303" s="153"/>
      <c r="K1303" s="153"/>
      <c r="L1303" s="153"/>
      <c r="M1303" s="153"/>
      <c r="N1303" s="153"/>
      <c r="O1303" s="153"/>
      <c r="P1303" s="153"/>
      <c r="Q1303" s="153"/>
      <c r="R1303" s="153"/>
      <c r="S1303" s="153"/>
      <c r="T1303" s="153">
        <f t="shared" si="702"/>
        <v>0</v>
      </c>
      <c r="U1303" s="153">
        <f t="shared" si="702"/>
        <v>0</v>
      </c>
      <c r="V1303" s="153">
        <f t="shared" si="702"/>
        <v>0</v>
      </c>
      <c r="W1303" s="153">
        <f t="shared" si="702"/>
        <v>0</v>
      </c>
      <c r="X1303" s="153">
        <f t="shared" si="702"/>
        <v>0</v>
      </c>
      <c r="Y1303" s="255">
        <f t="shared" si="696"/>
        <v>0</v>
      </c>
      <c r="Z1303" s="309">
        <f t="shared" si="699"/>
        <v>0</v>
      </c>
      <c r="AA1303" s="256">
        <f t="shared" si="697"/>
        <v>0</v>
      </c>
      <c r="AB1303" s="309"/>
      <c r="AC1303" s="309"/>
      <c r="AD1303" s="320">
        <f t="shared" si="698"/>
        <v>0</v>
      </c>
    </row>
    <row r="1304" spans="1:30" ht="30.75" thickBot="1">
      <c r="A1304" s="67">
        <f t="shared" si="700"/>
        <v>44895</v>
      </c>
      <c r="B1304" s="153"/>
      <c r="C1304" s="153"/>
      <c r="D1304" s="153"/>
      <c r="E1304" s="153"/>
      <c r="F1304" s="153"/>
      <c r="G1304" s="153"/>
      <c r="H1304" s="153"/>
      <c r="I1304" s="153"/>
      <c r="J1304" s="153"/>
      <c r="K1304" s="153"/>
      <c r="L1304" s="153"/>
      <c r="M1304" s="153"/>
      <c r="N1304" s="153"/>
      <c r="O1304" s="153"/>
      <c r="P1304" s="153"/>
      <c r="Q1304" s="153"/>
      <c r="R1304" s="153"/>
      <c r="S1304" s="153"/>
      <c r="T1304" s="153">
        <f t="shared" si="702"/>
        <v>0</v>
      </c>
      <c r="U1304" s="153">
        <f t="shared" si="702"/>
        <v>0</v>
      </c>
      <c r="V1304" s="153">
        <f t="shared" si="702"/>
        <v>0</v>
      </c>
      <c r="W1304" s="153">
        <f t="shared" si="702"/>
        <v>0</v>
      </c>
      <c r="X1304" s="153">
        <f t="shared" si="702"/>
        <v>0</v>
      </c>
      <c r="Y1304" s="255">
        <f t="shared" si="696"/>
        <v>0</v>
      </c>
      <c r="Z1304" s="309">
        <f t="shared" si="699"/>
        <v>0</v>
      </c>
      <c r="AA1304" s="256">
        <f t="shared" si="697"/>
        <v>0</v>
      </c>
      <c r="AB1304" s="309"/>
      <c r="AC1304" s="309"/>
      <c r="AD1304" s="320">
        <f t="shared" si="698"/>
        <v>0</v>
      </c>
    </row>
    <row r="1305" spans="1:30" ht="30.75" thickBot="1">
      <c r="A1305" s="102">
        <f t="shared" si="700"/>
        <v>44896</v>
      </c>
      <c r="B1305" s="153"/>
      <c r="C1305" s="153"/>
      <c r="D1305" s="153"/>
      <c r="E1305" s="153"/>
      <c r="F1305" s="153"/>
      <c r="G1305" s="153"/>
      <c r="H1305" s="153"/>
      <c r="I1305" s="153"/>
      <c r="J1305" s="153"/>
      <c r="K1305" s="153"/>
      <c r="L1305" s="153"/>
      <c r="M1305" s="153"/>
      <c r="N1305" s="153"/>
      <c r="O1305" s="153"/>
      <c r="P1305" s="153"/>
      <c r="Q1305" s="153"/>
      <c r="R1305" s="153"/>
      <c r="S1305" s="153"/>
      <c r="T1305" s="153">
        <f t="shared" ref="T1305:X1305" si="703">T149+T195+T233+T272+T310+T350+T387+T427+T468+T510+T549+T587+T623+T660+T698+T734+T772+T810+T848+T886+T924+T962+T1000+T1039+T1078+T1116+T1154+T1192+T1230+T1268</f>
        <v>0</v>
      </c>
      <c r="U1305" s="153">
        <f t="shared" si="703"/>
        <v>0</v>
      </c>
      <c r="V1305" s="153">
        <f t="shared" si="703"/>
        <v>0</v>
      </c>
      <c r="W1305" s="153">
        <f t="shared" si="703"/>
        <v>0</v>
      </c>
      <c r="X1305" s="153">
        <f t="shared" si="703"/>
        <v>0</v>
      </c>
      <c r="Y1305" s="255">
        <f t="shared" si="696"/>
        <v>0</v>
      </c>
      <c r="Z1305" s="309">
        <f t="shared" si="699"/>
        <v>0</v>
      </c>
      <c r="AA1305" s="256">
        <f t="shared" si="697"/>
        <v>0</v>
      </c>
      <c r="AB1305" s="309"/>
      <c r="AC1305" s="309"/>
      <c r="AD1305" s="320">
        <f t="shared" si="698"/>
        <v>0</v>
      </c>
    </row>
    <row r="1306" spans="1:30" ht="30" thickTop="1" thickBot="1">
      <c r="A1306" s="96" t="s">
        <v>74</v>
      </c>
      <c r="B1306" s="104">
        <f>SUM(B1275:B1305)</f>
        <v>0</v>
      </c>
      <c r="C1306" s="104">
        <f t="shared" ref="C1306:D1306" si="704">SUM(C1275:C1305)</f>
        <v>0</v>
      </c>
      <c r="D1306" s="104">
        <f t="shared" si="704"/>
        <v>0</v>
      </c>
      <c r="E1306" s="104"/>
      <c r="F1306" s="104">
        <f t="shared" ref="F1306:O1306" si="705">SUM(F1275:F1305)</f>
        <v>0</v>
      </c>
      <c r="G1306" s="104">
        <f t="shared" si="705"/>
        <v>0</v>
      </c>
      <c r="H1306" s="104">
        <f t="shared" si="705"/>
        <v>0</v>
      </c>
      <c r="I1306" s="104">
        <f t="shared" si="705"/>
        <v>0</v>
      </c>
      <c r="J1306" s="104">
        <f t="shared" si="705"/>
        <v>0</v>
      </c>
      <c r="K1306" s="104">
        <f t="shared" si="705"/>
        <v>0</v>
      </c>
      <c r="L1306" s="104">
        <f t="shared" si="705"/>
        <v>0</v>
      </c>
      <c r="M1306" s="104">
        <f t="shared" si="705"/>
        <v>0</v>
      </c>
      <c r="N1306" s="104">
        <f t="shared" si="705"/>
        <v>0</v>
      </c>
      <c r="O1306" s="104">
        <f t="shared" si="705"/>
        <v>0</v>
      </c>
      <c r="P1306" s="104"/>
      <c r="Q1306" s="104">
        <f t="shared" ref="Q1306:S1306" si="706">SUM(Q1275:Q1305)</f>
        <v>0</v>
      </c>
      <c r="R1306" s="104">
        <f t="shared" si="706"/>
        <v>0</v>
      </c>
      <c r="S1306" s="104">
        <f t="shared" si="706"/>
        <v>0</v>
      </c>
      <c r="T1306" s="104"/>
      <c r="U1306" s="104"/>
      <c r="V1306" s="104"/>
      <c r="W1306" s="104"/>
      <c r="X1306" s="104"/>
      <c r="Y1306" s="292">
        <f t="shared" ref="Y1306" si="707">SUM(Y1275:Y1305)</f>
        <v>0</v>
      </c>
      <c r="Z1306" s="259"/>
      <c r="AA1306" s="259"/>
      <c r="AB1306" s="316">
        <f>SUM(AB1275:AB1305)</f>
        <v>0</v>
      </c>
      <c r="AC1306" s="316"/>
      <c r="AD1306" s="260"/>
    </row>
    <row r="1307" spans="1:30" ht="15.75" thickTop="1"/>
    <row r="1308" spans="1:30" ht="15.75" thickBot="1"/>
    <row r="1309" spans="1:30" ht="43.5" thickBot="1">
      <c r="A1309" s="109">
        <f>A5</f>
        <v>2022</v>
      </c>
      <c r="B1309" s="1424" t="s">
        <v>320</v>
      </c>
      <c r="C1309" s="1425"/>
      <c r="D1309" s="1425"/>
      <c r="E1309" s="1425"/>
      <c r="F1309" s="1425"/>
      <c r="G1309" s="1425"/>
      <c r="H1309" s="1425"/>
      <c r="I1309" s="1425"/>
      <c r="J1309" s="1425"/>
      <c r="K1309" s="1425"/>
      <c r="L1309" s="1425"/>
      <c r="M1309" s="1425"/>
      <c r="N1309" s="1425"/>
      <c r="O1309" s="1425"/>
      <c r="P1309" s="1425"/>
      <c r="Q1309" s="1425"/>
      <c r="R1309" s="1425"/>
      <c r="S1309" s="1425"/>
      <c r="T1309" s="1425"/>
      <c r="U1309" s="1425"/>
      <c r="V1309" s="1425"/>
      <c r="W1309" s="1425"/>
      <c r="X1309" s="1425"/>
      <c r="Y1309" s="1426"/>
      <c r="Z1309" s="21"/>
      <c r="AA1309" s="21"/>
      <c r="AB1309" s="21"/>
      <c r="AC1309" s="2"/>
      <c r="AD1309" t="s">
        <v>1</v>
      </c>
    </row>
    <row r="1310" spans="1:30" ht="60.75" thickTop="1" thickBot="1">
      <c r="A1310" s="1422" t="s">
        <v>94</v>
      </c>
      <c r="B1310" s="1402" t="s">
        <v>95</v>
      </c>
      <c r="C1310" s="1403"/>
      <c r="D1310" s="1403"/>
      <c r="E1310" s="1404"/>
      <c r="F1310" s="1402" t="s">
        <v>7</v>
      </c>
      <c r="G1310" s="1403"/>
      <c r="H1310" s="1404"/>
      <c r="I1310" s="1402" t="s">
        <v>8</v>
      </c>
      <c r="J1310" s="1404"/>
      <c r="K1310" s="1402" t="s">
        <v>9</v>
      </c>
      <c r="L1310" s="1403"/>
      <c r="M1310" s="1403"/>
      <c r="N1310" s="1403"/>
      <c r="O1310" s="1403"/>
      <c r="P1310" s="1403"/>
      <c r="Q1310" s="1403"/>
      <c r="R1310" s="1405" t="s">
        <v>10</v>
      </c>
      <c r="S1310" s="1406"/>
      <c r="T1310" s="1400" t="s">
        <v>289</v>
      </c>
      <c r="U1310" s="1401"/>
      <c r="V1310" s="842" t="s">
        <v>258</v>
      </c>
      <c r="W1310" s="842"/>
      <c r="X1310" s="842"/>
      <c r="Y1310" s="211"/>
      <c r="Z1310" s="21"/>
      <c r="AA1310" s="21"/>
      <c r="AB1310" s="21"/>
      <c r="AC1310" s="21"/>
    </row>
    <row r="1311" spans="1:30" ht="42" thickTop="1" thickBot="1">
      <c r="A1311" s="1423"/>
      <c r="B1311" s="482" t="s">
        <v>12</v>
      </c>
      <c r="C1311" s="482" t="s">
        <v>13</v>
      </c>
      <c r="D1311" s="482" t="s">
        <v>14</v>
      </c>
      <c r="E1311" s="688" t="s">
        <v>198</v>
      </c>
      <c r="F1311" s="482" t="s">
        <v>12</v>
      </c>
      <c r="G1311" s="482" t="s">
        <v>13</v>
      </c>
      <c r="H1311" s="482" t="s">
        <v>282</v>
      </c>
      <c r="I1311" s="482" t="s">
        <v>12</v>
      </c>
      <c r="J1311" s="482" t="s">
        <v>16</v>
      </c>
      <c r="K1311" s="482" t="s">
        <v>17</v>
      </c>
      <c r="L1311" s="482" t="s">
        <v>18</v>
      </c>
      <c r="M1311" s="482" t="s">
        <v>19</v>
      </c>
      <c r="N1311" s="484" t="s">
        <v>96</v>
      </c>
      <c r="O1311" s="484" t="s">
        <v>257</v>
      </c>
      <c r="P1311" s="484" t="s">
        <v>254</v>
      </c>
      <c r="Q1311" s="484" t="s">
        <v>20</v>
      </c>
      <c r="R1311" s="483" t="s">
        <v>14</v>
      </c>
      <c r="S1311" s="482" t="s">
        <v>13</v>
      </c>
      <c r="T1311" s="846" t="s">
        <v>284</v>
      </c>
      <c r="U1311" s="846" t="s">
        <v>288</v>
      </c>
      <c r="V1311" s="484" t="s">
        <v>259</v>
      </c>
      <c r="W1311" s="484"/>
      <c r="X1311" s="484"/>
      <c r="Y1311" s="209" t="s">
        <v>90</v>
      </c>
      <c r="Z1311" s="210" t="s">
        <v>97</v>
      </c>
      <c r="AA1311" s="210" t="s">
        <v>74</v>
      </c>
      <c r="AB1311" s="210" t="s">
        <v>98</v>
      </c>
      <c r="AC1311" s="210" t="s">
        <v>99</v>
      </c>
      <c r="AD1311" s="210" t="s">
        <v>100</v>
      </c>
    </row>
    <row r="1312" spans="1:30" ht="30.75" thickBot="1">
      <c r="A1312" s="67">
        <f>A1275</f>
        <v>44866</v>
      </c>
      <c r="B1312" s="153"/>
      <c r="C1312" s="153"/>
      <c r="D1312" s="153"/>
      <c r="E1312" s="153"/>
      <c r="F1312" s="153"/>
      <c r="G1312" s="153"/>
      <c r="H1312" s="153"/>
      <c r="I1312" s="153"/>
      <c r="J1312" s="153"/>
      <c r="K1312" s="153"/>
      <c r="L1312" s="153"/>
      <c r="M1312" s="153"/>
      <c r="N1312" s="153"/>
      <c r="O1312" s="153"/>
      <c r="P1312" s="153"/>
      <c r="Q1312" s="153"/>
      <c r="R1312" s="153"/>
      <c r="S1312" s="153"/>
      <c r="T1312" s="153" t="e">
        <f t="shared" ref="T1312:X1321" si="708">T156+T202+T240+T279+T317+T357+T394+T434+T475+T517+T556+T594+T630+T667+T705+T741+T779+T817+T855+T893+T931+T969+T1007+T1046+T1085+T1123+T1161+T1199+T1237+T1275</f>
        <v>#VALUE!</v>
      </c>
      <c r="U1312" s="153" t="e">
        <f t="shared" si="708"/>
        <v>#VALUE!</v>
      </c>
      <c r="V1312" s="153" t="e">
        <f t="shared" si="708"/>
        <v>#VALUE!</v>
      </c>
      <c r="W1312" s="153">
        <f t="shared" si="708"/>
        <v>0</v>
      </c>
      <c r="X1312" s="153">
        <f t="shared" si="708"/>
        <v>0</v>
      </c>
      <c r="Y1312" s="255">
        <f>B1312*300+D1312*300+E1312*300+F1312*150+G1312*150+H1312*120+I1312*40+J1312*40+K1312*390+L1312*400+M1312*400+N1312*390+O1312*390+P1312*80+Q1312*200+R1312*300+S1312*300</f>
        <v>0</v>
      </c>
      <c r="Z1312" s="308"/>
      <c r="AA1312" s="263">
        <f t="shared" ref="AA1312:AA1342" si="709">Y1312+Z1312</f>
        <v>0</v>
      </c>
      <c r="AB1312" s="308"/>
      <c r="AC1312" s="308"/>
      <c r="AD1312" s="319">
        <f t="shared" ref="AD1312:AD1342" si="710">AA1312-AB1312-AC1312</f>
        <v>0</v>
      </c>
    </row>
    <row r="1313" spans="1:30" ht="30.75" thickBot="1">
      <c r="A1313" s="67">
        <f>A1312+1</f>
        <v>44867</v>
      </c>
      <c r="B1313" s="153"/>
      <c r="C1313" s="153"/>
      <c r="D1313" s="153"/>
      <c r="E1313" s="153"/>
      <c r="F1313" s="153"/>
      <c r="G1313" s="153"/>
      <c r="H1313" s="153"/>
      <c r="I1313" s="153"/>
      <c r="J1313" s="153"/>
      <c r="K1313" s="153"/>
      <c r="L1313" s="153"/>
      <c r="M1313" s="153"/>
      <c r="N1313" s="153"/>
      <c r="O1313" s="153"/>
      <c r="P1313" s="153"/>
      <c r="Q1313" s="153"/>
      <c r="R1313" s="153"/>
      <c r="S1313" s="153"/>
      <c r="T1313" s="153" t="e">
        <f t="shared" si="708"/>
        <v>#VALUE!</v>
      </c>
      <c r="U1313" s="153" t="e">
        <f t="shared" si="708"/>
        <v>#VALUE!</v>
      </c>
      <c r="V1313" s="153" t="e">
        <f t="shared" si="708"/>
        <v>#VALUE!</v>
      </c>
      <c r="W1313" s="153">
        <f t="shared" si="708"/>
        <v>0</v>
      </c>
      <c r="X1313" s="153">
        <f t="shared" si="708"/>
        <v>0</v>
      </c>
      <c r="Y1313" s="255">
        <f t="shared" ref="Y1313:Y1342" si="711">B1313*300+D1313*300+E1313*300+F1313*150+G1313*150+H1313*120+I1313*40+J1313*40+K1313*390+L1313*400+M1313*400+N1313*390+O1313*390+P1313*80+Q1313*200+R1313*300+S1313*300</f>
        <v>0</v>
      </c>
      <c r="Z1313" s="309">
        <f t="shared" ref="Z1313:Z1342" si="712">AD1312</f>
        <v>0</v>
      </c>
      <c r="AA1313" s="256">
        <f t="shared" si="709"/>
        <v>0</v>
      </c>
      <c r="AB1313" s="309"/>
      <c r="AC1313" s="309"/>
      <c r="AD1313" s="320">
        <f t="shared" si="710"/>
        <v>0</v>
      </c>
    </row>
    <row r="1314" spans="1:30" ht="30.75" thickBot="1">
      <c r="A1314" s="67">
        <f t="shared" ref="A1314:A1342" si="713">A1313+1</f>
        <v>44868</v>
      </c>
      <c r="B1314" s="153"/>
      <c r="C1314" s="153"/>
      <c r="D1314" s="153"/>
      <c r="E1314" s="153"/>
      <c r="F1314" s="153"/>
      <c r="G1314" s="153"/>
      <c r="H1314" s="153"/>
      <c r="I1314" s="153"/>
      <c r="J1314" s="153"/>
      <c r="K1314" s="153"/>
      <c r="L1314" s="153"/>
      <c r="M1314" s="153"/>
      <c r="N1314" s="153"/>
      <c r="O1314" s="153"/>
      <c r="P1314" s="153"/>
      <c r="Q1314" s="153"/>
      <c r="R1314" s="153"/>
      <c r="S1314" s="153"/>
      <c r="T1314" s="153" t="e">
        <f t="shared" si="708"/>
        <v>#VALUE!</v>
      </c>
      <c r="U1314" s="153" t="e">
        <f t="shared" si="708"/>
        <v>#VALUE!</v>
      </c>
      <c r="V1314" s="153" t="e">
        <f t="shared" si="708"/>
        <v>#VALUE!</v>
      </c>
      <c r="W1314" s="153">
        <f t="shared" si="708"/>
        <v>0</v>
      </c>
      <c r="X1314" s="153">
        <f t="shared" si="708"/>
        <v>0</v>
      </c>
      <c r="Y1314" s="255">
        <f t="shared" si="711"/>
        <v>0</v>
      </c>
      <c r="Z1314" s="309">
        <f t="shared" si="712"/>
        <v>0</v>
      </c>
      <c r="AA1314" s="256">
        <f t="shared" si="709"/>
        <v>0</v>
      </c>
      <c r="AB1314" s="309"/>
      <c r="AC1314" s="309"/>
      <c r="AD1314" s="320">
        <f t="shared" si="710"/>
        <v>0</v>
      </c>
    </row>
    <row r="1315" spans="1:30" ht="30.75" thickBot="1">
      <c r="A1315" s="67">
        <f t="shared" si="713"/>
        <v>44869</v>
      </c>
      <c r="B1315" s="153"/>
      <c r="C1315" s="153"/>
      <c r="D1315" s="153"/>
      <c r="E1315" s="153"/>
      <c r="F1315" s="153"/>
      <c r="G1315" s="153"/>
      <c r="H1315" s="153"/>
      <c r="I1315" s="153"/>
      <c r="J1315" s="153"/>
      <c r="K1315" s="153"/>
      <c r="L1315" s="153"/>
      <c r="M1315" s="153"/>
      <c r="N1315" s="153"/>
      <c r="O1315" s="153"/>
      <c r="P1315" s="153"/>
      <c r="Q1315" s="153"/>
      <c r="R1315" s="153"/>
      <c r="S1315" s="153"/>
      <c r="T1315" s="153" t="e">
        <f t="shared" si="708"/>
        <v>#VALUE!</v>
      </c>
      <c r="U1315" s="153" t="e">
        <f t="shared" si="708"/>
        <v>#VALUE!</v>
      </c>
      <c r="V1315" s="153" t="e">
        <f t="shared" si="708"/>
        <v>#VALUE!</v>
      </c>
      <c r="W1315" s="153">
        <f t="shared" si="708"/>
        <v>0</v>
      </c>
      <c r="X1315" s="153">
        <f t="shared" si="708"/>
        <v>0</v>
      </c>
      <c r="Y1315" s="255">
        <f t="shared" si="711"/>
        <v>0</v>
      </c>
      <c r="Z1315" s="309">
        <f t="shared" si="712"/>
        <v>0</v>
      </c>
      <c r="AA1315" s="256">
        <f t="shared" si="709"/>
        <v>0</v>
      </c>
      <c r="AB1315" s="309"/>
      <c r="AC1315" s="309"/>
      <c r="AD1315" s="320">
        <f t="shared" si="710"/>
        <v>0</v>
      </c>
    </row>
    <row r="1316" spans="1:30" ht="30.75" thickBot="1">
      <c r="A1316" s="67">
        <f t="shared" si="713"/>
        <v>44870</v>
      </c>
      <c r="B1316" s="153"/>
      <c r="C1316" s="153"/>
      <c r="D1316" s="153"/>
      <c r="E1316" s="153"/>
      <c r="F1316" s="153"/>
      <c r="G1316" s="153"/>
      <c r="H1316" s="153"/>
      <c r="I1316" s="153"/>
      <c r="J1316" s="153"/>
      <c r="K1316" s="153"/>
      <c r="L1316" s="153"/>
      <c r="M1316" s="153"/>
      <c r="N1316" s="153"/>
      <c r="O1316" s="153"/>
      <c r="P1316" s="153"/>
      <c r="Q1316" s="153"/>
      <c r="R1316" s="153"/>
      <c r="S1316" s="153"/>
      <c r="T1316" s="153" t="e">
        <f t="shared" si="708"/>
        <v>#VALUE!</v>
      </c>
      <c r="U1316" s="153" t="e">
        <f t="shared" si="708"/>
        <v>#VALUE!</v>
      </c>
      <c r="V1316" s="153" t="e">
        <f t="shared" si="708"/>
        <v>#VALUE!</v>
      </c>
      <c r="W1316" s="153">
        <f t="shared" si="708"/>
        <v>0</v>
      </c>
      <c r="X1316" s="153">
        <f t="shared" si="708"/>
        <v>0</v>
      </c>
      <c r="Y1316" s="255">
        <f t="shared" si="711"/>
        <v>0</v>
      </c>
      <c r="Z1316" s="309">
        <f t="shared" si="712"/>
        <v>0</v>
      </c>
      <c r="AA1316" s="256">
        <f t="shared" si="709"/>
        <v>0</v>
      </c>
      <c r="AB1316" s="309"/>
      <c r="AC1316" s="309"/>
      <c r="AD1316" s="320">
        <f t="shared" si="710"/>
        <v>0</v>
      </c>
    </row>
    <row r="1317" spans="1:30" ht="30.75" thickBot="1">
      <c r="A1317" s="67">
        <f t="shared" si="713"/>
        <v>44871</v>
      </c>
      <c r="B1317" s="153"/>
      <c r="C1317" s="153"/>
      <c r="D1317" s="153"/>
      <c r="E1317" s="153"/>
      <c r="F1317" s="153"/>
      <c r="G1317" s="153"/>
      <c r="H1317" s="153"/>
      <c r="I1317" s="153"/>
      <c r="J1317" s="153"/>
      <c r="K1317" s="153"/>
      <c r="L1317" s="153"/>
      <c r="M1317" s="153"/>
      <c r="N1317" s="153"/>
      <c r="O1317" s="153"/>
      <c r="P1317" s="153"/>
      <c r="Q1317" s="153"/>
      <c r="R1317" s="153"/>
      <c r="S1317" s="153"/>
      <c r="T1317" s="153" t="e">
        <f t="shared" si="708"/>
        <v>#VALUE!</v>
      </c>
      <c r="U1317" s="153" t="e">
        <f t="shared" si="708"/>
        <v>#VALUE!</v>
      </c>
      <c r="V1317" s="153" t="e">
        <f t="shared" si="708"/>
        <v>#VALUE!</v>
      </c>
      <c r="W1317" s="153">
        <f t="shared" si="708"/>
        <v>0</v>
      </c>
      <c r="X1317" s="153">
        <f t="shared" si="708"/>
        <v>0</v>
      </c>
      <c r="Y1317" s="255">
        <f t="shared" si="711"/>
        <v>0</v>
      </c>
      <c r="Z1317" s="309">
        <f t="shared" si="712"/>
        <v>0</v>
      </c>
      <c r="AA1317" s="256">
        <f t="shared" si="709"/>
        <v>0</v>
      </c>
      <c r="AB1317" s="309"/>
      <c r="AC1317" s="309"/>
      <c r="AD1317" s="320">
        <f t="shared" si="710"/>
        <v>0</v>
      </c>
    </row>
    <row r="1318" spans="1:30" ht="30.75" thickBot="1">
      <c r="A1318" s="67">
        <f t="shared" si="713"/>
        <v>44872</v>
      </c>
      <c r="B1318" s="153"/>
      <c r="C1318" s="153"/>
      <c r="D1318" s="153"/>
      <c r="E1318" s="153"/>
      <c r="F1318" s="153"/>
      <c r="G1318" s="153"/>
      <c r="H1318" s="153"/>
      <c r="I1318" s="153"/>
      <c r="J1318" s="153"/>
      <c r="K1318" s="153"/>
      <c r="L1318" s="153"/>
      <c r="M1318" s="153"/>
      <c r="N1318" s="153"/>
      <c r="O1318" s="153"/>
      <c r="P1318" s="153"/>
      <c r="Q1318" s="153"/>
      <c r="R1318" s="153"/>
      <c r="S1318" s="153"/>
      <c r="T1318" s="153" t="e">
        <f t="shared" si="708"/>
        <v>#VALUE!</v>
      </c>
      <c r="U1318" s="153" t="e">
        <f t="shared" si="708"/>
        <v>#VALUE!</v>
      </c>
      <c r="V1318" s="153" t="e">
        <f t="shared" si="708"/>
        <v>#VALUE!</v>
      </c>
      <c r="W1318" s="153">
        <f t="shared" si="708"/>
        <v>0</v>
      </c>
      <c r="X1318" s="153">
        <f t="shared" si="708"/>
        <v>0</v>
      </c>
      <c r="Y1318" s="255">
        <f t="shared" si="711"/>
        <v>0</v>
      </c>
      <c r="Z1318" s="309">
        <f t="shared" si="712"/>
        <v>0</v>
      </c>
      <c r="AA1318" s="256">
        <f t="shared" si="709"/>
        <v>0</v>
      </c>
      <c r="AB1318" s="309"/>
      <c r="AC1318" s="309"/>
      <c r="AD1318" s="320">
        <f t="shared" si="710"/>
        <v>0</v>
      </c>
    </row>
    <row r="1319" spans="1:30" ht="30.75" thickBot="1">
      <c r="A1319" s="67">
        <f t="shared" si="713"/>
        <v>44873</v>
      </c>
      <c r="B1319" s="153"/>
      <c r="C1319" s="153"/>
      <c r="D1319" s="153"/>
      <c r="E1319" s="153"/>
      <c r="F1319" s="153"/>
      <c r="G1319" s="153"/>
      <c r="H1319" s="153"/>
      <c r="I1319" s="153"/>
      <c r="J1319" s="153"/>
      <c r="K1319" s="153"/>
      <c r="L1319" s="153"/>
      <c r="M1319" s="153"/>
      <c r="N1319" s="153"/>
      <c r="O1319" s="153"/>
      <c r="P1319" s="153"/>
      <c r="Q1319" s="153"/>
      <c r="R1319" s="153"/>
      <c r="S1319" s="153"/>
      <c r="T1319" s="153" t="e">
        <f t="shared" si="708"/>
        <v>#VALUE!</v>
      </c>
      <c r="U1319" s="153" t="e">
        <f t="shared" si="708"/>
        <v>#VALUE!</v>
      </c>
      <c r="V1319" s="153" t="e">
        <f t="shared" si="708"/>
        <v>#VALUE!</v>
      </c>
      <c r="W1319" s="153">
        <f t="shared" si="708"/>
        <v>0</v>
      </c>
      <c r="X1319" s="153">
        <f t="shared" si="708"/>
        <v>0</v>
      </c>
      <c r="Y1319" s="255">
        <f t="shared" si="711"/>
        <v>0</v>
      </c>
      <c r="Z1319" s="309">
        <f t="shared" si="712"/>
        <v>0</v>
      </c>
      <c r="AA1319" s="256">
        <f t="shared" si="709"/>
        <v>0</v>
      </c>
      <c r="AB1319" s="309"/>
      <c r="AC1319" s="309"/>
      <c r="AD1319" s="320">
        <f t="shared" si="710"/>
        <v>0</v>
      </c>
    </row>
    <row r="1320" spans="1:30" ht="30.75" thickBot="1">
      <c r="A1320" s="67">
        <f t="shared" si="713"/>
        <v>44874</v>
      </c>
      <c r="B1320" s="153"/>
      <c r="C1320" s="153"/>
      <c r="D1320" s="153"/>
      <c r="E1320" s="153"/>
      <c r="F1320" s="153"/>
      <c r="G1320" s="153"/>
      <c r="H1320" s="153"/>
      <c r="I1320" s="153"/>
      <c r="J1320" s="153"/>
      <c r="K1320" s="153"/>
      <c r="L1320" s="153"/>
      <c r="M1320" s="153"/>
      <c r="N1320" s="153"/>
      <c r="O1320" s="153"/>
      <c r="P1320" s="153"/>
      <c r="Q1320" s="153"/>
      <c r="R1320" s="153"/>
      <c r="S1320" s="153"/>
      <c r="T1320" s="153" t="e">
        <f t="shared" si="708"/>
        <v>#VALUE!</v>
      </c>
      <c r="U1320" s="153" t="e">
        <f t="shared" si="708"/>
        <v>#VALUE!</v>
      </c>
      <c r="V1320" s="153" t="e">
        <f t="shared" si="708"/>
        <v>#VALUE!</v>
      </c>
      <c r="W1320" s="153">
        <f t="shared" si="708"/>
        <v>0</v>
      </c>
      <c r="X1320" s="153">
        <f t="shared" si="708"/>
        <v>0</v>
      </c>
      <c r="Y1320" s="255">
        <f t="shared" si="711"/>
        <v>0</v>
      </c>
      <c r="Z1320" s="309">
        <f t="shared" si="712"/>
        <v>0</v>
      </c>
      <c r="AA1320" s="256">
        <f t="shared" si="709"/>
        <v>0</v>
      </c>
      <c r="AB1320" s="309"/>
      <c r="AC1320" s="309"/>
      <c r="AD1320" s="320">
        <f t="shared" si="710"/>
        <v>0</v>
      </c>
    </row>
    <row r="1321" spans="1:30" ht="30.75" thickBot="1">
      <c r="A1321" s="67">
        <f t="shared" si="713"/>
        <v>44875</v>
      </c>
      <c r="B1321" s="153"/>
      <c r="C1321" s="153"/>
      <c r="D1321" s="153"/>
      <c r="E1321" s="153"/>
      <c r="F1321" s="153"/>
      <c r="G1321" s="153"/>
      <c r="H1321" s="153"/>
      <c r="I1321" s="153"/>
      <c r="J1321" s="153"/>
      <c r="K1321" s="153"/>
      <c r="L1321" s="153"/>
      <c r="M1321" s="153"/>
      <c r="N1321" s="153"/>
      <c r="O1321" s="153"/>
      <c r="P1321" s="153"/>
      <c r="Q1321" s="153"/>
      <c r="R1321" s="153"/>
      <c r="S1321" s="153"/>
      <c r="T1321" s="153" t="e">
        <f t="shared" si="708"/>
        <v>#VALUE!</v>
      </c>
      <c r="U1321" s="153" t="e">
        <f t="shared" si="708"/>
        <v>#VALUE!</v>
      </c>
      <c r="V1321" s="153" t="e">
        <f t="shared" si="708"/>
        <v>#VALUE!</v>
      </c>
      <c r="W1321" s="153">
        <f t="shared" si="708"/>
        <v>0</v>
      </c>
      <c r="X1321" s="153">
        <f t="shared" si="708"/>
        <v>0</v>
      </c>
      <c r="Y1321" s="255">
        <f t="shared" si="711"/>
        <v>0</v>
      </c>
      <c r="Z1321" s="309">
        <f t="shared" si="712"/>
        <v>0</v>
      </c>
      <c r="AA1321" s="256">
        <f t="shared" si="709"/>
        <v>0</v>
      </c>
      <c r="AB1321" s="309"/>
      <c r="AC1321" s="309"/>
      <c r="AD1321" s="320">
        <f t="shared" si="710"/>
        <v>0</v>
      </c>
    </row>
    <row r="1322" spans="1:30" ht="30.75" thickBot="1">
      <c r="A1322" s="67">
        <f t="shared" si="713"/>
        <v>44876</v>
      </c>
      <c r="B1322" s="153"/>
      <c r="C1322" s="153"/>
      <c r="D1322" s="153"/>
      <c r="E1322" s="153"/>
      <c r="F1322" s="153"/>
      <c r="G1322" s="153"/>
      <c r="H1322" s="153"/>
      <c r="I1322" s="153"/>
      <c r="J1322" s="153"/>
      <c r="K1322" s="153"/>
      <c r="L1322" s="153"/>
      <c r="M1322" s="153"/>
      <c r="N1322" s="153"/>
      <c r="O1322" s="153"/>
      <c r="P1322" s="153"/>
      <c r="Q1322" s="153"/>
      <c r="R1322" s="153"/>
      <c r="S1322" s="153"/>
      <c r="T1322" s="153" t="e">
        <f t="shared" ref="T1322:X1331" si="714">T166+T212+T250+T289+T327+T367+T404+T444+T485+T527+T566+T604+T640+T677+T715+T751+T789+T827+T865+T903+T941+T979+T1017+T1056+T1095+T1133+T1171+T1209+T1247+T1285</f>
        <v>#VALUE!</v>
      </c>
      <c r="U1322" s="153" t="e">
        <f t="shared" si="714"/>
        <v>#VALUE!</v>
      </c>
      <c r="V1322" s="153" t="e">
        <f t="shared" si="714"/>
        <v>#VALUE!</v>
      </c>
      <c r="W1322" s="153">
        <f t="shared" si="714"/>
        <v>0</v>
      </c>
      <c r="X1322" s="153">
        <f t="shared" si="714"/>
        <v>0</v>
      </c>
      <c r="Y1322" s="255">
        <f t="shared" si="711"/>
        <v>0</v>
      </c>
      <c r="Z1322" s="309">
        <f t="shared" si="712"/>
        <v>0</v>
      </c>
      <c r="AA1322" s="256">
        <f t="shared" si="709"/>
        <v>0</v>
      </c>
      <c r="AB1322" s="309"/>
      <c r="AC1322" s="309"/>
      <c r="AD1322" s="320">
        <f t="shared" si="710"/>
        <v>0</v>
      </c>
    </row>
    <row r="1323" spans="1:30" ht="30.75" thickBot="1">
      <c r="A1323" s="67">
        <f t="shared" si="713"/>
        <v>44877</v>
      </c>
      <c r="B1323" s="153"/>
      <c r="C1323" s="153"/>
      <c r="D1323" s="153"/>
      <c r="E1323" s="153"/>
      <c r="F1323" s="153"/>
      <c r="G1323" s="153"/>
      <c r="H1323" s="153"/>
      <c r="I1323" s="153"/>
      <c r="J1323" s="153"/>
      <c r="K1323" s="153"/>
      <c r="L1323" s="153"/>
      <c r="M1323" s="153"/>
      <c r="N1323" s="153"/>
      <c r="O1323" s="153"/>
      <c r="P1323" s="153"/>
      <c r="Q1323" s="153"/>
      <c r="R1323" s="153"/>
      <c r="S1323" s="153"/>
      <c r="T1323" s="153" t="e">
        <f t="shared" si="714"/>
        <v>#VALUE!</v>
      </c>
      <c r="U1323" s="153" t="e">
        <f t="shared" si="714"/>
        <v>#VALUE!</v>
      </c>
      <c r="V1323" s="153" t="e">
        <f t="shared" si="714"/>
        <v>#VALUE!</v>
      </c>
      <c r="W1323" s="153">
        <f t="shared" si="714"/>
        <v>0</v>
      </c>
      <c r="X1323" s="153">
        <f t="shared" si="714"/>
        <v>0</v>
      </c>
      <c r="Y1323" s="255">
        <f t="shared" si="711"/>
        <v>0</v>
      </c>
      <c r="Z1323" s="309">
        <f t="shared" si="712"/>
        <v>0</v>
      </c>
      <c r="AA1323" s="256">
        <f t="shared" si="709"/>
        <v>0</v>
      </c>
      <c r="AB1323" s="309"/>
      <c r="AC1323" s="309"/>
      <c r="AD1323" s="320">
        <f t="shared" si="710"/>
        <v>0</v>
      </c>
    </row>
    <row r="1324" spans="1:30" ht="30.75" thickBot="1">
      <c r="A1324" s="67">
        <f t="shared" si="713"/>
        <v>44878</v>
      </c>
      <c r="B1324" s="153"/>
      <c r="C1324" s="153"/>
      <c r="D1324" s="153"/>
      <c r="E1324" s="153"/>
      <c r="F1324" s="153"/>
      <c r="G1324" s="153"/>
      <c r="H1324" s="153"/>
      <c r="I1324" s="153"/>
      <c r="J1324" s="153"/>
      <c r="K1324" s="153"/>
      <c r="L1324" s="153"/>
      <c r="M1324" s="153"/>
      <c r="N1324" s="153"/>
      <c r="O1324" s="153"/>
      <c r="P1324" s="153"/>
      <c r="Q1324" s="153"/>
      <c r="R1324" s="153"/>
      <c r="S1324" s="153"/>
      <c r="T1324" s="153" t="e">
        <f t="shared" si="714"/>
        <v>#VALUE!</v>
      </c>
      <c r="U1324" s="153" t="e">
        <f t="shared" si="714"/>
        <v>#VALUE!</v>
      </c>
      <c r="V1324" s="153" t="e">
        <f t="shared" si="714"/>
        <v>#VALUE!</v>
      </c>
      <c r="W1324" s="153">
        <f t="shared" si="714"/>
        <v>0</v>
      </c>
      <c r="X1324" s="153">
        <f t="shared" si="714"/>
        <v>0</v>
      </c>
      <c r="Y1324" s="255">
        <f t="shared" si="711"/>
        <v>0</v>
      </c>
      <c r="Z1324" s="309">
        <f t="shared" si="712"/>
        <v>0</v>
      </c>
      <c r="AA1324" s="256">
        <f t="shared" si="709"/>
        <v>0</v>
      </c>
      <c r="AB1324" s="309"/>
      <c r="AC1324" s="309"/>
      <c r="AD1324" s="320">
        <f t="shared" si="710"/>
        <v>0</v>
      </c>
    </row>
    <row r="1325" spans="1:30" ht="30.75" thickBot="1">
      <c r="A1325" s="67">
        <f t="shared" si="713"/>
        <v>44879</v>
      </c>
      <c r="B1325" s="153"/>
      <c r="C1325" s="153"/>
      <c r="D1325" s="153"/>
      <c r="E1325" s="153"/>
      <c r="F1325" s="153"/>
      <c r="G1325" s="153"/>
      <c r="H1325" s="153"/>
      <c r="I1325" s="153"/>
      <c r="J1325" s="153"/>
      <c r="K1325" s="153"/>
      <c r="L1325" s="153"/>
      <c r="M1325" s="153"/>
      <c r="N1325" s="153"/>
      <c r="O1325" s="153"/>
      <c r="P1325" s="153"/>
      <c r="Q1325" s="153"/>
      <c r="R1325" s="153"/>
      <c r="S1325" s="153"/>
      <c r="T1325" s="153" t="e">
        <f t="shared" si="714"/>
        <v>#VALUE!</v>
      </c>
      <c r="U1325" s="153" t="e">
        <f t="shared" si="714"/>
        <v>#VALUE!</v>
      </c>
      <c r="V1325" s="153" t="e">
        <f t="shared" si="714"/>
        <v>#VALUE!</v>
      </c>
      <c r="W1325" s="153">
        <f t="shared" si="714"/>
        <v>0</v>
      </c>
      <c r="X1325" s="153">
        <f t="shared" si="714"/>
        <v>0</v>
      </c>
      <c r="Y1325" s="255">
        <f t="shared" si="711"/>
        <v>0</v>
      </c>
      <c r="Z1325" s="309">
        <f t="shared" si="712"/>
        <v>0</v>
      </c>
      <c r="AA1325" s="256">
        <f t="shared" si="709"/>
        <v>0</v>
      </c>
      <c r="AB1325" s="309"/>
      <c r="AC1325" s="309"/>
      <c r="AD1325" s="320">
        <f t="shared" si="710"/>
        <v>0</v>
      </c>
    </row>
    <row r="1326" spans="1:30" ht="30.75" thickBot="1">
      <c r="A1326" s="67">
        <f t="shared" si="713"/>
        <v>44880</v>
      </c>
      <c r="B1326" s="153"/>
      <c r="C1326" s="153"/>
      <c r="D1326" s="153"/>
      <c r="E1326" s="153"/>
      <c r="F1326" s="153"/>
      <c r="G1326" s="153"/>
      <c r="H1326" s="153"/>
      <c r="I1326" s="153"/>
      <c r="J1326" s="153"/>
      <c r="K1326" s="153"/>
      <c r="L1326" s="153"/>
      <c r="M1326" s="153"/>
      <c r="N1326" s="153"/>
      <c r="O1326" s="153"/>
      <c r="P1326" s="153"/>
      <c r="Q1326" s="153"/>
      <c r="R1326" s="153"/>
      <c r="S1326" s="153"/>
      <c r="T1326" s="153">
        <f t="shared" si="714"/>
        <v>0</v>
      </c>
      <c r="U1326" s="153">
        <f t="shared" si="714"/>
        <v>0</v>
      </c>
      <c r="V1326" s="153">
        <f t="shared" si="714"/>
        <v>0</v>
      </c>
      <c r="W1326" s="153">
        <f t="shared" si="714"/>
        <v>0</v>
      </c>
      <c r="X1326" s="153">
        <f t="shared" si="714"/>
        <v>0</v>
      </c>
      <c r="Y1326" s="255">
        <f t="shared" si="711"/>
        <v>0</v>
      </c>
      <c r="Z1326" s="309">
        <f t="shared" si="712"/>
        <v>0</v>
      </c>
      <c r="AA1326" s="256">
        <f t="shared" si="709"/>
        <v>0</v>
      </c>
      <c r="AB1326" s="309"/>
      <c r="AC1326" s="309"/>
      <c r="AD1326" s="320">
        <f t="shared" si="710"/>
        <v>0</v>
      </c>
    </row>
    <row r="1327" spans="1:30" ht="30.75" thickBot="1">
      <c r="A1327" s="67">
        <f t="shared" si="713"/>
        <v>44881</v>
      </c>
      <c r="B1327" s="153"/>
      <c r="C1327" s="153"/>
      <c r="D1327" s="153"/>
      <c r="E1327" s="153"/>
      <c r="F1327" s="153"/>
      <c r="G1327" s="153"/>
      <c r="H1327" s="153"/>
      <c r="I1327" s="153"/>
      <c r="J1327" s="153"/>
      <c r="K1327" s="153"/>
      <c r="L1327" s="153"/>
      <c r="M1327" s="153"/>
      <c r="N1327" s="153"/>
      <c r="O1327" s="153"/>
      <c r="P1327" s="153"/>
      <c r="Q1327" s="153"/>
      <c r="R1327" s="153"/>
      <c r="S1327" s="153"/>
      <c r="T1327" s="153">
        <f t="shared" si="714"/>
        <v>0</v>
      </c>
      <c r="U1327" s="153">
        <f t="shared" si="714"/>
        <v>0</v>
      </c>
      <c r="V1327" s="153">
        <f t="shared" si="714"/>
        <v>0</v>
      </c>
      <c r="W1327" s="153">
        <f t="shared" si="714"/>
        <v>0</v>
      </c>
      <c r="X1327" s="153">
        <f t="shared" si="714"/>
        <v>0</v>
      </c>
      <c r="Y1327" s="255">
        <f t="shared" si="711"/>
        <v>0</v>
      </c>
      <c r="Z1327" s="309">
        <f t="shared" si="712"/>
        <v>0</v>
      </c>
      <c r="AA1327" s="256">
        <f t="shared" si="709"/>
        <v>0</v>
      </c>
      <c r="AB1327" s="309"/>
      <c r="AC1327" s="309"/>
      <c r="AD1327" s="320">
        <f t="shared" si="710"/>
        <v>0</v>
      </c>
    </row>
    <row r="1328" spans="1:30" ht="30.75" thickBot="1">
      <c r="A1328" s="67">
        <f t="shared" si="713"/>
        <v>44882</v>
      </c>
      <c r="B1328" s="153"/>
      <c r="C1328" s="153"/>
      <c r="D1328" s="153"/>
      <c r="E1328" s="153"/>
      <c r="F1328" s="153"/>
      <c r="G1328" s="153"/>
      <c r="H1328" s="153"/>
      <c r="I1328" s="153"/>
      <c r="J1328" s="153"/>
      <c r="K1328" s="153"/>
      <c r="L1328" s="153"/>
      <c r="M1328" s="153"/>
      <c r="N1328" s="153"/>
      <c r="O1328" s="153"/>
      <c r="P1328" s="153"/>
      <c r="Q1328" s="153"/>
      <c r="R1328" s="153"/>
      <c r="S1328" s="153"/>
      <c r="T1328" s="153">
        <f t="shared" si="714"/>
        <v>0</v>
      </c>
      <c r="U1328" s="153">
        <f t="shared" si="714"/>
        <v>0</v>
      </c>
      <c r="V1328" s="153">
        <f t="shared" si="714"/>
        <v>0</v>
      </c>
      <c r="W1328" s="153">
        <f t="shared" si="714"/>
        <v>0</v>
      </c>
      <c r="X1328" s="153">
        <f t="shared" si="714"/>
        <v>0</v>
      </c>
      <c r="Y1328" s="255">
        <f t="shared" si="711"/>
        <v>0</v>
      </c>
      <c r="Z1328" s="309">
        <f t="shared" si="712"/>
        <v>0</v>
      </c>
      <c r="AA1328" s="256">
        <f t="shared" si="709"/>
        <v>0</v>
      </c>
      <c r="AB1328" s="309"/>
      <c r="AC1328" s="309"/>
      <c r="AD1328" s="320">
        <f t="shared" si="710"/>
        <v>0</v>
      </c>
    </row>
    <row r="1329" spans="1:30" ht="30.75" thickBot="1">
      <c r="A1329" s="67">
        <f t="shared" si="713"/>
        <v>44883</v>
      </c>
      <c r="B1329" s="153"/>
      <c r="C1329" s="153"/>
      <c r="D1329" s="153"/>
      <c r="E1329" s="153"/>
      <c r="F1329" s="153"/>
      <c r="G1329" s="153"/>
      <c r="H1329" s="153"/>
      <c r="I1329" s="153"/>
      <c r="J1329" s="153"/>
      <c r="K1329" s="153"/>
      <c r="L1329" s="153"/>
      <c r="M1329" s="153"/>
      <c r="N1329" s="153"/>
      <c r="O1329" s="153"/>
      <c r="P1329" s="153"/>
      <c r="Q1329" s="153"/>
      <c r="R1329" s="153"/>
      <c r="S1329" s="153"/>
      <c r="T1329" s="153">
        <f t="shared" si="714"/>
        <v>0</v>
      </c>
      <c r="U1329" s="153">
        <f t="shared" si="714"/>
        <v>0</v>
      </c>
      <c r="V1329" s="153">
        <f t="shared" si="714"/>
        <v>0</v>
      </c>
      <c r="W1329" s="153">
        <f t="shared" si="714"/>
        <v>0</v>
      </c>
      <c r="X1329" s="153">
        <f t="shared" si="714"/>
        <v>0</v>
      </c>
      <c r="Y1329" s="255">
        <f t="shared" si="711"/>
        <v>0</v>
      </c>
      <c r="Z1329" s="309">
        <f t="shared" si="712"/>
        <v>0</v>
      </c>
      <c r="AA1329" s="256">
        <f t="shared" si="709"/>
        <v>0</v>
      </c>
      <c r="AB1329" s="309"/>
      <c r="AC1329" s="309"/>
      <c r="AD1329" s="320">
        <f t="shared" si="710"/>
        <v>0</v>
      </c>
    </row>
    <row r="1330" spans="1:30" ht="30.75" thickBot="1">
      <c r="A1330" s="67">
        <f t="shared" si="713"/>
        <v>44884</v>
      </c>
      <c r="B1330" s="153"/>
      <c r="C1330" s="153"/>
      <c r="D1330" s="153"/>
      <c r="E1330" s="153"/>
      <c r="F1330" s="153"/>
      <c r="G1330" s="153"/>
      <c r="H1330" s="153"/>
      <c r="I1330" s="153"/>
      <c r="J1330" s="153"/>
      <c r="K1330" s="153"/>
      <c r="L1330" s="153"/>
      <c r="M1330" s="153"/>
      <c r="N1330" s="153"/>
      <c r="O1330" s="153"/>
      <c r="P1330" s="153"/>
      <c r="Q1330" s="153"/>
      <c r="R1330" s="153"/>
      <c r="S1330" s="153"/>
      <c r="T1330" s="153">
        <f t="shared" si="714"/>
        <v>0</v>
      </c>
      <c r="U1330" s="153">
        <f t="shared" si="714"/>
        <v>0</v>
      </c>
      <c r="V1330" s="153">
        <f t="shared" si="714"/>
        <v>0</v>
      </c>
      <c r="W1330" s="153">
        <f t="shared" si="714"/>
        <v>0</v>
      </c>
      <c r="X1330" s="153">
        <f t="shared" si="714"/>
        <v>0</v>
      </c>
      <c r="Y1330" s="255">
        <f t="shared" si="711"/>
        <v>0</v>
      </c>
      <c r="Z1330" s="309">
        <f t="shared" si="712"/>
        <v>0</v>
      </c>
      <c r="AA1330" s="256">
        <f t="shared" si="709"/>
        <v>0</v>
      </c>
      <c r="AB1330" s="309"/>
      <c r="AC1330" s="309"/>
      <c r="AD1330" s="320">
        <f t="shared" si="710"/>
        <v>0</v>
      </c>
    </row>
    <row r="1331" spans="1:30" ht="30.75" thickBot="1">
      <c r="A1331" s="67">
        <f t="shared" si="713"/>
        <v>44885</v>
      </c>
      <c r="B1331" s="153"/>
      <c r="C1331" s="153"/>
      <c r="D1331" s="153"/>
      <c r="E1331" s="153"/>
      <c r="F1331" s="153"/>
      <c r="G1331" s="153"/>
      <c r="H1331" s="153"/>
      <c r="I1331" s="153"/>
      <c r="J1331" s="153"/>
      <c r="K1331" s="153"/>
      <c r="L1331" s="153"/>
      <c r="M1331" s="153"/>
      <c r="N1331" s="153"/>
      <c r="O1331" s="153"/>
      <c r="P1331" s="153"/>
      <c r="Q1331" s="153"/>
      <c r="R1331" s="153"/>
      <c r="S1331" s="153"/>
      <c r="T1331" s="153">
        <f t="shared" si="714"/>
        <v>0</v>
      </c>
      <c r="U1331" s="153">
        <f t="shared" si="714"/>
        <v>0</v>
      </c>
      <c r="V1331" s="153">
        <f t="shared" si="714"/>
        <v>0</v>
      </c>
      <c r="W1331" s="153">
        <f t="shared" si="714"/>
        <v>0</v>
      </c>
      <c r="X1331" s="153">
        <f t="shared" si="714"/>
        <v>0</v>
      </c>
      <c r="Y1331" s="255">
        <f t="shared" si="711"/>
        <v>0</v>
      </c>
      <c r="Z1331" s="309">
        <f t="shared" si="712"/>
        <v>0</v>
      </c>
      <c r="AA1331" s="256">
        <f t="shared" si="709"/>
        <v>0</v>
      </c>
      <c r="AB1331" s="309"/>
      <c r="AC1331" s="309"/>
      <c r="AD1331" s="320">
        <f t="shared" si="710"/>
        <v>0</v>
      </c>
    </row>
    <row r="1332" spans="1:30" ht="30.75" thickBot="1">
      <c r="A1332" s="67">
        <f t="shared" si="713"/>
        <v>44886</v>
      </c>
      <c r="B1332" s="153"/>
      <c r="C1332" s="153"/>
      <c r="D1332" s="153"/>
      <c r="E1332" s="153"/>
      <c r="F1332" s="153"/>
      <c r="G1332" s="153"/>
      <c r="H1332" s="153"/>
      <c r="I1332" s="153"/>
      <c r="J1332" s="153"/>
      <c r="K1332" s="153"/>
      <c r="L1332" s="153"/>
      <c r="M1332" s="153"/>
      <c r="N1332" s="153"/>
      <c r="O1332" s="153"/>
      <c r="P1332" s="153"/>
      <c r="Q1332" s="153"/>
      <c r="R1332" s="153"/>
      <c r="S1332" s="153"/>
      <c r="T1332" s="153">
        <f t="shared" ref="T1332:X1341" si="715">T176+T222+T260+T299+T337+T377+T414+T454+T495+T537+T576+T614+T650+T687+T725+T761+T799+T837+T875+T913+T951+T989+T1027+T1066+T1105+T1143+T1181+T1219+T1257+T1295</f>
        <v>0</v>
      </c>
      <c r="U1332" s="153">
        <f t="shared" si="715"/>
        <v>0</v>
      </c>
      <c r="V1332" s="153">
        <f t="shared" si="715"/>
        <v>0</v>
      </c>
      <c r="W1332" s="153">
        <f t="shared" si="715"/>
        <v>0</v>
      </c>
      <c r="X1332" s="153">
        <f t="shared" si="715"/>
        <v>0</v>
      </c>
      <c r="Y1332" s="255">
        <f t="shared" si="711"/>
        <v>0</v>
      </c>
      <c r="Z1332" s="309">
        <f t="shared" si="712"/>
        <v>0</v>
      </c>
      <c r="AA1332" s="256">
        <f t="shared" si="709"/>
        <v>0</v>
      </c>
      <c r="AB1332" s="309"/>
      <c r="AC1332" s="309"/>
      <c r="AD1332" s="320">
        <f t="shared" si="710"/>
        <v>0</v>
      </c>
    </row>
    <row r="1333" spans="1:30" ht="30.75" thickBot="1">
      <c r="A1333" s="67">
        <f t="shared" si="713"/>
        <v>44887</v>
      </c>
      <c r="B1333" s="153"/>
      <c r="C1333" s="153"/>
      <c r="D1333" s="153"/>
      <c r="E1333" s="153"/>
      <c r="F1333" s="153"/>
      <c r="G1333" s="153"/>
      <c r="H1333" s="153"/>
      <c r="I1333" s="153"/>
      <c r="J1333" s="153"/>
      <c r="K1333" s="153"/>
      <c r="L1333" s="153"/>
      <c r="M1333" s="153"/>
      <c r="N1333" s="153"/>
      <c r="O1333" s="153"/>
      <c r="P1333" s="153"/>
      <c r="Q1333" s="153"/>
      <c r="R1333" s="153"/>
      <c r="S1333" s="153"/>
      <c r="T1333" s="153">
        <f t="shared" si="715"/>
        <v>0</v>
      </c>
      <c r="U1333" s="153">
        <f t="shared" si="715"/>
        <v>0</v>
      </c>
      <c r="V1333" s="153">
        <f t="shared" si="715"/>
        <v>0</v>
      </c>
      <c r="W1333" s="153">
        <f t="shared" si="715"/>
        <v>0</v>
      </c>
      <c r="X1333" s="153">
        <f t="shared" si="715"/>
        <v>0</v>
      </c>
      <c r="Y1333" s="255">
        <f t="shared" si="711"/>
        <v>0</v>
      </c>
      <c r="Z1333" s="309">
        <f t="shared" si="712"/>
        <v>0</v>
      </c>
      <c r="AA1333" s="256">
        <f t="shared" si="709"/>
        <v>0</v>
      </c>
      <c r="AB1333" s="309"/>
      <c r="AC1333" s="309"/>
      <c r="AD1333" s="320">
        <f t="shared" si="710"/>
        <v>0</v>
      </c>
    </row>
    <row r="1334" spans="1:30" ht="30.75" thickBot="1">
      <c r="A1334" s="67">
        <f t="shared" si="713"/>
        <v>44888</v>
      </c>
      <c r="B1334" s="153"/>
      <c r="C1334" s="153"/>
      <c r="D1334" s="153"/>
      <c r="E1334" s="153"/>
      <c r="F1334" s="153"/>
      <c r="G1334" s="153"/>
      <c r="H1334" s="153"/>
      <c r="I1334" s="153"/>
      <c r="J1334" s="153"/>
      <c r="K1334" s="153"/>
      <c r="L1334" s="153"/>
      <c r="M1334" s="153"/>
      <c r="N1334" s="153"/>
      <c r="O1334" s="153"/>
      <c r="P1334" s="153"/>
      <c r="Q1334" s="153"/>
      <c r="R1334" s="153"/>
      <c r="S1334" s="153"/>
      <c r="T1334" s="153">
        <f t="shared" si="715"/>
        <v>0</v>
      </c>
      <c r="U1334" s="153">
        <f t="shared" si="715"/>
        <v>0</v>
      </c>
      <c r="V1334" s="153">
        <f t="shared" si="715"/>
        <v>0</v>
      </c>
      <c r="W1334" s="153">
        <f t="shared" si="715"/>
        <v>0</v>
      </c>
      <c r="X1334" s="153">
        <f t="shared" si="715"/>
        <v>0</v>
      </c>
      <c r="Y1334" s="255">
        <f t="shared" si="711"/>
        <v>0</v>
      </c>
      <c r="Z1334" s="309">
        <f t="shared" si="712"/>
        <v>0</v>
      </c>
      <c r="AA1334" s="256">
        <f t="shared" si="709"/>
        <v>0</v>
      </c>
      <c r="AB1334" s="309"/>
      <c r="AC1334" s="309"/>
      <c r="AD1334" s="320">
        <f t="shared" si="710"/>
        <v>0</v>
      </c>
    </row>
    <row r="1335" spans="1:30" ht="30.75" thickBot="1">
      <c r="A1335" s="67">
        <f t="shared" si="713"/>
        <v>44889</v>
      </c>
      <c r="B1335" s="153"/>
      <c r="C1335" s="153"/>
      <c r="D1335" s="153"/>
      <c r="E1335" s="153"/>
      <c r="F1335" s="153"/>
      <c r="G1335" s="153"/>
      <c r="H1335" s="153"/>
      <c r="I1335" s="153"/>
      <c r="J1335" s="153"/>
      <c r="K1335" s="153"/>
      <c r="L1335" s="153"/>
      <c r="M1335" s="153"/>
      <c r="N1335" s="153"/>
      <c r="O1335" s="153"/>
      <c r="P1335" s="153"/>
      <c r="Q1335" s="153"/>
      <c r="R1335" s="153"/>
      <c r="S1335" s="153"/>
      <c r="T1335" s="153">
        <f t="shared" si="715"/>
        <v>0</v>
      </c>
      <c r="U1335" s="153">
        <f t="shared" si="715"/>
        <v>0</v>
      </c>
      <c r="V1335" s="153">
        <f t="shared" si="715"/>
        <v>0</v>
      </c>
      <c r="W1335" s="153">
        <f t="shared" si="715"/>
        <v>0</v>
      </c>
      <c r="X1335" s="153">
        <f t="shared" si="715"/>
        <v>0</v>
      </c>
      <c r="Y1335" s="255">
        <f t="shared" si="711"/>
        <v>0</v>
      </c>
      <c r="Z1335" s="309">
        <f t="shared" si="712"/>
        <v>0</v>
      </c>
      <c r="AA1335" s="256">
        <f t="shared" si="709"/>
        <v>0</v>
      </c>
      <c r="AB1335" s="309"/>
      <c r="AC1335" s="309"/>
      <c r="AD1335" s="320">
        <f t="shared" si="710"/>
        <v>0</v>
      </c>
    </row>
    <row r="1336" spans="1:30" ht="30.75" thickBot="1">
      <c r="A1336" s="67">
        <f t="shared" si="713"/>
        <v>44890</v>
      </c>
      <c r="B1336" s="153"/>
      <c r="C1336" s="153"/>
      <c r="D1336" s="153"/>
      <c r="E1336" s="153"/>
      <c r="F1336" s="153"/>
      <c r="G1336" s="153"/>
      <c r="H1336" s="153"/>
      <c r="I1336" s="153"/>
      <c r="J1336" s="153"/>
      <c r="K1336" s="153"/>
      <c r="L1336" s="153"/>
      <c r="M1336" s="153"/>
      <c r="N1336" s="153"/>
      <c r="O1336" s="153"/>
      <c r="P1336" s="153"/>
      <c r="Q1336" s="153"/>
      <c r="R1336" s="153"/>
      <c r="S1336" s="153"/>
      <c r="T1336" s="153">
        <f t="shared" si="715"/>
        <v>0</v>
      </c>
      <c r="U1336" s="153">
        <f t="shared" si="715"/>
        <v>0</v>
      </c>
      <c r="V1336" s="153">
        <f t="shared" si="715"/>
        <v>0</v>
      </c>
      <c r="W1336" s="153">
        <f t="shared" si="715"/>
        <v>0</v>
      </c>
      <c r="X1336" s="153">
        <f t="shared" si="715"/>
        <v>0</v>
      </c>
      <c r="Y1336" s="255">
        <f t="shared" si="711"/>
        <v>0</v>
      </c>
      <c r="Z1336" s="309">
        <f t="shared" si="712"/>
        <v>0</v>
      </c>
      <c r="AA1336" s="256">
        <f t="shared" si="709"/>
        <v>0</v>
      </c>
      <c r="AB1336" s="309"/>
      <c r="AC1336" s="309"/>
      <c r="AD1336" s="320">
        <f t="shared" si="710"/>
        <v>0</v>
      </c>
    </row>
    <row r="1337" spans="1:30" ht="30.75" thickBot="1">
      <c r="A1337" s="67">
        <f t="shared" si="713"/>
        <v>44891</v>
      </c>
      <c r="B1337" s="153"/>
      <c r="C1337" s="153"/>
      <c r="D1337" s="153"/>
      <c r="E1337" s="153"/>
      <c r="F1337" s="153"/>
      <c r="G1337" s="153"/>
      <c r="H1337" s="153"/>
      <c r="I1337" s="153"/>
      <c r="J1337" s="153"/>
      <c r="K1337" s="153"/>
      <c r="L1337" s="153"/>
      <c r="M1337" s="153"/>
      <c r="N1337" s="153"/>
      <c r="O1337" s="153"/>
      <c r="P1337" s="153"/>
      <c r="Q1337" s="153"/>
      <c r="R1337" s="153"/>
      <c r="S1337" s="153"/>
      <c r="T1337" s="153">
        <f t="shared" si="715"/>
        <v>0</v>
      </c>
      <c r="U1337" s="153">
        <f t="shared" si="715"/>
        <v>0</v>
      </c>
      <c r="V1337" s="153">
        <f t="shared" si="715"/>
        <v>0</v>
      </c>
      <c r="W1337" s="153">
        <f t="shared" si="715"/>
        <v>0</v>
      </c>
      <c r="X1337" s="153">
        <f t="shared" si="715"/>
        <v>0</v>
      </c>
      <c r="Y1337" s="255">
        <f t="shared" si="711"/>
        <v>0</v>
      </c>
      <c r="Z1337" s="309">
        <f t="shared" si="712"/>
        <v>0</v>
      </c>
      <c r="AA1337" s="256">
        <f t="shared" si="709"/>
        <v>0</v>
      </c>
      <c r="AB1337" s="309"/>
      <c r="AC1337" s="309"/>
      <c r="AD1337" s="320">
        <f t="shared" si="710"/>
        <v>0</v>
      </c>
    </row>
    <row r="1338" spans="1:30" ht="30.75" thickBot="1">
      <c r="A1338" s="67">
        <f t="shared" si="713"/>
        <v>44892</v>
      </c>
      <c r="B1338" s="153"/>
      <c r="C1338" s="153"/>
      <c r="D1338" s="153"/>
      <c r="E1338" s="153"/>
      <c r="F1338" s="153"/>
      <c r="G1338" s="153"/>
      <c r="H1338" s="153"/>
      <c r="I1338" s="153"/>
      <c r="J1338" s="153"/>
      <c r="K1338" s="153"/>
      <c r="L1338" s="153"/>
      <c r="M1338" s="153"/>
      <c r="N1338" s="153"/>
      <c r="O1338" s="153"/>
      <c r="P1338" s="153"/>
      <c r="Q1338" s="153"/>
      <c r="R1338" s="153"/>
      <c r="S1338" s="153"/>
      <c r="T1338" s="153">
        <f t="shared" si="715"/>
        <v>0</v>
      </c>
      <c r="U1338" s="153">
        <f t="shared" si="715"/>
        <v>0</v>
      </c>
      <c r="V1338" s="153">
        <f t="shared" si="715"/>
        <v>0</v>
      </c>
      <c r="W1338" s="153">
        <f t="shared" si="715"/>
        <v>0</v>
      </c>
      <c r="X1338" s="153">
        <f t="shared" si="715"/>
        <v>0</v>
      </c>
      <c r="Y1338" s="255">
        <f t="shared" si="711"/>
        <v>0</v>
      </c>
      <c r="Z1338" s="309">
        <f t="shared" si="712"/>
        <v>0</v>
      </c>
      <c r="AA1338" s="256">
        <f t="shared" si="709"/>
        <v>0</v>
      </c>
      <c r="AB1338" s="309"/>
      <c r="AC1338" s="309"/>
      <c r="AD1338" s="320">
        <f t="shared" si="710"/>
        <v>0</v>
      </c>
    </row>
    <row r="1339" spans="1:30" ht="30.75" thickBot="1">
      <c r="A1339" s="67">
        <f t="shared" si="713"/>
        <v>44893</v>
      </c>
      <c r="B1339" s="153"/>
      <c r="C1339" s="153"/>
      <c r="D1339" s="153"/>
      <c r="E1339" s="153"/>
      <c r="F1339" s="153"/>
      <c r="G1339" s="153"/>
      <c r="H1339" s="153"/>
      <c r="I1339" s="153"/>
      <c r="J1339" s="153"/>
      <c r="K1339" s="153"/>
      <c r="L1339" s="153"/>
      <c r="M1339" s="153"/>
      <c r="N1339" s="153"/>
      <c r="O1339" s="153"/>
      <c r="P1339" s="153"/>
      <c r="Q1339" s="153"/>
      <c r="R1339" s="153"/>
      <c r="S1339" s="153"/>
      <c r="T1339" s="153">
        <f t="shared" si="715"/>
        <v>0</v>
      </c>
      <c r="U1339" s="153">
        <f t="shared" si="715"/>
        <v>0</v>
      </c>
      <c r="V1339" s="153">
        <f t="shared" si="715"/>
        <v>0</v>
      </c>
      <c r="W1339" s="153">
        <f t="shared" si="715"/>
        <v>0</v>
      </c>
      <c r="X1339" s="153">
        <f t="shared" si="715"/>
        <v>0</v>
      </c>
      <c r="Y1339" s="255">
        <f t="shared" si="711"/>
        <v>0</v>
      </c>
      <c r="Z1339" s="309">
        <f t="shared" si="712"/>
        <v>0</v>
      </c>
      <c r="AA1339" s="256">
        <f t="shared" si="709"/>
        <v>0</v>
      </c>
      <c r="AB1339" s="309"/>
      <c r="AC1339" s="309"/>
      <c r="AD1339" s="320">
        <f t="shared" si="710"/>
        <v>0</v>
      </c>
    </row>
    <row r="1340" spans="1:30" ht="30.75" thickBot="1">
      <c r="A1340" s="67">
        <f t="shared" si="713"/>
        <v>44894</v>
      </c>
      <c r="B1340" s="153"/>
      <c r="C1340" s="153"/>
      <c r="D1340" s="153"/>
      <c r="E1340" s="153"/>
      <c r="F1340" s="153"/>
      <c r="G1340" s="153"/>
      <c r="H1340" s="153"/>
      <c r="I1340" s="153"/>
      <c r="J1340" s="153"/>
      <c r="K1340" s="153"/>
      <c r="L1340" s="153"/>
      <c r="M1340" s="153"/>
      <c r="N1340" s="153"/>
      <c r="O1340" s="153"/>
      <c r="P1340" s="153"/>
      <c r="Q1340" s="153"/>
      <c r="R1340" s="153"/>
      <c r="S1340" s="153"/>
      <c r="T1340" s="153">
        <f t="shared" si="715"/>
        <v>0</v>
      </c>
      <c r="U1340" s="153">
        <f t="shared" si="715"/>
        <v>0</v>
      </c>
      <c r="V1340" s="153">
        <f t="shared" si="715"/>
        <v>0</v>
      </c>
      <c r="W1340" s="153">
        <f t="shared" si="715"/>
        <v>0</v>
      </c>
      <c r="X1340" s="153">
        <f t="shared" si="715"/>
        <v>0</v>
      </c>
      <c r="Y1340" s="255">
        <f t="shared" si="711"/>
        <v>0</v>
      </c>
      <c r="Z1340" s="309">
        <f t="shared" si="712"/>
        <v>0</v>
      </c>
      <c r="AA1340" s="256">
        <f t="shared" si="709"/>
        <v>0</v>
      </c>
      <c r="AB1340" s="309"/>
      <c r="AC1340" s="309"/>
      <c r="AD1340" s="320">
        <f t="shared" si="710"/>
        <v>0</v>
      </c>
    </row>
    <row r="1341" spans="1:30" ht="30.75" thickBot="1">
      <c r="A1341" s="67">
        <f t="shared" si="713"/>
        <v>44895</v>
      </c>
      <c r="B1341" s="153"/>
      <c r="C1341" s="153"/>
      <c r="D1341" s="153"/>
      <c r="E1341" s="153"/>
      <c r="F1341" s="153"/>
      <c r="G1341" s="153"/>
      <c r="H1341" s="153"/>
      <c r="I1341" s="153"/>
      <c r="J1341" s="153"/>
      <c r="K1341" s="153"/>
      <c r="L1341" s="153"/>
      <c r="M1341" s="153"/>
      <c r="N1341" s="153"/>
      <c r="O1341" s="153"/>
      <c r="P1341" s="153"/>
      <c r="Q1341" s="153"/>
      <c r="R1341" s="153"/>
      <c r="S1341" s="153"/>
      <c r="T1341" s="153">
        <f t="shared" si="715"/>
        <v>0</v>
      </c>
      <c r="U1341" s="153">
        <f t="shared" si="715"/>
        <v>0</v>
      </c>
      <c r="V1341" s="153">
        <f t="shared" si="715"/>
        <v>0</v>
      </c>
      <c r="W1341" s="153">
        <f t="shared" si="715"/>
        <v>0</v>
      </c>
      <c r="X1341" s="153">
        <f t="shared" si="715"/>
        <v>0</v>
      </c>
      <c r="Y1341" s="255">
        <f t="shared" si="711"/>
        <v>0</v>
      </c>
      <c r="Z1341" s="309">
        <f t="shared" si="712"/>
        <v>0</v>
      </c>
      <c r="AA1341" s="256">
        <f t="shared" si="709"/>
        <v>0</v>
      </c>
      <c r="AB1341" s="309"/>
      <c r="AC1341" s="309"/>
      <c r="AD1341" s="320">
        <f t="shared" si="710"/>
        <v>0</v>
      </c>
    </row>
    <row r="1342" spans="1:30" ht="30.75" thickBot="1">
      <c r="A1342" s="102">
        <f t="shared" si="713"/>
        <v>44896</v>
      </c>
      <c r="B1342" s="153"/>
      <c r="C1342" s="153"/>
      <c r="D1342" s="153"/>
      <c r="E1342" s="153"/>
      <c r="F1342" s="153"/>
      <c r="G1342" s="153"/>
      <c r="H1342" s="153"/>
      <c r="I1342" s="153"/>
      <c r="J1342" s="153"/>
      <c r="K1342" s="153"/>
      <c r="L1342" s="153"/>
      <c r="M1342" s="153"/>
      <c r="N1342" s="153"/>
      <c r="O1342" s="153"/>
      <c r="P1342" s="153"/>
      <c r="Q1342" s="153"/>
      <c r="R1342" s="153"/>
      <c r="S1342" s="153"/>
      <c r="T1342" s="153">
        <f t="shared" ref="T1342:X1342" si="716">T186+T232+T270+T309+T347+T387+T424+T464+T505+T547+T586+T624+T660+T697+T735+T771+T809+T847+T885+T923+T961+T999+T1037+T1076+T1115+T1153+T1191+T1229+T1267+T1305</f>
        <v>0</v>
      </c>
      <c r="U1342" s="153">
        <f t="shared" si="716"/>
        <v>0</v>
      </c>
      <c r="V1342" s="153">
        <f t="shared" si="716"/>
        <v>0</v>
      </c>
      <c r="W1342" s="153">
        <f t="shared" si="716"/>
        <v>0</v>
      </c>
      <c r="X1342" s="153">
        <f t="shared" si="716"/>
        <v>0</v>
      </c>
      <c r="Y1342" s="255">
        <f t="shared" si="711"/>
        <v>0</v>
      </c>
      <c r="Z1342" s="309">
        <f t="shared" si="712"/>
        <v>0</v>
      </c>
      <c r="AA1342" s="256">
        <f t="shared" si="709"/>
        <v>0</v>
      </c>
      <c r="AB1342" s="309"/>
      <c r="AC1342" s="309"/>
      <c r="AD1342" s="320">
        <f t="shared" si="710"/>
        <v>0</v>
      </c>
    </row>
    <row r="1343" spans="1:30" ht="30" thickTop="1" thickBot="1">
      <c r="A1343" s="96" t="s">
        <v>74</v>
      </c>
      <c r="B1343" s="104">
        <f>SUM(B1312:B1342)</f>
        <v>0</v>
      </c>
      <c r="C1343" s="104">
        <f t="shared" ref="C1343:D1343" si="717">SUM(C1312:C1342)</f>
        <v>0</v>
      </c>
      <c r="D1343" s="104">
        <f t="shared" si="717"/>
        <v>0</v>
      </c>
      <c r="E1343" s="104"/>
      <c r="F1343" s="104">
        <f t="shared" ref="F1343:O1343" si="718">SUM(F1312:F1342)</f>
        <v>0</v>
      </c>
      <c r="G1343" s="104">
        <f t="shared" si="718"/>
        <v>0</v>
      </c>
      <c r="H1343" s="104">
        <f t="shared" si="718"/>
        <v>0</v>
      </c>
      <c r="I1343" s="104">
        <f t="shared" si="718"/>
        <v>0</v>
      </c>
      <c r="J1343" s="104">
        <f t="shared" si="718"/>
        <v>0</v>
      </c>
      <c r="K1343" s="104">
        <f t="shared" si="718"/>
        <v>0</v>
      </c>
      <c r="L1343" s="104">
        <f t="shared" si="718"/>
        <v>0</v>
      </c>
      <c r="M1343" s="104">
        <f t="shared" si="718"/>
        <v>0</v>
      </c>
      <c r="N1343" s="104">
        <f t="shared" si="718"/>
        <v>0</v>
      </c>
      <c r="O1343" s="104">
        <f t="shared" si="718"/>
        <v>0</v>
      </c>
      <c r="P1343" s="104"/>
      <c r="Q1343" s="104">
        <f t="shared" ref="Q1343:S1343" si="719">SUM(Q1312:Q1342)</f>
        <v>0</v>
      </c>
      <c r="R1343" s="104">
        <f t="shared" si="719"/>
        <v>0</v>
      </c>
      <c r="S1343" s="104">
        <f t="shared" si="719"/>
        <v>0</v>
      </c>
      <c r="T1343" s="104"/>
      <c r="U1343" s="104"/>
      <c r="V1343" s="104"/>
      <c r="W1343" s="104"/>
      <c r="X1343" s="104"/>
      <c r="Y1343" s="292">
        <f t="shared" ref="Y1343" si="720">SUM(Y1312:Y1342)</f>
        <v>0</v>
      </c>
      <c r="Z1343" s="259"/>
      <c r="AA1343" s="259"/>
      <c r="AB1343" s="316">
        <f>SUM(AB1312:AB1342)</f>
        <v>0</v>
      </c>
      <c r="AC1343" s="316"/>
      <c r="AD1343" s="260"/>
    </row>
    <row r="1344" spans="1:30" ht="15.75" thickTop="1"/>
    <row r="1345" spans="1:30" ht="15.75" thickBot="1"/>
    <row r="1346" spans="1:30" ht="43.5" thickBot="1">
      <c r="A1346" s="109">
        <f>A5</f>
        <v>2022</v>
      </c>
      <c r="B1346" s="1424" t="s">
        <v>483</v>
      </c>
      <c r="C1346" s="1425"/>
      <c r="D1346" s="1425"/>
      <c r="E1346" s="1425"/>
      <c r="F1346" s="1425"/>
      <c r="G1346" s="1425"/>
      <c r="H1346" s="1425"/>
      <c r="I1346" s="1425"/>
      <c r="J1346" s="1425"/>
      <c r="K1346" s="1425"/>
      <c r="L1346" s="1425"/>
      <c r="M1346" s="1425"/>
      <c r="N1346" s="1425"/>
      <c r="O1346" s="1425"/>
      <c r="P1346" s="1425"/>
      <c r="Q1346" s="1425"/>
      <c r="R1346" s="1425"/>
      <c r="S1346" s="1425"/>
      <c r="T1346" s="1425"/>
      <c r="U1346" s="1425"/>
      <c r="V1346" s="1425"/>
      <c r="W1346" s="1425"/>
      <c r="X1346" s="1425"/>
      <c r="Y1346" s="1426"/>
      <c r="Z1346" s="21"/>
      <c r="AA1346" s="21"/>
      <c r="AB1346" s="21"/>
      <c r="AC1346" s="2"/>
      <c r="AD1346" t="s">
        <v>1</v>
      </c>
    </row>
    <row r="1347" spans="1:30" ht="60.75" thickTop="1" thickBot="1">
      <c r="A1347" s="1422" t="s">
        <v>94</v>
      </c>
      <c r="B1347" s="1402" t="s">
        <v>95</v>
      </c>
      <c r="C1347" s="1403"/>
      <c r="D1347" s="1403"/>
      <c r="E1347" s="1404"/>
      <c r="F1347" s="1402" t="s">
        <v>7</v>
      </c>
      <c r="G1347" s="1403"/>
      <c r="H1347" s="1404"/>
      <c r="I1347" s="1402" t="s">
        <v>8</v>
      </c>
      <c r="J1347" s="1404"/>
      <c r="K1347" s="1402" t="s">
        <v>9</v>
      </c>
      <c r="L1347" s="1403"/>
      <c r="M1347" s="1403"/>
      <c r="N1347" s="1403"/>
      <c r="O1347" s="1403"/>
      <c r="P1347" s="1403"/>
      <c r="Q1347" s="1403"/>
      <c r="R1347" s="1405" t="s">
        <v>10</v>
      </c>
      <c r="S1347" s="1406"/>
      <c r="T1347" s="1400" t="s">
        <v>289</v>
      </c>
      <c r="U1347" s="1401"/>
      <c r="V1347" s="842" t="s">
        <v>258</v>
      </c>
      <c r="W1347" s="842"/>
      <c r="X1347" s="842"/>
      <c r="Y1347" s="211"/>
      <c r="Z1347" s="21"/>
      <c r="AA1347" s="21"/>
      <c r="AB1347" s="21"/>
      <c r="AC1347" s="21"/>
    </row>
    <row r="1348" spans="1:30" ht="42" thickTop="1" thickBot="1">
      <c r="A1348" s="1423"/>
      <c r="B1348" s="482" t="s">
        <v>12</v>
      </c>
      <c r="C1348" s="482" t="s">
        <v>13</v>
      </c>
      <c r="D1348" s="482" t="s">
        <v>14</v>
      </c>
      <c r="E1348" s="688" t="s">
        <v>198</v>
      </c>
      <c r="F1348" s="482" t="s">
        <v>12</v>
      </c>
      <c r="G1348" s="482" t="s">
        <v>13</v>
      </c>
      <c r="H1348" s="482" t="s">
        <v>282</v>
      </c>
      <c r="I1348" s="482" t="s">
        <v>12</v>
      </c>
      <c r="J1348" s="482" t="s">
        <v>16</v>
      </c>
      <c r="K1348" s="482" t="s">
        <v>17</v>
      </c>
      <c r="L1348" s="482" t="s">
        <v>18</v>
      </c>
      <c r="M1348" s="482" t="s">
        <v>19</v>
      </c>
      <c r="N1348" s="484" t="s">
        <v>96</v>
      </c>
      <c r="O1348" s="484" t="s">
        <v>257</v>
      </c>
      <c r="P1348" s="484" t="s">
        <v>254</v>
      </c>
      <c r="Q1348" s="484" t="s">
        <v>20</v>
      </c>
      <c r="R1348" s="483" t="s">
        <v>14</v>
      </c>
      <c r="S1348" s="482" t="s">
        <v>13</v>
      </c>
      <c r="T1348" s="846" t="s">
        <v>284</v>
      </c>
      <c r="U1348" s="846" t="s">
        <v>288</v>
      </c>
      <c r="V1348" s="484" t="s">
        <v>259</v>
      </c>
      <c r="W1348" s="484"/>
      <c r="X1348" s="484"/>
      <c r="Y1348" s="209" t="s">
        <v>90</v>
      </c>
      <c r="Z1348" s="210" t="s">
        <v>97</v>
      </c>
      <c r="AA1348" s="210" t="s">
        <v>74</v>
      </c>
      <c r="AB1348" s="210" t="s">
        <v>98</v>
      </c>
      <c r="AC1348" s="210" t="s">
        <v>99</v>
      </c>
      <c r="AD1348" s="210" t="s">
        <v>100</v>
      </c>
    </row>
    <row r="1349" spans="1:30" ht="30.75" thickBot="1">
      <c r="A1349" s="67">
        <f>A1312</f>
        <v>44866</v>
      </c>
      <c r="B1349" s="153"/>
      <c r="C1349" s="153"/>
      <c r="D1349" s="153"/>
      <c r="E1349" s="153"/>
      <c r="F1349" s="153"/>
      <c r="G1349" s="153"/>
      <c r="H1349" s="153"/>
      <c r="I1349" s="153"/>
      <c r="J1349" s="153"/>
      <c r="K1349" s="153"/>
      <c r="L1349" s="153"/>
      <c r="M1349" s="153"/>
      <c r="N1349" s="153"/>
      <c r="O1349" s="153"/>
      <c r="P1349" s="153"/>
      <c r="Q1349" s="153"/>
      <c r="R1349" s="153"/>
      <c r="S1349" s="153"/>
      <c r="T1349" s="153" t="e">
        <f t="shared" ref="T1349:X1358" si="721">T193+T239+T277+T316+T354+T394+T431+T471+T512+T554+T593+T631+T667+T704+T742+T778+T816+T854+T892+T930+T968+T1006+T1044+T1083+T1122+T1160+T1198+T1236+T1274+T1312</f>
        <v>#VALUE!</v>
      </c>
      <c r="U1349" s="153" t="e">
        <f t="shared" si="721"/>
        <v>#VALUE!</v>
      </c>
      <c r="V1349" s="153" t="e">
        <f t="shared" si="721"/>
        <v>#VALUE!</v>
      </c>
      <c r="W1349" s="153">
        <f t="shared" si="721"/>
        <v>0</v>
      </c>
      <c r="X1349" s="153">
        <f t="shared" si="721"/>
        <v>0</v>
      </c>
      <c r="Y1349" s="255">
        <f>B1349*300+D1349*300+E1349*300+F1349*150+G1349*150+H1349*120+I1349*40+J1349*40+K1349*400+L1349*400+M1349*350+N1349*365+O1349*387.5+P1349*100+Q1349*60+R1349*320+S1349*300</f>
        <v>0</v>
      </c>
      <c r="Z1349" s="308"/>
      <c r="AA1349" s="263">
        <f t="shared" ref="AA1349:AA1379" si="722">Y1349+Z1349</f>
        <v>0</v>
      </c>
      <c r="AB1349" s="308"/>
      <c r="AC1349" s="308"/>
      <c r="AD1349" s="319">
        <f t="shared" ref="AD1349:AD1379" si="723">AA1349-AB1349-AC1349</f>
        <v>0</v>
      </c>
    </row>
    <row r="1350" spans="1:30" ht="30.75" thickBot="1">
      <c r="A1350" s="67">
        <f>A1349+1</f>
        <v>44867</v>
      </c>
      <c r="B1350" s="153"/>
      <c r="C1350" s="153"/>
      <c r="D1350" s="153"/>
      <c r="E1350" s="153"/>
      <c r="F1350" s="153"/>
      <c r="G1350" s="153"/>
      <c r="H1350" s="153"/>
      <c r="I1350" s="153"/>
      <c r="J1350" s="153"/>
      <c r="K1350" s="153"/>
      <c r="L1350" s="153"/>
      <c r="M1350" s="153"/>
      <c r="N1350" s="153"/>
      <c r="O1350" s="153"/>
      <c r="P1350" s="153"/>
      <c r="Q1350" s="153"/>
      <c r="R1350" s="153"/>
      <c r="S1350" s="153"/>
      <c r="T1350" s="153" t="e">
        <f t="shared" si="721"/>
        <v>#VALUE!</v>
      </c>
      <c r="U1350" s="153" t="e">
        <f t="shared" si="721"/>
        <v>#VALUE!</v>
      </c>
      <c r="V1350" s="153" t="e">
        <f t="shared" si="721"/>
        <v>#VALUE!</v>
      </c>
      <c r="W1350" s="153">
        <f t="shared" si="721"/>
        <v>0</v>
      </c>
      <c r="X1350" s="153">
        <f t="shared" si="721"/>
        <v>0</v>
      </c>
      <c r="Y1350" s="255">
        <f t="shared" ref="Y1350:Y1379" si="724">B1350*300+D1350*300+E1350*300+F1350*150+G1350*150+H1350*120+I1350*40+J1350*40+K1350*400+L1350*400+M1350*350+N1350*365+O1350*387.5+P1350*100+Q1350*60+R1350*320+S1350*300</f>
        <v>0</v>
      </c>
      <c r="Z1350" s="309">
        <f t="shared" ref="Z1350:Z1379" si="725">AD1349</f>
        <v>0</v>
      </c>
      <c r="AA1350" s="256">
        <f t="shared" si="722"/>
        <v>0</v>
      </c>
      <c r="AB1350" s="309"/>
      <c r="AC1350" s="309"/>
      <c r="AD1350" s="320">
        <f t="shared" si="723"/>
        <v>0</v>
      </c>
    </row>
    <row r="1351" spans="1:30" ht="30.75" thickBot="1">
      <c r="A1351" s="67">
        <f t="shared" ref="A1351:A1379" si="726">A1350+1</f>
        <v>44868</v>
      </c>
      <c r="B1351" s="153"/>
      <c r="C1351" s="153"/>
      <c r="D1351" s="153"/>
      <c r="E1351" s="153"/>
      <c r="F1351" s="153"/>
      <c r="G1351" s="153"/>
      <c r="H1351" s="153"/>
      <c r="I1351" s="153"/>
      <c r="J1351" s="153"/>
      <c r="K1351" s="153"/>
      <c r="L1351" s="153"/>
      <c r="M1351" s="153"/>
      <c r="N1351" s="153"/>
      <c r="O1351" s="153"/>
      <c r="P1351" s="153"/>
      <c r="Q1351" s="153"/>
      <c r="R1351" s="153"/>
      <c r="S1351" s="153"/>
      <c r="T1351" s="153" t="e">
        <f t="shared" si="721"/>
        <v>#VALUE!</v>
      </c>
      <c r="U1351" s="153" t="e">
        <f t="shared" si="721"/>
        <v>#VALUE!</v>
      </c>
      <c r="V1351" s="153" t="e">
        <f t="shared" si="721"/>
        <v>#VALUE!</v>
      </c>
      <c r="W1351" s="153">
        <f t="shared" si="721"/>
        <v>0</v>
      </c>
      <c r="X1351" s="153">
        <f t="shared" si="721"/>
        <v>0</v>
      </c>
      <c r="Y1351" s="255">
        <f t="shared" si="724"/>
        <v>0</v>
      </c>
      <c r="Z1351" s="309">
        <f t="shared" si="725"/>
        <v>0</v>
      </c>
      <c r="AA1351" s="256">
        <f t="shared" si="722"/>
        <v>0</v>
      </c>
      <c r="AB1351" s="309"/>
      <c r="AC1351" s="309"/>
      <c r="AD1351" s="320">
        <f t="shared" si="723"/>
        <v>0</v>
      </c>
    </row>
    <row r="1352" spans="1:30" ht="30.75" thickBot="1">
      <c r="A1352" s="67">
        <f t="shared" si="726"/>
        <v>44869</v>
      </c>
      <c r="B1352" s="153"/>
      <c r="C1352" s="153"/>
      <c r="D1352" s="153"/>
      <c r="E1352" s="153"/>
      <c r="F1352" s="153"/>
      <c r="G1352" s="153"/>
      <c r="H1352" s="153"/>
      <c r="I1352" s="153"/>
      <c r="J1352" s="153"/>
      <c r="K1352" s="153"/>
      <c r="L1352" s="153"/>
      <c r="M1352" s="153"/>
      <c r="N1352" s="153"/>
      <c r="O1352" s="153"/>
      <c r="P1352" s="153"/>
      <c r="Q1352" s="153"/>
      <c r="R1352" s="153"/>
      <c r="S1352" s="153"/>
      <c r="T1352" s="153" t="e">
        <f t="shared" si="721"/>
        <v>#VALUE!</v>
      </c>
      <c r="U1352" s="153" t="e">
        <f t="shared" si="721"/>
        <v>#VALUE!</v>
      </c>
      <c r="V1352" s="153" t="e">
        <f t="shared" si="721"/>
        <v>#VALUE!</v>
      </c>
      <c r="W1352" s="153">
        <f t="shared" si="721"/>
        <v>0</v>
      </c>
      <c r="X1352" s="153">
        <f t="shared" si="721"/>
        <v>0</v>
      </c>
      <c r="Y1352" s="255">
        <f t="shared" si="724"/>
        <v>0</v>
      </c>
      <c r="Z1352" s="309">
        <f t="shared" si="725"/>
        <v>0</v>
      </c>
      <c r="AA1352" s="256">
        <f t="shared" si="722"/>
        <v>0</v>
      </c>
      <c r="AB1352" s="309"/>
      <c r="AC1352" s="309"/>
      <c r="AD1352" s="320">
        <f t="shared" si="723"/>
        <v>0</v>
      </c>
    </row>
    <row r="1353" spans="1:30" ht="30.75" thickBot="1">
      <c r="A1353" s="67">
        <f t="shared" si="726"/>
        <v>44870</v>
      </c>
      <c r="B1353" s="153"/>
      <c r="C1353" s="153"/>
      <c r="D1353" s="153"/>
      <c r="E1353" s="153"/>
      <c r="F1353" s="153"/>
      <c r="G1353" s="153"/>
      <c r="H1353" s="153"/>
      <c r="I1353" s="153"/>
      <c r="J1353" s="153"/>
      <c r="K1353" s="153"/>
      <c r="L1353" s="153"/>
      <c r="M1353" s="153"/>
      <c r="N1353" s="153"/>
      <c r="O1353" s="153"/>
      <c r="P1353" s="153"/>
      <c r="Q1353" s="153"/>
      <c r="R1353" s="153"/>
      <c r="S1353" s="153"/>
      <c r="T1353" s="153" t="e">
        <f t="shared" si="721"/>
        <v>#VALUE!</v>
      </c>
      <c r="U1353" s="153" t="e">
        <f t="shared" si="721"/>
        <v>#VALUE!</v>
      </c>
      <c r="V1353" s="153" t="e">
        <f t="shared" si="721"/>
        <v>#VALUE!</v>
      </c>
      <c r="W1353" s="153">
        <f t="shared" si="721"/>
        <v>0</v>
      </c>
      <c r="X1353" s="153">
        <f t="shared" si="721"/>
        <v>0</v>
      </c>
      <c r="Y1353" s="255">
        <f t="shared" si="724"/>
        <v>0</v>
      </c>
      <c r="Z1353" s="309">
        <f t="shared" si="725"/>
        <v>0</v>
      </c>
      <c r="AA1353" s="256">
        <f t="shared" si="722"/>
        <v>0</v>
      </c>
      <c r="AB1353" s="309"/>
      <c r="AC1353" s="309"/>
      <c r="AD1353" s="320">
        <f t="shared" si="723"/>
        <v>0</v>
      </c>
    </row>
    <row r="1354" spans="1:30" ht="30.75" thickBot="1">
      <c r="A1354" s="67">
        <f t="shared" si="726"/>
        <v>44871</v>
      </c>
      <c r="B1354" s="153"/>
      <c r="C1354" s="153"/>
      <c r="D1354" s="153"/>
      <c r="E1354" s="153"/>
      <c r="F1354" s="153"/>
      <c r="G1354" s="153"/>
      <c r="H1354" s="153"/>
      <c r="I1354" s="153"/>
      <c r="J1354" s="153"/>
      <c r="K1354" s="153"/>
      <c r="L1354" s="153"/>
      <c r="M1354" s="153"/>
      <c r="N1354" s="153"/>
      <c r="O1354" s="153"/>
      <c r="P1354" s="153"/>
      <c r="Q1354" s="153"/>
      <c r="R1354" s="153"/>
      <c r="S1354" s="153"/>
      <c r="T1354" s="153" t="e">
        <f t="shared" si="721"/>
        <v>#VALUE!</v>
      </c>
      <c r="U1354" s="153" t="e">
        <f t="shared" si="721"/>
        <v>#VALUE!</v>
      </c>
      <c r="V1354" s="153" t="e">
        <f t="shared" si="721"/>
        <v>#VALUE!</v>
      </c>
      <c r="W1354" s="153">
        <f t="shared" si="721"/>
        <v>0</v>
      </c>
      <c r="X1354" s="153">
        <f t="shared" si="721"/>
        <v>0</v>
      </c>
      <c r="Y1354" s="255">
        <f t="shared" si="724"/>
        <v>0</v>
      </c>
      <c r="Z1354" s="309">
        <f t="shared" si="725"/>
        <v>0</v>
      </c>
      <c r="AA1354" s="256">
        <f t="shared" si="722"/>
        <v>0</v>
      </c>
      <c r="AB1354" s="309"/>
      <c r="AC1354" s="309"/>
      <c r="AD1354" s="320">
        <f t="shared" si="723"/>
        <v>0</v>
      </c>
    </row>
    <row r="1355" spans="1:30" ht="30.75" thickBot="1">
      <c r="A1355" s="67">
        <f t="shared" si="726"/>
        <v>44872</v>
      </c>
      <c r="B1355" s="153"/>
      <c r="C1355" s="153"/>
      <c r="D1355" s="153"/>
      <c r="E1355" s="153"/>
      <c r="F1355" s="153"/>
      <c r="G1355" s="153"/>
      <c r="H1355" s="153"/>
      <c r="I1355" s="153"/>
      <c r="J1355" s="153"/>
      <c r="K1355" s="153"/>
      <c r="L1355" s="153"/>
      <c r="M1355" s="153"/>
      <c r="N1355" s="153"/>
      <c r="O1355" s="153"/>
      <c r="P1355" s="153"/>
      <c r="Q1355" s="153"/>
      <c r="R1355" s="153"/>
      <c r="S1355" s="153"/>
      <c r="T1355" s="153" t="e">
        <f t="shared" si="721"/>
        <v>#VALUE!</v>
      </c>
      <c r="U1355" s="153" t="e">
        <f t="shared" si="721"/>
        <v>#VALUE!</v>
      </c>
      <c r="V1355" s="153" t="e">
        <f t="shared" si="721"/>
        <v>#VALUE!</v>
      </c>
      <c r="W1355" s="153">
        <f t="shared" si="721"/>
        <v>0</v>
      </c>
      <c r="X1355" s="153">
        <f t="shared" si="721"/>
        <v>0</v>
      </c>
      <c r="Y1355" s="255">
        <f t="shared" si="724"/>
        <v>0</v>
      </c>
      <c r="Z1355" s="309">
        <f t="shared" si="725"/>
        <v>0</v>
      </c>
      <c r="AA1355" s="256">
        <f t="shared" si="722"/>
        <v>0</v>
      </c>
      <c r="AB1355" s="309"/>
      <c r="AC1355" s="309"/>
      <c r="AD1355" s="320">
        <f t="shared" si="723"/>
        <v>0</v>
      </c>
    </row>
    <row r="1356" spans="1:30" ht="30.75" thickBot="1">
      <c r="A1356" s="67">
        <f t="shared" si="726"/>
        <v>44873</v>
      </c>
      <c r="B1356" s="153"/>
      <c r="C1356" s="153"/>
      <c r="D1356" s="153"/>
      <c r="E1356" s="153"/>
      <c r="F1356" s="153"/>
      <c r="G1356" s="153"/>
      <c r="H1356" s="153"/>
      <c r="I1356" s="153"/>
      <c r="J1356" s="153"/>
      <c r="K1356" s="153"/>
      <c r="L1356" s="153"/>
      <c r="M1356" s="153"/>
      <c r="N1356" s="153"/>
      <c r="O1356" s="153"/>
      <c r="P1356" s="153"/>
      <c r="Q1356" s="153"/>
      <c r="R1356" s="153"/>
      <c r="S1356" s="153"/>
      <c r="T1356" s="153" t="e">
        <f t="shared" si="721"/>
        <v>#VALUE!</v>
      </c>
      <c r="U1356" s="153" t="e">
        <f t="shared" si="721"/>
        <v>#VALUE!</v>
      </c>
      <c r="V1356" s="153" t="e">
        <f t="shared" si="721"/>
        <v>#VALUE!</v>
      </c>
      <c r="W1356" s="153">
        <f t="shared" si="721"/>
        <v>0</v>
      </c>
      <c r="X1356" s="153">
        <f t="shared" si="721"/>
        <v>0</v>
      </c>
      <c r="Y1356" s="255">
        <f t="shared" si="724"/>
        <v>0</v>
      </c>
      <c r="Z1356" s="309">
        <f t="shared" si="725"/>
        <v>0</v>
      </c>
      <c r="AA1356" s="256">
        <f t="shared" si="722"/>
        <v>0</v>
      </c>
      <c r="AB1356" s="309"/>
      <c r="AC1356" s="309"/>
      <c r="AD1356" s="320">
        <f t="shared" si="723"/>
        <v>0</v>
      </c>
    </row>
    <row r="1357" spans="1:30" ht="30.75" thickBot="1">
      <c r="A1357" s="67">
        <f t="shared" si="726"/>
        <v>44874</v>
      </c>
      <c r="B1357" s="153"/>
      <c r="C1357" s="153"/>
      <c r="D1357" s="153"/>
      <c r="E1357" s="153"/>
      <c r="F1357" s="153"/>
      <c r="G1357" s="153"/>
      <c r="H1357" s="153"/>
      <c r="I1357" s="153"/>
      <c r="J1357" s="153"/>
      <c r="K1357" s="153"/>
      <c r="L1357" s="153"/>
      <c r="M1357" s="153"/>
      <c r="N1357" s="153"/>
      <c r="O1357" s="153"/>
      <c r="P1357" s="153"/>
      <c r="Q1357" s="153"/>
      <c r="R1357" s="153"/>
      <c r="S1357" s="153"/>
      <c r="T1357" s="153" t="e">
        <f t="shared" si="721"/>
        <v>#VALUE!</v>
      </c>
      <c r="U1357" s="153" t="e">
        <f t="shared" si="721"/>
        <v>#VALUE!</v>
      </c>
      <c r="V1357" s="153" t="e">
        <f t="shared" si="721"/>
        <v>#VALUE!</v>
      </c>
      <c r="W1357" s="153">
        <f t="shared" si="721"/>
        <v>0</v>
      </c>
      <c r="X1357" s="153">
        <f t="shared" si="721"/>
        <v>0</v>
      </c>
      <c r="Y1357" s="255">
        <f t="shared" si="724"/>
        <v>0</v>
      </c>
      <c r="Z1357" s="309">
        <f t="shared" si="725"/>
        <v>0</v>
      </c>
      <c r="AA1357" s="256">
        <f t="shared" si="722"/>
        <v>0</v>
      </c>
      <c r="AB1357" s="309"/>
      <c r="AC1357" s="309"/>
      <c r="AD1357" s="320">
        <f t="shared" si="723"/>
        <v>0</v>
      </c>
    </row>
    <row r="1358" spans="1:30" ht="30.75" thickBot="1">
      <c r="A1358" s="67">
        <f t="shared" si="726"/>
        <v>44875</v>
      </c>
      <c r="B1358" s="153"/>
      <c r="C1358" s="153"/>
      <c r="D1358" s="153"/>
      <c r="E1358" s="153"/>
      <c r="F1358" s="153"/>
      <c r="G1358" s="153"/>
      <c r="H1358" s="153"/>
      <c r="I1358" s="153"/>
      <c r="J1358" s="153"/>
      <c r="K1358" s="153"/>
      <c r="L1358" s="153"/>
      <c r="M1358" s="153"/>
      <c r="N1358" s="153"/>
      <c r="O1358" s="153"/>
      <c r="P1358" s="153"/>
      <c r="Q1358" s="153"/>
      <c r="R1358" s="153"/>
      <c r="S1358" s="153"/>
      <c r="T1358" s="153" t="e">
        <f t="shared" si="721"/>
        <v>#VALUE!</v>
      </c>
      <c r="U1358" s="153" t="e">
        <f t="shared" si="721"/>
        <v>#VALUE!</v>
      </c>
      <c r="V1358" s="153" t="e">
        <f t="shared" si="721"/>
        <v>#VALUE!</v>
      </c>
      <c r="W1358" s="153">
        <f t="shared" si="721"/>
        <v>0</v>
      </c>
      <c r="X1358" s="153">
        <f t="shared" si="721"/>
        <v>0</v>
      </c>
      <c r="Y1358" s="255">
        <f t="shared" si="724"/>
        <v>0</v>
      </c>
      <c r="Z1358" s="309">
        <f t="shared" si="725"/>
        <v>0</v>
      </c>
      <c r="AA1358" s="256">
        <f t="shared" si="722"/>
        <v>0</v>
      </c>
      <c r="AB1358" s="309"/>
      <c r="AC1358" s="309"/>
      <c r="AD1358" s="320">
        <f t="shared" si="723"/>
        <v>0</v>
      </c>
    </row>
    <row r="1359" spans="1:30" ht="30.75" thickBot="1">
      <c r="A1359" s="67">
        <f t="shared" si="726"/>
        <v>44876</v>
      </c>
      <c r="B1359" s="153"/>
      <c r="C1359" s="153"/>
      <c r="D1359" s="153"/>
      <c r="E1359" s="153"/>
      <c r="F1359" s="153"/>
      <c r="G1359" s="153"/>
      <c r="H1359" s="153"/>
      <c r="I1359" s="153"/>
      <c r="J1359" s="153"/>
      <c r="K1359" s="153"/>
      <c r="L1359" s="153"/>
      <c r="M1359" s="153"/>
      <c r="N1359" s="153"/>
      <c r="O1359" s="153"/>
      <c r="P1359" s="153"/>
      <c r="Q1359" s="153"/>
      <c r="R1359" s="153"/>
      <c r="S1359" s="153"/>
      <c r="T1359" s="153" t="e">
        <f t="shared" ref="T1359:X1368" si="727">T203+T249+T287+T326+T364+T404+T441+T481+T522+T564+T603+T641+T677+T714+T752+T788+T826+T864+T902+T940+T978+T1016+T1054+T1093+T1132+T1170+T1208+T1246+T1284+T1322</f>
        <v>#VALUE!</v>
      </c>
      <c r="U1359" s="153" t="e">
        <f t="shared" si="727"/>
        <v>#VALUE!</v>
      </c>
      <c r="V1359" s="153" t="e">
        <f t="shared" si="727"/>
        <v>#VALUE!</v>
      </c>
      <c r="W1359" s="153">
        <f t="shared" si="727"/>
        <v>0</v>
      </c>
      <c r="X1359" s="153">
        <f t="shared" si="727"/>
        <v>0</v>
      </c>
      <c r="Y1359" s="255">
        <f t="shared" si="724"/>
        <v>0</v>
      </c>
      <c r="Z1359" s="309">
        <f t="shared" si="725"/>
        <v>0</v>
      </c>
      <c r="AA1359" s="256">
        <f t="shared" si="722"/>
        <v>0</v>
      </c>
      <c r="AB1359" s="309"/>
      <c r="AC1359" s="309"/>
      <c r="AD1359" s="320">
        <f t="shared" si="723"/>
        <v>0</v>
      </c>
    </row>
    <row r="1360" spans="1:30" ht="30.75" thickBot="1">
      <c r="A1360" s="67">
        <f t="shared" si="726"/>
        <v>44877</v>
      </c>
      <c r="B1360" s="153"/>
      <c r="C1360" s="153"/>
      <c r="D1360" s="153"/>
      <c r="E1360" s="153"/>
      <c r="F1360" s="153"/>
      <c r="G1360" s="153"/>
      <c r="H1360" s="153"/>
      <c r="I1360" s="153"/>
      <c r="J1360" s="153"/>
      <c r="K1360" s="153"/>
      <c r="L1360" s="153"/>
      <c r="M1360" s="153"/>
      <c r="N1360" s="153"/>
      <c r="O1360" s="153"/>
      <c r="P1360" s="153"/>
      <c r="Q1360" s="153"/>
      <c r="R1360" s="153"/>
      <c r="S1360" s="153"/>
      <c r="T1360" s="153" t="e">
        <f t="shared" si="727"/>
        <v>#VALUE!</v>
      </c>
      <c r="U1360" s="153" t="e">
        <f t="shared" si="727"/>
        <v>#VALUE!</v>
      </c>
      <c r="V1360" s="153" t="e">
        <f t="shared" si="727"/>
        <v>#VALUE!</v>
      </c>
      <c r="W1360" s="153">
        <f t="shared" si="727"/>
        <v>0</v>
      </c>
      <c r="X1360" s="153">
        <f t="shared" si="727"/>
        <v>0</v>
      </c>
      <c r="Y1360" s="255">
        <f t="shared" si="724"/>
        <v>0</v>
      </c>
      <c r="Z1360" s="309">
        <f t="shared" si="725"/>
        <v>0</v>
      </c>
      <c r="AA1360" s="256">
        <f t="shared" si="722"/>
        <v>0</v>
      </c>
      <c r="AB1360" s="309"/>
      <c r="AC1360" s="309"/>
      <c r="AD1360" s="320">
        <f t="shared" si="723"/>
        <v>0</v>
      </c>
    </row>
    <row r="1361" spans="1:30" ht="30.75" thickBot="1">
      <c r="A1361" s="67">
        <f t="shared" si="726"/>
        <v>44878</v>
      </c>
      <c r="B1361" s="153"/>
      <c r="C1361" s="153"/>
      <c r="D1361" s="153"/>
      <c r="E1361" s="153"/>
      <c r="F1361" s="153"/>
      <c r="G1361" s="153"/>
      <c r="H1361" s="153"/>
      <c r="I1361" s="153"/>
      <c r="J1361" s="153"/>
      <c r="K1361" s="153"/>
      <c r="L1361" s="153"/>
      <c r="M1361" s="153"/>
      <c r="N1361" s="153"/>
      <c r="O1361" s="153"/>
      <c r="P1361" s="153"/>
      <c r="Q1361" s="153"/>
      <c r="R1361" s="153"/>
      <c r="S1361" s="153"/>
      <c r="T1361" s="153" t="e">
        <f t="shared" si="727"/>
        <v>#VALUE!</v>
      </c>
      <c r="U1361" s="153" t="e">
        <f t="shared" si="727"/>
        <v>#VALUE!</v>
      </c>
      <c r="V1361" s="153" t="e">
        <f t="shared" si="727"/>
        <v>#VALUE!</v>
      </c>
      <c r="W1361" s="153">
        <f t="shared" si="727"/>
        <v>0</v>
      </c>
      <c r="X1361" s="153">
        <f t="shared" si="727"/>
        <v>0</v>
      </c>
      <c r="Y1361" s="255">
        <f t="shared" si="724"/>
        <v>0</v>
      </c>
      <c r="Z1361" s="309">
        <f t="shared" si="725"/>
        <v>0</v>
      </c>
      <c r="AA1361" s="256">
        <f t="shared" si="722"/>
        <v>0</v>
      </c>
      <c r="AB1361" s="309"/>
      <c r="AC1361" s="309"/>
      <c r="AD1361" s="320">
        <f t="shared" si="723"/>
        <v>0</v>
      </c>
    </row>
    <row r="1362" spans="1:30" ht="30.75" thickBot="1">
      <c r="A1362" s="67">
        <f t="shared" si="726"/>
        <v>44879</v>
      </c>
      <c r="B1362" s="153"/>
      <c r="C1362" s="153"/>
      <c r="D1362" s="153"/>
      <c r="E1362" s="153"/>
      <c r="F1362" s="153"/>
      <c r="G1362" s="153"/>
      <c r="H1362" s="153"/>
      <c r="I1362" s="153"/>
      <c r="J1362" s="153"/>
      <c r="K1362" s="153"/>
      <c r="L1362" s="153"/>
      <c r="M1362" s="153"/>
      <c r="N1362" s="153"/>
      <c r="O1362" s="153"/>
      <c r="P1362" s="153"/>
      <c r="Q1362" s="153"/>
      <c r="R1362" s="153"/>
      <c r="S1362" s="153"/>
      <c r="T1362" s="153" t="e">
        <f t="shared" si="727"/>
        <v>#VALUE!</v>
      </c>
      <c r="U1362" s="153" t="e">
        <f t="shared" si="727"/>
        <v>#VALUE!</v>
      </c>
      <c r="V1362" s="153" t="e">
        <f t="shared" si="727"/>
        <v>#VALUE!</v>
      </c>
      <c r="W1362" s="153">
        <f t="shared" si="727"/>
        <v>0</v>
      </c>
      <c r="X1362" s="153">
        <f t="shared" si="727"/>
        <v>0</v>
      </c>
      <c r="Y1362" s="255">
        <f t="shared" si="724"/>
        <v>0</v>
      </c>
      <c r="Z1362" s="309">
        <f t="shared" si="725"/>
        <v>0</v>
      </c>
      <c r="AA1362" s="256">
        <f t="shared" si="722"/>
        <v>0</v>
      </c>
      <c r="AB1362" s="309"/>
      <c r="AC1362" s="309"/>
      <c r="AD1362" s="320">
        <f t="shared" si="723"/>
        <v>0</v>
      </c>
    </row>
    <row r="1363" spans="1:30" ht="30.75" thickBot="1">
      <c r="A1363" s="67">
        <f t="shared" si="726"/>
        <v>44880</v>
      </c>
      <c r="B1363" s="153"/>
      <c r="C1363" s="153"/>
      <c r="D1363" s="153"/>
      <c r="E1363" s="153"/>
      <c r="F1363" s="153"/>
      <c r="G1363" s="153"/>
      <c r="H1363" s="153"/>
      <c r="I1363" s="153"/>
      <c r="J1363" s="153"/>
      <c r="K1363" s="153"/>
      <c r="L1363" s="153"/>
      <c r="M1363" s="153"/>
      <c r="N1363" s="153"/>
      <c r="O1363" s="153"/>
      <c r="P1363" s="153"/>
      <c r="Q1363" s="153"/>
      <c r="R1363" s="153"/>
      <c r="S1363" s="153"/>
      <c r="T1363" s="153" t="e">
        <f t="shared" si="727"/>
        <v>#VALUE!</v>
      </c>
      <c r="U1363" s="153" t="e">
        <f t="shared" si="727"/>
        <v>#VALUE!</v>
      </c>
      <c r="V1363" s="153" t="e">
        <f t="shared" si="727"/>
        <v>#VALUE!</v>
      </c>
      <c r="W1363" s="153">
        <f t="shared" si="727"/>
        <v>0</v>
      </c>
      <c r="X1363" s="153">
        <f t="shared" si="727"/>
        <v>0</v>
      </c>
      <c r="Y1363" s="255">
        <f t="shared" si="724"/>
        <v>0</v>
      </c>
      <c r="Z1363" s="309">
        <f t="shared" si="725"/>
        <v>0</v>
      </c>
      <c r="AA1363" s="256">
        <f t="shared" si="722"/>
        <v>0</v>
      </c>
      <c r="AB1363" s="309"/>
      <c r="AC1363" s="309"/>
      <c r="AD1363" s="320">
        <f t="shared" si="723"/>
        <v>0</v>
      </c>
    </row>
    <row r="1364" spans="1:30" ht="30.75" thickBot="1">
      <c r="A1364" s="67">
        <f t="shared" si="726"/>
        <v>44881</v>
      </c>
      <c r="B1364" s="153"/>
      <c r="C1364" s="153"/>
      <c r="D1364" s="153"/>
      <c r="E1364" s="153"/>
      <c r="F1364" s="153"/>
      <c r="G1364" s="153"/>
      <c r="H1364" s="153"/>
      <c r="I1364" s="153"/>
      <c r="J1364" s="153"/>
      <c r="K1364" s="153"/>
      <c r="L1364" s="153"/>
      <c r="M1364" s="153"/>
      <c r="N1364" s="153"/>
      <c r="O1364" s="153"/>
      <c r="P1364" s="153"/>
      <c r="Q1364" s="153"/>
      <c r="R1364" s="153"/>
      <c r="S1364" s="153"/>
      <c r="T1364" s="153" t="e">
        <f t="shared" si="727"/>
        <v>#VALUE!</v>
      </c>
      <c r="U1364" s="153" t="e">
        <f t="shared" si="727"/>
        <v>#VALUE!</v>
      </c>
      <c r="V1364" s="153" t="e">
        <f t="shared" si="727"/>
        <v>#VALUE!</v>
      </c>
      <c r="W1364" s="153">
        <f t="shared" si="727"/>
        <v>0</v>
      </c>
      <c r="X1364" s="153">
        <f t="shared" si="727"/>
        <v>0</v>
      </c>
      <c r="Y1364" s="255">
        <f t="shared" si="724"/>
        <v>0</v>
      </c>
      <c r="Z1364" s="309">
        <f t="shared" si="725"/>
        <v>0</v>
      </c>
      <c r="AA1364" s="256">
        <f t="shared" si="722"/>
        <v>0</v>
      </c>
      <c r="AB1364" s="309"/>
      <c r="AC1364" s="309"/>
      <c r="AD1364" s="320">
        <f t="shared" si="723"/>
        <v>0</v>
      </c>
    </row>
    <row r="1365" spans="1:30" ht="30.75" thickBot="1">
      <c r="A1365" s="67">
        <f t="shared" si="726"/>
        <v>44882</v>
      </c>
      <c r="B1365" s="153"/>
      <c r="C1365" s="153"/>
      <c r="D1365" s="153"/>
      <c r="E1365" s="153"/>
      <c r="F1365" s="153"/>
      <c r="G1365" s="153"/>
      <c r="H1365" s="153"/>
      <c r="I1365" s="153"/>
      <c r="J1365" s="153"/>
      <c r="K1365" s="153"/>
      <c r="L1365" s="153"/>
      <c r="M1365" s="153"/>
      <c r="N1365" s="153"/>
      <c r="O1365" s="153"/>
      <c r="P1365" s="153"/>
      <c r="Q1365" s="153"/>
      <c r="R1365" s="153"/>
      <c r="S1365" s="153"/>
      <c r="T1365" s="153">
        <f t="shared" si="727"/>
        <v>0</v>
      </c>
      <c r="U1365" s="153">
        <f t="shared" si="727"/>
        <v>0</v>
      </c>
      <c r="V1365" s="153">
        <f t="shared" si="727"/>
        <v>0</v>
      </c>
      <c r="W1365" s="153">
        <f t="shared" si="727"/>
        <v>0</v>
      </c>
      <c r="X1365" s="153">
        <f t="shared" si="727"/>
        <v>0</v>
      </c>
      <c r="Y1365" s="255">
        <f t="shared" si="724"/>
        <v>0</v>
      </c>
      <c r="Z1365" s="309">
        <f t="shared" si="725"/>
        <v>0</v>
      </c>
      <c r="AA1365" s="256">
        <f t="shared" si="722"/>
        <v>0</v>
      </c>
      <c r="AB1365" s="309"/>
      <c r="AC1365" s="309"/>
      <c r="AD1365" s="320">
        <f t="shared" si="723"/>
        <v>0</v>
      </c>
    </row>
    <row r="1366" spans="1:30" ht="30.75" thickBot="1">
      <c r="A1366" s="67">
        <f t="shared" si="726"/>
        <v>44883</v>
      </c>
      <c r="B1366" s="153"/>
      <c r="C1366" s="153"/>
      <c r="D1366" s="153"/>
      <c r="E1366" s="153"/>
      <c r="F1366" s="153"/>
      <c r="G1366" s="153"/>
      <c r="H1366" s="153"/>
      <c r="I1366" s="153"/>
      <c r="J1366" s="153"/>
      <c r="K1366" s="153"/>
      <c r="L1366" s="153"/>
      <c r="M1366" s="153"/>
      <c r="N1366" s="153"/>
      <c r="O1366" s="153"/>
      <c r="P1366" s="153"/>
      <c r="Q1366" s="153"/>
      <c r="R1366" s="153"/>
      <c r="S1366" s="153"/>
      <c r="T1366" s="153">
        <f t="shared" si="727"/>
        <v>0</v>
      </c>
      <c r="U1366" s="153">
        <f t="shared" si="727"/>
        <v>0</v>
      </c>
      <c r="V1366" s="153">
        <f t="shared" si="727"/>
        <v>0</v>
      </c>
      <c r="W1366" s="153">
        <f t="shared" si="727"/>
        <v>0</v>
      </c>
      <c r="X1366" s="153">
        <f t="shared" si="727"/>
        <v>0</v>
      </c>
      <c r="Y1366" s="255">
        <f t="shared" si="724"/>
        <v>0</v>
      </c>
      <c r="Z1366" s="309">
        <f t="shared" si="725"/>
        <v>0</v>
      </c>
      <c r="AA1366" s="256">
        <f t="shared" si="722"/>
        <v>0</v>
      </c>
      <c r="AB1366" s="309"/>
      <c r="AC1366" s="309"/>
      <c r="AD1366" s="320">
        <f t="shared" si="723"/>
        <v>0</v>
      </c>
    </row>
    <row r="1367" spans="1:30" ht="30.75" thickBot="1">
      <c r="A1367" s="67">
        <f t="shared" si="726"/>
        <v>44884</v>
      </c>
      <c r="B1367" s="153"/>
      <c r="C1367" s="153"/>
      <c r="D1367" s="153"/>
      <c r="E1367" s="153"/>
      <c r="F1367" s="153"/>
      <c r="G1367" s="153"/>
      <c r="H1367" s="153"/>
      <c r="I1367" s="153"/>
      <c r="J1367" s="153"/>
      <c r="K1367" s="153"/>
      <c r="L1367" s="153"/>
      <c r="M1367" s="153"/>
      <c r="N1367" s="153"/>
      <c r="O1367" s="153"/>
      <c r="P1367" s="153"/>
      <c r="Q1367" s="153"/>
      <c r="R1367" s="153"/>
      <c r="S1367" s="153"/>
      <c r="T1367" s="153">
        <f t="shared" si="727"/>
        <v>0</v>
      </c>
      <c r="U1367" s="153">
        <f t="shared" si="727"/>
        <v>0</v>
      </c>
      <c r="V1367" s="153">
        <f t="shared" si="727"/>
        <v>0</v>
      </c>
      <c r="W1367" s="153">
        <f t="shared" si="727"/>
        <v>0</v>
      </c>
      <c r="X1367" s="153">
        <f t="shared" si="727"/>
        <v>0</v>
      </c>
      <c r="Y1367" s="255">
        <f t="shared" si="724"/>
        <v>0</v>
      </c>
      <c r="Z1367" s="309">
        <f t="shared" si="725"/>
        <v>0</v>
      </c>
      <c r="AA1367" s="256">
        <f t="shared" si="722"/>
        <v>0</v>
      </c>
      <c r="AB1367" s="309"/>
      <c r="AC1367" s="309"/>
      <c r="AD1367" s="320">
        <f t="shared" si="723"/>
        <v>0</v>
      </c>
    </row>
    <row r="1368" spans="1:30" ht="30.75" thickBot="1">
      <c r="A1368" s="67">
        <f t="shared" si="726"/>
        <v>44885</v>
      </c>
      <c r="B1368" s="153"/>
      <c r="C1368" s="153"/>
      <c r="D1368" s="153"/>
      <c r="E1368" s="153"/>
      <c r="F1368" s="153"/>
      <c r="G1368" s="153"/>
      <c r="H1368" s="153"/>
      <c r="I1368" s="153"/>
      <c r="J1368" s="153"/>
      <c r="K1368" s="153"/>
      <c r="L1368" s="153"/>
      <c r="M1368" s="153"/>
      <c r="N1368" s="153"/>
      <c r="O1368" s="153"/>
      <c r="P1368" s="153"/>
      <c r="Q1368" s="153"/>
      <c r="R1368" s="153"/>
      <c r="S1368" s="153"/>
      <c r="T1368" s="153">
        <f t="shared" si="727"/>
        <v>0</v>
      </c>
      <c r="U1368" s="153">
        <f t="shared" si="727"/>
        <v>0</v>
      </c>
      <c r="V1368" s="153">
        <f t="shared" si="727"/>
        <v>0</v>
      </c>
      <c r="W1368" s="153">
        <f t="shared" si="727"/>
        <v>0</v>
      </c>
      <c r="X1368" s="153">
        <f t="shared" si="727"/>
        <v>0</v>
      </c>
      <c r="Y1368" s="255">
        <f t="shared" si="724"/>
        <v>0</v>
      </c>
      <c r="Z1368" s="309">
        <f t="shared" si="725"/>
        <v>0</v>
      </c>
      <c r="AA1368" s="256">
        <f t="shared" si="722"/>
        <v>0</v>
      </c>
      <c r="AB1368" s="309"/>
      <c r="AC1368" s="309"/>
      <c r="AD1368" s="320">
        <f t="shared" si="723"/>
        <v>0</v>
      </c>
    </row>
    <row r="1369" spans="1:30" ht="30.75" thickBot="1">
      <c r="A1369" s="67">
        <f t="shared" si="726"/>
        <v>44886</v>
      </c>
      <c r="B1369" s="153"/>
      <c r="C1369" s="153"/>
      <c r="D1369" s="153"/>
      <c r="E1369" s="153"/>
      <c r="F1369" s="153"/>
      <c r="G1369" s="153"/>
      <c r="H1369" s="153"/>
      <c r="I1369" s="153"/>
      <c r="J1369" s="153"/>
      <c r="K1369" s="153"/>
      <c r="L1369" s="153"/>
      <c r="M1369" s="153"/>
      <c r="N1369" s="153"/>
      <c r="O1369" s="153"/>
      <c r="P1369" s="153"/>
      <c r="Q1369" s="153"/>
      <c r="R1369" s="153"/>
      <c r="S1369" s="153"/>
      <c r="T1369" s="153">
        <f t="shared" ref="T1369:X1378" si="728">T213+T259+T297+T336+T374+T414+T451+T491+T532+T574+T613+T651+T687+T724+T762+T798+T836+T874+T912+T950+T988+T1026+T1064+T1103+T1142+T1180+T1218+T1256+T1294+T1332</f>
        <v>0</v>
      </c>
      <c r="U1369" s="153">
        <f t="shared" si="728"/>
        <v>0</v>
      </c>
      <c r="V1369" s="153">
        <f t="shared" si="728"/>
        <v>0</v>
      </c>
      <c r="W1369" s="153">
        <f t="shared" si="728"/>
        <v>0</v>
      </c>
      <c r="X1369" s="153">
        <f t="shared" si="728"/>
        <v>0</v>
      </c>
      <c r="Y1369" s="255">
        <f t="shared" si="724"/>
        <v>0</v>
      </c>
      <c r="Z1369" s="309">
        <f t="shared" si="725"/>
        <v>0</v>
      </c>
      <c r="AA1369" s="256">
        <f t="shared" si="722"/>
        <v>0</v>
      </c>
      <c r="AB1369" s="309"/>
      <c r="AC1369" s="309"/>
      <c r="AD1369" s="320">
        <f t="shared" si="723"/>
        <v>0</v>
      </c>
    </row>
    <row r="1370" spans="1:30" ht="30.75" thickBot="1">
      <c r="A1370" s="67">
        <f t="shared" si="726"/>
        <v>44887</v>
      </c>
      <c r="B1370" s="153"/>
      <c r="C1370" s="153"/>
      <c r="D1370" s="153"/>
      <c r="E1370" s="153"/>
      <c r="F1370" s="153"/>
      <c r="G1370" s="153"/>
      <c r="H1370" s="153"/>
      <c r="I1370" s="153"/>
      <c r="J1370" s="153"/>
      <c r="K1370" s="153"/>
      <c r="L1370" s="153"/>
      <c r="M1370" s="153"/>
      <c r="N1370" s="153"/>
      <c r="O1370" s="153"/>
      <c r="P1370" s="153"/>
      <c r="Q1370" s="153"/>
      <c r="R1370" s="153"/>
      <c r="S1370" s="153"/>
      <c r="T1370" s="153">
        <f t="shared" si="728"/>
        <v>0</v>
      </c>
      <c r="U1370" s="153">
        <f t="shared" si="728"/>
        <v>0</v>
      </c>
      <c r="V1370" s="153">
        <f t="shared" si="728"/>
        <v>0</v>
      </c>
      <c r="W1370" s="153">
        <f t="shared" si="728"/>
        <v>0</v>
      </c>
      <c r="X1370" s="153">
        <f t="shared" si="728"/>
        <v>0</v>
      </c>
      <c r="Y1370" s="255">
        <f t="shared" si="724"/>
        <v>0</v>
      </c>
      <c r="Z1370" s="309">
        <f t="shared" si="725"/>
        <v>0</v>
      </c>
      <c r="AA1370" s="256">
        <f t="shared" si="722"/>
        <v>0</v>
      </c>
      <c r="AB1370" s="309"/>
      <c r="AC1370" s="309"/>
      <c r="AD1370" s="320">
        <f t="shared" si="723"/>
        <v>0</v>
      </c>
    </row>
    <row r="1371" spans="1:30" ht="30.75" thickBot="1">
      <c r="A1371" s="67">
        <f t="shared" si="726"/>
        <v>44888</v>
      </c>
      <c r="B1371" s="153"/>
      <c r="C1371" s="153"/>
      <c r="D1371" s="153"/>
      <c r="E1371" s="153"/>
      <c r="F1371" s="153"/>
      <c r="G1371" s="153"/>
      <c r="H1371" s="153"/>
      <c r="I1371" s="153"/>
      <c r="J1371" s="153"/>
      <c r="K1371" s="153"/>
      <c r="L1371" s="153"/>
      <c r="M1371" s="153"/>
      <c r="N1371" s="153"/>
      <c r="O1371" s="153"/>
      <c r="P1371" s="153"/>
      <c r="Q1371" s="153"/>
      <c r="R1371" s="153"/>
      <c r="S1371" s="153"/>
      <c r="T1371" s="153">
        <f t="shared" si="728"/>
        <v>0</v>
      </c>
      <c r="U1371" s="153">
        <f t="shared" si="728"/>
        <v>0</v>
      </c>
      <c r="V1371" s="153">
        <f t="shared" si="728"/>
        <v>0</v>
      </c>
      <c r="W1371" s="153">
        <f t="shared" si="728"/>
        <v>0</v>
      </c>
      <c r="X1371" s="153">
        <f t="shared" si="728"/>
        <v>0</v>
      </c>
      <c r="Y1371" s="255">
        <f t="shared" si="724"/>
        <v>0</v>
      </c>
      <c r="Z1371" s="309">
        <f t="shared" si="725"/>
        <v>0</v>
      </c>
      <c r="AA1371" s="256">
        <f t="shared" si="722"/>
        <v>0</v>
      </c>
      <c r="AB1371" s="309"/>
      <c r="AC1371" s="309"/>
      <c r="AD1371" s="320">
        <f t="shared" si="723"/>
        <v>0</v>
      </c>
    </row>
    <row r="1372" spans="1:30" ht="30.75" thickBot="1">
      <c r="A1372" s="67">
        <f t="shared" si="726"/>
        <v>44889</v>
      </c>
      <c r="B1372" s="153"/>
      <c r="C1372" s="153"/>
      <c r="D1372" s="153"/>
      <c r="E1372" s="153"/>
      <c r="F1372" s="153"/>
      <c r="G1372" s="153"/>
      <c r="H1372" s="153"/>
      <c r="I1372" s="153"/>
      <c r="J1372" s="153"/>
      <c r="K1372" s="153"/>
      <c r="L1372" s="153"/>
      <c r="M1372" s="153"/>
      <c r="N1372" s="153"/>
      <c r="O1372" s="153"/>
      <c r="P1372" s="153"/>
      <c r="Q1372" s="153"/>
      <c r="R1372" s="153"/>
      <c r="S1372" s="153"/>
      <c r="T1372" s="153">
        <f t="shared" si="728"/>
        <v>0</v>
      </c>
      <c r="U1372" s="153">
        <f t="shared" si="728"/>
        <v>0</v>
      </c>
      <c r="V1372" s="153">
        <f t="shared" si="728"/>
        <v>0</v>
      </c>
      <c r="W1372" s="153">
        <f t="shared" si="728"/>
        <v>0</v>
      </c>
      <c r="X1372" s="153">
        <f t="shared" si="728"/>
        <v>0</v>
      </c>
      <c r="Y1372" s="255">
        <f t="shared" si="724"/>
        <v>0</v>
      </c>
      <c r="Z1372" s="309">
        <f t="shared" si="725"/>
        <v>0</v>
      </c>
      <c r="AA1372" s="256">
        <f t="shared" si="722"/>
        <v>0</v>
      </c>
      <c r="AB1372" s="309"/>
      <c r="AC1372" s="309"/>
      <c r="AD1372" s="320">
        <f t="shared" si="723"/>
        <v>0</v>
      </c>
    </row>
    <row r="1373" spans="1:30" ht="30.75" thickBot="1">
      <c r="A1373" s="67">
        <f t="shared" si="726"/>
        <v>44890</v>
      </c>
      <c r="B1373" s="153"/>
      <c r="C1373" s="153"/>
      <c r="D1373" s="153"/>
      <c r="E1373" s="153"/>
      <c r="F1373" s="153"/>
      <c r="G1373" s="153"/>
      <c r="H1373" s="153"/>
      <c r="I1373" s="153"/>
      <c r="J1373" s="153"/>
      <c r="K1373" s="153"/>
      <c r="L1373" s="153"/>
      <c r="M1373" s="153"/>
      <c r="N1373" s="153"/>
      <c r="O1373" s="153"/>
      <c r="P1373" s="153"/>
      <c r="Q1373" s="153"/>
      <c r="R1373" s="153"/>
      <c r="S1373" s="153"/>
      <c r="T1373" s="153">
        <f t="shared" si="728"/>
        <v>0</v>
      </c>
      <c r="U1373" s="153">
        <f t="shared" si="728"/>
        <v>0</v>
      </c>
      <c r="V1373" s="153">
        <f t="shared" si="728"/>
        <v>0</v>
      </c>
      <c r="W1373" s="153">
        <f t="shared" si="728"/>
        <v>0</v>
      </c>
      <c r="X1373" s="153">
        <f t="shared" si="728"/>
        <v>0</v>
      </c>
      <c r="Y1373" s="255">
        <f t="shared" si="724"/>
        <v>0</v>
      </c>
      <c r="Z1373" s="309">
        <f t="shared" si="725"/>
        <v>0</v>
      </c>
      <c r="AA1373" s="256">
        <f t="shared" si="722"/>
        <v>0</v>
      </c>
      <c r="AB1373" s="309"/>
      <c r="AC1373" s="309"/>
      <c r="AD1373" s="320">
        <f t="shared" si="723"/>
        <v>0</v>
      </c>
    </row>
    <row r="1374" spans="1:30" ht="30.75" thickBot="1">
      <c r="A1374" s="67">
        <f t="shared" si="726"/>
        <v>44891</v>
      </c>
      <c r="B1374" s="153"/>
      <c r="C1374" s="153"/>
      <c r="D1374" s="153"/>
      <c r="E1374" s="153"/>
      <c r="F1374" s="153"/>
      <c r="G1374" s="153"/>
      <c r="H1374" s="153"/>
      <c r="I1374" s="153"/>
      <c r="J1374" s="153"/>
      <c r="K1374" s="153"/>
      <c r="L1374" s="153"/>
      <c r="M1374" s="153"/>
      <c r="N1374" s="153"/>
      <c r="O1374" s="153"/>
      <c r="P1374" s="153"/>
      <c r="Q1374" s="153"/>
      <c r="R1374" s="153"/>
      <c r="S1374" s="153"/>
      <c r="T1374" s="153">
        <f t="shared" si="728"/>
        <v>0</v>
      </c>
      <c r="U1374" s="153">
        <f t="shared" si="728"/>
        <v>0</v>
      </c>
      <c r="V1374" s="153">
        <f t="shared" si="728"/>
        <v>0</v>
      </c>
      <c r="W1374" s="153">
        <f t="shared" si="728"/>
        <v>0</v>
      </c>
      <c r="X1374" s="153">
        <f t="shared" si="728"/>
        <v>0</v>
      </c>
      <c r="Y1374" s="255">
        <f t="shared" si="724"/>
        <v>0</v>
      </c>
      <c r="Z1374" s="309">
        <f t="shared" si="725"/>
        <v>0</v>
      </c>
      <c r="AA1374" s="256">
        <f t="shared" si="722"/>
        <v>0</v>
      </c>
      <c r="AB1374" s="309"/>
      <c r="AC1374" s="309"/>
      <c r="AD1374" s="320">
        <f t="shared" si="723"/>
        <v>0</v>
      </c>
    </row>
    <row r="1375" spans="1:30" ht="30.75" thickBot="1">
      <c r="A1375" s="67">
        <f t="shared" si="726"/>
        <v>44892</v>
      </c>
      <c r="B1375" s="153"/>
      <c r="C1375" s="153"/>
      <c r="D1375" s="153"/>
      <c r="E1375" s="153"/>
      <c r="F1375" s="153"/>
      <c r="G1375" s="153"/>
      <c r="H1375" s="153"/>
      <c r="I1375" s="153"/>
      <c r="J1375" s="153"/>
      <c r="K1375" s="153"/>
      <c r="L1375" s="153"/>
      <c r="M1375" s="153"/>
      <c r="N1375" s="153"/>
      <c r="O1375" s="153"/>
      <c r="P1375" s="153"/>
      <c r="Q1375" s="153"/>
      <c r="R1375" s="153"/>
      <c r="S1375" s="153"/>
      <c r="T1375" s="153">
        <f t="shared" si="728"/>
        <v>0</v>
      </c>
      <c r="U1375" s="153">
        <f t="shared" si="728"/>
        <v>0</v>
      </c>
      <c r="V1375" s="153">
        <f t="shared" si="728"/>
        <v>0</v>
      </c>
      <c r="W1375" s="153">
        <f t="shared" si="728"/>
        <v>0</v>
      </c>
      <c r="X1375" s="153">
        <f t="shared" si="728"/>
        <v>0</v>
      </c>
      <c r="Y1375" s="255">
        <f t="shared" si="724"/>
        <v>0</v>
      </c>
      <c r="Z1375" s="309">
        <f t="shared" si="725"/>
        <v>0</v>
      </c>
      <c r="AA1375" s="256">
        <f t="shared" si="722"/>
        <v>0</v>
      </c>
      <c r="AB1375" s="309"/>
      <c r="AC1375" s="309"/>
      <c r="AD1375" s="320">
        <f t="shared" si="723"/>
        <v>0</v>
      </c>
    </row>
    <row r="1376" spans="1:30" ht="30.75" thickBot="1">
      <c r="A1376" s="67">
        <f t="shared" si="726"/>
        <v>44893</v>
      </c>
      <c r="B1376" s="153"/>
      <c r="C1376" s="153"/>
      <c r="D1376" s="153"/>
      <c r="E1376" s="153"/>
      <c r="F1376" s="153"/>
      <c r="G1376" s="153"/>
      <c r="H1376" s="153"/>
      <c r="I1376" s="153"/>
      <c r="J1376" s="153"/>
      <c r="K1376" s="153"/>
      <c r="L1376" s="153"/>
      <c r="M1376" s="153"/>
      <c r="N1376" s="153"/>
      <c r="O1376" s="153"/>
      <c r="P1376" s="153"/>
      <c r="Q1376" s="153"/>
      <c r="R1376" s="153"/>
      <c r="S1376" s="153"/>
      <c r="T1376" s="153">
        <f t="shared" si="728"/>
        <v>0</v>
      </c>
      <c r="U1376" s="153">
        <f t="shared" si="728"/>
        <v>0</v>
      </c>
      <c r="V1376" s="153">
        <f t="shared" si="728"/>
        <v>0</v>
      </c>
      <c r="W1376" s="153">
        <f t="shared" si="728"/>
        <v>0</v>
      </c>
      <c r="X1376" s="153">
        <f t="shared" si="728"/>
        <v>0</v>
      </c>
      <c r="Y1376" s="255">
        <f t="shared" si="724"/>
        <v>0</v>
      </c>
      <c r="Z1376" s="309">
        <f t="shared" si="725"/>
        <v>0</v>
      </c>
      <c r="AA1376" s="256">
        <f t="shared" si="722"/>
        <v>0</v>
      </c>
      <c r="AB1376" s="309"/>
      <c r="AC1376" s="309"/>
      <c r="AD1376" s="320">
        <f t="shared" si="723"/>
        <v>0</v>
      </c>
    </row>
    <row r="1377" spans="1:30" ht="30.75" thickBot="1">
      <c r="A1377" s="67">
        <f t="shared" si="726"/>
        <v>44894</v>
      </c>
      <c r="B1377" s="153"/>
      <c r="C1377" s="153"/>
      <c r="D1377" s="153"/>
      <c r="E1377" s="153"/>
      <c r="F1377" s="153"/>
      <c r="G1377" s="153"/>
      <c r="H1377" s="153"/>
      <c r="I1377" s="153"/>
      <c r="J1377" s="153"/>
      <c r="K1377" s="153"/>
      <c r="L1377" s="153"/>
      <c r="M1377" s="153"/>
      <c r="N1377" s="153"/>
      <c r="O1377" s="153"/>
      <c r="P1377" s="153"/>
      <c r="Q1377" s="153"/>
      <c r="R1377" s="153"/>
      <c r="S1377" s="153"/>
      <c r="T1377" s="153">
        <f t="shared" si="728"/>
        <v>0</v>
      </c>
      <c r="U1377" s="153">
        <f t="shared" si="728"/>
        <v>0</v>
      </c>
      <c r="V1377" s="153">
        <f t="shared" si="728"/>
        <v>0</v>
      </c>
      <c r="W1377" s="153">
        <f t="shared" si="728"/>
        <v>0</v>
      </c>
      <c r="X1377" s="153">
        <f t="shared" si="728"/>
        <v>0</v>
      </c>
      <c r="Y1377" s="255">
        <f t="shared" si="724"/>
        <v>0</v>
      </c>
      <c r="Z1377" s="309">
        <f t="shared" si="725"/>
        <v>0</v>
      </c>
      <c r="AA1377" s="256">
        <f t="shared" si="722"/>
        <v>0</v>
      </c>
      <c r="AB1377" s="309"/>
      <c r="AC1377" s="309"/>
      <c r="AD1377" s="320">
        <f t="shared" si="723"/>
        <v>0</v>
      </c>
    </row>
    <row r="1378" spans="1:30" ht="30.75" thickBot="1">
      <c r="A1378" s="67">
        <f t="shared" si="726"/>
        <v>44895</v>
      </c>
      <c r="B1378" s="153"/>
      <c r="C1378" s="153"/>
      <c r="D1378" s="153"/>
      <c r="E1378" s="153"/>
      <c r="F1378" s="153"/>
      <c r="G1378" s="153"/>
      <c r="H1378" s="153"/>
      <c r="I1378" s="153"/>
      <c r="J1378" s="153"/>
      <c r="K1378" s="153"/>
      <c r="L1378" s="153"/>
      <c r="M1378" s="153"/>
      <c r="N1378" s="153"/>
      <c r="O1378" s="153"/>
      <c r="P1378" s="153"/>
      <c r="Q1378" s="153"/>
      <c r="R1378" s="153"/>
      <c r="S1378" s="153"/>
      <c r="T1378" s="153">
        <f t="shared" si="728"/>
        <v>0</v>
      </c>
      <c r="U1378" s="153">
        <f t="shared" si="728"/>
        <v>0</v>
      </c>
      <c r="V1378" s="153">
        <f t="shared" si="728"/>
        <v>0</v>
      </c>
      <c r="W1378" s="153">
        <f t="shared" si="728"/>
        <v>0</v>
      </c>
      <c r="X1378" s="153">
        <f t="shared" si="728"/>
        <v>0</v>
      </c>
      <c r="Y1378" s="255">
        <f t="shared" si="724"/>
        <v>0</v>
      </c>
      <c r="Z1378" s="309">
        <f t="shared" si="725"/>
        <v>0</v>
      </c>
      <c r="AA1378" s="256">
        <f t="shared" si="722"/>
        <v>0</v>
      </c>
      <c r="AB1378" s="309"/>
      <c r="AC1378" s="309"/>
      <c r="AD1378" s="320">
        <f t="shared" si="723"/>
        <v>0</v>
      </c>
    </row>
    <row r="1379" spans="1:30" ht="30.75" thickBot="1">
      <c r="A1379" s="102">
        <f t="shared" si="726"/>
        <v>44896</v>
      </c>
      <c r="B1379" s="153"/>
      <c r="C1379" s="153"/>
      <c r="D1379" s="153"/>
      <c r="E1379" s="153"/>
      <c r="F1379" s="153"/>
      <c r="G1379" s="153"/>
      <c r="H1379" s="153"/>
      <c r="I1379" s="153"/>
      <c r="J1379" s="153"/>
      <c r="K1379" s="153"/>
      <c r="L1379" s="153"/>
      <c r="M1379" s="153"/>
      <c r="N1379" s="153"/>
      <c r="O1379" s="153"/>
      <c r="P1379" s="153"/>
      <c r="Q1379" s="153"/>
      <c r="R1379" s="153"/>
      <c r="S1379" s="153"/>
      <c r="T1379" s="153">
        <f t="shared" ref="T1379:X1379" si="729">T223+T269+T307+T346+T384+T424+T461+T501+T542+T584+T623+T661+T697+T734+T772+T808+T846+T884+T922+T960+T998+T1036+T1074+T1113+T1152+T1190+T1228+T1266+T1304+T1342</f>
        <v>0</v>
      </c>
      <c r="U1379" s="153">
        <f t="shared" si="729"/>
        <v>0</v>
      </c>
      <c r="V1379" s="153">
        <f t="shared" si="729"/>
        <v>0</v>
      </c>
      <c r="W1379" s="153">
        <f t="shared" si="729"/>
        <v>0</v>
      </c>
      <c r="X1379" s="153">
        <f t="shared" si="729"/>
        <v>0</v>
      </c>
      <c r="Y1379" s="255">
        <f t="shared" si="724"/>
        <v>0</v>
      </c>
      <c r="Z1379" s="309">
        <f t="shared" si="725"/>
        <v>0</v>
      </c>
      <c r="AA1379" s="256">
        <f t="shared" si="722"/>
        <v>0</v>
      </c>
      <c r="AB1379" s="309"/>
      <c r="AC1379" s="309"/>
      <c r="AD1379" s="320">
        <f t="shared" si="723"/>
        <v>0</v>
      </c>
    </row>
    <row r="1380" spans="1:30" ht="30" thickTop="1" thickBot="1">
      <c r="A1380" s="96" t="s">
        <v>74</v>
      </c>
      <c r="B1380" s="104">
        <f>SUM(B1349:B1379)</f>
        <v>0</v>
      </c>
      <c r="C1380" s="104">
        <f t="shared" ref="C1380:D1380" si="730">SUM(C1349:C1379)</f>
        <v>0</v>
      </c>
      <c r="D1380" s="104">
        <f t="shared" si="730"/>
        <v>0</v>
      </c>
      <c r="E1380" s="104"/>
      <c r="F1380" s="104">
        <f t="shared" ref="F1380:O1380" si="731">SUM(F1349:F1379)</f>
        <v>0</v>
      </c>
      <c r="G1380" s="104">
        <f t="shared" si="731"/>
        <v>0</v>
      </c>
      <c r="H1380" s="104">
        <f t="shared" si="731"/>
        <v>0</v>
      </c>
      <c r="I1380" s="104">
        <f t="shared" si="731"/>
        <v>0</v>
      </c>
      <c r="J1380" s="104">
        <f t="shared" si="731"/>
        <v>0</v>
      </c>
      <c r="K1380" s="104">
        <f t="shared" si="731"/>
        <v>0</v>
      </c>
      <c r="L1380" s="104">
        <f t="shared" si="731"/>
        <v>0</v>
      </c>
      <c r="M1380" s="104">
        <f t="shared" si="731"/>
        <v>0</v>
      </c>
      <c r="N1380" s="104">
        <f t="shared" si="731"/>
        <v>0</v>
      </c>
      <c r="O1380" s="104">
        <f t="shared" si="731"/>
        <v>0</v>
      </c>
      <c r="P1380" s="104"/>
      <c r="Q1380" s="104">
        <f t="shared" ref="Q1380:S1380" si="732">SUM(Q1349:Q1379)</f>
        <v>0</v>
      </c>
      <c r="R1380" s="104">
        <f t="shared" si="732"/>
        <v>0</v>
      </c>
      <c r="S1380" s="104">
        <f t="shared" si="732"/>
        <v>0</v>
      </c>
      <c r="T1380" s="104"/>
      <c r="U1380" s="104"/>
      <c r="V1380" s="104"/>
      <c r="W1380" s="104"/>
      <c r="X1380" s="104"/>
      <c r="Y1380" s="292">
        <f t="shared" ref="Y1380" si="733">SUM(Y1349:Y1379)</f>
        <v>0</v>
      </c>
      <c r="Z1380" s="259"/>
      <c r="AA1380" s="259"/>
      <c r="AB1380" s="316">
        <f>SUM(AB1349:AB1379)</f>
        <v>0</v>
      </c>
      <c r="AC1380" s="316"/>
      <c r="AD1380" s="260"/>
    </row>
    <row r="1381" spans="1:30" ht="15.75" thickTop="1"/>
    <row r="1382" spans="1:30" ht="15.75" thickBot="1"/>
    <row r="1383" spans="1:30" ht="43.5" thickBot="1">
      <c r="A1383" s="109">
        <f>A5</f>
        <v>2022</v>
      </c>
      <c r="B1383" s="1424" t="s">
        <v>106</v>
      </c>
      <c r="C1383" s="1425"/>
      <c r="D1383" s="1425"/>
      <c r="E1383" s="1425"/>
      <c r="F1383" s="1425"/>
      <c r="G1383" s="1425"/>
      <c r="H1383" s="1425"/>
      <c r="I1383" s="1425"/>
      <c r="J1383" s="1425"/>
      <c r="K1383" s="1425"/>
      <c r="L1383" s="1425"/>
      <c r="M1383" s="1425"/>
      <c r="N1383" s="1425"/>
      <c r="O1383" s="1425"/>
      <c r="P1383" s="1425"/>
      <c r="Q1383" s="1425"/>
      <c r="R1383" s="1425"/>
      <c r="S1383" s="1425"/>
      <c r="T1383" s="1425"/>
      <c r="U1383" s="1425"/>
      <c r="V1383" s="1425"/>
      <c r="W1383" s="1425"/>
      <c r="X1383" s="1425"/>
      <c r="Y1383" s="1426"/>
      <c r="Z1383" s="21"/>
      <c r="AA1383" s="21"/>
      <c r="AB1383" s="21"/>
      <c r="AC1383" s="2"/>
      <c r="AD1383" t="s">
        <v>1</v>
      </c>
    </row>
    <row r="1384" spans="1:30" ht="60.75" thickTop="1" thickBot="1">
      <c r="A1384" s="1422" t="s">
        <v>94</v>
      </c>
      <c r="B1384" s="1402" t="s">
        <v>95</v>
      </c>
      <c r="C1384" s="1403"/>
      <c r="D1384" s="1403"/>
      <c r="E1384" s="1404"/>
      <c r="F1384" s="1402" t="s">
        <v>7</v>
      </c>
      <c r="G1384" s="1403"/>
      <c r="H1384" s="1404"/>
      <c r="I1384" s="1402" t="s">
        <v>8</v>
      </c>
      <c r="J1384" s="1404"/>
      <c r="K1384" s="1402" t="s">
        <v>9</v>
      </c>
      <c r="L1384" s="1403"/>
      <c r="M1384" s="1403"/>
      <c r="N1384" s="1403"/>
      <c r="O1384" s="1403"/>
      <c r="P1384" s="1403"/>
      <c r="Q1384" s="1403"/>
      <c r="R1384" s="1405" t="s">
        <v>10</v>
      </c>
      <c r="S1384" s="1406"/>
      <c r="T1384" s="1400" t="s">
        <v>289</v>
      </c>
      <c r="U1384" s="1401"/>
      <c r="V1384" s="842" t="s">
        <v>258</v>
      </c>
      <c r="W1384" s="842"/>
      <c r="X1384" s="842"/>
      <c r="Y1384" s="211"/>
      <c r="Z1384" s="21"/>
      <c r="AA1384" s="21"/>
      <c r="AB1384" s="21"/>
      <c r="AC1384" s="21"/>
    </row>
    <row r="1385" spans="1:30" ht="42" thickTop="1" thickBot="1">
      <c r="A1385" s="1423"/>
      <c r="B1385" s="482" t="s">
        <v>12</v>
      </c>
      <c r="C1385" s="482" t="s">
        <v>13</v>
      </c>
      <c r="D1385" s="482" t="s">
        <v>14</v>
      </c>
      <c r="E1385" s="688" t="s">
        <v>198</v>
      </c>
      <c r="F1385" s="482" t="s">
        <v>12</v>
      </c>
      <c r="G1385" s="482" t="s">
        <v>13</v>
      </c>
      <c r="H1385" s="482" t="s">
        <v>282</v>
      </c>
      <c r="I1385" s="482" t="s">
        <v>12</v>
      </c>
      <c r="J1385" s="482" t="s">
        <v>16</v>
      </c>
      <c r="K1385" s="482" t="s">
        <v>17</v>
      </c>
      <c r="L1385" s="482" t="s">
        <v>18</v>
      </c>
      <c r="M1385" s="482" t="s">
        <v>19</v>
      </c>
      <c r="N1385" s="484" t="s">
        <v>96</v>
      </c>
      <c r="O1385" s="484" t="s">
        <v>257</v>
      </c>
      <c r="P1385" s="484" t="s">
        <v>254</v>
      </c>
      <c r="Q1385" s="484" t="s">
        <v>20</v>
      </c>
      <c r="R1385" s="483" t="s">
        <v>14</v>
      </c>
      <c r="S1385" s="482" t="s">
        <v>13</v>
      </c>
      <c r="T1385" s="846" t="s">
        <v>284</v>
      </c>
      <c r="U1385" s="846" t="s">
        <v>288</v>
      </c>
      <c r="V1385" s="484" t="s">
        <v>259</v>
      </c>
      <c r="W1385" s="484"/>
      <c r="X1385" s="484"/>
      <c r="Y1385" s="209" t="s">
        <v>90</v>
      </c>
      <c r="Z1385" s="210" t="s">
        <v>97</v>
      </c>
      <c r="AA1385" s="210" t="s">
        <v>74</v>
      </c>
      <c r="AB1385" s="210" t="s">
        <v>98</v>
      </c>
      <c r="AC1385" s="210" t="s">
        <v>99</v>
      </c>
      <c r="AD1385" s="210" t="s">
        <v>100</v>
      </c>
    </row>
    <row r="1386" spans="1:30" ht="30.75" thickBot="1">
      <c r="A1386" s="67">
        <f>A1349</f>
        <v>44866</v>
      </c>
      <c r="B1386" s="153"/>
      <c r="C1386" s="153"/>
      <c r="D1386" s="153"/>
      <c r="E1386" s="153"/>
      <c r="F1386" s="153"/>
      <c r="G1386" s="153"/>
      <c r="H1386" s="153"/>
      <c r="I1386" s="153"/>
      <c r="J1386" s="153"/>
      <c r="K1386" s="153"/>
      <c r="L1386" s="153"/>
      <c r="M1386" s="153"/>
      <c r="N1386" s="153"/>
      <c r="O1386" s="153"/>
      <c r="P1386" s="153"/>
      <c r="Q1386" s="153"/>
      <c r="R1386" s="153"/>
      <c r="S1386" s="153"/>
      <c r="T1386" s="153"/>
      <c r="U1386" s="153"/>
      <c r="V1386" s="153"/>
      <c r="W1386" s="153"/>
      <c r="X1386" s="153"/>
      <c r="Y1386" s="255">
        <f>B1386*400+D1386*300+E1386*300+F1386*150+G1386*150+H1386*120+I1386*50+J1386*40+K1386*400+L1386*400+M1386*400+N1386*381.25+O1386*387.5+P1386*80+Q1386*200+R1386*320+S1386*300</f>
        <v>0</v>
      </c>
      <c r="Z1386" s="308"/>
      <c r="AA1386" s="263">
        <f t="shared" ref="AA1386:AA1416" si="734">Y1386+Z1386</f>
        <v>0</v>
      </c>
      <c r="AB1386" s="308"/>
      <c r="AC1386" s="308"/>
      <c r="AD1386" s="319">
        <f t="shared" ref="AD1386:AD1416" si="735">AA1386-AB1386-AC1386</f>
        <v>0</v>
      </c>
    </row>
    <row r="1387" spans="1:30" ht="30.75" thickBot="1">
      <c r="A1387" s="67">
        <f>A1386+1</f>
        <v>44867</v>
      </c>
      <c r="B1387" s="153"/>
      <c r="C1387" s="153"/>
      <c r="D1387" s="153"/>
      <c r="E1387" s="153"/>
      <c r="F1387" s="153"/>
      <c r="G1387" s="153"/>
      <c r="H1387" s="153"/>
      <c r="I1387" s="153"/>
      <c r="J1387" s="153"/>
      <c r="K1387" s="153"/>
      <c r="L1387" s="153"/>
      <c r="M1387" s="153"/>
      <c r="N1387" s="153"/>
      <c r="O1387" s="153"/>
      <c r="P1387" s="153"/>
      <c r="Q1387" s="153"/>
      <c r="R1387" s="153"/>
      <c r="S1387" s="153"/>
      <c r="T1387" s="153"/>
      <c r="U1387" s="153"/>
      <c r="V1387" s="153"/>
      <c r="W1387" s="153"/>
      <c r="X1387" s="153"/>
      <c r="Y1387" s="255">
        <f>B1387*300+D1387*300+E1387*300+F1387*150+G1387*150+H1387*150+I1387*43+J1387*40+K1387*390+L1387*390+M1387*400+N1387*381.25+O1387*400+P1387*80+Q1387*200+R1387*320+S1387*400</f>
        <v>0</v>
      </c>
      <c r="Z1387" s="309">
        <f t="shared" ref="Z1387:Z1416" si="736">AD1386</f>
        <v>0</v>
      </c>
      <c r="AA1387" s="256">
        <f t="shared" si="734"/>
        <v>0</v>
      </c>
      <c r="AB1387" s="309"/>
      <c r="AC1387" s="309"/>
      <c r="AD1387" s="320">
        <f t="shared" si="735"/>
        <v>0</v>
      </c>
    </row>
    <row r="1388" spans="1:30" ht="30.75" thickBot="1">
      <c r="A1388" s="67">
        <f t="shared" ref="A1388:A1416" si="737">A1387+1</f>
        <v>44868</v>
      </c>
      <c r="B1388" s="153"/>
      <c r="C1388" s="153"/>
      <c r="D1388" s="153"/>
      <c r="E1388" s="153"/>
      <c r="F1388" s="153"/>
      <c r="G1388" s="153"/>
      <c r="H1388" s="153"/>
      <c r="I1388" s="153"/>
      <c r="J1388" s="153"/>
      <c r="K1388" s="153"/>
      <c r="L1388" s="153"/>
      <c r="M1388" s="153"/>
      <c r="N1388" s="153"/>
      <c r="O1388" s="153"/>
      <c r="P1388" s="153"/>
      <c r="Q1388" s="153"/>
      <c r="R1388" s="153"/>
      <c r="S1388" s="153"/>
      <c r="T1388" s="153"/>
      <c r="U1388" s="153"/>
      <c r="V1388" s="153"/>
      <c r="W1388" s="153"/>
      <c r="X1388" s="153"/>
      <c r="Y1388" s="255">
        <f>B1388*350+D1388*400+E1388*300+F1388*150+G1388*150+H1388*120+I1388*40+J1388*40+K1388*400+L1388*400+M1388*400+N1388*450+O1388*400+P1388*80+Q1388*200+R1388*320+S1388*350</f>
        <v>0</v>
      </c>
      <c r="Z1388" s="309">
        <f t="shared" si="736"/>
        <v>0</v>
      </c>
      <c r="AA1388" s="256">
        <f t="shared" si="734"/>
        <v>0</v>
      </c>
      <c r="AB1388" s="309"/>
      <c r="AC1388" s="309"/>
      <c r="AD1388" s="320">
        <f t="shared" si="735"/>
        <v>0</v>
      </c>
    </row>
    <row r="1389" spans="1:30" ht="30.75" thickBot="1">
      <c r="A1389" s="67">
        <f t="shared" si="737"/>
        <v>44869</v>
      </c>
      <c r="B1389" s="153"/>
      <c r="C1389" s="153"/>
      <c r="D1389" s="153"/>
      <c r="E1389" s="153"/>
      <c r="F1389" s="153"/>
      <c r="G1389" s="153"/>
      <c r="H1389" s="153"/>
      <c r="I1389" s="153"/>
      <c r="J1389" s="153"/>
      <c r="K1389" s="153"/>
      <c r="L1389" s="153"/>
      <c r="M1389" s="153"/>
      <c r="N1389" s="153"/>
      <c r="O1389" s="153"/>
      <c r="P1389" s="153"/>
      <c r="Q1389" s="153"/>
      <c r="R1389" s="153"/>
      <c r="S1389" s="153"/>
      <c r="T1389" s="153"/>
      <c r="U1389" s="153"/>
      <c r="V1389" s="153"/>
      <c r="W1389" s="153"/>
      <c r="X1389" s="153"/>
      <c r="Y1389" s="255">
        <f>B1389*300+D1389*300+E1389*300+F1389*150+G1389*150+H1389*120+I1389*40+J1389*40+K1389*400+L1389*400+M1389*400+N1389*381.25+O1389*387.5+P1389*80+Q1389*200+R1389*320+S1389*350</f>
        <v>0</v>
      </c>
      <c r="Z1389" s="309">
        <f t="shared" si="736"/>
        <v>0</v>
      </c>
      <c r="AA1389" s="256">
        <f t="shared" si="734"/>
        <v>0</v>
      </c>
      <c r="AB1389" s="309"/>
      <c r="AC1389" s="309"/>
      <c r="AD1389" s="320">
        <f t="shared" si="735"/>
        <v>0</v>
      </c>
    </row>
    <row r="1390" spans="1:30" ht="30.75" thickBot="1">
      <c r="A1390" s="67">
        <f t="shared" si="737"/>
        <v>44870</v>
      </c>
      <c r="B1390" s="153"/>
      <c r="C1390" s="153"/>
      <c r="D1390" s="153"/>
      <c r="E1390" s="153"/>
      <c r="F1390" s="153"/>
      <c r="G1390" s="153"/>
      <c r="H1390" s="153"/>
      <c r="I1390" s="153"/>
      <c r="J1390" s="153"/>
      <c r="K1390" s="153"/>
      <c r="L1390" s="153"/>
      <c r="M1390" s="153"/>
      <c r="N1390" s="153"/>
      <c r="O1390" s="153"/>
      <c r="P1390" s="153"/>
      <c r="Q1390" s="153"/>
      <c r="R1390" s="153"/>
      <c r="S1390" s="153"/>
      <c r="T1390" s="153"/>
      <c r="U1390" s="153"/>
      <c r="V1390" s="153"/>
      <c r="W1390" s="153"/>
      <c r="X1390" s="153"/>
      <c r="Y1390" s="255">
        <f>B1390*300+D1390*300+E1390*300+F1390*150+G1390*150+H1390*120+I1390*40+J1390*40+K1390*400+L1390*400+M1390*400+N1390*390+O1390*387.5+P1390*80+Q1390*200+R1390*320+S1390*300</f>
        <v>0</v>
      </c>
      <c r="Z1390" s="309">
        <f t="shared" si="736"/>
        <v>0</v>
      </c>
      <c r="AA1390" s="256">
        <f t="shared" si="734"/>
        <v>0</v>
      </c>
      <c r="AB1390" s="309"/>
      <c r="AC1390" s="309"/>
      <c r="AD1390" s="320">
        <f t="shared" si="735"/>
        <v>0</v>
      </c>
    </row>
    <row r="1391" spans="1:30" ht="30.75" thickBot="1">
      <c r="A1391" s="67">
        <f t="shared" si="737"/>
        <v>44871</v>
      </c>
      <c r="B1391" s="153"/>
      <c r="C1391" s="153"/>
      <c r="D1391" s="153"/>
      <c r="E1391" s="153"/>
      <c r="F1391" s="153"/>
      <c r="G1391" s="153"/>
      <c r="H1391" s="153"/>
      <c r="I1391" s="153"/>
      <c r="J1391" s="153"/>
      <c r="K1391" s="153"/>
      <c r="L1391" s="153"/>
      <c r="M1391" s="153"/>
      <c r="N1391" s="153"/>
      <c r="O1391" s="153"/>
      <c r="P1391" s="153"/>
      <c r="Q1391" s="153"/>
      <c r="R1391" s="153"/>
      <c r="S1391" s="153"/>
      <c r="T1391" s="153"/>
      <c r="U1391" s="153"/>
      <c r="V1391" s="153"/>
      <c r="W1391" s="153"/>
      <c r="X1391" s="153"/>
      <c r="Y1391" s="255">
        <f>B1391*300+D1391*360+E1391*300+F1391*150+G1391*150+H1391*120+I1391*40+J1391*40+K1391*400+L1391*400+M1391*400+N1391*381.25+O1391*400+P1391*80+Q1391*200+R1391*320+S1391*360</f>
        <v>0</v>
      </c>
      <c r="Z1391" s="309">
        <f t="shared" si="736"/>
        <v>0</v>
      </c>
      <c r="AA1391" s="256">
        <f t="shared" si="734"/>
        <v>0</v>
      </c>
      <c r="AB1391" s="309"/>
      <c r="AC1391" s="309"/>
      <c r="AD1391" s="320">
        <f t="shared" si="735"/>
        <v>0</v>
      </c>
    </row>
    <row r="1392" spans="1:30" ht="30.75" thickBot="1">
      <c r="A1392" s="67">
        <f t="shared" si="737"/>
        <v>44872</v>
      </c>
      <c r="B1392" s="153"/>
      <c r="C1392" s="153"/>
      <c r="D1392" s="153"/>
      <c r="E1392" s="153"/>
      <c r="F1392" s="153"/>
      <c r="G1392" s="153"/>
      <c r="H1392" s="153"/>
      <c r="I1392" s="153"/>
      <c r="J1392" s="153"/>
      <c r="K1392" s="153"/>
      <c r="L1392" s="153"/>
      <c r="M1392" s="153"/>
      <c r="N1392" s="153"/>
      <c r="O1392" s="153"/>
      <c r="P1392" s="153"/>
      <c r="Q1392" s="153"/>
      <c r="R1392" s="153"/>
      <c r="S1392" s="153"/>
      <c r="T1392" s="153"/>
      <c r="U1392" s="153"/>
      <c r="V1392" s="153"/>
      <c r="W1392" s="153"/>
      <c r="X1392" s="153"/>
      <c r="Y1392" s="255">
        <f t="shared" ref="Y1392:Y1416" si="738">B1392*300+D1392*300+E1392*300+F1392*150+G1392*150+H1392*120+I1392*40+J1392*40+K1392*400+L1392*400+M1392*400+N1392*381.25+O1392*387.5+P1392*80+Q1392*200+R1392*320+S1392*300</f>
        <v>0</v>
      </c>
      <c r="Z1392" s="309">
        <f t="shared" si="736"/>
        <v>0</v>
      </c>
      <c r="AA1392" s="256">
        <f t="shared" si="734"/>
        <v>0</v>
      </c>
      <c r="AB1392" s="309"/>
      <c r="AC1392" s="309"/>
      <c r="AD1392" s="320">
        <f t="shared" si="735"/>
        <v>0</v>
      </c>
    </row>
    <row r="1393" spans="1:30" ht="30.75" thickBot="1">
      <c r="A1393" s="67">
        <f t="shared" si="737"/>
        <v>44873</v>
      </c>
      <c r="B1393" s="153"/>
      <c r="C1393" s="153"/>
      <c r="D1393" s="153"/>
      <c r="E1393" s="153"/>
      <c r="F1393" s="153"/>
      <c r="G1393" s="153"/>
      <c r="H1393" s="153"/>
      <c r="I1393" s="153"/>
      <c r="J1393" s="153"/>
      <c r="K1393" s="153"/>
      <c r="L1393" s="153"/>
      <c r="M1393" s="153"/>
      <c r="N1393" s="153"/>
      <c r="O1393" s="153"/>
      <c r="P1393" s="153"/>
      <c r="Q1393" s="153"/>
      <c r="R1393" s="153"/>
      <c r="S1393" s="153"/>
      <c r="T1393" s="153"/>
      <c r="U1393" s="153"/>
      <c r="V1393" s="153"/>
      <c r="W1393" s="153"/>
      <c r="X1393" s="153"/>
      <c r="Y1393" s="255">
        <f>B1393*300+D1393*300+E1393*300+F1393*150+G1393*150+H1393*120+I1393*43+J1393*40+K1393*400+L1393*400+M1393*400+N1393*381.25+O1393*400+P1393*80+Q1393*200+R1393*320+S1393*300</f>
        <v>0</v>
      </c>
      <c r="Z1393" s="309">
        <f t="shared" si="736"/>
        <v>0</v>
      </c>
      <c r="AA1393" s="256">
        <f t="shared" si="734"/>
        <v>0</v>
      </c>
      <c r="AB1393" s="309"/>
      <c r="AC1393" s="309"/>
      <c r="AD1393" s="320">
        <f t="shared" si="735"/>
        <v>0</v>
      </c>
    </row>
    <row r="1394" spans="1:30" ht="30.75" thickBot="1">
      <c r="A1394" s="67">
        <f t="shared" si="737"/>
        <v>44874</v>
      </c>
      <c r="B1394" s="153"/>
      <c r="C1394" s="153"/>
      <c r="D1394" s="153"/>
      <c r="E1394" s="153"/>
      <c r="F1394" s="153"/>
      <c r="G1394" s="153"/>
      <c r="H1394" s="153"/>
      <c r="I1394" s="153"/>
      <c r="J1394" s="153"/>
      <c r="K1394" s="153"/>
      <c r="L1394" s="153"/>
      <c r="M1394" s="153"/>
      <c r="N1394" s="153"/>
      <c r="O1394" s="153"/>
      <c r="P1394" s="153"/>
      <c r="Q1394" s="153"/>
      <c r="R1394" s="153"/>
      <c r="S1394" s="153"/>
      <c r="T1394" s="153"/>
      <c r="U1394" s="153"/>
      <c r="V1394" s="153"/>
      <c r="W1394" s="153"/>
      <c r="X1394" s="153"/>
      <c r="Y1394" s="255">
        <f t="shared" si="738"/>
        <v>0</v>
      </c>
      <c r="Z1394" s="309">
        <f t="shared" si="736"/>
        <v>0</v>
      </c>
      <c r="AA1394" s="256">
        <f t="shared" si="734"/>
        <v>0</v>
      </c>
      <c r="AB1394" s="309"/>
      <c r="AC1394" s="309"/>
      <c r="AD1394" s="320">
        <f t="shared" si="735"/>
        <v>0</v>
      </c>
    </row>
    <row r="1395" spans="1:30" ht="30.75" thickBot="1">
      <c r="A1395" s="67">
        <f t="shared" si="737"/>
        <v>44875</v>
      </c>
      <c r="B1395" s="153"/>
      <c r="C1395" s="153"/>
      <c r="D1395" s="153"/>
      <c r="E1395" s="153"/>
      <c r="F1395" s="153"/>
      <c r="G1395" s="153"/>
      <c r="H1395" s="153"/>
      <c r="I1395" s="153"/>
      <c r="J1395" s="153"/>
      <c r="K1395" s="153"/>
      <c r="L1395" s="153"/>
      <c r="M1395" s="153"/>
      <c r="N1395" s="153"/>
      <c r="O1395" s="153"/>
      <c r="P1395" s="153"/>
      <c r="Q1395" s="153"/>
      <c r="R1395" s="153"/>
      <c r="S1395" s="153"/>
      <c r="T1395" s="153"/>
      <c r="U1395" s="153"/>
      <c r="V1395" s="153"/>
      <c r="W1395" s="153"/>
      <c r="X1395" s="153"/>
      <c r="Y1395" s="255">
        <f>B1395*300+D1395*300+E1395*300+F1395*150+G1395*150+H1395*120+I1395*40+J1395*40+K1395*400+L1395*400+M1395*400+N1395*381.25+O1395*387.5+P1395*80+Q1395*200+R1395*320+S1395*360</f>
        <v>0</v>
      </c>
      <c r="Z1395" s="309">
        <f t="shared" si="736"/>
        <v>0</v>
      </c>
      <c r="AA1395" s="256">
        <f t="shared" si="734"/>
        <v>0</v>
      </c>
      <c r="AB1395" s="309"/>
      <c r="AC1395" s="309"/>
      <c r="AD1395" s="320">
        <f t="shared" si="735"/>
        <v>0</v>
      </c>
    </row>
    <row r="1396" spans="1:30" ht="30.75" thickBot="1">
      <c r="A1396" s="67">
        <f t="shared" si="737"/>
        <v>44876</v>
      </c>
      <c r="B1396" s="153"/>
      <c r="C1396" s="153"/>
      <c r="D1396" s="153"/>
      <c r="E1396" s="153"/>
      <c r="F1396" s="153"/>
      <c r="G1396" s="153"/>
      <c r="H1396" s="153"/>
      <c r="I1396" s="153"/>
      <c r="J1396" s="153"/>
      <c r="K1396" s="153"/>
      <c r="L1396" s="153"/>
      <c r="M1396" s="153"/>
      <c r="N1396" s="153"/>
      <c r="O1396" s="153"/>
      <c r="P1396" s="153"/>
      <c r="Q1396" s="153"/>
      <c r="R1396" s="153"/>
      <c r="S1396" s="153"/>
      <c r="T1396" s="153"/>
      <c r="U1396" s="153"/>
      <c r="V1396" s="153"/>
      <c r="W1396" s="153"/>
      <c r="X1396" s="153"/>
      <c r="Y1396" s="255">
        <f>B1396*450+D1396*400+E1396*300+F1396*150+G1396*150+H1396*140+I1396*43+J1396*40+K1396*400+L1396*400+M1396*400+N1396*381.25+O1396*400+P1396*80+Q1396*200+R1396*320+S1396*400</f>
        <v>0</v>
      </c>
      <c r="Z1396" s="309">
        <f t="shared" si="736"/>
        <v>0</v>
      </c>
      <c r="AA1396" s="256">
        <f t="shared" si="734"/>
        <v>0</v>
      </c>
      <c r="AB1396" s="309"/>
      <c r="AC1396" s="309"/>
      <c r="AD1396" s="320">
        <f t="shared" si="735"/>
        <v>0</v>
      </c>
    </row>
    <row r="1397" spans="1:30" ht="30.75" thickBot="1">
      <c r="A1397" s="67">
        <f t="shared" si="737"/>
        <v>44877</v>
      </c>
      <c r="B1397" s="153"/>
      <c r="C1397" s="153"/>
      <c r="D1397" s="153"/>
      <c r="E1397" s="153"/>
      <c r="F1397" s="153"/>
      <c r="G1397" s="153"/>
      <c r="H1397" s="153"/>
      <c r="I1397" s="153"/>
      <c r="J1397" s="153"/>
      <c r="K1397" s="153"/>
      <c r="L1397" s="153"/>
      <c r="M1397" s="153"/>
      <c r="N1397" s="153"/>
      <c r="O1397" s="153"/>
      <c r="P1397" s="153"/>
      <c r="Q1397" s="153"/>
      <c r="R1397" s="153"/>
      <c r="S1397" s="153"/>
      <c r="T1397" s="153"/>
      <c r="U1397" s="153"/>
      <c r="V1397" s="153"/>
      <c r="W1397" s="153"/>
      <c r="X1397" s="153"/>
      <c r="Y1397" s="255">
        <f>B1397*300+D1397*300+E1397*300+F1397*150+G1397*150+H1397*150+I1397*40+J1397*40+K1397*400+L1397*400+M1397*400+N1397*381.25+O1397*387.5+P1397*80+Q1397*200+R1397*320+S1397*300</f>
        <v>0</v>
      </c>
      <c r="Z1397" s="309">
        <f t="shared" si="736"/>
        <v>0</v>
      </c>
      <c r="AA1397" s="256">
        <f t="shared" si="734"/>
        <v>0</v>
      </c>
      <c r="AB1397" s="309"/>
      <c r="AC1397" s="309"/>
      <c r="AD1397" s="320">
        <f t="shared" si="735"/>
        <v>0</v>
      </c>
    </row>
    <row r="1398" spans="1:30" ht="30.75" thickBot="1">
      <c r="A1398" s="67">
        <f t="shared" si="737"/>
        <v>44878</v>
      </c>
      <c r="B1398" s="153"/>
      <c r="C1398" s="153"/>
      <c r="D1398" s="153"/>
      <c r="E1398" s="153"/>
      <c r="F1398" s="153"/>
      <c r="G1398" s="153"/>
      <c r="H1398" s="153"/>
      <c r="I1398" s="153"/>
      <c r="J1398" s="153"/>
      <c r="K1398" s="153"/>
      <c r="L1398" s="153"/>
      <c r="M1398" s="153"/>
      <c r="N1398" s="153"/>
      <c r="O1398" s="153"/>
      <c r="P1398" s="153"/>
      <c r="Q1398" s="153"/>
      <c r="R1398" s="153"/>
      <c r="S1398" s="153"/>
      <c r="T1398" s="153"/>
      <c r="U1398" s="153"/>
      <c r="V1398" s="153"/>
      <c r="W1398" s="153"/>
      <c r="X1398" s="153"/>
      <c r="Y1398" s="255">
        <f t="shared" si="738"/>
        <v>0</v>
      </c>
      <c r="Z1398" s="309">
        <f t="shared" si="736"/>
        <v>0</v>
      </c>
      <c r="AA1398" s="256">
        <f t="shared" si="734"/>
        <v>0</v>
      </c>
      <c r="AB1398" s="309"/>
      <c r="AC1398" s="309"/>
      <c r="AD1398" s="320">
        <f t="shared" si="735"/>
        <v>0</v>
      </c>
    </row>
    <row r="1399" spans="1:30" ht="30.75" thickBot="1">
      <c r="A1399" s="67">
        <f t="shared" si="737"/>
        <v>44879</v>
      </c>
      <c r="B1399" s="153"/>
      <c r="C1399" s="153"/>
      <c r="D1399" s="153"/>
      <c r="E1399" s="153"/>
      <c r="F1399" s="153"/>
      <c r="G1399" s="153"/>
      <c r="H1399" s="153"/>
      <c r="I1399" s="153"/>
      <c r="J1399" s="153"/>
      <c r="K1399" s="153"/>
      <c r="L1399" s="153"/>
      <c r="M1399" s="153"/>
      <c r="N1399" s="153"/>
      <c r="O1399" s="153"/>
      <c r="P1399" s="153"/>
      <c r="Q1399" s="153"/>
      <c r="R1399" s="153"/>
      <c r="S1399" s="153"/>
      <c r="T1399" s="153"/>
      <c r="U1399" s="153"/>
      <c r="V1399" s="153"/>
      <c r="W1399" s="153"/>
      <c r="X1399" s="153"/>
      <c r="Y1399" s="255">
        <f>B1399*400+D1399*400+E1399*300+F1399*150+G1399*150+H1399*120+I1399*40+J1399*40+K1399*400+L1399*400+M1399*400+N1399*381.25+O1399*387.5+P1399*80+Q1399*200+R1399*320+S1399*400</f>
        <v>0</v>
      </c>
      <c r="Z1399" s="309">
        <f t="shared" si="736"/>
        <v>0</v>
      </c>
      <c r="AA1399" s="256">
        <f t="shared" si="734"/>
        <v>0</v>
      </c>
      <c r="AB1399" s="309"/>
      <c r="AC1399" s="309"/>
      <c r="AD1399" s="320">
        <f t="shared" si="735"/>
        <v>0</v>
      </c>
    </row>
    <row r="1400" spans="1:30" ht="30.75" thickBot="1">
      <c r="A1400" s="67">
        <f t="shared" si="737"/>
        <v>44880</v>
      </c>
      <c r="B1400" s="153"/>
      <c r="C1400" s="153"/>
      <c r="D1400" s="153"/>
      <c r="E1400" s="153"/>
      <c r="F1400" s="153"/>
      <c r="G1400" s="153"/>
      <c r="H1400" s="153"/>
      <c r="I1400" s="153"/>
      <c r="J1400" s="153"/>
      <c r="K1400" s="153"/>
      <c r="L1400" s="153"/>
      <c r="M1400" s="153"/>
      <c r="N1400" s="153"/>
      <c r="O1400" s="153"/>
      <c r="P1400" s="153"/>
      <c r="Q1400" s="153"/>
      <c r="R1400" s="153"/>
      <c r="S1400" s="153"/>
      <c r="T1400" s="153"/>
      <c r="U1400" s="153"/>
      <c r="V1400" s="153"/>
      <c r="W1400" s="153"/>
      <c r="X1400" s="153"/>
      <c r="Y1400" s="255">
        <f>B1400*400+D1400*300+E1400*300+F1400*150+G1400*150+H1400*160+I1400*43+J1400*40+K1400*400+L1400*400+M1400*400+N1400*381.25+O1400*400+P1400*80+Q1400*200+R1400*320+S1400*410</f>
        <v>0</v>
      </c>
      <c r="Z1400" s="309">
        <f t="shared" si="736"/>
        <v>0</v>
      </c>
      <c r="AA1400" s="256">
        <f t="shared" si="734"/>
        <v>0</v>
      </c>
      <c r="AB1400" s="309"/>
      <c r="AC1400" s="309"/>
      <c r="AD1400" s="320">
        <f t="shared" si="735"/>
        <v>0</v>
      </c>
    </row>
    <row r="1401" spans="1:30" ht="30.75" thickBot="1">
      <c r="A1401" s="67">
        <f t="shared" si="737"/>
        <v>44881</v>
      </c>
      <c r="B1401" s="153"/>
      <c r="C1401" s="153"/>
      <c r="D1401" s="153"/>
      <c r="E1401" s="153"/>
      <c r="F1401" s="153"/>
      <c r="G1401" s="153"/>
      <c r="H1401" s="153"/>
      <c r="I1401" s="153"/>
      <c r="J1401" s="153"/>
      <c r="K1401" s="153"/>
      <c r="L1401" s="153"/>
      <c r="M1401" s="153"/>
      <c r="N1401" s="153"/>
      <c r="O1401" s="153"/>
      <c r="P1401" s="153"/>
      <c r="Q1401" s="153"/>
      <c r="R1401" s="153"/>
      <c r="S1401" s="153"/>
      <c r="T1401" s="153"/>
      <c r="U1401" s="153"/>
      <c r="V1401" s="153"/>
      <c r="W1401" s="153"/>
      <c r="X1401" s="153"/>
      <c r="Y1401" s="255">
        <f>B1401*300+D1401*300+E1401*300+F1401*150+G1401*150+H1401*120+I1401*40+J1401*40+K1401*400+L1401*400+M1401*400+N1401*381.25+O1401*400+P1401*80+Q1401*200+R1401*320+S1401*300</f>
        <v>0</v>
      </c>
      <c r="Z1401" s="309">
        <f t="shared" si="736"/>
        <v>0</v>
      </c>
      <c r="AA1401" s="256">
        <f t="shared" si="734"/>
        <v>0</v>
      </c>
      <c r="AB1401" s="309"/>
      <c r="AC1401" s="309"/>
      <c r="AD1401" s="320">
        <f t="shared" si="735"/>
        <v>0</v>
      </c>
    </row>
    <row r="1402" spans="1:30" ht="30.75" thickBot="1">
      <c r="A1402" s="67">
        <f t="shared" si="737"/>
        <v>44882</v>
      </c>
      <c r="B1402" s="153"/>
      <c r="C1402" s="153"/>
      <c r="D1402" s="153"/>
      <c r="E1402" s="153"/>
      <c r="F1402" s="153"/>
      <c r="G1402" s="153"/>
      <c r="H1402" s="153"/>
      <c r="I1402" s="153"/>
      <c r="J1402" s="153"/>
      <c r="K1402" s="153"/>
      <c r="L1402" s="153"/>
      <c r="M1402" s="153"/>
      <c r="N1402" s="153"/>
      <c r="O1402" s="153"/>
      <c r="P1402" s="153"/>
      <c r="Q1402" s="153"/>
      <c r="R1402" s="153"/>
      <c r="S1402" s="153"/>
      <c r="T1402" s="153"/>
      <c r="U1402" s="153"/>
      <c r="V1402" s="153"/>
      <c r="W1402" s="153"/>
      <c r="X1402" s="153"/>
      <c r="Y1402" s="255">
        <f>B1402*300+D1402*300+E1402*300+F1402*150+G1402*150+H1402*120+I1402*43+J1402*40+K1402*400+L1402*400+M1402*400+N1402*381.25+O1402*387.5+P1402*80+Q1402*200+R1402*320+S1402*300</f>
        <v>0</v>
      </c>
      <c r="Z1402" s="309">
        <f t="shared" si="736"/>
        <v>0</v>
      </c>
      <c r="AA1402" s="256">
        <f t="shared" si="734"/>
        <v>0</v>
      </c>
      <c r="AB1402" s="309"/>
      <c r="AC1402" s="309"/>
      <c r="AD1402" s="320">
        <f t="shared" si="735"/>
        <v>0</v>
      </c>
    </row>
    <row r="1403" spans="1:30" ht="30.75" thickBot="1">
      <c r="A1403" s="67">
        <f t="shared" si="737"/>
        <v>44883</v>
      </c>
      <c r="B1403" s="153"/>
      <c r="C1403" s="153"/>
      <c r="D1403" s="153"/>
      <c r="E1403" s="153"/>
      <c r="F1403" s="153"/>
      <c r="G1403" s="153"/>
      <c r="H1403" s="153"/>
      <c r="I1403" s="153"/>
      <c r="J1403" s="153"/>
      <c r="K1403" s="153"/>
      <c r="L1403" s="153"/>
      <c r="M1403" s="153"/>
      <c r="N1403" s="153"/>
      <c r="O1403" s="153"/>
      <c r="P1403" s="153"/>
      <c r="Q1403" s="153"/>
      <c r="R1403" s="153"/>
      <c r="S1403" s="153"/>
      <c r="T1403" s="153"/>
      <c r="U1403" s="153"/>
      <c r="V1403" s="153"/>
      <c r="W1403" s="153"/>
      <c r="X1403" s="153"/>
      <c r="Y1403" s="255">
        <f>B1403*300+D1403*300+E1403*300+F1403*150+G1403*150+H1403*120+I1403*40+J1403*40+K1403*400+L1403*400+M1403*400+N1403*381.25+O1403*387.5+P1403*80+Q1403*200+R1403*320+S1403*400</f>
        <v>0</v>
      </c>
      <c r="Z1403" s="309">
        <f t="shared" si="736"/>
        <v>0</v>
      </c>
      <c r="AA1403" s="256">
        <f t="shared" si="734"/>
        <v>0</v>
      </c>
      <c r="AB1403" s="309"/>
      <c r="AC1403" s="309"/>
      <c r="AD1403" s="320">
        <f t="shared" si="735"/>
        <v>0</v>
      </c>
    </row>
    <row r="1404" spans="1:30" ht="30.75" thickBot="1">
      <c r="A1404" s="67">
        <f t="shared" si="737"/>
        <v>44884</v>
      </c>
      <c r="B1404" s="153"/>
      <c r="C1404" s="153"/>
      <c r="D1404" s="153"/>
      <c r="E1404" s="153"/>
      <c r="F1404" s="153"/>
      <c r="G1404" s="153"/>
      <c r="H1404" s="153"/>
      <c r="I1404" s="153"/>
      <c r="J1404" s="153"/>
      <c r="K1404" s="153"/>
      <c r="L1404" s="153"/>
      <c r="M1404" s="153"/>
      <c r="N1404" s="153"/>
      <c r="O1404" s="153"/>
      <c r="P1404" s="153"/>
      <c r="Q1404" s="153"/>
      <c r="R1404" s="153"/>
      <c r="S1404" s="153"/>
      <c r="T1404" s="153"/>
      <c r="U1404" s="153"/>
      <c r="V1404" s="153"/>
      <c r="W1404" s="153"/>
      <c r="X1404" s="153"/>
      <c r="Y1404" s="255">
        <f>B1404*300+D1404*300+E1404*300+F1404*150+G1404*150+H1404*120+I1404*43+J1404*40+K1404*400+L1404*400+M1404*400+N1404*381.25+O1404*387.5+P1404*80+Q1404*200+R1404*320+S1404*300</f>
        <v>0</v>
      </c>
      <c r="Z1404" s="309">
        <f t="shared" si="736"/>
        <v>0</v>
      </c>
      <c r="AA1404" s="256">
        <f t="shared" si="734"/>
        <v>0</v>
      </c>
      <c r="AB1404" s="309"/>
      <c r="AC1404" s="309"/>
      <c r="AD1404" s="320">
        <f t="shared" si="735"/>
        <v>0</v>
      </c>
    </row>
    <row r="1405" spans="1:30" ht="30.75" thickBot="1">
      <c r="A1405" s="67">
        <f t="shared" si="737"/>
        <v>44885</v>
      </c>
      <c r="B1405" s="153"/>
      <c r="C1405" s="153"/>
      <c r="D1405" s="153"/>
      <c r="E1405" s="153"/>
      <c r="F1405" s="153"/>
      <c r="G1405" s="153"/>
      <c r="H1405" s="153"/>
      <c r="I1405" s="153"/>
      <c r="J1405" s="153"/>
      <c r="K1405" s="153"/>
      <c r="L1405" s="153"/>
      <c r="M1405" s="153"/>
      <c r="N1405" s="153"/>
      <c r="O1405" s="153"/>
      <c r="P1405" s="153"/>
      <c r="Q1405" s="153"/>
      <c r="R1405" s="153"/>
      <c r="S1405" s="153"/>
      <c r="T1405" s="153"/>
      <c r="U1405" s="153"/>
      <c r="V1405" s="153"/>
      <c r="W1405" s="153"/>
      <c r="X1405" s="153"/>
      <c r="Y1405" s="255">
        <f>B1405*400+D1405*400+E1405*300+F1405*150+G1405*150+H1405*120+I1405*40+J1405*40+K1405*400+L1405*400+M1405*400+N1405*381.25+O1405*400+P1405*80+Q1405*200+R1405*320+S1405*300</f>
        <v>0</v>
      </c>
      <c r="Z1405" s="309">
        <f t="shared" si="736"/>
        <v>0</v>
      </c>
      <c r="AA1405" s="256">
        <f t="shared" si="734"/>
        <v>0</v>
      </c>
      <c r="AB1405" s="309"/>
      <c r="AC1405" s="309"/>
      <c r="AD1405" s="320">
        <f t="shared" si="735"/>
        <v>0</v>
      </c>
    </row>
    <row r="1406" spans="1:30" ht="30.75" thickBot="1">
      <c r="A1406" s="67">
        <f t="shared" si="737"/>
        <v>44886</v>
      </c>
      <c r="B1406" s="153"/>
      <c r="C1406" s="153"/>
      <c r="D1406" s="153"/>
      <c r="E1406" s="153"/>
      <c r="F1406" s="153"/>
      <c r="G1406" s="153"/>
      <c r="H1406" s="153"/>
      <c r="I1406" s="153"/>
      <c r="J1406" s="153"/>
      <c r="K1406" s="153"/>
      <c r="L1406" s="153"/>
      <c r="M1406" s="153"/>
      <c r="N1406" s="153"/>
      <c r="O1406" s="153"/>
      <c r="P1406" s="153"/>
      <c r="Q1406" s="153"/>
      <c r="R1406" s="153"/>
      <c r="S1406" s="153"/>
      <c r="T1406" s="153"/>
      <c r="U1406" s="153"/>
      <c r="V1406" s="153"/>
      <c r="W1406" s="153"/>
      <c r="X1406" s="153"/>
      <c r="Y1406" s="255">
        <f t="shared" si="738"/>
        <v>0</v>
      </c>
      <c r="Z1406" s="309">
        <f t="shared" si="736"/>
        <v>0</v>
      </c>
      <c r="AA1406" s="256">
        <f t="shared" si="734"/>
        <v>0</v>
      </c>
      <c r="AB1406" s="309"/>
      <c r="AC1406" s="309"/>
      <c r="AD1406" s="320">
        <f t="shared" si="735"/>
        <v>0</v>
      </c>
    </row>
    <row r="1407" spans="1:30" ht="30.75" thickBot="1">
      <c r="A1407" s="67">
        <f t="shared" si="737"/>
        <v>44887</v>
      </c>
      <c r="B1407" s="153"/>
      <c r="C1407" s="153"/>
      <c r="D1407" s="153"/>
      <c r="E1407" s="153"/>
      <c r="F1407" s="153"/>
      <c r="G1407" s="153"/>
      <c r="H1407" s="153"/>
      <c r="I1407" s="153"/>
      <c r="J1407" s="153"/>
      <c r="K1407" s="153"/>
      <c r="L1407" s="153"/>
      <c r="M1407" s="153"/>
      <c r="N1407" s="153"/>
      <c r="O1407" s="153"/>
      <c r="P1407" s="153"/>
      <c r="Q1407" s="153"/>
      <c r="R1407" s="153"/>
      <c r="S1407" s="153"/>
      <c r="T1407" s="153"/>
      <c r="U1407" s="153"/>
      <c r="V1407" s="153"/>
      <c r="W1407" s="153"/>
      <c r="X1407" s="153"/>
      <c r="Y1407" s="255">
        <f>B1407*300+D1407*300+E1407*300+F1407*150+G1407*150+H1407*120+I1407*40+J1407*40+K1407*400+L1407*400+M1407*400+N1407*390+O1407*400+P1407*80+Q1407*200+R1407*320+S1407*300</f>
        <v>0</v>
      </c>
      <c r="Z1407" s="309">
        <f t="shared" si="736"/>
        <v>0</v>
      </c>
      <c r="AA1407" s="256">
        <f t="shared" si="734"/>
        <v>0</v>
      </c>
      <c r="AB1407" s="309"/>
      <c r="AC1407" s="309"/>
      <c r="AD1407" s="320">
        <f t="shared" si="735"/>
        <v>0</v>
      </c>
    </row>
    <row r="1408" spans="1:30" ht="30.75" thickBot="1">
      <c r="A1408" s="67">
        <f t="shared" si="737"/>
        <v>44888</v>
      </c>
      <c r="B1408" s="153"/>
      <c r="C1408" s="153"/>
      <c r="D1408" s="153"/>
      <c r="E1408" s="153"/>
      <c r="F1408" s="153"/>
      <c r="G1408" s="153"/>
      <c r="H1408" s="153"/>
      <c r="I1408" s="153"/>
      <c r="J1408" s="153"/>
      <c r="K1408" s="153"/>
      <c r="L1408" s="153"/>
      <c r="M1408" s="153"/>
      <c r="N1408" s="153"/>
      <c r="O1408" s="153"/>
      <c r="P1408" s="153"/>
      <c r="Q1408" s="153"/>
      <c r="R1408" s="153"/>
      <c r="S1408" s="153"/>
      <c r="T1408" s="153"/>
      <c r="U1408" s="153"/>
      <c r="V1408" s="153"/>
      <c r="W1408" s="153"/>
      <c r="X1408" s="153"/>
      <c r="Y1408" s="255">
        <f>B1408*300+D1408*300+E1408*300+F1408*150+G1408*150+H1408*120+I1408*43+J1408*40+K1408*400+L1408*400+M1408*400+N1408*381.25+O1408*400+P1408*80+Q1408*200+R1408*320+S1408*300</f>
        <v>0</v>
      </c>
      <c r="Z1408" s="309">
        <f t="shared" si="736"/>
        <v>0</v>
      </c>
      <c r="AA1408" s="256">
        <f t="shared" si="734"/>
        <v>0</v>
      </c>
      <c r="AB1408" s="309"/>
      <c r="AC1408" s="309"/>
      <c r="AD1408" s="320">
        <f t="shared" si="735"/>
        <v>0</v>
      </c>
    </row>
    <row r="1409" spans="1:30" ht="30.75" thickBot="1">
      <c r="A1409" s="67">
        <f t="shared" si="737"/>
        <v>44889</v>
      </c>
      <c r="B1409" s="153"/>
      <c r="C1409" s="153"/>
      <c r="D1409" s="153"/>
      <c r="E1409" s="153"/>
      <c r="F1409" s="153"/>
      <c r="G1409" s="153"/>
      <c r="H1409" s="153"/>
      <c r="I1409" s="153"/>
      <c r="J1409" s="153"/>
      <c r="K1409" s="153"/>
      <c r="L1409" s="153"/>
      <c r="M1409" s="153"/>
      <c r="N1409" s="153"/>
      <c r="O1409" s="153"/>
      <c r="P1409" s="153"/>
      <c r="Q1409" s="153"/>
      <c r="R1409" s="153"/>
      <c r="S1409" s="153"/>
      <c r="T1409" s="153"/>
      <c r="U1409" s="153"/>
      <c r="V1409" s="153"/>
      <c r="W1409" s="153"/>
      <c r="X1409" s="153"/>
      <c r="Y1409" s="255">
        <f>B1409*300+D1409*400+E1409*360+F1409*150+G1409*150+H1409*120+I1409*43+J1409*40+K1409*400+L1409*400+M1409*400+N1409*400+O1409*400+P1409*80+Q1409*200+R1409*320+S1409*360</f>
        <v>0</v>
      </c>
      <c r="Z1409" s="309">
        <f t="shared" si="736"/>
        <v>0</v>
      </c>
      <c r="AA1409" s="256">
        <f t="shared" si="734"/>
        <v>0</v>
      </c>
      <c r="AB1409" s="309"/>
      <c r="AC1409" s="309"/>
      <c r="AD1409" s="320">
        <f t="shared" si="735"/>
        <v>0</v>
      </c>
    </row>
    <row r="1410" spans="1:30" ht="30.75" thickBot="1">
      <c r="A1410" s="67">
        <f t="shared" si="737"/>
        <v>44890</v>
      </c>
      <c r="B1410" s="153"/>
      <c r="C1410" s="153"/>
      <c r="D1410" s="153"/>
      <c r="E1410" s="153"/>
      <c r="F1410" s="153"/>
      <c r="G1410" s="153"/>
      <c r="H1410" s="153"/>
      <c r="I1410" s="153"/>
      <c r="J1410" s="153"/>
      <c r="K1410" s="153"/>
      <c r="L1410" s="153"/>
      <c r="M1410" s="153"/>
      <c r="N1410" s="153"/>
      <c r="O1410" s="153"/>
      <c r="P1410" s="153"/>
      <c r="Q1410" s="153"/>
      <c r="R1410" s="153"/>
      <c r="S1410" s="153"/>
      <c r="T1410" s="153"/>
      <c r="U1410" s="153"/>
      <c r="V1410" s="153"/>
      <c r="W1410" s="153"/>
      <c r="X1410" s="153"/>
      <c r="Y1410" s="255">
        <f>B1410*300+D1410*300+E1410*360+F1410*150+G1410*150+H1410*120+I1410*43+J1410*40+K1410*400+L1410*400+M1410*400+N1410*400+O1410*400+P1410*80+Q1410*200+R1410*320+S1410*360</f>
        <v>0</v>
      </c>
      <c r="Z1410" s="309">
        <f t="shared" si="736"/>
        <v>0</v>
      </c>
      <c r="AA1410" s="256">
        <f t="shared" si="734"/>
        <v>0</v>
      </c>
      <c r="AB1410" s="309"/>
      <c r="AC1410" s="309"/>
      <c r="AD1410" s="320">
        <f t="shared" si="735"/>
        <v>0</v>
      </c>
    </row>
    <row r="1411" spans="1:30" ht="30.75" thickBot="1">
      <c r="A1411" s="67">
        <f t="shared" si="737"/>
        <v>44891</v>
      </c>
      <c r="B1411" s="153"/>
      <c r="C1411" s="153"/>
      <c r="D1411" s="153"/>
      <c r="E1411" s="153"/>
      <c r="F1411" s="153"/>
      <c r="G1411" s="153"/>
      <c r="H1411" s="153"/>
      <c r="I1411" s="153"/>
      <c r="J1411" s="153"/>
      <c r="K1411" s="153"/>
      <c r="L1411" s="153"/>
      <c r="M1411" s="153"/>
      <c r="N1411" s="153"/>
      <c r="O1411" s="153"/>
      <c r="P1411" s="153"/>
      <c r="Q1411" s="153"/>
      <c r="R1411" s="153"/>
      <c r="S1411" s="153"/>
      <c r="T1411" s="153"/>
      <c r="U1411" s="153"/>
      <c r="V1411" s="153"/>
      <c r="W1411" s="153"/>
      <c r="X1411" s="153"/>
      <c r="Y1411" s="255">
        <f>B1411*400+D1411*300+E1411*300+F1411*150+G1411*150+H1411*120+I1411*40+J1411*40+K1411*400+L1411*400+M1411*400+N1411*381.25+O1411*387.5+P1411*80+Q1411*200+R1411*320+S1411*300</f>
        <v>0</v>
      </c>
      <c r="Z1411" s="309">
        <f t="shared" si="736"/>
        <v>0</v>
      </c>
      <c r="AA1411" s="256">
        <f t="shared" si="734"/>
        <v>0</v>
      </c>
      <c r="AB1411" s="309"/>
      <c r="AC1411" s="309"/>
      <c r="AD1411" s="320">
        <f t="shared" si="735"/>
        <v>0</v>
      </c>
    </row>
    <row r="1412" spans="1:30" ht="30.75" thickBot="1">
      <c r="A1412" s="67">
        <f t="shared" si="737"/>
        <v>44892</v>
      </c>
      <c r="B1412" s="153"/>
      <c r="C1412" s="153"/>
      <c r="D1412" s="153"/>
      <c r="E1412" s="153"/>
      <c r="F1412" s="153"/>
      <c r="G1412" s="153"/>
      <c r="H1412" s="153"/>
      <c r="I1412" s="153"/>
      <c r="J1412" s="153"/>
      <c r="K1412" s="153"/>
      <c r="L1412" s="153"/>
      <c r="M1412" s="153"/>
      <c r="N1412" s="153"/>
      <c r="O1412" s="153"/>
      <c r="P1412" s="153"/>
      <c r="Q1412" s="153"/>
      <c r="R1412" s="153"/>
      <c r="S1412" s="153"/>
      <c r="T1412" s="153"/>
      <c r="U1412" s="153"/>
      <c r="V1412" s="153"/>
      <c r="W1412" s="153"/>
      <c r="X1412" s="153"/>
      <c r="Y1412" s="255">
        <f>B1412*300+D1412*340+E1412*300+F1412*150+G1412*150+H1412*120+I1412*40+J1412*40+K1412*400+L1412*400+M1412*400+N1412*400+O1412*387.5+P1412*80+Q1412*200+R1412*320+S1412*380</f>
        <v>0</v>
      </c>
      <c r="Z1412" s="309">
        <f t="shared" si="736"/>
        <v>0</v>
      </c>
      <c r="AA1412" s="256">
        <f t="shared" si="734"/>
        <v>0</v>
      </c>
      <c r="AB1412" s="309"/>
      <c r="AC1412" s="309"/>
      <c r="AD1412" s="320">
        <f t="shared" si="735"/>
        <v>0</v>
      </c>
    </row>
    <row r="1413" spans="1:30" ht="30.75" thickBot="1">
      <c r="A1413" s="67">
        <f t="shared" si="737"/>
        <v>44893</v>
      </c>
      <c r="B1413" s="153"/>
      <c r="C1413" s="153"/>
      <c r="D1413" s="153"/>
      <c r="E1413" s="153"/>
      <c r="F1413" s="153"/>
      <c r="G1413" s="153"/>
      <c r="H1413" s="153"/>
      <c r="I1413" s="153"/>
      <c r="J1413" s="153"/>
      <c r="K1413" s="153"/>
      <c r="L1413" s="153"/>
      <c r="M1413" s="153"/>
      <c r="N1413" s="153"/>
      <c r="O1413" s="153"/>
      <c r="P1413" s="153"/>
      <c r="Q1413" s="153"/>
      <c r="R1413" s="153"/>
      <c r="S1413" s="153"/>
      <c r="T1413" s="153"/>
      <c r="U1413" s="153"/>
      <c r="V1413" s="153"/>
      <c r="W1413" s="153"/>
      <c r="X1413" s="153"/>
      <c r="Y1413" s="255">
        <f>B1413*300+D1413*300+E1413*300+F1413*150+G1413*150+H1413*120+I1413*40+J1413*40+K1413*400+L1413*400+M1413*400+N1413*400+O1413*400+P1413*80+Q1413*200+R1413*320+S1413*300</f>
        <v>0</v>
      </c>
      <c r="Z1413" s="309">
        <f t="shared" si="736"/>
        <v>0</v>
      </c>
      <c r="AA1413" s="256">
        <f t="shared" si="734"/>
        <v>0</v>
      </c>
      <c r="AB1413" s="309"/>
      <c r="AC1413" s="309"/>
      <c r="AD1413" s="320">
        <f t="shared" si="735"/>
        <v>0</v>
      </c>
    </row>
    <row r="1414" spans="1:30" ht="30.75" thickBot="1">
      <c r="A1414" s="67">
        <f t="shared" si="737"/>
        <v>44894</v>
      </c>
      <c r="B1414" s="153"/>
      <c r="C1414" s="153"/>
      <c r="D1414" s="153"/>
      <c r="E1414" s="153"/>
      <c r="F1414" s="153"/>
      <c r="G1414" s="153"/>
      <c r="H1414" s="153"/>
      <c r="I1414" s="153"/>
      <c r="J1414" s="153"/>
      <c r="K1414" s="153"/>
      <c r="L1414" s="153"/>
      <c r="M1414" s="153"/>
      <c r="N1414" s="153"/>
      <c r="O1414" s="153"/>
      <c r="P1414" s="153"/>
      <c r="Q1414" s="153"/>
      <c r="R1414" s="153"/>
      <c r="S1414" s="153"/>
      <c r="T1414" s="153"/>
      <c r="U1414" s="153"/>
      <c r="V1414" s="153"/>
      <c r="W1414" s="153"/>
      <c r="X1414" s="153"/>
      <c r="Y1414" s="255">
        <f>B1414*400+D1414*300+E1414*300+F1414*150+G1414*150+H1414*120+I1414*40+J1414*40+K1414*400+L1414*400+M1414*400+N1414*381.25+O1414*387.5+P1414*80+Q1414*200+R1414*320+S1414*300</f>
        <v>0</v>
      </c>
      <c r="Z1414" s="309">
        <f t="shared" si="736"/>
        <v>0</v>
      </c>
      <c r="AA1414" s="256">
        <f t="shared" si="734"/>
        <v>0</v>
      </c>
      <c r="AB1414" s="309"/>
      <c r="AC1414" s="309"/>
      <c r="AD1414" s="320">
        <f t="shared" si="735"/>
        <v>0</v>
      </c>
    </row>
    <row r="1415" spans="1:30" ht="30.75" thickBot="1">
      <c r="A1415" s="67">
        <f t="shared" si="737"/>
        <v>44895</v>
      </c>
      <c r="B1415" s="153"/>
      <c r="C1415" s="153"/>
      <c r="D1415" s="153"/>
      <c r="E1415" s="153"/>
      <c r="F1415" s="153"/>
      <c r="G1415" s="153"/>
      <c r="H1415" s="153"/>
      <c r="I1415" s="153"/>
      <c r="J1415" s="153"/>
      <c r="K1415" s="153"/>
      <c r="L1415" s="153"/>
      <c r="M1415" s="153"/>
      <c r="N1415" s="153"/>
      <c r="O1415" s="153"/>
      <c r="P1415" s="153"/>
      <c r="Q1415" s="153"/>
      <c r="R1415" s="153"/>
      <c r="S1415" s="153"/>
      <c r="T1415" s="153"/>
      <c r="U1415" s="153"/>
      <c r="V1415" s="153"/>
      <c r="W1415" s="153"/>
      <c r="X1415" s="153"/>
      <c r="Y1415" s="255">
        <f>B1415*300+D1415*300+E1415*300+F1415*150+G1415*150+H1415*140+I1415*40+J1415*40+K1415*400+L1415*400+M1415*400+N1415*381.25+O1415*400+P1415*80+Q1415*200+R1415*320+S1415*350</f>
        <v>0</v>
      </c>
      <c r="Z1415" s="309">
        <f t="shared" si="736"/>
        <v>0</v>
      </c>
      <c r="AA1415" s="256">
        <f t="shared" si="734"/>
        <v>0</v>
      </c>
      <c r="AB1415" s="309"/>
      <c r="AC1415" s="309"/>
      <c r="AD1415" s="320">
        <f t="shared" si="735"/>
        <v>0</v>
      </c>
    </row>
    <row r="1416" spans="1:30" ht="30.75" thickBot="1">
      <c r="A1416" s="102">
        <f t="shared" si="737"/>
        <v>44896</v>
      </c>
      <c r="B1416" s="153"/>
      <c r="C1416" s="153"/>
      <c r="D1416" s="153"/>
      <c r="E1416" s="153"/>
      <c r="F1416" s="153"/>
      <c r="G1416" s="153"/>
      <c r="H1416" s="153"/>
      <c r="I1416" s="153"/>
      <c r="J1416" s="153"/>
      <c r="K1416" s="153"/>
      <c r="L1416" s="153"/>
      <c r="M1416" s="153"/>
      <c r="N1416" s="153"/>
      <c r="O1416" s="153"/>
      <c r="P1416" s="153"/>
      <c r="Q1416" s="153"/>
      <c r="R1416" s="153"/>
      <c r="S1416" s="153"/>
      <c r="T1416" s="153"/>
      <c r="U1416" s="153"/>
      <c r="V1416" s="153"/>
      <c r="W1416" s="153"/>
      <c r="X1416" s="153"/>
      <c r="Y1416" s="255">
        <f t="shared" si="738"/>
        <v>0</v>
      </c>
      <c r="Z1416" s="309">
        <f t="shared" si="736"/>
        <v>0</v>
      </c>
      <c r="AA1416" s="256">
        <f t="shared" si="734"/>
        <v>0</v>
      </c>
      <c r="AB1416" s="309"/>
      <c r="AC1416" s="309"/>
      <c r="AD1416" s="320">
        <f t="shared" si="735"/>
        <v>0</v>
      </c>
    </row>
    <row r="1417" spans="1:30" ht="30" thickTop="1" thickBot="1">
      <c r="A1417" s="96" t="s">
        <v>74</v>
      </c>
      <c r="B1417" s="104">
        <f>SUM(B1386:B1416)</f>
        <v>0</v>
      </c>
      <c r="C1417" s="104">
        <f t="shared" ref="C1417:D1417" si="739">SUM(C1386:C1416)</f>
        <v>0</v>
      </c>
      <c r="D1417" s="104">
        <f t="shared" si="739"/>
        <v>0</v>
      </c>
      <c r="E1417" s="104"/>
      <c r="F1417" s="104">
        <f t="shared" ref="F1417:O1417" si="740">SUM(F1386:F1416)</f>
        <v>0</v>
      </c>
      <c r="G1417" s="104">
        <f t="shared" si="740"/>
        <v>0</v>
      </c>
      <c r="H1417" s="104">
        <f t="shared" si="740"/>
        <v>0</v>
      </c>
      <c r="I1417" s="104">
        <f t="shared" si="740"/>
        <v>0</v>
      </c>
      <c r="J1417" s="104">
        <f t="shared" si="740"/>
        <v>0</v>
      </c>
      <c r="K1417" s="104">
        <f t="shared" si="740"/>
        <v>0</v>
      </c>
      <c r="L1417" s="104">
        <f t="shared" si="740"/>
        <v>0</v>
      </c>
      <c r="M1417" s="104">
        <f t="shared" si="740"/>
        <v>0</v>
      </c>
      <c r="N1417" s="104">
        <f t="shared" si="740"/>
        <v>0</v>
      </c>
      <c r="O1417" s="104">
        <f t="shared" si="740"/>
        <v>0</v>
      </c>
      <c r="P1417" s="104"/>
      <c r="Q1417" s="104">
        <f t="shared" ref="Q1417:S1417" si="741">SUM(Q1386:Q1416)</f>
        <v>0</v>
      </c>
      <c r="R1417" s="104">
        <f t="shared" si="741"/>
        <v>0</v>
      </c>
      <c r="S1417" s="104">
        <f t="shared" si="741"/>
        <v>0</v>
      </c>
      <c r="T1417" s="104"/>
      <c r="U1417" s="104"/>
      <c r="V1417" s="104"/>
      <c r="W1417" s="104"/>
      <c r="X1417" s="104"/>
      <c r="Y1417" s="292">
        <f t="shared" ref="Y1417" si="742">SUM(Y1386:Y1416)</f>
        <v>0</v>
      </c>
      <c r="Z1417" s="259"/>
      <c r="AA1417" s="259"/>
      <c r="AB1417" s="316">
        <f>SUM(AB1386:AB1416)</f>
        <v>0</v>
      </c>
      <c r="AC1417" s="316"/>
      <c r="AD1417" s="260"/>
    </row>
    <row r="1418" spans="1:30" ht="16.5" thickTop="1" thickBot="1"/>
    <row r="1419" spans="1:30" ht="43.5" thickBot="1">
      <c r="A1419" s="109">
        <f>A5</f>
        <v>2022</v>
      </c>
      <c r="B1419" s="1424" t="s">
        <v>107</v>
      </c>
      <c r="C1419" s="1425"/>
      <c r="D1419" s="1425"/>
      <c r="E1419" s="1425"/>
      <c r="F1419" s="1425"/>
      <c r="G1419" s="1425"/>
      <c r="H1419" s="1425"/>
      <c r="I1419" s="1425"/>
      <c r="J1419" s="1425"/>
      <c r="K1419" s="1425"/>
      <c r="L1419" s="1425"/>
      <c r="M1419" s="1425"/>
      <c r="N1419" s="1425"/>
      <c r="O1419" s="1425"/>
      <c r="P1419" s="1425"/>
      <c r="Q1419" s="1425"/>
      <c r="R1419" s="1425"/>
      <c r="S1419" s="1425"/>
      <c r="T1419" s="1425"/>
      <c r="U1419" s="1425"/>
      <c r="V1419" s="1425"/>
      <c r="W1419" s="1425"/>
      <c r="X1419" s="1425"/>
      <c r="Y1419" s="1426"/>
      <c r="Z1419" s="21"/>
      <c r="AA1419" s="21"/>
      <c r="AB1419" s="21"/>
      <c r="AC1419" s="2"/>
      <c r="AD1419" t="s">
        <v>1</v>
      </c>
    </row>
    <row r="1420" spans="1:30" ht="60.75" thickTop="1" thickBot="1">
      <c r="A1420" s="1422" t="s">
        <v>94</v>
      </c>
      <c r="B1420" s="1402" t="s">
        <v>95</v>
      </c>
      <c r="C1420" s="1403"/>
      <c r="D1420" s="1403"/>
      <c r="E1420" s="1404"/>
      <c r="F1420" s="1402" t="s">
        <v>7</v>
      </c>
      <c r="G1420" s="1403"/>
      <c r="H1420" s="1404"/>
      <c r="I1420" s="1402" t="s">
        <v>8</v>
      </c>
      <c r="J1420" s="1404"/>
      <c r="K1420" s="1402" t="s">
        <v>9</v>
      </c>
      <c r="L1420" s="1403"/>
      <c r="M1420" s="1403"/>
      <c r="N1420" s="1403"/>
      <c r="O1420" s="1403"/>
      <c r="P1420" s="1403"/>
      <c r="Q1420" s="1403"/>
      <c r="R1420" s="1405" t="s">
        <v>10</v>
      </c>
      <c r="S1420" s="1406"/>
      <c r="T1420" s="1400" t="s">
        <v>289</v>
      </c>
      <c r="U1420" s="1401"/>
      <c r="V1420" s="842" t="s">
        <v>258</v>
      </c>
      <c r="W1420" s="842"/>
      <c r="X1420" s="842"/>
      <c r="Y1420" s="211"/>
      <c r="Z1420" s="21"/>
      <c r="AA1420" s="21"/>
      <c r="AB1420" s="21"/>
      <c r="AC1420" s="21"/>
    </row>
    <row r="1421" spans="1:30" ht="42" thickTop="1" thickBot="1">
      <c r="A1421" s="1423"/>
      <c r="B1421" s="482" t="s">
        <v>12</v>
      </c>
      <c r="C1421" s="482" t="s">
        <v>13</v>
      </c>
      <c r="D1421" s="482" t="s">
        <v>14</v>
      </c>
      <c r="E1421" s="688" t="s">
        <v>198</v>
      </c>
      <c r="F1421" s="482" t="s">
        <v>12</v>
      </c>
      <c r="G1421" s="482" t="s">
        <v>13</v>
      </c>
      <c r="H1421" s="482" t="s">
        <v>282</v>
      </c>
      <c r="I1421" s="482" t="s">
        <v>12</v>
      </c>
      <c r="J1421" s="482" t="s">
        <v>16</v>
      </c>
      <c r="K1421" s="482" t="s">
        <v>17</v>
      </c>
      <c r="L1421" s="482" t="s">
        <v>18</v>
      </c>
      <c r="M1421" s="482" t="s">
        <v>19</v>
      </c>
      <c r="N1421" s="484" t="s">
        <v>96</v>
      </c>
      <c r="O1421" s="484" t="s">
        <v>257</v>
      </c>
      <c r="P1421" s="484" t="s">
        <v>254</v>
      </c>
      <c r="Q1421" s="484" t="s">
        <v>20</v>
      </c>
      <c r="R1421" s="483" t="s">
        <v>14</v>
      </c>
      <c r="S1421" s="482" t="s">
        <v>13</v>
      </c>
      <c r="T1421" s="846" t="s">
        <v>284</v>
      </c>
      <c r="U1421" s="846" t="s">
        <v>288</v>
      </c>
      <c r="V1421" s="484" t="s">
        <v>259</v>
      </c>
      <c r="W1421" s="484"/>
      <c r="X1421" s="484"/>
      <c r="Y1421" s="209" t="s">
        <v>90</v>
      </c>
      <c r="Z1421" s="210" t="s">
        <v>97</v>
      </c>
      <c r="AA1421" s="210" t="s">
        <v>74</v>
      </c>
      <c r="AB1421" s="210" t="s">
        <v>98</v>
      </c>
      <c r="AC1421" s="210" t="s">
        <v>99</v>
      </c>
      <c r="AD1421" s="210" t="s">
        <v>100</v>
      </c>
    </row>
    <row r="1422" spans="1:30" ht="30.75" thickBot="1">
      <c r="A1422" s="67">
        <f>A1386</f>
        <v>44866</v>
      </c>
      <c r="B1422" s="153"/>
      <c r="C1422" s="153"/>
      <c r="D1422" s="153"/>
      <c r="E1422" s="153"/>
      <c r="F1422" s="153"/>
      <c r="G1422" s="153"/>
      <c r="H1422" s="153"/>
      <c r="I1422" s="153"/>
      <c r="J1422" s="153"/>
      <c r="K1422" s="153"/>
      <c r="L1422" s="153"/>
      <c r="M1422" s="153"/>
      <c r="N1422" s="153"/>
      <c r="O1422" s="153"/>
      <c r="P1422" s="153"/>
      <c r="Q1422" s="153"/>
      <c r="R1422" s="153"/>
      <c r="S1422" s="153"/>
      <c r="T1422" s="153" t="e">
        <f t="shared" ref="T1422:X1431" si="743">T266+T312+T350+T389+T427+T467+T504+T544+T585+T627+T666+T704+T740+T777+T815+T851+T889+T927+T965+T1003+T1041+T1079+T1117+T1156+T1195+T1233+T1271+T1309+T1347+T1385</f>
        <v>#VALUE!</v>
      </c>
      <c r="U1422" s="153" t="e">
        <f t="shared" si="743"/>
        <v>#VALUE!</v>
      </c>
      <c r="V1422" s="153" t="e">
        <f t="shared" si="743"/>
        <v>#VALUE!</v>
      </c>
      <c r="W1422" s="153">
        <f t="shared" si="743"/>
        <v>0</v>
      </c>
      <c r="X1422" s="153">
        <f t="shared" si="743"/>
        <v>0</v>
      </c>
      <c r="Y1422" s="255">
        <f>B1422*300+D1422*300+E1422*300+F1422*150+G1422*150+H1422*140+I1422*40+J1422*40+K1422*400+L1422*400+M1422*400+N1422*381.25+O1422*387.5+P1422*80+Q1422*200+R1422*300+S1422*300</f>
        <v>0</v>
      </c>
      <c r="Z1422" s="308">
        <v>0</v>
      </c>
      <c r="AA1422" s="263">
        <f t="shared" ref="AA1422:AA1452" si="744">Y1422+Z1422</f>
        <v>0</v>
      </c>
      <c r="AB1422" s="308"/>
      <c r="AC1422" s="308"/>
      <c r="AD1422" s="319">
        <f t="shared" ref="AD1422:AD1452" si="745">AA1422-AB1422-AC1422</f>
        <v>0</v>
      </c>
    </row>
    <row r="1423" spans="1:30" ht="30.75" thickBot="1">
      <c r="A1423" s="67">
        <f>A1422+1</f>
        <v>44867</v>
      </c>
      <c r="B1423" s="153"/>
      <c r="C1423" s="153"/>
      <c r="D1423" s="153"/>
      <c r="E1423" s="153"/>
      <c r="F1423" s="153"/>
      <c r="G1423" s="153"/>
      <c r="H1423" s="153"/>
      <c r="I1423" s="153"/>
      <c r="J1423" s="153"/>
      <c r="K1423" s="153"/>
      <c r="L1423" s="153"/>
      <c r="M1423" s="153"/>
      <c r="N1423" s="153"/>
      <c r="O1423" s="153"/>
      <c r="P1423" s="153"/>
      <c r="Q1423" s="153"/>
      <c r="R1423" s="153"/>
      <c r="S1423" s="153"/>
      <c r="T1423" s="153" t="e">
        <f t="shared" si="743"/>
        <v>#VALUE!</v>
      </c>
      <c r="U1423" s="153" t="e">
        <f t="shared" si="743"/>
        <v>#VALUE!</v>
      </c>
      <c r="V1423" s="153" t="e">
        <f t="shared" si="743"/>
        <v>#VALUE!</v>
      </c>
      <c r="W1423" s="153">
        <f t="shared" si="743"/>
        <v>0</v>
      </c>
      <c r="X1423" s="153">
        <f t="shared" si="743"/>
        <v>0</v>
      </c>
      <c r="Y1423" s="255">
        <f>B1423*300+D1423*300+E1423*300+F1423*150+G1423*150+H1423*150+I1423*40+J1423*40+K1423*400+L1423*400+M1423*400+N1423*381.25+O1423*387.5+P1423*80+Q1423*200+R1423*300+S1423*300</f>
        <v>0</v>
      </c>
      <c r="Z1423" s="309">
        <f t="shared" ref="Z1423:Z1452" si="746">AD1422</f>
        <v>0</v>
      </c>
      <c r="AA1423" s="256">
        <f t="shared" si="744"/>
        <v>0</v>
      </c>
      <c r="AB1423" s="309"/>
      <c r="AC1423" s="309"/>
      <c r="AD1423" s="320">
        <f t="shared" si="745"/>
        <v>0</v>
      </c>
    </row>
    <row r="1424" spans="1:30" ht="30.75" thickBot="1">
      <c r="A1424" s="67">
        <f t="shared" ref="A1424:A1452" si="747">A1423+1</f>
        <v>44868</v>
      </c>
      <c r="B1424" s="153"/>
      <c r="C1424" s="153"/>
      <c r="D1424" s="153"/>
      <c r="E1424" s="153"/>
      <c r="F1424" s="153"/>
      <c r="G1424" s="153"/>
      <c r="H1424" s="153"/>
      <c r="I1424" s="153"/>
      <c r="J1424" s="153"/>
      <c r="K1424" s="153"/>
      <c r="L1424" s="153"/>
      <c r="M1424" s="153"/>
      <c r="N1424" s="153"/>
      <c r="O1424" s="153"/>
      <c r="P1424" s="153"/>
      <c r="Q1424" s="153"/>
      <c r="R1424" s="153"/>
      <c r="S1424" s="153"/>
      <c r="T1424" s="153" t="e">
        <f t="shared" si="743"/>
        <v>#VALUE!</v>
      </c>
      <c r="U1424" s="153" t="e">
        <f t="shared" si="743"/>
        <v>#VALUE!</v>
      </c>
      <c r="V1424" s="153" t="e">
        <f t="shared" si="743"/>
        <v>#VALUE!</v>
      </c>
      <c r="W1424" s="153">
        <f t="shared" si="743"/>
        <v>0</v>
      </c>
      <c r="X1424" s="153">
        <f t="shared" si="743"/>
        <v>0</v>
      </c>
      <c r="Y1424" s="255">
        <f t="shared" ref="Y1424:Y1452" si="748">B1424*300+D1424*300+E1424*300+F1424*150+G1424*150+H1424*120+I1424*40+J1424*40+K1424*400+L1424*400+M1424*400+N1424*381.25+O1424*387.5+P1424*80+Q1424*200+R1424*300+S1424*300</f>
        <v>0</v>
      </c>
      <c r="Z1424" s="309">
        <f t="shared" si="746"/>
        <v>0</v>
      </c>
      <c r="AA1424" s="256">
        <f t="shared" si="744"/>
        <v>0</v>
      </c>
      <c r="AB1424" s="309"/>
      <c r="AC1424" s="309"/>
      <c r="AD1424" s="320">
        <f t="shared" si="745"/>
        <v>0</v>
      </c>
    </row>
    <row r="1425" spans="1:30" ht="30.75" thickBot="1">
      <c r="A1425" s="67">
        <f t="shared" si="747"/>
        <v>44869</v>
      </c>
      <c r="B1425" s="153"/>
      <c r="C1425" s="153"/>
      <c r="D1425" s="153"/>
      <c r="E1425" s="153"/>
      <c r="F1425" s="153"/>
      <c r="G1425" s="153"/>
      <c r="H1425" s="153"/>
      <c r="I1425" s="153"/>
      <c r="J1425" s="153"/>
      <c r="K1425" s="153"/>
      <c r="L1425" s="153"/>
      <c r="M1425" s="153"/>
      <c r="N1425" s="153"/>
      <c r="O1425" s="153"/>
      <c r="P1425" s="153"/>
      <c r="Q1425" s="153"/>
      <c r="R1425" s="153"/>
      <c r="S1425" s="153"/>
      <c r="T1425" s="153" t="e">
        <f t="shared" si="743"/>
        <v>#VALUE!</v>
      </c>
      <c r="U1425" s="153" t="e">
        <f t="shared" si="743"/>
        <v>#VALUE!</v>
      </c>
      <c r="V1425" s="153" t="e">
        <f t="shared" si="743"/>
        <v>#VALUE!</v>
      </c>
      <c r="W1425" s="153">
        <f t="shared" si="743"/>
        <v>0</v>
      </c>
      <c r="X1425" s="153">
        <f t="shared" si="743"/>
        <v>0</v>
      </c>
      <c r="Y1425" s="255">
        <f t="shared" si="748"/>
        <v>0</v>
      </c>
      <c r="Z1425" s="309">
        <f t="shared" si="746"/>
        <v>0</v>
      </c>
      <c r="AA1425" s="256">
        <f t="shared" si="744"/>
        <v>0</v>
      </c>
      <c r="AB1425" s="309"/>
      <c r="AC1425" s="309"/>
      <c r="AD1425" s="320">
        <f t="shared" si="745"/>
        <v>0</v>
      </c>
    </row>
    <row r="1426" spans="1:30" ht="30.75" thickBot="1">
      <c r="A1426" s="67">
        <f t="shared" si="747"/>
        <v>44870</v>
      </c>
      <c r="B1426" s="153"/>
      <c r="C1426" s="153"/>
      <c r="D1426" s="153"/>
      <c r="E1426" s="153"/>
      <c r="F1426" s="153"/>
      <c r="G1426" s="153"/>
      <c r="H1426" s="153"/>
      <c r="I1426" s="153"/>
      <c r="J1426" s="153"/>
      <c r="K1426" s="153"/>
      <c r="L1426" s="153"/>
      <c r="M1426" s="153"/>
      <c r="N1426" s="153"/>
      <c r="O1426" s="153"/>
      <c r="P1426" s="153"/>
      <c r="Q1426" s="153"/>
      <c r="R1426" s="153"/>
      <c r="S1426" s="153"/>
      <c r="T1426" s="153" t="e">
        <f t="shared" si="743"/>
        <v>#VALUE!</v>
      </c>
      <c r="U1426" s="153" t="e">
        <f t="shared" si="743"/>
        <v>#VALUE!</v>
      </c>
      <c r="V1426" s="153" t="e">
        <f t="shared" si="743"/>
        <v>#VALUE!</v>
      </c>
      <c r="W1426" s="153">
        <f t="shared" si="743"/>
        <v>0</v>
      </c>
      <c r="X1426" s="153">
        <f t="shared" si="743"/>
        <v>0</v>
      </c>
      <c r="Y1426" s="255">
        <f>B1426*300+D1426*400+E1426*300+F1426*150+G1426*150+H1426*120+I1426*40+J1426*40+K1426*400+L1426*400+M1426*400+N1426*381.25+O1426*400+P1426*80+Q1426*200+R1426*300+S1426*300</f>
        <v>0</v>
      </c>
      <c r="Z1426" s="309">
        <f t="shared" si="746"/>
        <v>0</v>
      </c>
      <c r="AA1426" s="256">
        <f t="shared" si="744"/>
        <v>0</v>
      </c>
      <c r="AB1426" s="309"/>
      <c r="AC1426" s="309"/>
      <c r="AD1426" s="320">
        <f t="shared" si="745"/>
        <v>0</v>
      </c>
    </row>
    <row r="1427" spans="1:30" ht="30.75" thickBot="1">
      <c r="A1427" s="67">
        <f t="shared" si="747"/>
        <v>44871</v>
      </c>
      <c r="B1427" s="153"/>
      <c r="C1427" s="153"/>
      <c r="D1427" s="153"/>
      <c r="E1427" s="153"/>
      <c r="F1427" s="153"/>
      <c r="G1427" s="153"/>
      <c r="H1427" s="153"/>
      <c r="I1427" s="153"/>
      <c r="J1427" s="153"/>
      <c r="K1427" s="153"/>
      <c r="L1427" s="153"/>
      <c r="M1427" s="153"/>
      <c r="N1427" s="153"/>
      <c r="O1427" s="153"/>
      <c r="P1427" s="153"/>
      <c r="Q1427" s="153"/>
      <c r="R1427" s="153"/>
      <c r="S1427" s="153"/>
      <c r="T1427" s="153" t="e">
        <f t="shared" si="743"/>
        <v>#VALUE!</v>
      </c>
      <c r="U1427" s="153" t="e">
        <f t="shared" si="743"/>
        <v>#VALUE!</v>
      </c>
      <c r="V1427" s="153" t="e">
        <f t="shared" si="743"/>
        <v>#VALUE!</v>
      </c>
      <c r="W1427" s="153">
        <f t="shared" si="743"/>
        <v>0</v>
      </c>
      <c r="X1427" s="153">
        <f t="shared" si="743"/>
        <v>0</v>
      </c>
      <c r="Y1427" s="255">
        <f>B1427*300+D1427*300+E1427*300+F1427*150+G1427*150+H1427*120+I1427*40+J1427*40+K1427*400+L1427*400+M1427*400+N1427*400+O1427*387.5+P1427*80+Q1427*200+R1427*300+S1427*300</f>
        <v>0</v>
      </c>
      <c r="Z1427" s="309">
        <f t="shared" si="746"/>
        <v>0</v>
      </c>
      <c r="AA1427" s="256">
        <f t="shared" si="744"/>
        <v>0</v>
      </c>
      <c r="AB1427" s="309"/>
      <c r="AC1427" s="309"/>
      <c r="AD1427" s="320">
        <f t="shared" si="745"/>
        <v>0</v>
      </c>
    </row>
    <row r="1428" spans="1:30" ht="30.75" thickBot="1">
      <c r="A1428" s="67">
        <f t="shared" si="747"/>
        <v>44872</v>
      </c>
      <c r="B1428" s="153"/>
      <c r="C1428" s="153"/>
      <c r="D1428" s="153"/>
      <c r="E1428" s="153"/>
      <c r="F1428" s="153"/>
      <c r="G1428" s="153"/>
      <c r="H1428" s="153"/>
      <c r="I1428" s="153"/>
      <c r="J1428" s="153"/>
      <c r="K1428" s="153"/>
      <c r="L1428" s="153"/>
      <c r="M1428" s="153"/>
      <c r="N1428" s="153"/>
      <c r="O1428" s="153"/>
      <c r="P1428" s="153"/>
      <c r="Q1428" s="153"/>
      <c r="R1428" s="153"/>
      <c r="S1428" s="153"/>
      <c r="T1428" s="153" t="e">
        <f t="shared" si="743"/>
        <v>#VALUE!</v>
      </c>
      <c r="U1428" s="153" t="e">
        <f t="shared" si="743"/>
        <v>#VALUE!</v>
      </c>
      <c r="V1428" s="153" t="e">
        <f t="shared" si="743"/>
        <v>#VALUE!</v>
      </c>
      <c r="W1428" s="153">
        <f t="shared" si="743"/>
        <v>0</v>
      </c>
      <c r="X1428" s="153">
        <f t="shared" si="743"/>
        <v>0</v>
      </c>
      <c r="Y1428" s="255">
        <f>B1428*300+D1428*300+E1428*300+F1428*150+G1428*150+H1428*120+I1428*40+J1428*40+K1428*400+L1428*400+M1428*400+N1428*381+O1428*400+P1428*80+Q1428*200+R1428*300+S1428*300</f>
        <v>0</v>
      </c>
      <c r="Z1428" s="309">
        <f t="shared" si="746"/>
        <v>0</v>
      </c>
      <c r="AA1428" s="256">
        <f t="shared" si="744"/>
        <v>0</v>
      </c>
      <c r="AB1428" s="309"/>
      <c r="AC1428" s="309"/>
      <c r="AD1428" s="320">
        <f t="shared" si="745"/>
        <v>0</v>
      </c>
    </row>
    <row r="1429" spans="1:30" ht="30.75" thickBot="1">
      <c r="A1429" s="67">
        <f t="shared" si="747"/>
        <v>44873</v>
      </c>
      <c r="B1429" s="153"/>
      <c r="C1429" s="153"/>
      <c r="D1429" s="153"/>
      <c r="E1429" s="153"/>
      <c r="F1429" s="153"/>
      <c r="G1429" s="153"/>
      <c r="H1429" s="153"/>
      <c r="I1429" s="153"/>
      <c r="J1429" s="153"/>
      <c r="K1429" s="153"/>
      <c r="L1429" s="153"/>
      <c r="M1429" s="153"/>
      <c r="N1429" s="153"/>
      <c r="O1429" s="153"/>
      <c r="P1429" s="153"/>
      <c r="Q1429" s="153"/>
      <c r="R1429" s="153"/>
      <c r="S1429" s="153"/>
      <c r="T1429" s="153" t="e">
        <f t="shared" si="743"/>
        <v>#VALUE!</v>
      </c>
      <c r="U1429" s="153" t="e">
        <f t="shared" si="743"/>
        <v>#VALUE!</v>
      </c>
      <c r="V1429" s="153" t="e">
        <f t="shared" si="743"/>
        <v>#VALUE!</v>
      </c>
      <c r="W1429" s="153">
        <f t="shared" si="743"/>
        <v>0</v>
      </c>
      <c r="X1429" s="153">
        <f t="shared" si="743"/>
        <v>0</v>
      </c>
      <c r="Y1429" s="255">
        <f>B1429*300+D1429*400+E1429*300+F1429*150+G1429*150+H1429*120+I1429*40+J1429*40+K1429*400+L1429*400+M1429*400+N1429*381+O1429*400+P1429*80+Q1429*200+R1429*300+S1429*300</f>
        <v>0</v>
      </c>
      <c r="Z1429" s="309">
        <f t="shared" si="746"/>
        <v>0</v>
      </c>
      <c r="AA1429" s="256">
        <f t="shared" si="744"/>
        <v>0</v>
      </c>
      <c r="AB1429" s="309"/>
      <c r="AC1429" s="309"/>
      <c r="AD1429" s="320">
        <f t="shared" si="745"/>
        <v>0</v>
      </c>
    </row>
    <row r="1430" spans="1:30" ht="30.75" thickBot="1">
      <c r="A1430" s="67">
        <f t="shared" si="747"/>
        <v>44874</v>
      </c>
      <c r="B1430" s="153"/>
      <c r="C1430" s="153"/>
      <c r="D1430" s="153"/>
      <c r="E1430" s="153"/>
      <c r="F1430" s="153"/>
      <c r="G1430" s="153"/>
      <c r="H1430" s="153"/>
      <c r="I1430" s="153"/>
      <c r="J1430" s="153"/>
      <c r="K1430" s="153"/>
      <c r="L1430" s="153"/>
      <c r="M1430" s="153"/>
      <c r="N1430" s="153"/>
      <c r="O1430" s="153"/>
      <c r="P1430" s="153"/>
      <c r="Q1430" s="153"/>
      <c r="R1430" s="153"/>
      <c r="S1430" s="153"/>
      <c r="T1430" s="153" t="e">
        <f t="shared" si="743"/>
        <v>#VALUE!</v>
      </c>
      <c r="U1430" s="153" t="e">
        <f t="shared" si="743"/>
        <v>#VALUE!</v>
      </c>
      <c r="V1430" s="153" t="e">
        <f t="shared" si="743"/>
        <v>#VALUE!</v>
      </c>
      <c r="W1430" s="153">
        <f t="shared" si="743"/>
        <v>0</v>
      </c>
      <c r="X1430" s="153">
        <f t="shared" si="743"/>
        <v>0</v>
      </c>
      <c r="Y1430" s="255">
        <f t="shared" si="748"/>
        <v>0</v>
      </c>
      <c r="Z1430" s="309">
        <f t="shared" si="746"/>
        <v>0</v>
      </c>
      <c r="AA1430" s="256">
        <f t="shared" si="744"/>
        <v>0</v>
      </c>
      <c r="AB1430" s="309"/>
      <c r="AC1430" s="309"/>
      <c r="AD1430" s="320">
        <f t="shared" si="745"/>
        <v>0</v>
      </c>
    </row>
    <row r="1431" spans="1:30" ht="30.75" thickBot="1">
      <c r="A1431" s="67">
        <f t="shared" si="747"/>
        <v>44875</v>
      </c>
      <c r="B1431" s="153"/>
      <c r="C1431" s="153"/>
      <c r="D1431" s="153"/>
      <c r="E1431" s="153"/>
      <c r="F1431" s="153"/>
      <c r="G1431" s="153"/>
      <c r="H1431" s="153"/>
      <c r="I1431" s="153"/>
      <c r="J1431" s="153"/>
      <c r="K1431" s="153"/>
      <c r="L1431" s="153"/>
      <c r="M1431" s="153"/>
      <c r="N1431" s="153"/>
      <c r="O1431" s="153"/>
      <c r="P1431" s="153"/>
      <c r="Q1431" s="153"/>
      <c r="R1431" s="153"/>
      <c r="S1431" s="153"/>
      <c r="T1431" s="153" t="e">
        <f t="shared" si="743"/>
        <v>#VALUE!</v>
      </c>
      <c r="U1431" s="153" t="e">
        <f t="shared" si="743"/>
        <v>#VALUE!</v>
      </c>
      <c r="V1431" s="153" t="e">
        <f t="shared" si="743"/>
        <v>#VALUE!</v>
      </c>
      <c r="W1431" s="153">
        <f t="shared" si="743"/>
        <v>0</v>
      </c>
      <c r="X1431" s="153">
        <f t="shared" si="743"/>
        <v>0</v>
      </c>
      <c r="Y1431" s="255">
        <f t="shared" si="748"/>
        <v>0</v>
      </c>
      <c r="Z1431" s="309">
        <f t="shared" si="746"/>
        <v>0</v>
      </c>
      <c r="AA1431" s="256">
        <f t="shared" si="744"/>
        <v>0</v>
      </c>
      <c r="AB1431" s="309"/>
      <c r="AC1431" s="309"/>
      <c r="AD1431" s="320">
        <f t="shared" si="745"/>
        <v>0</v>
      </c>
    </row>
    <row r="1432" spans="1:30" ht="30.75" thickBot="1">
      <c r="A1432" s="67">
        <f t="shared" si="747"/>
        <v>44876</v>
      </c>
      <c r="B1432" s="153"/>
      <c r="C1432" s="153"/>
      <c r="D1432" s="153"/>
      <c r="E1432" s="153"/>
      <c r="F1432" s="153"/>
      <c r="G1432" s="153"/>
      <c r="H1432" s="153"/>
      <c r="I1432" s="153"/>
      <c r="J1432" s="153"/>
      <c r="K1432" s="153"/>
      <c r="L1432" s="153"/>
      <c r="M1432" s="153"/>
      <c r="N1432" s="153"/>
      <c r="O1432" s="153"/>
      <c r="P1432" s="153"/>
      <c r="Q1432" s="153"/>
      <c r="R1432" s="153"/>
      <c r="S1432" s="153"/>
      <c r="T1432" s="153" t="e">
        <f t="shared" ref="T1432:X1441" si="749">T276+T322+T360+T399+T437+T477+T514+T554+T595+T637+T676+T714+T750+T787+T825+T861+T899+T937+T975+T1013+T1051+T1089+T1127+T1166+T1205+T1243+T1281+T1319+T1357+T1395</f>
        <v>#VALUE!</v>
      </c>
      <c r="U1432" s="153" t="e">
        <f t="shared" si="749"/>
        <v>#VALUE!</v>
      </c>
      <c r="V1432" s="153" t="e">
        <f t="shared" si="749"/>
        <v>#VALUE!</v>
      </c>
      <c r="W1432" s="153">
        <f t="shared" si="749"/>
        <v>0</v>
      </c>
      <c r="X1432" s="153">
        <f t="shared" si="749"/>
        <v>0</v>
      </c>
      <c r="Y1432" s="255">
        <f t="shared" si="748"/>
        <v>0</v>
      </c>
      <c r="Z1432" s="309">
        <f t="shared" si="746"/>
        <v>0</v>
      </c>
      <c r="AA1432" s="256">
        <f t="shared" si="744"/>
        <v>0</v>
      </c>
      <c r="AB1432" s="309"/>
      <c r="AC1432" s="309"/>
      <c r="AD1432" s="320">
        <f t="shared" si="745"/>
        <v>0</v>
      </c>
    </row>
    <row r="1433" spans="1:30" ht="30.75" thickBot="1">
      <c r="A1433" s="67">
        <f t="shared" si="747"/>
        <v>44877</v>
      </c>
      <c r="B1433" s="153"/>
      <c r="C1433" s="153"/>
      <c r="D1433" s="153"/>
      <c r="E1433" s="153"/>
      <c r="F1433" s="153"/>
      <c r="G1433" s="153"/>
      <c r="H1433" s="153"/>
      <c r="I1433" s="153"/>
      <c r="J1433" s="153"/>
      <c r="K1433" s="153"/>
      <c r="L1433" s="153"/>
      <c r="M1433" s="153"/>
      <c r="N1433" s="153"/>
      <c r="O1433" s="153"/>
      <c r="P1433" s="153"/>
      <c r="Q1433" s="153"/>
      <c r="R1433" s="153"/>
      <c r="S1433" s="153"/>
      <c r="T1433" s="153" t="e">
        <f t="shared" si="749"/>
        <v>#VALUE!</v>
      </c>
      <c r="U1433" s="153" t="e">
        <f t="shared" si="749"/>
        <v>#VALUE!</v>
      </c>
      <c r="V1433" s="153" t="e">
        <f t="shared" si="749"/>
        <v>#VALUE!</v>
      </c>
      <c r="W1433" s="153">
        <f t="shared" si="749"/>
        <v>0</v>
      </c>
      <c r="X1433" s="153">
        <f t="shared" si="749"/>
        <v>0</v>
      </c>
      <c r="Y1433" s="255">
        <f>B1433*300+D1433*400+E1433*300+F1433*150+G1433*150+H1433*120+I1433*40+J1433*40+K1433*400+L1433*400+M1433*400+N1433*381.25+O1433*400+P1433*80+Q1433*200+R1433*300+S1433*300</f>
        <v>0</v>
      </c>
      <c r="Z1433" s="309">
        <f t="shared" si="746"/>
        <v>0</v>
      </c>
      <c r="AA1433" s="256">
        <f t="shared" si="744"/>
        <v>0</v>
      </c>
      <c r="AB1433" s="309"/>
      <c r="AC1433" s="309"/>
      <c r="AD1433" s="320">
        <f t="shared" si="745"/>
        <v>0</v>
      </c>
    </row>
    <row r="1434" spans="1:30" ht="30.75" thickBot="1">
      <c r="A1434" s="67">
        <f t="shared" si="747"/>
        <v>44878</v>
      </c>
      <c r="B1434" s="153"/>
      <c r="C1434" s="153"/>
      <c r="D1434" s="153"/>
      <c r="E1434" s="153"/>
      <c r="F1434" s="153"/>
      <c r="G1434" s="153"/>
      <c r="H1434" s="153"/>
      <c r="I1434" s="153"/>
      <c r="J1434" s="153"/>
      <c r="K1434" s="153"/>
      <c r="L1434" s="153"/>
      <c r="M1434" s="153"/>
      <c r="N1434" s="153"/>
      <c r="O1434" s="153"/>
      <c r="P1434" s="153"/>
      <c r="Q1434" s="153"/>
      <c r="R1434" s="153"/>
      <c r="S1434" s="153"/>
      <c r="T1434" s="153" t="e">
        <f t="shared" si="749"/>
        <v>#VALUE!</v>
      </c>
      <c r="U1434" s="153" t="e">
        <f t="shared" si="749"/>
        <v>#VALUE!</v>
      </c>
      <c r="V1434" s="153" t="e">
        <f t="shared" si="749"/>
        <v>#VALUE!</v>
      </c>
      <c r="W1434" s="153">
        <f t="shared" si="749"/>
        <v>0</v>
      </c>
      <c r="X1434" s="153">
        <f t="shared" si="749"/>
        <v>0</v>
      </c>
      <c r="Y1434" s="255">
        <f>B1434*300+D1434*300+E1434*300+F1434*150+G1434*150+H1434*120+I1434*40+J1434*40+K1434*400+L1434*400+M1434*400+N1434*400+O1434*387.5+P1434*120+Q1434*120+R1434*300+S1434*300</f>
        <v>0</v>
      </c>
      <c r="Z1434" s="309">
        <f t="shared" si="746"/>
        <v>0</v>
      </c>
      <c r="AA1434" s="256">
        <f t="shared" si="744"/>
        <v>0</v>
      </c>
      <c r="AB1434" s="309"/>
      <c r="AC1434" s="309"/>
      <c r="AD1434" s="320">
        <f t="shared" si="745"/>
        <v>0</v>
      </c>
    </row>
    <row r="1435" spans="1:30" ht="30.75" thickBot="1">
      <c r="A1435" s="67">
        <f t="shared" si="747"/>
        <v>44879</v>
      </c>
      <c r="B1435" s="153"/>
      <c r="C1435" s="153"/>
      <c r="D1435" s="153"/>
      <c r="E1435" s="153"/>
      <c r="F1435" s="153"/>
      <c r="G1435" s="153"/>
      <c r="H1435" s="153"/>
      <c r="I1435" s="153"/>
      <c r="J1435" s="153"/>
      <c r="K1435" s="153"/>
      <c r="L1435" s="153"/>
      <c r="M1435" s="153"/>
      <c r="N1435" s="153"/>
      <c r="O1435" s="153"/>
      <c r="P1435" s="153"/>
      <c r="Q1435" s="153"/>
      <c r="R1435" s="153"/>
      <c r="S1435" s="153"/>
      <c r="T1435" s="153" t="e">
        <f t="shared" si="749"/>
        <v>#VALUE!</v>
      </c>
      <c r="U1435" s="153" t="e">
        <f t="shared" si="749"/>
        <v>#VALUE!</v>
      </c>
      <c r="V1435" s="153" t="e">
        <f t="shared" si="749"/>
        <v>#VALUE!</v>
      </c>
      <c r="W1435" s="153">
        <f t="shared" si="749"/>
        <v>0</v>
      </c>
      <c r="X1435" s="153">
        <f t="shared" si="749"/>
        <v>0</v>
      </c>
      <c r="Y1435" s="255">
        <f>B1435*300+D1435*300+E1435*300+F1435*150+G1435*150+H1435*120+I1435*40+J1435*50+K1435*400+L1435*400+M1435*400+N1435*381.25+O1435*387.5+P1435*80+Q1435*200+R1435*300+S1435*300</f>
        <v>0</v>
      </c>
      <c r="Z1435" s="309">
        <f t="shared" si="746"/>
        <v>0</v>
      </c>
      <c r="AA1435" s="256">
        <f t="shared" si="744"/>
        <v>0</v>
      </c>
      <c r="AB1435" s="309"/>
      <c r="AC1435" s="309"/>
      <c r="AD1435" s="320">
        <f t="shared" si="745"/>
        <v>0</v>
      </c>
    </row>
    <row r="1436" spans="1:30" ht="30.75" thickBot="1">
      <c r="A1436" s="67">
        <f t="shared" si="747"/>
        <v>44880</v>
      </c>
      <c r="B1436" s="153"/>
      <c r="C1436" s="153"/>
      <c r="D1436" s="153"/>
      <c r="E1436" s="153"/>
      <c r="F1436" s="153"/>
      <c r="G1436" s="153"/>
      <c r="H1436" s="153"/>
      <c r="I1436" s="153"/>
      <c r="J1436" s="153"/>
      <c r="K1436" s="153"/>
      <c r="L1436" s="153"/>
      <c r="M1436" s="153"/>
      <c r="N1436" s="153"/>
      <c r="O1436" s="153"/>
      <c r="P1436" s="153"/>
      <c r="Q1436" s="153"/>
      <c r="R1436" s="153"/>
      <c r="S1436" s="153"/>
      <c r="T1436" s="153" t="e">
        <f t="shared" si="749"/>
        <v>#VALUE!</v>
      </c>
      <c r="U1436" s="153" t="e">
        <f t="shared" si="749"/>
        <v>#VALUE!</v>
      </c>
      <c r="V1436" s="153" t="e">
        <f t="shared" si="749"/>
        <v>#VALUE!</v>
      </c>
      <c r="W1436" s="153">
        <f t="shared" si="749"/>
        <v>0</v>
      </c>
      <c r="X1436" s="153">
        <f t="shared" si="749"/>
        <v>0</v>
      </c>
      <c r="Y1436" s="255">
        <f t="shared" si="748"/>
        <v>0</v>
      </c>
      <c r="Z1436" s="309">
        <f t="shared" si="746"/>
        <v>0</v>
      </c>
      <c r="AA1436" s="256">
        <f t="shared" si="744"/>
        <v>0</v>
      </c>
      <c r="AB1436" s="309"/>
      <c r="AC1436" s="309"/>
      <c r="AD1436" s="320">
        <f t="shared" si="745"/>
        <v>0</v>
      </c>
    </row>
    <row r="1437" spans="1:30" ht="30.75" thickBot="1">
      <c r="A1437" s="67">
        <f t="shared" si="747"/>
        <v>44881</v>
      </c>
      <c r="B1437" s="153"/>
      <c r="C1437" s="153"/>
      <c r="D1437" s="153"/>
      <c r="E1437" s="153"/>
      <c r="F1437" s="153"/>
      <c r="G1437" s="153"/>
      <c r="H1437" s="153"/>
      <c r="I1437" s="153"/>
      <c r="J1437" s="153"/>
      <c r="K1437" s="153"/>
      <c r="L1437" s="153"/>
      <c r="M1437" s="153"/>
      <c r="N1437" s="153"/>
      <c r="O1437" s="153"/>
      <c r="P1437" s="153"/>
      <c r="Q1437" s="153"/>
      <c r="R1437" s="153"/>
      <c r="S1437" s="153"/>
      <c r="T1437" s="153" t="e">
        <f t="shared" si="749"/>
        <v>#VALUE!</v>
      </c>
      <c r="U1437" s="153" t="e">
        <f t="shared" si="749"/>
        <v>#VALUE!</v>
      </c>
      <c r="V1437" s="153" t="e">
        <f t="shared" si="749"/>
        <v>#VALUE!</v>
      </c>
      <c r="W1437" s="153">
        <f t="shared" si="749"/>
        <v>0</v>
      </c>
      <c r="X1437" s="153">
        <f t="shared" si="749"/>
        <v>0</v>
      </c>
      <c r="Y1437" s="255">
        <f t="shared" si="748"/>
        <v>0</v>
      </c>
      <c r="Z1437" s="309">
        <f t="shared" si="746"/>
        <v>0</v>
      </c>
      <c r="AA1437" s="256">
        <f t="shared" si="744"/>
        <v>0</v>
      </c>
      <c r="AB1437" s="309"/>
      <c r="AC1437" s="309"/>
      <c r="AD1437" s="320">
        <f t="shared" si="745"/>
        <v>0</v>
      </c>
    </row>
    <row r="1438" spans="1:30" ht="30.75" thickBot="1">
      <c r="A1438" s="67">
        <f t="shared" si="747"/>
        <v>44882</v>
      </c>
      <c r="B1438" s="153"/>
      <c r="C1438" s="153"/>
      <c r="D1438" s="153"/>
      <c r="E1438" s="153"/>
      <c r="F1438" s="153"/>
      <c r="G1438" s="153"/>
      <c r="H1438" s="153"/>
      <c r="I1438" s="153"/>
      <c r="J1438" s="153"/>
      <c r="K1438" s="153"/>
      <c r="L1438" s="153"/>
      <c r="M1438" s="153"/>
      <c r="N1438" s="153"/>
      <c r="O1438" s="153"/>
      <c r="P1438" s="153"/>
      <c r="Q1438" s="153"/>
      <c r="R1438" s="153"/>
      <c r="S1438" s="153"/>
      <c r="T1438" s="153" t="e">
        <f t="shared" si="749"/>
        <v>#VALUE!</v>
      </c>
      <c r="U1438" s="153" t="e">
        <f t="shared" si="749"/>
        <v>#VALUE!</v>
      </c>
      <c r="V1438" s="153" t="e">
        <f t="shared" si="749"/>
        <v>#VALUE!</v>
      </c>
      <c r="W1438" s="153">
        <f t="shared" si="749"/>
        <v>0</v>
      </c>
      <c r="X1438" s="153">
        <f t="shared" si="749"/>
        <v>0</v>
      </c>
      <c r="Y1438" s="255">
        <f t="shared" si="748"/>
        <v>0</v>
      </c>
      <c r="Z1438" s="309">
        <f t="shared" si="746"/>
        <v>0</v>
      </c>
      <c r="AA1438" s="256">
        <f t="shared" si="744"/>
        <v>0</v>
      </c>
      <c r="AB1438" s="309"/>
      <c r="AC1438" s="309"/>
      <c r="AD1438" s="320">
        <f t="shared" si="745"/>
        <v>0</v>
      </c>
    </row>
    <row r="1439" spans="1:30" ht="30.75" thickBot="1">
      <c r="A1439" s="67">
        <f t="shared" si="747"/>
        <v>44883</v>
      </c>
      <c r="B1439" s="153"/>
      <c r="C1439" s="153"/>
      <c r="D1439" s="153"/>
      <c r="E1439" s="153"/>
      <c r="F1439" s="153"/>
      <c r="G1439" s="153"/>
      <c r="H1439" s="153"/>
      <c r="I1439" s="153"/>
      <c r="J1439" s="153"/>
      <c r="K1439" s="153"/>
      <c r="L1439" s="153"/>
      <c r="M1439" s="153"/>
      <c r="N1439" s="153"/>
      <c r="O1439" s="153"/>
      <c r="P1439" s="153"/>
      <c r="Q1439" s="153"/>
      <c r="R1439" s="153"/>
      <c r="S1439" s="153"/>
      <c r="T1439" s="153" t="e">
        <f t="shared" si="749"/>
        <v>#VALUE!</v>
      </c>
      <c r="U1439" s="153" t="e">
        <f t="shared" si="749"/>
        <v>#VALUE!</v>
      </c>
      <c r="V1439" s="153" t="e">
        <f t="shared" si="749"/>
        <v>#VALUE!</v>
      </c>
      <c r="W1439" s="153">
        <f t="shared" si="749"/>
        <v>0</v>
      </c>
      <c r="X1439" s="153">
        <f t="shared" si="749"/>
        <v>0</v>
      </c>
      <c r="Y1439" s="255">
        <f t="shared" si="748"/>
        <v>0</v>
      </c>
      <c r="Z1439" s="309">
        <f t="shared" si="746"/>
        <v>0</v>
      </c>
      <c r="AA1439" s="256">
        <f t="shared" si="744"/>
        <v>0</v>
      </c>
      <c r="AB1439" s="309"/>
      <c r="AC1439" s="309"/>
      <c r="AD1439" s="320">
        <f t="shared" si="745"/>
        <v>0</v>
      </c>
    </row>
    <row r="1440" spans="1:30" ht="30.75" thickBot="1">
      <c r="A1440" s="67">
        <f t="shared" si="747"/>
        <v>44884</v>
      </c>
      <c r="B1440" s="153"/>
      <c r="C1440" s="153"/>
      <c r="D1440" s="153"/>
      <c r="E1440" s="153"/>
      <c r="F1440" s="153"/>
      <c r="G1440" s="153"/>
      <c r="H1440" s="153"/>
      <c r="I1440" s="153"/>
      <c r="J1440" s="153"/>
      <c r="K1440" s="153"/>
      <c r="L1440" s="153"/>
      <c r="M1440" s="153"/>
      <c r="N1440" s="153"/>
      <c r="O1440" s="153"/>
      <c r="P1440" s="153"/>
      <c r="Q1440" s="153"/>
      <c r="R1440" s="153"/>
      <c r="S1440" s="153"/>
      <c r="T1440" s="153" t="e">
        <f t="shared" si="749"/>
        <v>#VALUE!</v>
      </c>
      <c r="U1440" s="153" t="e">
        <f t="shared" si="749"/>
        <v>#VALUE!</v>
      </c>
      <c r="V1440" s="153" t="e">
        <f t="shared" si="749"/>
        <v>#VALUE!</v>
      </c>
      <c r="W1440" s="153">
        <f t="shared" si="749"/>
        <v>0</v>
      </c>
      <c r="X1440" s="153">
        <f t="shared" si="749"/>
        <v>0</v>
      </c>
      <c r="Y1440" s="255">
        <f>B1440*300+D1440*300+E1440*300+F1440*150+G1440*150+H1440*120+I1440*40+J1440*40+K1440*400+L1440*400+M1440*400+N1440*381.25+O1440*400+P1440*80+Q1440*200+R1440*300+S1440*300</f>
        <v>0</v>
      </c>
      <c r="Z1440" s="309">
        <f t="shared" si="746"/>
        <v>0</v>
      </c>
      <c r="AA1440" s="256">
        <f t="shared" si="744"/>
        <v>0</v>
      </c>
      <c r="AB1440" s="309"/>
      <c r="AC1440" s="309"/>
      <c r="AD1440" s="320">
        <f t="shared" si="745"/>
        <v>0</v>
      </c>
    </row>
    <row r="1441" spans="1:30" ht="30.75" thickBot="1">
      <c r="A1441" s="67">
        <f t="shared" si="747"/>
        <v>44885</v>
      </c>
      <c r="B1441" s="153"/>
      <c r="C1441" s="153"/>
      <c r="D1441" s="153"/>
      <c r="E1441" s="153"/>
      <c r="F1441" s="153"/>
      <c r="G1441" s="153"/>
      <c r="H1441" s="153"/>
      <c r="I1441" s="153"/>
      <c r="J1441" s="153"/>
      <c r="K1441" s="153"/>
      <c r="L1441" s="153"/>
      <c r="M1441" s="153"/>
      <c r="N1441" s="153"/>
      <c r="O1441" s="153"/>
      <c r="P1441" s="153"/>
      <c r="Q1441" s="153"/>
      <c r="R1441" s="153"/>
      <c r="S1441" s="153"/>
      <c r="T1441" s="153" t="e">
        <f t="shared" si="749"/>
        <v>#VALUE!</v>
      </c>
      <c r="U1441" s="153" t="e">
        <f t="shared" si="749"/>
        <v>#VALUE!</v>
      </c>
      <c r="V1441" s="153" t="e">
        <f t="shared" si="749"/>
        <v>#VALUE!</v>
      </c>
      <c r="W1441" s="153">
        <f t="shared" si="749"/>
        <v>0</v>
      </c>
      <c r="X1441" s="153">
        <f t="shared" si="749"/>
        <v>0</v>
      </c>
      <c r="Y1441" s="255">
        <f t="shared" si="748"/>
        <v>0</v>
      </c>
      <c r="Z1441" s="309">
        <f t="shared" si="746"/>
        <v>0</v>
      </c>
      <c r="AA1441" s="256">
        <f t="shared" si="744"/>
        <v>0</v>
      </c>
      <c r="AB1441" s="309"/>
      <c r="AC1441" s="309"/>
      <c r="AD1441" s="320">
        <f t="shared" si="745"/>
        <v>0</v>
      </c>
    </row>
    <row r="1442" spans="1:30" ht="30.75" thickBot="1">
      <c r="A1442" s="67">
        <f t="shared" si="747"/>
        <v>44886</v>
      </c>
      <c r="B1442" s="153"/>
      <c r="C1442" s="153"/>
      <c r="D1442" s="153"/>
      <c r="E1442" s="153"/>
      <c r="F1442" s="153"/>
      <c r="G1442" s="153"/>
      <c r="H1442" s="153"/>
      <c r="I1442" s="153"/>
      <c r="J1442" s="153"/>
      <c r="K1442" s="153"/>
      <c r="L1442" s="153"/>
      <c r="M1442" s="153"/>
      <c r="N1442" s="153"/>
      <c r="O1442" s="153"/>
      <c r="P1442" s="153"/>
      <c r="Q1442" s="153"/>
      <c r="R1442" s="153"/>
      <c r="S1442" s="153"/>
      <c r="T1442" s="153">
        <f t="shared" ref="T1442:X1451" si="750">T286+T332+T370+T409+T447+T487+T524+T564+T605+T647+T686+T724+T760+T797+T835+T871+T909+T947+T985+T1023+T1061+T1099+T1137+T1176+T1215+T1253+T1291+T1329+T1367+T1405</f>
        <v>0</v>
      </c>
      <c r="U1442" s="153">
        <f t="shared" si="750"/>
        <v>0</v>
      </c>
      <c r="V1442" s="153">
        <f t="shared" si="750"/>
        <v>0</v>
      </c>
      <c r="W1442" s="153">
        <f t="shared" si="750"/>
        <v>0</v>
      </c>
      <c r="X1442" s="153">
        <f t="shared" si="750"/>
        <v>0</v>
      </c>
      <c r="Y1442" s="255">
        <f>B1442*300+D1442*300+E1442*300+F1442*150+G1442*150+H1442*120+I1442*40+J1442*40+K1442*400+L1442*400+M1442*400+N1442*381.25+O1442*387.5+P1442*120+Q1442*200+R1442*300+S1442*300</f>
        <v>0</v>
      </c>
      <c r="Z1442" s="309">
        <f t="shared" si="746"/>
        <v>0</v>
      </c>
      <c r="AA1442" s="256">
        <f t="shared" si="744"/>
        <v>0</v>
      </c>
      <c r="AB1442" s="309"/>
      <c r="AC1442" s="309"/>
      <c r="AD1442" s="320">
        <f t="shared" si="745"/>
        <v>0</v>
      </c>
    </row>
    <row r="1443" spans="1:30" ht="30.75" thickBot="1">
      <c r="A1443" s="67">
        <f t="shared" si="747"/>
        <v>44887</v>
      </c>
      <c r="B1443" s="153"/>
      <c r="C1443" s="153"/>
      <c r="D1443" s="153"/>
      <c r="E1443" s="153"/>
      <c r="F1443" s="153"/>
      <c r="G1443" s="153"/>
      <c r="H1443" s="153"/>
      <c r="I1443" s="153"/>
      <c r="J1443" s="153"/>
      <c r="K1443" s="153"/>
      <c r="L1443" s="153"/>
      <c r="M1443" s="153"/>
      <c r="N1443" s="153"/>
      <c r="O1443" s="153"/>
      <c r="P1443" s="153"/>
      <c r="Q1443" s="153"/>
      <c r="R1443" s="153"/>
      <c r="S1443" s="153"/>
      <c r="T1443" s="153">
        <f t="shared" si="750"/>
        <v>0</v>
      </c>
      <c r="U1443" s="153">
        <f t="shared" si="750"/>
        <v>0</v>
      </c>
      <c r="V1443" s="153">
        <f t="shared" si="750"/>
        <v>0</v>
      </c>
      <c r="W1443" s="153">
        <f t="shared" si="750"/>
        <v>0</v>
      </c>
      <c r="X1443" s="153">
        <f t="shared" si="750"/>
        <v>0</v>
      </c>
      <c r="Y1443" s="255">
        <f t="shared" si="748"/>
        <v>0</v>
      </c>
      <c r="Z1443" s="309">
        <f t="shared" si="746"/>
        <v>0</v>
      </c>
      <c r="AA1443" s="256">
        <f t="shared" si="744"/>
        <v>0</v>
      </c>
      <c r="AB1443" s="309"/>
      <c r="AC1443" s="309"/>
      <c r="AD1443" s="320">
        <f t="shared" si="745"/>
        <v>0</v>
      </c>
    </row>
    <row r="1444" spans="1:30" ht="30.75" thickBot="1">
      <c r="A1444" s="67">
        <f t="shared" si="747"/>
        <v>44888</v>
      </c>
      <c r="B1444" s="153"/>
      <c r="C1444" s="153"/>
      <c r="D1444" s="153"/>
      <c r="E1444" s="153"/>
      <c r="F1444" s="153"/>
      <c r="G1444" s="153"/>
      <c r="H1444" s="153"/>
      <c r="I1444" s="153"/>
      <c r="J1444" s="153"/>
      <c r="K1444" s="153"/>
      <c r="L1444" s="153"/>
      <c r="M1444" s="153"/>
      <c r="N1444" s="153"/>
      <c r="O1444" s="153"/>
      <c r="P1444" s="153"/>
      <c r="Q1444" s="153"/>
      <c r="R1444" s="153"/>
      <c r="S1444" s="153"/>
      <c r="T1444" s="153">
        <f t="shared" si="750"/>
        <v>0</v>
      </c>
      <c r="U1444" s="153">
        <f t="shared" si="750"/>
        <v>0</v>
      </c>
      <c r="V1444" s="153">
        <f t="shared" si="750"/>
        <v>0</v>
      </c>
      <c r="W1444" s="153">
        <f t="shared" si="750"/>
        <v>0</v>
      </c>
      <c r="X1444" s="153">
        <f t="shared" si="750"/>
        <v>0</v>
      </c>
      <c r="Y1444" s="255">
        <f>B1444*300+D1444*300+E1444*300+F1444*150+G1444*150+H1444*120+I1444*50+J1444*40+K1444*400+L1444*400+M1444*400+N1444*381.25+O1444*387.5+P1444*80+Q1444*200+R1444*300+S1444*300</f>
        <v>0</v>
      </c>
      <c r="Z1444" s="309">
        <f t="shared" si="746"/>
        <v>0</v>
      </c>
      <c r="AA1444" s="256">
        <f t="shared" si="744"/>
        <v>0</v>
      </c>
      <c r="AB1444" s="309"/>
      <c r="AC1444" s="309"/>
      <c r="AD1444" s="320">
        <f t="shared" si="745"/>
        <v>0</v>
      </c>
    </row>
    <row r="1445" spans="1:30" ht="30.75" thickBot="1">
      <c r="A1445" s="67">
        <f t="shared" si="747"/>
        <v>44889</v>
      </c>
      <c r="B1445" s="153"/>
      <c r="C1445" s="153"/>
      <c r="D1445" s="153"/>
      <c r="E1445" s="153"/>
      <c r="F1445" s="153"/>
      <c r="G1445" s="153"/>
      <c r="H1445" s="153"/>
      <c r="I1445" s="153"/>
      <c r="J1445" s="153"/>
      <c r="K1445" s="153"/>
      <c r="L1445" s="153"/>
      <c r="M1445" s="153"/>
      <c r="N1445" s="153"/>
      <c r="O1445" s="153"/>
      <c r="P1445" s="153"/>
      <c r="Q1445" s="153"/>
      <c r="R1445" s="153"/>
      <c r="S1445" s="153"/>
      <c r="T1445" s="153">
        <f t="shared" si="750"/>
        <v>0</v>
      </c>
      <c r="U1445" s="153">
        <f t="shared" si="750"/>
        <v>0</v>
      </c>
      <c r="V1445" s="153">
        <f t="shared" si="750"/>
        <v>0</v>
      </c>
      <c r="W1445" s="153">
        <f t="shared" si="750"/>
        <v>0</v>
      </c>
      <c r="X1445" s="153">
        <f t="shared" si="750"/>
        <v>0</v>
      </c>
      <c r="Y1445" s="255">
        <f t="shared" si="748"/>
        <v>0</v>
      </c>
      <c r="Z1445" s="309">
        <f t="shared" si="746"/>
        <v>0</v>
      </c>
      <c r="AA1445" s="256">
        <f t="shared" si="744"/>
        <v>0</v>
      </c>
      <c r="AB1445" s="309"/>
      <c r="AC1445" s="309"/>
      <c r="AD1445" s="320">
        <f t="shared" si="745"/>
        <v>0</v>
      </c>
    </row>
    <row r="1446" spans="1:30" ht="30.75" thickBot="1">
      <c r="A1446" s="67">
        <f t="shared" si="747"/>
        <v>44890</v>
      </c>
      <c r="B1446" s="153"/>
      <c r="C1446" s="153"/>
      <c r="D1446" s="153"/>
      <c r="E1446" s="153"/>
      <c r="F1446" s="153"/>
      <c r="G1446" s="153"/>
      <c r="H1446" s="153"/>
      <c r="I1446" s="153"/>
      <c r="J1446" s="153"/>
      <c r="K1446" s="153"/>
      <c r="L1446" s="153"/>
      <c r="M1446" s="153"/>
      <c r="N1446" s="153"/>
      <c r="O1446" s="153"/>
      <c r="P1446" s="153"/>
      <c r="Q1446" s="153"/>
      <c r="R1446" s="153"/>
      <c r="S1446" s="153"/>
      <c r="T1446" s="153">
        <f t="shared" si="750"/>
        <v>0</v>
      </c>
      <c r="U1446" s="153">
        <f t="shared" si="750"/>
        <v>0</v>
      </c>
      <c r="V1446" s="153">
        <f t="shared" si="750"/>
        <v>0</v>
      </c>
      <c r="W1446" s="153">
        <f t="shared" si="750"/>
        <v>0</v>
      </c>
      <c r="X1446" s="153">
        <f t="shared" si="750"/>
        <v>0</v>
      </c>
      <c r="Y1446" s="255">
        <f t="shared" si="748"/>
        <v>0</v>
      </c>
      <c r="Z1446" s="309">
        <f t="shared" si="746"/>
        <v>0</v>
      </c>
      <c r="AA1446" s="256">
        <f t="shared" si="744"/>
        <v>0</v>
      </c>
      <c r="AB1446" s="309"/>
      <c r="AC1446" s="309"/>
      <c r="AD1446" s="320">
        <f t="shared" si="745"/>
        <v>0</v>
      </c>
    </row>
    <row r="1447" spans="1:30" ht="30.75" thickBot="1">
      <c r="A1447" s="67">
        <f t="shared" si="747"/>
        <v>44891</v>
      </c>
      <c r="B1447" s="153"/>
      <c r="C1447" s="153"/>
      <c r="D1447" s="153"/>
      <c r="E1447" s="153"/>
      <c r="F1447" s="153"/>
      <c r="G1447" s="153"/>
      <c r="H1447" s="153"/>
      <c r="I1447" s="153"/>
      <c r="J1447" s="153"/>
      <c r="K1447" s="153"/>
      <c r="L1447" s="153"/>
      <c r="M1447" s="153"/>
      <c r="N1447" s="153"/>
      <c r="O1447" s="153"/>
      <c r="P1447" s="153"/>
      <c r="Q1447" s="153"/>
      <c r="R1447" s="153"/>
      <c r="S1447" s="153"/>
      <c r="T1447" s="153">
        <f t="shared" si="750"/>
        <v>0</v>
      </c>
      <c r="U1447" s="153">
        <f t="shared" si="750"/>
        <v>0</v>
      </c>
      <c r="V1447" s="153">
        <f t="shared" si="750"/>
        <v>0</v>
      </c>
      <c r="W1447" s="153">
        <f t="shared" si="750"/>
        <v>0</v>
      </c>
      <c r="X1447" s="153">
        <f t="shared" si="750"/>
        <v>0</v>
      </c>
      <c r="Y1447" s="255">
        <f>B1447*300+D1447*300+E1447*300+F1447*150+G1447*150+H1447*120+I1447*40+J1447*40+K1447*400+L1447*400+M1447*400+N1447*381.25+O1447*387.5+P1447*80+Q1447*200+R1447*300+S1447*400</f>
        <v>0</v>
      </c>
      <c r="Z1447" s="309">
        <f t="shared" si="746"/>
        <v>0</v>
      </c>
      <c r="AA1447" s="256">
        <f t="shared" si="744"/>
        <v>0</v>
      </c>
      <c r="AB1447" s="309"/>
      <c r="AC1447" s="309"/>
      <c r="AD1447" s="320">
        <f t="shared" si="745"/>
        <v>0</v>
      </c>
    </row>
    <row r="1448" spans="1:30" ht="30.75" thickBot="1">
      <c r="A1448" s="67">
        <f t="shared" si="747"/>
        <v>44892</v>
      </c>
      <c r="B1448" s="153"/>
      <c r="C1448" s="153"/>
      <c r="D1448" s="153"/>
      <c r="E1448" s="153"/>
      <c r="F1448" s="153"/>
      <c r="G1448" s="153"/>
      <c r="H1448" s="153"/>
      <c r="I1448" s="153"/>
      <c r="J1448" s="153"/>
      <c r="K1448" s="153"/>
      <c r="L1448" s="153"/>
      <c r="M1448" s="153"/>
      <c r="N1448" s="153"/>
      <c r="O1448" s="153"/>
      <c r="P1448" s="153"/>
      <c r="Q1448" s="153"/>
      <c r="R1448" s="153"/>
      <c r="S1448" s="153"/>
      <c r="T1448" s="153">
        <f t="shared" si="750"/>
        <v>0</v>
      </c>
      <c r="U1448" s="153">
        <f t="shared" si="750"/>
        <v>0</v>
      </c>
      <c r="V1448" s="153">
        <f t="shared" si="750"/>
        <v>0</v>
      </c>
      <c r="W1448" s="153">
        <f t="shared" si="750"/>
        <v>0</v>
      </c>
      <c r="X1448" s="153">
        <f t="shared" si="750"/>
        <v>0</v>
      </c>
      <c r="Y1448" s="255">
        <f>B1448*300+D1448*340+E1448*300+F1448*150+G1448*150+H1448*120+I1448*40+J1448*50+K1448*400+L1448*400+M1448*400+N1448*381.25+O1448*400+P1448*80+Q1448*200+R1448*300+S1448*400</f>
        <v>0</v>
      </c>
      <c r="Z1448" s="309">
        <f t="shared" si="746"/>
        <v>0</v>
      </c>
      <c r="AA1448" s="256">
        <f t="shared" si="744"/>
        <v>0</v>
      </c>
      <c r="AB1448" s="309"/>
      <c r="AC1448" s="309"/>
      <c r="AD1448" s="320">
        <f t="shared" si="745"/>
        <v>0</v>
      </c>
    </row>
    <row r="1449" spans="1:30" ht="30.75" thickBot="1">
      <c r="A1449" s="67">
        <f t="shared" si="747"/>
        <v>44893</v>
      </c>
      <c r="B1449" s="153"/>
      <c r="C1449" s="153"/>
      <c r="D1449" s="153"/>
      <c r="E1449" s="153"/>
      <c r="F1449" s="153"/>
      <c r="G1449" s="153"/>
      <c r="H1449" s="153"/>
      <c r="I1449" s="153"/>
      <c r="J1449" s="153"/>
      <c r="K1449" s="153"/>
      <c r="L1449" s="153"/>
      <c r="M1449" s="153"/>
      <c r="N1449" s="153"/>
      <c r="O1449" s="153"/>
      <c r="P1449" s="153"/>
      <c r="Q1449" s="153"/>
      <c r="R1449" s="153"/>
      <c r="S1449" s="153"/>
      <c r="T1449" s="153">
        <f t="shared" si="750"/>
        <v>0</v>
      </c>
      <c r="U1449" s="153">
        <f t="shared" si="750"/>
        <v>0</v>
      </c>
      <c r="V1449" s="153">
        <f t="shared" si="750"/>
        <v>0</v>
      </c>
      <c r="W1449" s="153">
        <f t="shared" si="750"/>
        <v>0</v>
      </c>
      <c r="X1449" s="153">
        <f t="shared" si="750"/>
        <v>0</v>
      </c>
      <c r="Y1449" s="255">
        <f>B1449*300+D1449*350+E1449*350+F1449*150+G1449*150+H1449*140+I1449*40+J1449*40+K1449*400+L1449*400+M1449*400+N1449*381.25+O1449*387.5+P1449*80+Q1449*200+R1449*300+S1449*300</f>
        <v>0</v>
      </c>
      <c r="Z1449" s="309">
        <f t="shared" si="746"/>
        <v>0</v>
      </c>
      <c r="AA1449" s="256">
        <f t="shared" si="744"/>
        <v>0</v>
      </c>
      <c r="AB1449" s="309"/>
      <c r="AC1449" s="309"/>
      <c r="AD1449" s="320">
        <f t="shared" si="745"/>
        <v>0</v>
      </c>
    </row>
    <row r="1450" spans="1:30" ht="30.75" thickBot="1">
      <c r="A1450" s="67">
        <f t="shared" si="747"/>
        <v>44894</v>
      </c>
      <c r="B1450" s="153"/>
      <c r="C1450" s="153"/>
      <c r="D1450" s="153"/>
      <c r="E1450" s="153"/>
      <c r="F1450" s="153"/>
      <c r="G1450" s="153"/>
      <c r="H1450" s="153"/>
      <c r="I1450" s="153"/>
      <c r="J1450" s="153"/>
      <c r="K1450" s="153"/>
      <c r="L1450" s="153"/>
      <c r="M1450" s="153"/>
      <c r="N1450" s="153"/>
      <c r="O1450" s="153"/>
      <c r="P1450" s="153"/>
      <c r="Q1450" s="153"/>
      <c r="R1450" s="153"/>
      <c r="S1450" s="153"/>
      <c r="T1450" s="153">
        <f t="shared" si="750"/>
        <v>0</v>
      </c>
      <c r="U1450" s="153">
        <f t="shared" si="750"/>
        <v>0</v>
      </c>
      <c r="V1450" s="153">
        <f t="shared" si="750"/>
        <v>0</v>
      </c>
      <c r="W1450" s="153">
        <f t="shared" si="750"/>
        <v>0</v>
      </c>
      <c r="X1450" s="153">
        <f t="shared" si="750"/>
        <v>0</v>
      </c>
      <c r="Y1450" s="255">
        <f>B1450*300+D1450*300+E1450*300+F1450*150+G1450*150+H1450*120+I1450*40+J1450*40+K1450*400+L1450*400+M1450*400+N1450*381.25+O1450*400+P1450*80+Q1450*200+R1450*300+S1450*300</f>
        <v>0</v>
      </c>
      <c r="Z1450" s="309">
        <f t="shared" si="746"/>
        <v>0</v>
      </c>
      <c r="AA1450" s="256">
        <f t="shared" si="744"/>
        <v>0</v>
      </c>
      <c r="AB1450" s="309"/>
      <c r="AC1450" s="309"/>
      <c r="AD1450" s="320">
        <f t="shared" si="745"/>
        <v>0</v>
      </c>
    </row>
    <row r="1451" spans="1:30" ht="30.75" thickBot="1">
      <c r="A1451" s="67">
        <f t="shared" si="747"/>
        <v>44895</v>
      </c>
      <c r="B1451" s="153"/>
      <c r="C1451" s="153"/>
      <c r="D1451" s="153"/>
      <c r="E1451" s="153"/>
      <c r="F1451" s="153"/>
      <c r="G1451" s="153"/>
      <c r="H1451" s="153"/>
      <c r="I1451" s="153"/>
      <c r="J1451" s="153"/>
      <c r="K1451" s="153"/>
      <c r="L1451" s="153"/>
      <c r="M1451" s="153"/>
      <c r="N1451" s="153"/>
      <c r="O1451" s="153"/>
      <c r="P1451" s="153"/>
      <c r="Q1451" s="153"/>
      <c r="R1451" s="153"/>
      <c r="S1451" s="153"/>
      <c r="T1451" s="153">
        <f t="shared" si="750"/>
        <v>0</v>
      </c>
      <c r="U1451" s="153">
        <f t="shared" si="750"/>
        <v>0</v>
      </c>
      <c r="V1451" s="153">
        <f t="shared" si="750"/>
        <v>0</v>
      </c>
      <c r="W1451" s="153">
        <f t="shared" si="750"/>
        <v>0</v>
      </c>
      <c r="X1451" s="153">
        <f t="shared" si="750"/>
        <v>0</v>
      </c>
      <c r="Y1451" s="255">
        <f t="shared" si="748"/>
        <v>0</v>
      </c>
      <c r="Z1451" s="309">
        <f t="shared" si="746"/>
        <v>0</v>
      </c>
      <c r="AA1451" s="256">
        <f t="shared" si="744"/>
        <v>0</v>
      </c>
      <c r="AB1451" s="309"/>
      <c r="AC1451" s="309"/>
      <c r="AD1451" s="320">
        <f t="shared" si="745"/>
        <v>0</v>
      </c>
    </row>
    <row r="1452" spans="1:30" ht="30.75" thickBot="1">
      <c r="A1452" s="102">
        <f t="shared" si="747"/>
        <v>44896</v>
      </c>
      <c r="B1452" s="153"/>
      <c r="C1452" s="153"/>
      <c r="D1452" s="153"/>
      <c r="E1452" s="153"/>
      <c r="F1452" s="153"/>
      <c r="G1452" s="153"/>
      <c r="H1452" s="153"/>
      <c r="I1452" s="153"/>
      <c r="J1452" s="153"/>
      <c r="K1452" s="153"/>
      <c r="L1452" s="153"/>
      <c r="M1452" s="153"/>
      <c r="N1452" s="153"/>
      <c r="O1452" s="153"/>
      <c r="P1452" s="153"/>
      <c r="Q1452" s="153"/>
      <c r="R1452" s="153"/>
      <c r="S1452" s="153"/>
      <c r="T1452" s="153">
        <f t="shared" ref="T1452:X1452" si="751">T296+T342+T380+T419+T457+T497+T534+T574+T615+T657+T696+T734+T770+T807+T845+T881+T919+T957+T995+T1033+T1071+T1109+T1147+T1186+T1225+T1263+T1301+T1339+T1377+T1415</f>
        <v>0</v>
      </c>
      <c r="U1452" s="153">
        <f t="shared" si="751"/>
        <v>0</v>
      </c>
      <c r="V1452" s="153">
        <f t="shared" si="751"/>
        <v>0</v>
      </c>
      <c r="W1452" s="153">
        <f t="shared" si="751"/>
        <v>0</v>
      </c>
      <c r="X1452" s="153">
        <f t="shared" si="751"/>
        <v>0</v>
      </c>
      <c r="Y1452" s="255">
        <f t="shared" si="748"/>
        <v>0</v>
      </c>
      <c r="Z1452" s="309">
        <f t="shared" si="746"/>
        <v>0</v>
      </c>
      <c r="AA1452" s="256">
        <f t="shared" si="744"/>
        <v>0</v>
      </c>
      <c r="AB1452" s="309"/>
      <c r="AC1452" s="309"/>
      <c r="AD1452" s="320">
        <f t="shared" si="745"/>
        <v>0</v>
      </c>
    </row>
    <row r="1453" spans="1:30" ht="30" thickTop="1" thickBot="1">
      <c r="A1453" s="96" t="s">
        <v>74</v>
      </c>
      <c r="B1453" s="104">
        <f>SUM(B1422:B1452)</f>
        <v>0</v>
      </c>
      <c r="C1453" s="104">
        <f t="shared" ref="C1453:D1453" si="752">SUM(C1422:C1452)</f>
        <v>0</v>
      </c>
      <c r="D1453" s="104">
        <f t="shared" si="752"/>
        <v>0</v>
      </c>
      <c r="E1453" s="104"/>
      <c r="F1453" s="104">
        <f t="shared" ref="F1453:O1453" si="753">SUM(F1422:F1452)</f>
        <v>0</v>
      </c>
      <c r="G1453" s="104">
        <f t="shared" si="753"/>
        <v>0</v>
      </c>
      <c r="H1453" s="104">
        <f t="shared" si="753"/>
        <v>0</v>
      </c>
      <c r="I1453" s="104">
        <f t="shared" si="753"/>
        <v>0</v>
      </c>
      <c r="J1453" s="104">
        <f t="shared" si="753"/>
        <v>0</v>
      </c>
      <c r="K1453" s="104">
        <f t="shared" si="753"/>
        <v>0</v>
      </c>
      <c r="L1453" s="104">
        <f t="shared" si="753"/>
        <v>0</v>
      </c>
      <c r="M1453" s="104">
        <f t="shared" si="753"/>
        <v>0</v>
      </c>
      <c r="N1453" s="104">
        <f t="shared" si="753"/>
        <v>0</v>
      </c>
      <c r="O1453" s="104">
        <f t="shared" si="753"/>
        <v>0</v>
      </c>
      <c r="P1453" s="104"/>
      <c r="Q1453" s="104">
        <f t="shared" ref="Q1453:S1453" si="754">SUM(Q1422:Q1452)</f>
        <v>0</v>
      </c>
      <c r="R1453" s="104">
        <f t="shared" si="754"/>
        <v>0</v>
      </c>
      <c r="S1453" s="104">
        <f t="shared" si="754"/>
        <v>0</v>
      </c>
      <c r="T1453" s="104"/>
      <c r="U1453" s="104"/>
      <c r="V1453" s="104"/>
      <c r="W1453" s="104"/>
      <c r="X1453" s="104"/>
      <c r="Y1453" s="292">
        <f t="shared" ref="Y1453" si="755">SUM(Y1422:Y1452)</f>
        <v>0</v>
      </c>
      <c r="Z1453" s="259"/>
      <c r="AA1453" s="259"/>
      <c r="AB1453" s="316">
        <f>SUM(AB1422:AB1452)</f>
        <v>0</v>
      </c>
      <c r="AC1453" s="316"/>
      <c r="AD1453" s="260"/>
    </row>
    <row r="1454" spans="1:30" ht="15.75" thickTop="1"/>
    <row r="1455" spans="1:30" ht="15.75" thickBot="1"/>
    <row r="1456" spans="1:30" ht="43.5" thickBot="1">
      <c r="A1456" s="109">
        <v>2019</v>
      </c>
      <c r="B1456" s="1424" t="s">
        <v>265</v>
      </c>
      <c r="C1456" s="1425"/>
      <c r="D1456" s="1425"/>
      <c r="E1456" s="1425"/>
      <c r="F1456" s="1425"/>
      <c r="G1456" s="1425"/>
      <c r="H1456" s="1425"/>
      <c r="I1456" s="1425"/>
      <c r="J1456" s="1425"/>
      <c r="K1456" s="1425"/>
      <c r="L1456" s="1425"/>
      <c r="M1456" s="1425"/>
      <c r="N1456" s="1425"/>
      <c r="O1456" s="1425"/>
      <c r="P1456" s="1425"/>
      <c r="Q1456" s="1425"/>
      <c r="R1456" s="1425"/>
      <c r="S1456" s="1425"/>
      <c r="T1456" s="1425"/>
      <c r="U1456" s="1425"/>
      <c r="V1456" s="1425"/>
      <c r="W1456" s="1425"/>
      <c r="X1456" s="1425"/>
      <c r="Y1456" s="1426"/>
      <c r="Z1456" s="21"/>
      <c r="AA1456" s="21"/>
      <c r="AB1456" s="21"/>
      <c r="AC1456" s="2"/>
      <c r="AD1456" t="s">
        <v>1</v>
      </c>
    </row>
    <row r="1457" spans="1:30" ht="60.75" thickTop="1" thickBot="1">
      <c r="A1457" s="1422" t="s">
        <v>94</v>
      </c>
      <c r="B1457" s="1402" t="s">
        <v>95</v>
      </c>
      <c r="C1457" s="1403"/>
      <c r="D1457" s="1403"/>
      <c r="E1457" s="1404"/>
      <c r="F1457" s="1402" t="s">
        <v>7</v>
      </c>
      <c r="G1457" s="1403"/>
      <c r="H1457" s="1404"/>
      <c r="I1457" s="1402" t="s">
        <v>8</v>
      </c>
      <c r="J1457" s="1404"/>
      <c r="K1457" s="1402" t="s">
        <v>9</v>
      </c>
      <c r="L1457" s="1403"/>
      <c r="M1457" s="1403"/>
      <c r="N1457" s="1403"/>
      <c r="O1457" s="1403"/>
      <c r="P1457" s="1403"/>
      <c r="Q1457" s="1403"/>
      <c r="R1457" s="1405" t="s">
        <v>10</v>
      </c>
      <c r="S1457" s="1406"/>
      <c r="T1457" s="1400" t="s">
        <v>289</v>
      </c>
      <c r="U1457" s="1401"/>
      <c r="V1457" s="842" t="s">
        <v>258</v>
      </c>
      <c r="W1457" s="842"/>
      <c r="X1457" s="842"/>
      <c r="Y1457" s="211"/>
      <c r="Z1457" s="21"/>
      <c r="AA1457" s="21"/>
      <c r="AB1457" s="21"/>
      <c r="AC1457" s="21"/>
    </row>
    <row r="1458" spans="1:30" ht="42" thickTop="1" thickBot="1">
      <c r="A1458" s="1423"/>
      <c r="B1458" s="482" t="s">
        <v>12</v>
      </c>
      <c r="C1458" s="482" t="s">
        <v>13</v>
      </c>
      <c r="D1458" s="482" t="s">
        <v>14</v>
      </c>
      <c r="E1458" s="688" t="s">
        <v>198</v>
      </c>
      <c r="F1458" s="482" t="s">
        <v>12</v>
      </c>
      <c r="G1458" s="482" t="s">
        <v>13</v>
      </c>
      <c r="H1458" s="482" t="s">
        <v>282</v>
      </c>
      <c r="I1458" s="482" t="s">
        <v>12</v>
      </c>
      <c r="J1458" s="482" t="s">
        <v>16</v>
      </c>
      <c r="K1458" s="482" t="s">
        <v>17</v>
      </c>
      <c r="L1458" s="482" t="s">
        <v>18</v>
      </c>
      <c r="M1458" s="482" t="s">
        <v>19</v>
      </c>
      <c r="N1458" s="484" t="s">
        <v>96</v>
      </c>
      <c r="O1458" s="484" t="s">
        <v>257</v>
      </c>
      <c r="P1458" s="484" t="s">
        <v>254</v>
      </c>
      <c r="Q1458" s="484" t="s">
        <v>20</v>
      </c>
      <c r="R1458" s="483" t="s">
        <v>14</v>
      </c>
      <c r="S1458" s="482" t="s">
        <v>13</v>
      </c>
      <c r="T1458" s="846" t="s">
        <v>284</v>
      </c>
      <c r="U1458" s="846" t="s">
        <v>288</v>
      </c>
      <c r="V1458" s="484" t="s">
        <v>259</v>
      </c>
      <c r="W1458" s="484"/>
      <c r="X1458" s="484"/>
      <c r="Y1458" s="209" t="s">
        <v>90</v>
      </c>
      <c r="Z1458" s="210" t="s">
        <v>97</v>
      </c>
      <c r="AA1458" s="210" t="s">
        <v>74</v>
      </c>
      <c r="AB1458" s="210" t="s">
        <v>98</v>
      </c>
      <c r="AC1458" s="210" t="s">
        <v>99</v>
      </c>
      <c r="AD1458" s="210" t="s">
        <v>100</v>
      </c>
    </row>
    <row r="1459" spans="1:30" ht="30.75" thickBot="1">
      <c r="A1459" s="67">
        <f>A1422</f>
        <v>44866</v>
      </c>
      <c r="B1459" s="153">
        <f>B8+B54+B92+B131+B169+B209+B246+B286+B327+B369+B408+B446+B482+B519+B557+B593+B631+B669+B707+B745+B783+B821+B859+B898+B937+B975+B1013+B1051+B1089+B1127+B1164+B1201+B1238+B1275+B1312+B1349+B1386+B1422</f>
        <v>0</v>
      </c>
      <c r="C1459" s="153">
        <f t="shared" ref="C1459:S1474" si="756">C8+C54+C92+C131+C169+C209+C246+C286+C327+C369+C408+C446+C482+C519+C557+C593+C631+C669+C707+C745+C783+C821+C859+C898+C937+C975+C1013+C1051+C1089+C1127+C1164+C1201+C1238+C1275+C1312+C1349+C1386+C1422</f>
        <v>0</v>
      </c>
      <c r="D1459" s="153">
        <f t="shared" si="756"/>
        <v>0</v>
      </c>
      <c r="E1459" s="153">
        <f t="shared" si="756"/>
        <v>0</v>
      </c>
      <c r="F1459" s="153">
        <f t="shared" si="756"/>
        <v>0</v>
      </c>
      <c r="G1459" s="153">
        <f t="shared" si="756"/>
        <v>0</v>
      </c>
      <c r="H1459" s="153">
        <f t="shared" si="756"/>
        <v>0</v>
      </c>
      <c r="I1459" s="153">
        <f t="shared" si="756"/>
        <v>0</v>
      </c>
      <c r="J1459" s="153">
        <f t="shared" si="756"/>
        <v>0</v>
      </c>
      <c r="K1459" s="153">
        <f t="shared" si="756"/>
        <v>0</v>
      </c>
      <c r="L1459" s="153">
        <f t="shared" si="756"/>
        <v>0</v>
      </c>
      <c r="M1459" s="153">
        <f t="shared" si="756"/>
        <v>0</v>
      </c>
      <c r="N1459" s="153">
        <f t="shared" si="756"/>
        <v>0</v>
      </c>
      <c r="O1459" s="153">
        <f t="shared" si="756"/>
        <v>0</v>
      </c>
      <c r="P1459" s="153">
        <f t="shared" si="756"/>
        <v>0</v>
      </c>
      <c r="Q1459" s="153">
        <f t="shared" si="756"/>
        <v>0</v>
      </c>
      <c r="R1459" s="153">
        <f t="shared" si="756"/>
        <v>0</v>
      </c>
      <c r="S1459" s="153">
        <f t="shared" si="756"/>
        <v>0</v>
      </c>
      <c r="T1459" s="153" t="e">
        <f t="shared" ref="T1459:Y1459" si="757">T8+T54+T92+T131+T169+T209+T246+T286+T327+T369+T408+T446+T482+T519+T557+T593+T631+T669+T707+T745+T783+T821+T859+T898+T937+T975+T1013+T1051+T1089+T1127+T1164+T1201+T1238+T1275+T1312+T1349+T1386+T1422</f>
        <v>#VALUE!</v>
      </c>
      <c r="U1459" s="153" t="e">
        <f t="shared" si="757"/>
        <v>#VALUE!</v>
      </c>
      <c r="V1459" s="153" t="e">
        <f t="shared" si="757"/>
        <v>#VALUE!</v>
      </c>
      <c r="W1459" s="153">
        <f t="shared" si="757"/>
        <v>0</v>
      </c>
      <c r="X1459" s="153">
        <f t="shared" si="757"/>
        <v>0</v>
      </c>
      <c r="Y1459" s="153">
        <f t="shared" si="757"/>
        <v>0</v>
      </c>
      <c r="Z1459" s="308">
        <v>0</v>
      </c>
      <c r="AA1459" s="263">
        <f t="shared" ref="AA1459:AA1489" si="758">Y1459+Z1459</f>
        <v>0</v>
      </c>
      <c r="AB1459" s="308"/>
      <c r="AC1459" s="308"/>
      <c r="AD1459" s="319">
        <f t="shared" ref="AD1459:AD1489" si="759">AA1459-AB1459-AC1459</f>
        <v>0</v>
      </c>
    </row>
    <row r="1460" spans="1:30" ht="30.75" thickBot="1">
      <c r="A1460" s="67">
        <f t="shared" ref="A1460:A1489" si="760">A1423</f>
        <v>44867</v>
      </c>
      <c r="B1460" s="153">
        <f t="shared" ref="B1460:Q1489" si="761">B9+B55+B93+B132+B170+B210+B247+B287+B328+B370+B409+B447+B483+B520+B558+B594+B632+B670+B708+B746+B784+B822+B860+B899+B938+B976+B1014+B1052+B1090+B1128+B1165+B1202+B1239+B1276+B1313+B1350+B1387+B1423</f>
        <v>0</v>
      </c>
      <c r="C1460" s="153">
        <f t="shared" si="761"/>
        <v>0</v>
      </c>
      <c r="D1460" s="153">
        <f t="shared" si="761"/>
        <v>0</v>
      </c>
      <c r="E1460" s="153">
        <f t="shared" si="761"/>
        <v>0</v>
      </c>
      <c r="F1460" s="153">
        <f t="shared" si="761"/>
        <v>0</v>
      </c>
      <c r="G1460" s="153">
        <f t="shared" si="761"/>
        <v>0</v>
      </c>
      <c r="H1460" s="153">
        <f t="shared" si="761"/>
        <v>0</v>
      </c>
      <c r="I1460" s="153">
        <f t="shared" si="761"/>
        <v>0</v>
      </c>
      <c r="J1460" s="153">
        <f t="shared" si="761"/>
        <v>0</v>
      </c>
      <c r="K1460" s="153">
        <f t="shared" si="761"/>
        <v>0</v>
      </c>
      <c r="L1460" s="153">
        <f t="shared" si="761"/>
        <v>0</v>
      </c>
      <c r="M1460" s="153">
        <f t="shared" si="761"/>
        <v>0</v>
      </c>
      <c r="N1460" s="153">
        <f t="shared" si="761"/>
        <v>0</v>
      </c>
      <c r="O1460" s="153">
        <f t="shared" si="761"/>
        <v>0</v>
      </c>
      <c r="P1460" s="153">
        <f t="shared" si="761"/>
        <v>0</v>
      </c>
      <c r="Q1460" s="153">
        <f t="shared" si="761"/>
        <v>0</v>
      </c>
      <c r="R1460" s="153">
        <f t="shared" si="756"/>
        <v>0</v>
      </c>
      <c r="S1460" s="153">
        <f t="shared" si="756"/>
        <v>0</v>
      </c>
      <c r="T1460" s="153" t="e">
        <f t="shared" ref="T1460:X1469" si="762">T304+T350+T388+T427+T465+T505+T542+T582+T623+T665+T704+T742+T778+T815+T853+T889+T927+T965+T1003+T1041+T1079+T1117+T1155+T1194+T1233+T1271+T1309+T1347+T1385+T1423</f>
        <v>#VALUE!</v>
      </c>
      <c r="U1460" s="153" t="e">
        <f t="shared" si="762"/>
        <v>#VALUE!</v>
      </c>
      <c r="V1460" s="153" t="e">
        <f t="shared" si="762"/>
        <v>#VALUE!</v>
      </c>
      <c r="W1460" s="153">
        <f t="shared" si="762"/>
        <v>0</v>
      </c>
      <c r="X1460" s="153">
        <f t="shared" si="762"/>
        <v>0</v>
      </c>
      <c r="Y1460" s="153">
        <f t="shared" ref="Y1460" si="763">Y9+Y55+Y93+Y132+Y170+Y210+Y247+Y287+Y328+Y370+Y409+Y447+Y483+Y520+Y558+Y594+Y632+Y670+Y708+Y746+Y784+Y822+Y860+Y899+Y938+Y976+Y1014+Y1052+Y1090+Y1128+Y1165+Y1202+Y1239+Y1276+Y1313+Y1350+Y1387+Y1423</f>
        <v>0</v>
      </c>
      <c r="Z1460" s="309">
        <f t="shared" ref="Z1460:Z1489" si="764">AD1459</f>
        <v>0</v>
      </c>
      <c r="AA1460" s="256">
        <f t="shared" si="758"/>
        <v>0</v>
      </c>
      <c r="AB1460" s="309"/>
      <c r="AC1460" s="309"/>
      <c r="AD1460" s="320">
        <f t="shared" si="759"/>
        <v>0</v>
      </c>
    </row>
    <row r="1461" spans="1:30" ht="30.75" thickBot="1">
      <c r="A1461" s="67">
        <f t="shared" si="760"/>
        <v>44868</v>
      </c>
      <c r="B1461" s="153">
        <f t="shared" si="761"/>
        <v>0</v>
      </c>
      <c r="C1461" s="153">
        <f t="shared" si="756"/>
        <v>0</v>
      </c>
      <c r="D1461" s="153">
        <f t="shared" si="756"/>
        <v>0</v>
      </c>
      <c r="E1461" s="153">
        <f t="shared" si="756"/>
        <v>0</v>
      </c>
      <c r="F1461" s="153">
        <f t="shared" si="756"/>
        <v>0</v>
      </c>
      <c r="G1461" s="153">
        <f t="shared" si="756"/>
        <v>0</v>
      </c>
      <c r="H1461" s="153">
        <f t="shared" si="756"/>
        <v>0</v>
      </c>
      <c r="I1461" s="153">
        <f t="shared" si="756"/>
        <v>0</v>
      </c>
      <c r="J1461" s="153">
        <f t="shared" si="756"/>
        <v>0</v>
      </c>
      <c r="K1461" s="153">
        <f t="shared" si="756"/>
        <v>0</v>
      </c>
      <c r="L1461" s="153">
        <f t="shared" si="756"/>
        <v>0</v>
      </c>
      <c r="M1461" s="153">
        <f t="shared" si="756"/>
        <v>0</v>
      </c>
      <c r="N1461" s="153">
        <f t="shared" si="756"/>
        <v>0</v>
      </c>
      <c r="O1461" s="153">
        <f t="shared" si="756"/>
        <v>0</v>
      </c>
      <c r="P1461" s="153">
        <f t="shared" si="756"/>
        <v>0</v>
      </c>
      <c r="Q1461" s="153">
        <f t="shared" si="756"/>
        <v>0</v>
      </c>
      <c r="R1461" s="153">
        <f t="shared" si="756"/>
        <v>0</v>
      </c>
      <c r="S1461" s="153">
        <f t="shared" si="756"/>
        <v>0</v>
      </c>
      <c r="T1461" s="153" t="e">
        <f t="shared" si="762"/>
        <v>#VALUE!</v>
      </c>
      <c r="U1461" s="153" t="e">
        <f t="shared" si="762"/>
        <v>#VALUE!</v>
      </c>
      <c r="V1461" s="153" t="e">
        <f t="shared" si="762"/>
        <v>#VALUE!</v>
      </c>
      <c r="W1461" s="153">
        <f t="shared" si="762"/>
        <v>0</v>
      </c>
      <c r="X1461" s="153">
        <f t="shared" si="762"/>
        <v>0</v>
      </c>
      <c r="Y1461" s="153">
        <f t="shared" ref="Y1461" si="765">Y10+Y56+Y94+Y133+Y171+Y211+Y248+Y288+Y329+Y371+Y410+Y448+Y484+Y521+Y559+Y595+Y633+Y671+Y709+Y747+Y785+Y823+Y861+Y900+Y939+Y977+Y1015+Y1053+Y1091+Y1129+Y1166+Y1203+Y1240+Y1277+Y1314+Y1351+Y1388+Y1424</f>
        <v>0</v>
      </c>
      <c r="Z1461" s="309">
        <f t="shared" si="764"/>
        <v>0</v>
      </c>
      <c r="AA1461" s="256">
        <f t="shared" si="758"/>
        <v>0</v>
      </c>
      <c r="AB1461" s="309"/>
      <c r="AC1461" s="309"/>
      <c r="AD1461" s="320">
        <f t="shared" si="759"/>
        <v>0</v>
      </c>
    </row>
    <row r="1462" spans="1:30" ht="30.75" thickBot="1">
      <c r="A1462" s="67">
        <f t="shared" si="760"/>
        <v>44869</v>
      </c>
      <c r="B1462" s="153">
        <f t="shared" si="761"/>
        <v>0</v>
      </c>
      <c r="C1462" s="153">
        <f t="shared" si="756"/>
        <v>0</v>
      </c>
      <c r="D1462" s="153">
        <f t="shared" si="756"/>
        <v>0</v>
      </c>
      <c r="E1462" s="153">
        <f t="shared" si="756"/>
        <v>0</v>
      </c>
      <c r="F1462" s="153">
        <f t="shared" si="756"/>
        <v>0</v>
      </c>
      <c r="G1462" s="153">
        <f t="shared" si="756"/>
        <v>0</v>
      </c>
      <c r="H1462" s="153">
        <f t="shared" si="756"/>
        <v>0</v>
      </c>
      <c r="I1462" s="153">
        <f t="shared" si="756"/>
        <v>0</v>
      </c>
      <c r="J1462" s="153">
        <f t="shared" si="756"/>
        <v>0</v>
      </c>
      <c r="K1462" s="153">
        <f t="shared" si="756"/>
        <v>0</v>
      </c>
      <c r="L1462" s="153">
        <f t="shared" si="756"/>
        <v>0</v>
      </c>
      <c r="M1462" s="153">
        <f t="shared" si="756"/>
        <v>0</v>
      </c>
      <c r="N1462" s="153">
        <f t="shared" si="756"/>
        <v>0</v>
      </c>
      <c r="O1462" s="153">
        <f t="shared" si="756"/>
        <v>0</v>
      </c>
      <c r="P1462" s="153">
        <f t="shared" si="756"/>
        <v>0</v>
      </c>
      <c r="Q1462" s="153">
        <f t="shared" si="756"/>
        <v>0</v>
      </c>
      <c r="R1462" s="153">
        <f t="shared" si="756"/>
        <v>0</v>
      </c>
      <c r="S1462" s="153">
        <f t="shared" si="756"/>
        <v>0</v>
      </c>
      <c r="T1462" s="153" t="e">
        <f t="shared" si="762"/>
        <v>#VALUE!</v>
      </c>
      <c r="U1462" s="153" t="e">
        <f t="shared" si="762"/>
        <v>#VALUE!</v>
      </c>
      <c r="V1462" s="153" t="e">
        <f t="shared" si="762"/>
        <v>#VALUE!</v>
      </c>
      <c r="W1462" s="153">
        <f t="shared" si="762"/>
        <v>0</v>
      </c>
      <c r="X1462" s="153">
        <f t="shared" si="762"/>
        <v>0</v>
      </c>
      <c r="Y1462" s="153">
        <f t="shared" ref="Y1462" si="766">Y11+Y57+Y95+Y134+Y172+Y212+Y249+Y289+Y330+Y372+Y411+Y449+Y485+Y522+Y560+Y596+Y634+Y672+Y710+Y748+Y786+Y824+Y862+Y901+Y940+Y978+Y1016+Y1054+Y1092+Y1130+Y1167+Y1204+Y1241+Y1278+Y1315+Y1352+Y1389+Y1425</f>
        <v>0</v>
      </c>
      <c r="Z1462" s="309">
        <f t="shared" si="764"/>
        <v>0</v>
      </c>
      <c r="AA1462" s="256">
        <f t="shared" si="758"/>
        <v>0</v>
      </c>
      <c r="AB1462" s="309"/>
      <c r="AC1462" s="309"/>
      <c r="AD1462" s="320">
        <f t="shared" si="759"/>
        <v>0</v>
      </c>
    </row>
    <row r="1463" spans="1:30" ht="30.75" thickBot="1">
      <c r="A1463" s="67">
        <f t="shared" si="760"/>
        <v>44870</v>
      </c>
      <c r="B1463" s="153">
        <f t="shared" si="761"/>
        <v>0</v>
      </c>
      <c r="C1463" s="153">
        <f t="shared" si="756"/>
        <v>0</v>
      </c>
      <c r="D1463" s="153">
        <f t="shared" si="756"/>
        <v>0</v>
      </c>
      <c r="E1463" s="153">
        <f t="shared" si="756"/>
        <v>0</v>
      </c>
      <c r="F1463" s="153">
        <f t="shared" si="756"/>
        <v>0</v>
      </c>
      <c r="G1463" s="153">
        <f t="shared" si="756"/>
        <v>0</v>
      </c>
      <c r="H1463" s="153">
        <f t="shared" si="756"/>
        <v>0</v>
      </c>
      <c r="I1463" s="153">
        <f t="shared" si="756"/>
        <v>0</v>
      </c>
      <c r="J1463" s="153">
        <f t="shared" si="756"/>
        <v>0</v>
      </c>
      <c r="K1463" s="153">
        <f t="shared" si="756"/>
        <v>0</v>
      </c>
      <c r="L1463" s="153">
        <f t="shared" si="756"/>
        <v>0</v>
      </c>
      <c r="M1463" s="153">
        <f t="shared" si="756"/>
        <v>0</v>
      </c>
      <c r="N1463" s="153">
        <f t="shared" si="756"/>
        <v>0</v>
      </c>
      <c r="O1463" s="153">
        <f t="shared" si="756"/>
        <v>0</v>
      </c>
      <c r="P1463" s="153">
        <f t="shared" si="756"/>
        <v>0</v>
      </c>
      <c r="Q1463" s="153">
        <f t="shared" si="756"/>
        <v>0</v>
      </c>
      <c r="R1463" s="153">
        <f t="shared" si="756"/>
        <v>0</v>
      </c>
      <c r="S1463" s="153">
        <f t="shared" si="756"/>
        <v>0</v>
      </c>
      <c r="T1463" s="153" t="e">
        <f t="shared" si="762"/>
        <v>#VALUE!</v>
      </c>
      <c r="U1463" s="153" t="e">
        <f t="shared" si="762"/>
        <v>#VALUE!</v>
      </c>
      <c r="V1463" s="153" t="e">
        <f t="shared" si="762"/>
        <v>#VALUE!</v>
      </c>
      <c r="W1463" s="153">
        <f t="shared" si="762"/>
        <v>0</v>
      </c>
      <c r="X1463" s="153">
        <f t="shared" si="762"/>
        <v>0</v>
      </c>
      <c r="Y1463" s="153">
        <f t="shared" ref="Y1463" si="767">Y12+Y58+Y96+Y135+Y173+Y213+Y250+Y290+Y331+Y373+Y412+Y450+Y486+Y523+Y561+Y597+Y635+Y673+Y711+Y749+Y787+Y825+Y863+Y902+Y941+Y979+Y1017+Y1055+Y1093+Y1131+Y1168+Y1205+Y1242+Y1279+Y1316+Y1353+Y1390+Y1426</f>
        <v>0</v>
      </c>
      <c r="Z1463" s="309">
        <f t="shared" si="764"/>
        <v>0</v>
      </c>
      <c r="AA1463" s="256">
        <f t="shared" si="758"/>
        <v>0</v>
      </c>
      <c r="AB1463" s="309"/>
      <c r="AC1463" s="309"/>
      <c r="AD1463" s="320">
        <f t="shared" si="759"/>
        <v>0</v>
      </c>
    </row>
    <row r="1464" spans="1:30" ht="30.75" thickBot="1">
      <c r="A1464" s="67">
        <f t="shared" si="760"/>
        <v>44871</v>
      </c>
      <c r="B1464" s="153">
        <f t="shared" si="761"/>
        <v>0</v>
      </c>
      <c r="C1464" s="153">
        <f t="shared" si="756"/>
        <v>0</v>
      </c>
      <c r="D1464" s="153">
        <f t="shared" si="756"/>
        <v>0</v>
      </c>
      <c r="E1464" s="153">
        <f t="shared" si="756"/>
        <v>0</v>
      </c>
      <c r="F1464" s="153">
        <f t="shared" si="756"/>
        <v>0</v>
      </c>
      <c r="G1464" s="153">
        <f t="shared" si="756"/>
        <v>0</v>
      </c>
      <c r="H1464" s="153">
        <f t="shared" si="756"/>
        <v>0</v>
      </c>
      <c r="I1464" s="153">
        <f t="shared" si="756"/>
        <v>0</v>
      </c>
      <c r="J1464" s="153">
        <f t="shared" si="756"/>
        <v>0</v>
      </c>
      <c r="K1464" s="153">
        <f t="shared" si="756"/>
        <v>0</v>
      </c>
      <c r="L1464" s="153">
        <f t="shared" si="756"/>
        <v>0</v>
      </c>
      <c r="M1464" s="153">
        <f t="shared" si="756"/>
        <v>0</v>
      </c>
      <c r="N1464" s="153">
        <f t="shared" si="756"/>
        <v>0</v>
      </c>
      <c r="O1464" s="153">
        <f t="shared" si="756"/>
        <v>0</v>
      </c>
      <c r="P1464" s="153">
        <f t="shared" si="756"/>
        <v>0</v>
      </c>
      <c r="Q1464" s="153">
        <f t="shared" si="756"/>
        <v>0</v>
      </c>
      <c r="R1464" s="153">
        <f t="shared" si="756"/>
        <v>0</v>
      </c>
      <c r="S1464" s="153">
        <f t="shared" si="756"/>
        <v>0</v>
      </c>
      <c r="T1464" s="153" t="e">
        <f t="shared" si="762"/>
        <v>#VALUE!</v>
      </c>
      <c r="U1464" s="153" t="e">
        <f t="shared" si="762"/>
        <v>#VALUE!</v>
      </c>
      <c r="V1464" s="153" t="e">
        <f t="shared" si="762"/>
        <v>#VALUE!</v>
      </c>
      <c r="W1464" s="153">
        <f t="shared" si="762"/>
        <v>0</v>
      </c>
      <c r="X1464" s="153">
        <f t="shared" si="762"/>
        <v>0</v>
      </c>
      <c r="Y1464" s="153">
        <f t="shared" ref="Y1464" si="768">Y13+Y59+Y97+Y136+Y174+Y214+Y251+Y291+Y332+Y374+Y413+Y451+Y487+Y524+Y562+Y598+Y636+Y674+Y712+Y750+Y788+Y826+Y864+Y903+Y942+Y980+Y1018+Y1056+Y1094+Y1132+Y1169+Y1206+Y1243+Y1280+Y1317+Y1354+Y1391+Y1427</f>
        <v>0</v>
      </c>
      <c r="Z1464" s="309">
        <f t="shared" si="764"/>
        <v>0</v>
      </c>
      <c r="AA1464" s="256">
        <f t="shared" si="758"/>
        <v>0</v>
      </c>
      <c r="AB1464" s="309"/>
      <c r="AC1464" s="309"/>
      <c r="AD1464" s="320">
        <f t="shared" si="759"/>
        <v>0</v>
      </c>
    </row>
    <row r="1465" spans="1:30" ht="30.75" thickBot="1">
      <c r="A1465" s="67">
        <f t="shared" si="760"/>
        <v>44872</v>
      </c>
      <c r="B1465" s="153">
        <f t="shared" si="761"/>
        <v>0</v>
      </c>
      <c r="C1465" s="153">
        <f t="shared" si="756"/>
        <v>0</v>
      </c>
      <c r="D1465" s="153">
        <f t="shared" si="756"/>
        <v>0</v>
      </c>
      <c r="E1465" s="153">
        <f t="shared" si="756"/>
        <v>0</v>
      </c>
      <c r="F1465" s="153">
        <f t="shared" si="756"/>
        <v>0</v>
      </c>
      <c r="G1465" s="153">
        <f t="shared" si="756"/>
        <v>0</v>
      </c>
      <c r="H1465" s="153">
        <f t="shared" si="756"/>
        <v>0</v>
      </c>
      <c r="I1465" s="153">
        <f t="shared" si="756"/>
        <v>0</v>
      </c>
      <c r="J1465" s="153">
        <f t="shared" si="756"/>
        <v>0</v>
      </c>
      <c r="K1465" s="153">
        <f t="shared" si="756"/>
        <v>0</v>
      </c>
      <c r="L1465" s="153">
        <f t="shared" si="756"/>
        <v>0</v>
      </c>
      <c r="M1465" s="153">
        <f t="shared" si="756"/>
        <v>0</v>
      </c>
      <c r="N1465" s="153">
        <f t="shared" si="756"/>
        <v>0</v>
      </c>
      <c r="O1465" s="153">
        <f t="shared" si="756"/>
        <v>0</v>
      </c>
      <c r="P1465" s="153">
        <f t="shared" si="756"/>
        <v>0</v>
      </c>
      <c r="Q1465" s="153">
        <f t="shared" si="756"/>
        <v>0</v>
      </c>
      <c r="R1465" s="153">
        <f t="shared" si="756"/>
        <v>0</v>
      </c>
      <c r="S1465" s="153">
        <f t="shared" si="756"/>
        <v>0</v>
      </c>
      <c r="T1465" s="153" t="e">
        <f t="shared" si="762"/>
        <v>#VALUE!</v>
      </c>
      <c r="U1465" s="153" t="e">
        <f t="shared" si="762"/>
        <v>#VALUE!</v>
      </c>
      <c r="V1465" s="153" t="e">
        <f t="shared" si="762"/>
        <v>#VALUE!</v>
      </c>
      <c r="W1465" s="153">
        <f t="shared" si="762"/>
        <v>0</v>
      </c>
      <c r="X1465" s="153">
        <f t="shared" si="762"/>
        <v>0</v>
      </c>
      <c r="Y1465" s="153">
        <f t="shared" ref="Y1465" si="769">Y14+Y60+Y98+Y137+Y175+Y215+Y252+Y292+Y333+Y375+Y414+Y452+Y488+Y525+Y563+Y599+Y637+Y675+Y713+Y751+Y789+Y827+Y865+Y904+Y943+Y981+Y1019+Y1057+Y1095+Y1133+Y1170+Y1207+Y1244+Y1281+Y1318+Y1355+Y1392+Y1428</f>
        <v>0</v>
      </c>
      <c r="Z1465" s="309">
        <f t="shared" si="764"/>
        <v>0</v>
      </c>
      <c r="AA1465" s="256">
        <f t="shared" si="758"/>
        <v>0</v>
      </c>
      <c r="AB1465" s="309"/>
      <c r="AC1465" s="309"/>
      <c r="AD1465" s="320">
        <f t="shared" si="759"/>
        <v>0</v>
      </c>
    </row>
    <row r="1466" spans="1:30" ht="30.75" thickBot="1">
      <c r="A1466" s="67">
        <f t="shared" si="760"/>
        <v>44873</v>
      </c>
      <c r="B1466" s="153">
        <f t="shared" si="761"/>
        <v>0</v>
      </c>
      <c r="C1466" s="153">
        <f t="shared" si="756"/>
        <v>0</v>
      </c>
      <c r="D1466" s="153">
        <f t="shared" si="756"/>
        <v>0</v>
      </c>
      <c r="E1466" s="153">
        <f t="shared" si="756"/>
        <v>0</v>
      </c>
      <c r="F1466" s="153">
        <f t="shared" si="756"/>
        <v>0</v>
      </c>
      <c r="G1466" s="153">
        <f t="shared" si="756"/>
        <v>0</v>
      </c>
      <c r="H1466" s="153">
        <f t="shared" si="756"/>
        <v>0</v>
      </c>
      <c r="I1466" s="153">
        <f t="shared" si="756"/>
        <v>0</v>
      </c>
      <c r="J1466" s="153">
        <f t="shared" si="756"/>
        <v>0</v>
      </c>
      <c r="K1466" s="153">
        <f t="shared" si="756"/>
        <v>0</v>
      </c>
      <c r="L1466" s="153">
        <f t="shared" si="756"/>
        <v>0</v>
      </c>
      <c r="M1466" s="153">
        <f t="shared" si="756"/>
        <v>0</v>
      </c>
      <c r="N1466" s="153">
        <f t="shared" si="756"/>
        <v>0</v>
      </c>
      <c r="O1466" s="153">
        <f t="shared" si="756"/>
        <v>0</v>
      </c>
      <c r="P1466" s="153">
        <f t="shared" si="756"/>
        <v>0</v>
      </c>
      <c r="Q1466" s="153">
        <f t="shared" si="756"/>
        <v>0</v>
      </c>
      <c r="R1466" s="153">
        <f t="shared" si="756"/>
        <v>0</v>
      </c>
      <c r="S1466" s="153">
        <f t="shared" si="756"/>
        <v>0</v>
      </c>
      <c r="T1466" s="153" t="e">
        <f t="shared" si="762"/>
        <v>#VALUE!</v>
      </c>
      <c r="U1466" s="153" t="e">
        <f t="shared" si="762"/>
        <v>#VALUE!</v>
      </c>
      <c r="V1466" s="153" t="e">
        <f t="shared" si="762"/>
        <v>#VALUE!</v>
      </c>
      <c r="W1466" s="153">
        <f t="shared" si="762"/>
        <v>0</v>
      </c>
      <c r="X1466" s="153">
        <f t="shared" si="762"/>
        <v>0</v>
      </c>
      <c r="Y1466" s="153">
        <f t="shared" ref="Y1466" si="770">Y15+Y61+Y99+Y138+Y176+Y216+Y253+Y293+Y334+Y376+Y415+Y453+Y489+Y526+Y564+Y600+Y638+Y676+Y714+Y752+Y790+Y828+Y866+Y905+Y944+Y982+Y1020+Y1058+Y1096+Y1134+Y1171+Y1208+Y1245+Y1282+Y1319+Y1356+Y1393+Y1429</f>
        <v>0</v>
      </c>
      <c r="Z1466" s="309">
        <f t="shared" si="764"/>
        <v>0</v>
      </c>
      <c r="AA1466" s="256">
        <f t="shared" si="758"/>
        <v>0</v>
      </c>
      <c r="AB1466" s="309"/>
      <c r="AC1466" s="309"/>
      <c r="AD1466" s="320">
        <f t="shared" si="759"/>
        <v>0</v>
      </c>
    </row>
    <row r="1467" spans="1:30" ht="30.75" thickBot="1">
      <c r="A1467" s="67">
        <f t="shared" si="760"/>
        <v>44874</v>
      </c>
      <c r="B1467" s="153">
        <f t="shared" si="761"/>
        <v>0</v>
      </c>
      <c r="C1467" s="153">
        <f t="shared" si="756"/>
        <v>0</v>
      </c>
      <c r="D1467" s="153">
        <f t="shared" si="756"/>
        <v>0</v>
      </c>
      <c r="E1467" s="153">
        <f t="shared" si="756"/>
        <v>0</v>
      </c>
      <c r="F1467" s="153">
        <f t="shared" si="756"/>
        <v>0</v>
      </c>
      <c r="G1467" s="153">
        <f t="shared" si="756"/>
        <v>0</v>
      </c>
      <c r="H1467" s="153">
        <f t="shared" si="756"/>
        <v>0</v>
      </c>
      <c r="I1467" s="153">
        <f t="shared" si="756"/>
        <v>0</v>
      </c>
      <c r="J1467" s="153">
        <f t="shared" si="756"/>
        <v>0</v>
      </c>
      <c r="K1467" s="153">
        <f t="shared" si="756"/>
        <v>0</v>
      </c>
      <c r="L1467" s="153">
        <f t="shared" si="756"/>
        <v>0</v>
      </c>
      <c r="M1467" s="153">
        <f t="shared" si="756"/>
        <v>0</v>
      </c>
      <c r="N1467" s="153">
        <f t="shared" si="756"/>
        <v>0</v>
      </c>
      <c r="O1467" s="153">
        <f t="shared" si="756"/>
        <v>0</v>
      </c>
      <c r="P1467" s="153">
        <f t="shared" si="756"/>
        <v>0</v>
      </c>
      <c r="Q1467" s="153">
        <f t="shared" si="756"/>
        <v>0</v>
      </c>
      <c r="R1467" s="153">
        <f t="shared" si="756"/>
        <v>0</v>
      </c>
      <c r="S1467" s="153">
        <f t="shared" si="756"/>
        <v>0</v>
      </c>
      <c r="T1467" s="153" t="e">
        <f t="shared" si="762"/>
        <v>#VALUE!</v>
      </c>
      <c r="U1467" s="153" t="e">
        <f t="shared" si="762"/>
        <v>#VALUE!</v>
      </c>
      <c r="V1467" s="153" t="e">
        <f t="shared" si="762"/>
        <v>#VALUE!</v>
      </c>
      <c r="W1467" s="153">
        <f t="shared" si="762"/>
        <v>0</v>
      </c>
      <c r="X1467" s="153">
        <f t="shared" si="762"/>
        <v>0</v>
      </c>
      <c r="Y1467" s="153">
        <f t="shared" ref="Y1467" si="771">Y16+Y62+Y100+Y139+Y177+Y217+Y254+Y294+Y335+Y377+Y416+Y454+Y490+Y527+Y565+Y601+Y639+Y677+Y715+Y753+Y791+Y829+Y867+Y906+Y945+Y983+Y1021+Y1059+Y1097+Y1135+Y1172+Y1209+Y1246+Y1283+Y1320+Y1357+Y1394+Y1430</f>
        <v>0</v>
      </c>
      <c r="Z1467" s="309">
        <f t="shared" si="764"/>
        <v>0</v>
      </c>
      <c r="AA1467" s="256">
        <f t="shared" si="758"/>
        <v>0</v>
      </c>
      <c r="AB1467" s="309"/>
      <c r="AC1467" s="309"/>
      <c r="AD1467" s="320">
        <f t="shared" si="759"/>
        <v>0</v>
      </c>
    </row>
    <row r="1468" spans="1:30" ht="30.75" thickBot="1">
      <c r="A1468" s="67">
        <f t="shared" si="760"/>
        <v>44875</v>
      </c>
      <c r="B1468" s="153">
        <f t="shared" si="761"/>
        <v>0</v>
      </c>
      <c r="C1468" s="153">
        <f t="shared" si="756"/>
        <v>0</v>
      </c>
      <c r="D1468" s="153">
        <f t="shared" si="756"/>
        <v>0</v>
      </c>
      <c r="E1468" s="153">
        <f t="shared" si="756"/>
        <v>0</v>
      </c>
      <c r="F1468" s="153">
        <f t="shared" si="756"/>
        <v>0</v>
      </c>
      <c r="G1468" s="153">
        <f t="shared" si="756"/>
        <v>0</v>
      </c>
      <c r="H1468" s="153">
        <f t="shared" si="756"/>
        <v>0</v>
      </c>
      <c r="I1468" s="153">
        <f t="shared" si="756"/>
        <v>0</v>
      </c>
      <c r="J1468" s="153">
        <f t="shared" si="756"/>
        <v>0</v>
      </c>
      <c r="K1468" s="153">
        <f t="shared" si="756"/>
        <v>0</v>
      </c>
      <c r="L1468" s="153">
        <f t="shared" si="756"/>
        <v>0</v>
      </c>
      <c r="M1468" s="153">
        <f t="shared" si="756"/>
        <v>0</v>
      </c>
      <c r="N1468" s="153">
        <f t="shared" si="756"/>
        <v>0</v>
      </c>
      <c r="O1468" s="153">
        <f t="shared" si="756"/>
        <v>0</v>
      </c>
      <c r="P1468" s="153">
        <f t="shared" si="756"/>
        <v>0</v>
      </c>
      <c r="Q1468" s="153">
        <f t="shared" si="756"/>
        <v>0</v>
      </c>
      <c r="R1468" s="153">
        <f t="shared" si="756"/>
        <v>0</v>
      </c>
      <c r="S1468" s="153">
        <f t="shared" si="756"/>
        <v>0</v>
      </c>
      <c r="T1468" s="153" t="e">
        <f t="shared" si="762"/>
        <v>#VALUE!</v>
      </c>
      <c r="U1468" s="153" t="e">
        <f t="shared" si="762"/>
        <v>#VALUE!</v>
      </c>
      <c r="V1468" s="153" t="e">
        <f t="shared" si="762"/>
        <v>#VALUE!</v>
      </c>
      <c r="W1468" s="153">
        <f t="shared" si="762"/>
        <v>0</v>
      </c>
      <c r="X1468" s="153">
        <f t="shared" si="762"/>
        <v>0</v>
      </c>
      <c r="Y1468" s="153">
        <f t="shared" ref="Y1468" si="772">Y17+Y63+Y101+Y140+Y178+Y218+Y255+Y295+Y336+Y378+Y417+Y455+Y491+Y528+Y566+Y602+Y640+Y678+Y716+Y754+Y792+Y830+Y868+Y907+Y946+Y984+Y1022+Y1060+Y1098+Y1136+Y1173+Y1210+Y1247+Y1284+Y1321+Y1358+Y1395+Y1431</f>
        <v>0</v>
      </c>
      <c r="Z1468" s="309">
        <f t="shared" si="764"/>
        <v>0</v>
      </c>
      <c r="AA1468" s="256">
        <f t="shared" si="758"/>
        <v>0</v>
      </c>
      <c r="AB1468" s="309"/>
      <c r="AC1468" s="309"/>
      <c r="AD1468" s="320">
        <f t="shared" si="759"/>
        <v>0</v>
      </c>
    </row>
    <row r="1469" spans="1:30" ht="30.75" thickBot="1">
      <c r="A1469" s="67">
        <f t="shared" si="760"/>
        <v>44876</v>
      </c>
      <c r="B1469" s="153">
        <f t="shared" si="761"/>
        <v>0</v>
      </c>
      <c r="C1469" s="153">
        <f t="shared" si="756"/>
        <v>0</v>
      </c>
      <c r="D1469" s="153">
        <f t="shared" si="756"/>
        <v>0</v>
      </c>
      <c r="E1469" s="153">
        <f t="shared" si="756"/>
        <v>0</v>
      </c>
      <c r="F1469" s="153">
        <f t="shared" si="756"/>
        <v>0</v>
      </c>
      <c r="G1469" s="153">
        <f t="shared" si="756"/>
        <v>0</v>
      </c>
      <c r="H1469" s="153">
        <f t="shared" si="756"/>
        <v>0</v>
      </c>
      <c r="I1469" s="153">
        <f t="shared" si="756"/>
        <v>0</v>
      </c>
      <c r="J1469" s="153">
        <f t="shared" si="756"/>
        <v>0</v>
      </c>
      <c r="K1469" s="153">
        <f t="shared" si="756"/>
        <v>0</v>
      </c>
      <c r="L1469" s="153">
        <f t="shared" si="756"/>
        <v>0</v>
      </c>
      <c r="M1469" s="153">
        <f t="shared" si="756"/>
        <v>0</v>
      </c>
      <c r="N1469" s="153">
        <f t="shared" si="756"/>
        <v>0</v>
      </c>
      <c r="O1469" s="153">
        <f t="shared" si="756"/>
        <v>0</v>
      </c>
      <c r="P1469" s="153">
        <f t="shared" si="756"/>
        <v>0</v>
      </c>
      <c r="Q1469" s="153">
        <f t="shared" si="756"/>
        <v>0</v>
      </c>
      <c r="R1469" s="153">
        <f t="shared" si="756"/>
        <v>0</v>
      </c>
      <c r="S1469" s="153">
        <f t="shared" si="756"/>
        <v>0</v>
      </c>
      <c r="T1469" s="153" t="e">
        <f t="shared" si="762"/>
        <v>#VALUE!</v>
      </c>
      <c r="U1469" s="153" t="e">
        <f t="shared" si="762"/>
        <v>#VALUE!</v>
      </c>
      <c r="V1469" s="153" t="e">
        <f t="shared" si="762"/>
        <v>#VALUE!</v>
      </c>
      <c r="W1469" s="153">
        <f t="shared" si="762"/>
        <v>0</v>
      </c>
      <c r="X1469" s="153">
        <f t="shared" si="762"/>
        <v>0</v>
      </c>
      <c r="Y1469" s="153">
        <f t="shared" ref="Y1469" si="773">Y18+Y64+Y102+Y141+Y179+Y219+Y256+Y296+Y337+Y379+Y418+Y456+Y492+Y529+Y567+Y603+Y641+Y679+Y717+Y755+Y793+Y831+Y869+Y908+Y947+Y985+Y1023+Y1061+Y1099+Y1137+Y1174+Y1211+Y1248+Y1285+Y1322+Y1359+Y1396+Y1432</f>
        <v>0</v>
      </c>
      <c r="Z1469" s="309">
        <f t="shared" si="764"/>
        <v>0</v>
      </c>
      <c r="AA1469" s="256">
        <f t="shared" si="758"/>
        <v>0</v>
      </c>
      <c r="AB1469" s="309"/>
      <c r="AC1469" s="309"/>
      <c r="AD1469" s="320">
        <f t="shared" si="759"/>
        <v>0</v>
      </c>
    </row>
    <row r="1470" spans="1:30" ht="30.75" thickBot="1">
      <c r="A1470" s="67">
        <f t="shared" si="760"/>
        <v>44877</v>
      </c>
      <c r="B1470" s="153">
        <f t="shared" si="761"/>
        <v>0</v>
      </c>
      <c r="C1470" s="153">
        <f t="shared" si="756"/>
        <v>0</v>
      </c>
      <c r="D1470" s="153">
        <f t="shared" si="756"/>
        <v>0</v>
      </c>
      <c r="E1470" s="153">
        <f t="shared" si="756"/>
        <v>0</v>
      </c>
      <c r="F1470" s="153">
        <f t="shared" si="756"/>
        <v>0</v>
      </c>
      <c r="G1470" s="153">
        <f t="shared" si="756"/>
        <v>0</v>
      </c>
      <c r="H1470" s="153">
        <f t="shared" si="756"/>
        <v>0</v>
      </c>
      <c r="I1470" s="153">
        <f t="shared" si="756"/>
        <v>0</v>
      </c>
      <c r="J1470" s="153">
        <f t="shared" si="756"/>
        <v>0</v>
      </c>
      <c r="K1470" s="153">
        <f t="shared" si="756"/>
        <v>0</v>
      </c>
      <c r="L1470" s="153">
        <f t="shared" si="756"/>
        <v>0</v>
      </c>
      <c r="M1470" s="153">
        <f t="shared" si="756"/>
        <v>0</v>
      </c>
      <c r="N1470" s="153">
        <f t="shared" si="756"/>
        <v>0</v>
      </c>
      <c r="O1470" s="153">
        <f t="shared" si="756"/>
        <v>0</v>
      </c>
      <c r="P1470" s="153">
        <f t="shared" si="756"/>
        <v>0</v>
      </c>
      <c r="Q1470" s="153">
        <f t="shared" si="756"/>
        <v>0</v>
      </c>
      <c r="R1470" s="153">
        <f t="shared" si="756"/>
        <v>0</v>
      </c>
      <c r="S1470" s="153">
        <f t="shared" si="756"/>
        <v>0</v>
      </c>
      <c r="T1470" s="153" t="e">
        <f t="shared" ref="T1470:X1479" si="774">T314+T360+T398+T437+T475+T515+T552+T592+T633+T675+T714+T752+T788+T825+T863+T899+T937+T975+T1013+T1051+T1089+T1127+T1165+T1204+T1243+T1281+T1319+T1357+T1395+T1433</f>
        <v>#VALUE!</v>
      </c>
      <c r="U1470" s="153" t="e">
        <f t="shared" si="774"/>
        <v>#VALUE!</v>
      </c>
      <c r="V1470" s="153" t="e">
        <f t="shared" si="774"/>
        <v>#VALUE!</v>
      </c>
      <c r="W1470" s="153">
        <f t="shared" si="774"/>
        <v>0</v>
      </c>
      <c r="X1470" s="153">
        <f t="shared" si="774"/>
        <v>0</v>
      </c>
      <c r="Y1470" s="153">
        <f t="shared" ref="Y1470" si="775">Y19+Y65+Y103+Y142+Y180+Y220+Y257+Y297+Y338+Y380+Y419+Y457+Y493+Y530+Y568+Y604+Y642+Y680+Y718+Y756+Y794+Y832+Y870+Y909+Y948+Y986+Y1024+Y1062+Y1100+Y1138+Y1175+Y1212+Y1249+Y1286+Y1323+Y1360+Y1397+Y1433</f>
        <v>0</v>
      </c>
      <c r="Z1470" s="309">
        <f t="shared" si="764"/>
        <v>0</v>
      </c>
      <c r="AA1470" s="256">
        <f t="shared" si="758"/>
        <v>0</v>
      </c>
      <c r="AB1470" s="309"/>
      <c r="AC1470" s="309"/>
      <c r="AD1470" s="320">
        <f t="shared" si="759"/>
        <v>0</v>
      </c>
    </row>
    <row r="1471" spans="1:30" ht="30.75" thickBot="1">
      <c r="A1471" s="67">
        <f t="shared" si="760"/>
        <v>44878</v>
      </c>
      <c r="B1471" s="153">
        <f t="shared" si="761"/>
        <v>0</v>
      </c>
      <c r="C1471" s="153">
        <f t="shared" si="756"/>
        <v>0</v>
      </c>
      <c r="D1471" s="153">
        <f t="shared" si="756"/>
        <v>0</v>
      </c>
      <c r="E1471" s="153">
        <f t="shared" si="756"/>
        <v>0</v>
      </c>
      <c r="F1471" s="153">
        <f t="shared" si="756"/>
        <v>0</v>
      </c>
      <c r="G1471" s="153">
        <f t="shared" si="756"/>
        <v>0</v>
      </c>
      <c r="H1471" s="153">
        <f t="shared" si="756"/>
        <v>0</v>
      </c>
      <c r="I1471" s="153">
        <f t="shared" si="756"/>
        <v>0</v>
      </c>
      <c r="J1471" s="153">
        <f t="shared" si="756"/>
        <v>0</v>
      </c>
      <c r="K1471" s="153">
        <f t="shared" si="756"/>
        <v>0</v>
      </c>
      <c r="L1471" s="153">
        <f t="shared" si="756"/>
        <v>0</v>
      </c>
      <c r="M1471" s="153">
        <f t="shared" si="756"/>
        <v>0</v>
      </c>
      <c r="N1471" s="153">
        <f t="shared" si="756"/>
        <v>0</v>
      </c>
      <c r="O1471" s="153">
        <f t="shared" si="756"/>
        <v>0</v>
      </c>
      <c r="P1471" s="153">
        <f t="shared" si="756"/>
        <v>0</v>
      </c>
      <c r="Q1471" s="153">
        <f t="shared" si="756"/>
        <v>0</v>
      </c>
      <c r="R1471" s="153">
        <f t="shared" si="756"/>
        <v>0</v>
      </c>
      <c r="S1471" s="153">
        <f t="shared" si="756"/>
        <v>0</v>
      </c>
      <c r="T1471" s="153" t="e">
        <f t="shared" si="774"/>
        <v>#VALUE!</v>
      </c>
      <c r="U1471" s="153" t="e">
        <f t="shared" si="774"/>
        <v>#VALUE!</v>
      </c>
      <c r="V1471" s="153" t="e">
        <f t="shared" si="774"/>
        <v>#VALUE!</v>
      </c>
      <c r="W1471" s="153">
        <f t="shared" si="774"/>
        <v>0</v>
      </c>
      <c r="X1471" s="153">
        <f t="shared" si="774"/>
        <v>0</v>
      </c>
      <c r="Y1471" s="153">
        <f t="shared" ref="Y1471" si="776">Y20+Y66+Y104+Y143+Y181+Y221+Y258+Y298+Y339+Y381+Y420+Y458+Y494+Y531+Y569+Y605+Y643+Y681+Y719+Y757+Y795+Y833+Y871+Y910+Y949+Y987+Y1025+Y1063+Y1101+Y1139+Y1176+Y1213+Y1250+Y1287+Y1324+Y1361+Y1398+Y1434</f>
        <v>0</v>
      </c>
      <c r="Z1471" s="309">
        <f t="shared" si="764"/>
        <v>0</v>
      </c>
      <c r="AA1471" s="256">
        <f t="shared" si="758"/>
        <v>0</v>
      </c>
      <c r="AB1471" s="309"/>
      <c r="AC1471" s="309"/>
      <c r="AD1471" s="320">
        <f t="shared" si="759"/>
        <v>0</v>
      </c>
    </row>
    <row r="1472" spans="1:30" ht="30.75" thickBot="1">
      <c r="A1472" s="67">
        <f t="shared" si="760"/>
        <v>44879</v>
      </c>
      <c r="B1472" s="153">
        <f t="shared" si="761"/>
        <v>0</v>
      </c>
      <c r="C1472" s="153">
        <f t="shared" si="756"/>
        <v>0</v>
      </c>
      <c r="D1472" s="153">
        <f t="shared" si="756"/>
        <v>0</v>
      </c>
      <c r="E1472" s="153">
        <f t="shared" si="756"/>
        <v>0</v>
      </c>
      <c r="F1472" s="153">
        <f t="shared" si="756"/>
        <v>0</v>
      </c>
      <c r="G1472" s="153">
        <f t="shared" si="756"/>
        <v>0</v>
      </c>
      <c r="H1472" s="153">
        <f t="shared" si="756"/>
        <v>0</v>
      </c>
      <c r="I1472" s="153">
        <f t="shared" si="756"/>
        <v>0</v>
      </c>
      <c r="J1472" s="153">
        <f t="shared" si="756"/>
        <v>0</v>
      </c>
      <c r="K1472" s="153">
        <f t="shared" si="756"/>
        <v>0</v>
      </c>
      <c r="L1472" s="153">
        <f t="shared" si="756"/>
        <v>0</v>
      </c>
      <c r="M1472" s="153">
        <f t="shared" si="756"/>
        <v>0</v>
      </c>
      <c r="N1472" s="153">
        <f t="shared" si="756"/>
        <v>0</v>
      </c>
      <c r="O1472" s="153">
        <f t="shared" si="756"/>
        <v>0</v>
      </c>
      <c r="P1472" s="153">
        <f t="shared" si="756"/>
        <v>0</v>
      </c>
      <c r="Q1472" s="153">
        <f t="shared" si="756"/>
        <v>0</v>
      </c>
      <c r="R1472" s="153">
        <f t="shared" si="756"/>
        <v>0</v>
      </c>
      <c r="S1472" s="153">
        <f t="shared" si="756"/>
        <v>0</v>
      </c>
      <c r="T1472" s="153" t="e">
        <f t="shared" si="774"/>
        <v>#VALUE!</v>
      </c>
      <c r="U1472" s="153" t="e">
        <f t="shared" si="774"/>
        <v>#VALUE!</v>
      </c>
      <c r="V1472" s="153" t="e">
        <f t="shared" si="774"/>
        <v>#VALUE!</v>
      </c>
      <c r="W1472" s="153">
        <f t="shared" si="774"/>
        <v>0</v>
      </c>
      <c r="X1472" s="153">
        <f t="shared" si="774"/>
        <v>0</v>
      </c>
      <c r="Y1472" s="153">
        <f t="shared" ref="Y1472" si="777">Y21+Y67+Y105+Y144+Y182+Y222+Y259+Y299+Y340+Y382+Y421+Y459+Y495+Y532+Y570+Y606+Y644+Y682+Y720+Y758+Y796+Y834+Y872+Y911+Y950+Y988+Y1026+Y1064+Y1102+Y1140+Y1177+Y1214+Y1251+Y1288+Y1325+Y1362+Y1399+Y1435</f>
        <v>0</v>
      </c>
      <c r="Z1472" s="309">
        <f t="shared" si="764"/>
        <v>0</v>
      </c>
      <c r="AA1472" s="256">
        <f t="shared" si="758"/>
        <v>0</v>
      </c>
      <c r="AB1472" s="309"/>
      <c r="AC1472" s="309"/>
      <c r="AD1472" s="320">
        <f t="shared" si="759"/>
        <v>0</v>
      </c>
    </row>
    <row r="1473" spans="1:30" ht="30.75" thickBot="1">
      <c r="A1473" s="67">
        <f t="shared" si="760"/>
        <v>44880</v>
      </c>
      <c r="B1473" s="153">
        <f t="shared" si="761"/>
        <v>0</v>
      </c>
      <c r="C1473" s="153">
        <f t="shared" si="756"/>
        <v>0</v>
      </c>
      <c r="D1473" s="153">
        <f t="shared" si="756"/>
        <v>0</v>
      </c>
      <c r="E1473" s="153">
        <f t="shared" si="756"/>
        <v>0</v>
      </c>
      <c r="F1473" s="153">
        <f t="shared" si="756"/>
        <v>0</v>
      </c>
      <c r="G1473" s="153">
        <f t="shared" si="756"/>
        <v>0</v>
      </c>
      <c r="H1473" s="153">
        <f t="shared" si="756"/>
        <v>0</v>
      </c>
      <c r="I1473" s="153">
        <f t="shared" si="756"/>
        <v>0</v>
      </c>
      <c r="J1473" s="153">
        <f t="shared" si="756"/>
        <v>0</v>
      </c>
      <c r="K1473" s="153">
        <f t="shared" si="756"/>
        <v>0</v>
      </c>
      <c r="L1473" s="153">
        <f t="shared" si="756"/>
        <v>0</v>
      </c>
      <c r="M1473" s="153">
        <f t="shared" si="756"/>
        <v>0</v>
      </c>
      <c r="N1473" s="153">
        <f t="shared" si="756"/>
        <v>0</v>
      </c>
      <c r="O1473" s="153">
        <f t="shared" si="756"/>
        <v>0</v>
      </c>
      <c r="P1473" s="153">
        <f t="shared" si="756"/>
        <v>0</v>
      </c>
      <c r="Q1473" s="153">
        <f t="shared" si="756"/>
        <v>0</v>
      </c>
      <c r="R1473" s="153">
        <f t="shared" si="756"/>
        <v>0</v>
      </c>
      <c r="S1473" s="153">
        <f t="shared" si="756"/>
        <v>0</v>
      </c>
      <c r="T1473" s="153" t="e">
        <f t="shared" si="774"/>
        <v>#VALUE!</v>
      </c>
      <c r="U1473" s="153" t="e">
        <f t="shared" si="774"/>
        <v>#VALUE!</v>
      </c>
      <c r="V1473" s="153" t="e">
        <f t="shared" si="774"/>
        <v>#VALUE!</v>
      </c>
      <c r="W1473" s="153">
        <f t="shared" si="774"/>
        <v>0</v>
      </c>
      <c r="X1473" s="153">
        <f t="shared" si="774"/>
        <v>0</v>
      </c>
      <c r="Y1473" s="153">
        <f t="shared" ref="Y1473" si="778">Y22+Y68+Y106+Y145+Y183+Y223+Y260+Y300+Y341+Y383+Y422+Y460+Y496+Y533+Y571+Y607+Y645+Y683+Y721+Y759+Y797+Y835+Y873+Y912+Y951+Y989+Y1027+Y1065+Y1103+Y1141+Y1178+Y1215+Y1252+Y1289+Y1326+Y1363+Y1400+Y1436</f>
        <v>0</v>
      </c>
      <c r="Z1473" s="309">
        <f t="shared" si="764"/>
        <v>0</v>
      </c>
      <c r="AA1473" s="256">
        <f t="shared" si="758"/>
        <v>0</v>
      </c>
      <c r="AB1473" s="309"/>
      <c r="AC1473" s="309"/>
      <c r="AD1473" s="320">
        <f t="shared" si="759"/>
        <v>0</v>
      </c>
    </row>
    <row r="1474" spans="1:30" ht="30.75" thickBot="1">
      <c r="A1474" s="67">
        <f t="shared" si="760"/>
        <v>44881</v>
      </c>
      <c r="B1474" s="153">
        <f t="shared" si="761"/>
        <v>0</v>
      </c>
      <c r="C1474" s="153">
        <f t="shared" si="756"/>
        <v>0</v>
      </c>
      <c r="D1474" s="153">
        <f t="shared" si="756"/>
        <v>0</v>
      </c>
      <c r="E1474" s="153">
        <f t="shared" si="756"/>
        <v>0</v>
      </c>
      <c r="F1474" s="153">
        <f t="shared" si="756"/>
        <v>0</v>
      </c>
      <c r="G1474" s="153">
        <f t="shared" si="756"/>
        <v>0</v>
      </c>
      <c r="H1474" s="153">
        <f t="shared" si="756"/>
        <v>0</v>
      </c>
      <c r="I1474" s="153">
        <f t="shared" si="756"/>
        <v>0</v>
      </c>
      <c r="J1474" s="153">
        <f t="shared" si="756"/>
        <v>0</v>
      </c>
      <c r="K1474" s="153">
        <f t="shared" si="756"/>
        <v>0</v>
      </c>
      <c r="L1474" s="153">
        <f t="shared" si="756"/>
        <v>0</v>
      </c>
      <c r="M1474" s="153">
        <f t="shared" si="756"/>
        <v>0</v>
      </c>
      <c r="N1474" s="153">
        <f t="shared" si="756"/>
        <v>0</v>
      </c>
      <c r="O1474" s="153">
        <f t="shared" si="756"/>
        <v>0</v>
      </c>
      <c r="P1474" s="153">
        <f t="shared" si="756"/>
        <v>0</v>
      </c>
      <c r="Q1474" s="153">
        <f t="shared" si="756"/>
        <v>0</v>
      </c>
      <c r="R1474" s="153">
        <f t="shared" ref="C1474:S1489" si="779">R23+R69+R107+R146+R184+R224+R261+R301+R342+R384+R423+R461+R497+R534+R572+R608+R646+R684+R722+R760+R798+R836+R874+R913+R952+R990+R1028+R1066+R1104+R1142+R1179+R1216+R1253+R1290+R1327+R1364+R1401+R1437</f>
        <v>0</v>
      </c>
      <c r="S1474" s="153">
        <f t="shared" si="779"/>
        <v>0</v>
      </c>
      <c r="T1474" s="153" t="e">
        <f t="shared" si="774"/>
        <v>#VALUE!</v>
      </c>
      <c r="U1474" s="153" t="e">
        <f t="shared" si="774"/>
        <v>#VALUE!</v>
      </c>
      <c r="V1474" s="153" t="e">
        <f t="shared" si="774"/>
        <v>#VALUE!</v>
      </c>
      <c r="W1474" s="153">
        <f t="shared" si="774"/>
        <v>0</v>
      </c>
      <c r="X1474" s="153">
        <f t="shared" si="774"/>
        <v>0</v>
      </c>
      <c r="Y1474" s="153">
        <f t="shared" ref="Y1474" si="780">Y23+Y69+Y107+Y146+Y184+Y224+Y261+Y301+Y342+Y384+Y423+Y461+Y497+Y534+Y572+Y608+Y646+Y684+Y722+Y760+Y798+Y836+Y874+Y913+Y952+Y990+Y1028+Y1066+Y1104+Y1142+Y1179+Y1216+Y1253+Y1290+Y1327+Y1364+Y1401+Y1437</f>
        <v>0</v>
      </c>
      <c r="Z1474" s="309">
        <f t="shared" si="764"/>
        <v>0</v>
      </c>
      <c r="AA1474" s="256">
        <f t="shared" si="758"/>
        <v>0</v>
      </c>
      <c r="AB1474" s="309"/>
      <c r="AC1474" s="309"/>
      <c r="AD1474" s="320">
        <f t="shared" si="759"/>
        <v>0</v>
      </c>
    </row>
    <row r="1475" spans="1:30" ht="30.75" thickBot="1">
      <c r="A1475" s="67">
        <f t="shared" si="760"/>
        <v>44882</v>
      </c>
      <c r="B1475" s="153">
        <f t="shared" si="761"/>
        <v>0</v>
      </c>
      <c r="C1475" s="153">
        <f t="shared" si="779"/>
        <v>0</v>
      </c>
      <c r="D1475" s="153">
        <f t="shared" si="779"/>
        <v>0</v>
      </c>
      <c r="E1475" s="153">
        <f t="shared" si="779"/>
        <v>0</v>
      </c>
      <c r="F1475" s="153">
        <f t="shared" si="779"/>
        <v>0</v>
      </c>
      <c r="G1475" s="153">
        <f t="shared" si="779"/>
        <v>0</v>
      </c>
      <c r="H1475" s="153">
        <f t="shared" si="779"/>
        <v>0</v>
      </c>
      <c r="I1475" s="153">
        <f t="shared" si="779"/>
        <v>0</v>
      </c>
      <c r="J1475" s="153">
        <f t="shared" si="779"/>
        <v>0</v>
      </c>
      <c r="K1475" s="153">
        <f t="shared" si="779"/>
        <v>0</v>
      </c>
      <c r="L1475" s="153">
        <f t="shared" si="779"/>
        <v>0</v>
      </c>
      <c r="M1475" s="153">
        <f t="shared" si="779"/>
        <v>0</v>
      </c>
      <c r="N1475" s="153">
        <f t="shared" si="779"/>
        <v>0</v>
      </c>
      <c r="O1475" s="153">
        <f t="shared" si="779"/>
        <v>0</v>
      </c>
      <c r="P1475" s="153">
        <f t="shared" si="779"/>
        <v>0</v>
      </c>
      <c r="Q1475" s="153">
        <f t="shared" si="779"/>
        <v>0</v>
      </c>
      <c r="R1475" s="153">
        <f t="shared" si="779"/>
        <v>0</v>
      </c>
      <c r="S1475" s="153">
        <f t="shared" si="779"/>
        <v>0</v>
      </c>
      <c r="T1475" s="153" t="e">
        <f t="shared" si="774"/>
        <v>#VALUE!</v>
      </c>
      <c r="U1475" s="153" t="e">
        <f t="shared" si="774"/>
        <v>#VALUE!</v>
      </c>
      <c r="V1475" s="153" t="e">
        <f t="shared" si="774"/>
        <v>#VALUE!</v>
      </c>
      <c r="W1475" s="153">
        <f t="shared" si="774"/>
        <v>0</v>
      </c>
      <c r="X1475" s="153">
        <f t="shared" si="774"/>
        <v>0</v>
      </c>
      <c r="Y1475" s="153">
        <f t="shared" ref="Y1475" si="781">Y24+Y70+Y108+Y147+Y185+Y225+Y262+Y302+Y343+Y385+Y424+Y462+Y498+Y535+Y573+Y609+Y647+Y685+Y723+Y761+Y799+Y837+Y875+Y914+Y953+Y991+Y1029+Y1067+Y1105+Y1143+Y1180+Y1217+Y1254+Y1291+Y1328+Y1365+Y1402+Y1438</f>
        <v>0</v>
      </c>
      <c r="Z1475" s="309">
        <f t="shared" si="764"/>
        <v>0</v>
      </c>
      <c r="AA1475" s="256">
        <f t="shared" si="758"/>
        <v>0</v>
      </c>
      <c r="AB1475" s="309"/>
      <c r="AC1475" s="309"/>
      <c r="AD1475" s="320">
        <f t="shared" si="759"/>
        <v>0</v>
      </c>
    </row>
    <row r="1476" spans="1:30" ht="30.75" thickBot="1">
      <c r="A1476" s="67">
        <f t="shared" si="760"/>
        <v>44883</v>
      </c>
      <c r="B1476" s="153">
        <f t="shared" si="761"/>
        <v>0</v>
      </c>
      <c r="C1476" s="153">
        <f t="shared" si="779"/>
        <v>0</v>
      </c>
      <c r="D1476" s="153">
        <f t="shared" si="779"/>
        <v>0</v>
      </c>
      <c r="E1476" s="153">
        <f t="shared" si="779"/>
        <v>0</v>
      </c>
      <c r="F1476" s="153">
        <f t="shared" si="779"/>
        <v>0</v>
      </c>
      <c r="G1476" s="153">
        <f t="shared" si="779"/>
        <v>0</v>
      </c>
      <c r="H1476" s="153">
        <f t="shared" si="779"/>
        <v>0</v>
      </c>
      <c r="I1476" s="153">
        <f t="shared" si="779"/>
        <v>0</v>
      </c>
      <c r="J1476" s="153">
        <f t="shared" si="779"/>
        <v>0</v>
      </c>
      <c r="K1476" s="153">
        <f t="shared" si="779"/>
        <v>0</v>
      </c>
      <c r="L1476" s="153">
        <f t="shared" si="779"/>
        <v>0</v>
      </c>
      <c r="M1476" s="153">
        <f t="shared" si="779"/>
        <v>0</v>
      </c>
      <c r="N1476" s="153">
        <f t="shared" si="779"/>
        <v>0</v>
      </c>
      <c r="O1476" s="153">
        <f t="shared" si="779"/>
        <v>0</v>
      </c>
      <c r="P1476" s="153">
        <f t="shared" si="779"/>
        <v>0</v>
      </c>
      <c r="Q1476" s="153">
        <f t="shared" si="779"/>
        <v>0</v>
      </c>
      <c r="R1476" s="153">
        <f t="shared" si="779"/>
        <v>0</v>
      </c>
      <c r="S1476" s="153">
        <f t="shared" si="779"/>
        <v>0</v>
      </c>
      <c r="T1476" s="153" t="e">
        <f t="shared" si="774"/>
        <v>#VALUE!</v>
      </c>
      <c r="U1476" s="153" t="e">
        <f t="shared" si="774"/>
        <v>#VALUE!</v>
      </c>
      <c r="V1476" s="153" t="e">
        <f t="shared" si="774"/>
        <v>#VALUE!</v>
      </c>
      <c r="W1476" s="153">
        <f t="shared" si="774"/>
        <v>0</v>
      </c>
      <c r="X1476" s="153">
        <f t="shared" si="774"/>
        <v>0</v>
      </c>
      <c r="Y1476" s="153">
        <f t="shared" ref="Y1476" si="782">Y25+Y71+Y109+Y148+Y186+Y226+Y263+Y303+Y344+Y386+Y425+Y463+Y499+Y536+Y574+Y610+Y648+Y686+Y724+Y762+Y800+Y838+Y876+Y915+Y954+Y992+Y1030+Y1068+Y1106+Y1144+Y1181+Y1218+Y1255+Y1292+Y1329+Y1366+Y1403+Y1439</f>
        <v>0</v>
      </c>
      <c r="Z1476" s="309">
        <f t="shared" si="764"/>
        <v>0</v>
      </c>
      <c r="AA1476" s="256">
        <f t="shared" si="758"/>
        <v>0</v>
      </c>
      <c r="AB1476" s="309"/>
      <c r="AC1476" s="309"/>
      <c r="AD1476" s="320">
        <f t="shared" si="759"/>
        <v>0</v>
      </c>
    </row>
    <row r="1477" spans="1:30" ht="30.75" thickBot="1">
      <c r="A1477" s="67">
        <f t="shared" si="760"/>
        <v>44884</v>
      </c>
      <c r="B1477" s="153">
        <f t="shared" si="761"/>
        <v>0</v>
      </c>
      <c r="C1477" s="153">
        <f t="shared" si="779"/>
        <v>0</v>
      </c>
      <c r="D1477" s="153">
        <f t="shared" si="779"/>
        <v>0</v>
      </c>
      <c r="E1477" s="153">
        <f t="shared" si="779"/>
        <v>0</v>
      </c>
      <c r="F1477" s="153">
        <f t="shared" si="779"/>
        <v>0</v>
      </c>
      <c r="G1477" s="153">
        <f t="shared" si="779"/>
        <v>0</v>
      </c>
      <c r="H1477" s="153">
        <f t="shared" si="779"/>
        <v>0</v>
      </c>
      <c r="I1477" s="153">
        <f t="shared" si="779"/>
        <v>0</v>
      </c>
      <c r="J1477" s="153">
        <f t="shared" si="779"/>
        <v>0</v>
      </c>
      <c r="K1477" s="153">
        <f t="shared" si="779"/>
        <v>0</v>
      </c>
      <c r="L1477" s="153">
        <f t="shared" si="779"/>
        <v>0</v>
      </c>
      <c r="M1477" s="153">
        <f t="shared" si="779"/>
        <v>0</v>
      </c>
      <c r="N1477" s="153">
        <f t="shared" si="779"/>
        <v>0</v>
      </c>
      <c r="O1477" s="153">
        <f t="shared" si="779"/>
        <v>0</v>
      </c>
      <c r="P1477" s="153">
        <f t="shared" si="779"/>
        <v>0</v>
      </c>
      <c r="Q1477" s="153">
        <f t="shared" si="779"/>
        <v>0</v>
      </c>
      <c r="R1477" s="153">
        <f t="shared" si="779"/>
        <v>0</v>
      </c>
      <c r="S1477" s="153">
        <f t="shared" si="779"/>
        <v>0</v>
      </c>
      <c r="T1477" s="153" t="e">
        <f t="shared" si="774"/>
        <v>#VALUE!</v>
      </c>
      <c r="U1477" s="153" t="e">
        <f t="shared" si="774"/>
        <v>#VALUE!</v>
      </c>
      <c r="V1477" s="153" t="e">
        <f t="shared" si="774"/>
        <v>#VALUE!</v>
      </c>
      <c r="W1477" s="153">
        <f t="shared" si="774"/>
        <v>0</v>
      </c>
      <c r="X1477" s="153">
        <f t="shared" si="774"/>
        <v>0</v>
      </c>
      <c r="Y1477" s="153">
        <f t="shared" ref="Y1477" si="783">Y26+Y72+Y110+Y149+Y187+Y227+Y264+Y304+Y345+Y387+Y426+Y464+Y500+Y537+Y575+Y611+Y649+Y687+Y725+Y763+Y801+Y839+Y877+Y916+Y955+Y993+Y1031+Y1069+Y1107+Y1145+Y1182+Y1219+Y1256+Y1293+Y1330+Y1367+Y1404+Y1440</f>
        <v>0</v>
      </c>
      <c r="Z1477" s="309">
        <f t="shared" si="764"/>
        <v>0</v>
      </c>
      <c r="AA1477" s="256">
        <f t="shared" si="758"/>
        <v>0</v>
      </c>
      <c r="AB1477" s="309"/>
      <c r="AC1477" s="309"/>
      <c r="AD1477" s="320">
        <f t="shared" si="759"/>
        <v>0</v>
      </c>
    </row>
    <row r="1478" spans="1:30" ht="30.75" thickBot="1">
      <c r="A1478" s="67">
        <f t="shared" si="760"/>
        <v>44885</v>
      </c>
      <c r="B1478" s="153">
        <f t="shared" si="761"/>
        <v>0</v>
      </c>
      <c r="C1478" s="153">
        <f t="shared" si="779"/>
        <v>0</v>
      </c>
      <c r="D1478" s="153">
        <f t="shared" si="779"/>
        <v>0</v>
      </c>
      <c r="E1478" s="153">
        <f t="shared" si="779"/>
        <v>0</v>
      </c>
      <c r="F1478" s="153">
        <f t="shared" si="779"/>
        <v>0</v>
      </c>
      <c r="G1478" s="153">
        <f t="shared" si="779"/>
        <v>0</v>
      </c>
      <c r="H1478" s="153">
        <f t="shared" si="779"/>
        <v>0</v>
      </c>
      <c r="I1478" s="153">
        <f t="shared" si="779"/>
        <v>0</v>
      </c>
      <c r="J1478" s="153">
        <f t="shared" si="779"/>
        <v>0</v>
      </c>
      <c r="K1478" s="153">
        <f t="shared" si="779"/>
        <v>0</v>
      </c>
      <c r="L1478" s="153">
        <f t="shared" si="779"/>
        <v>0</v>
      </c>
      <c r="M1478" s="153">
        <f t="shared" si="779"/>
        <v>0</v>
      </c>
      <c r="N1478" s="153">
        <f t="shared" si="779"/>
        <v>0</v>
      </c>
      <c r="O1478" s="153">
        <f t="shared" si="779"/>
        <v>0</v>
      </c>
      <c r="P1478" s="153">
        <f t="shared" si="779"/>
        <v>0</v>
      </c>
      <c r="Q1478" s="153">
        <f t="shared" si="779"/>
        <v>0</v>
      </c>
      <c r="R1478" s="153">
        <f t="shared" si="779"/>
        <v>0</v>
      </c>
      <c r="S1478" s="153">
        <f t="shared" si="779"/>
        <v>0</v>
      </c>
      <c r="T1478" s="153" t="e">
        <f t="shared" si="774"/>
        <v>#VALUE!</v>
      </c>
      <c r="U1478" s="153" t="e">
        <f t="shared" si="774"/>
        <v>#VALUE!</v>
      </c>
      <c r="V1478" s="153" t="e">
        <f t="shared" si="774"/>
        <v>#VALUE!</v>
      </c>
      <c r="W1478" s="153">
        <f t="shared" si="774"/>
        <v>0</v>
      </c>
      <c r="X1478" s="153">
        <f t="shared" si="774"/>
        <v>0</v>
      </c>
      <c r="Y1478" s="153">
        <f t="shared" ref="Y1478" si="784">Y27+Y73+Y111+Y150+Y188+Y228+Y265+Y305+Y346+Y388+Y427+Y465+Y501+Y538+Y576+Y612+Y650+Y688+Y726+Y764+Y802+Y840+Y878+Y917+Y956+Y994+Y1032+Y1070+Y1108+Y1146+Y1183+Y1220+Y1257+Y1294+Y1331+Y1368+Y1405+Y1441</f>
        <v>0</v>
      </c>
      <c r="Z1478" s="309">
        <f t="shared" si="764"/>
        <v>0</v>
      </c>
      <c r="AA1478" s="256">
        <f t="shared" si="758"/>
        <v>0</v>
      </c>
      <c r="AB1478" s="309"/>
      <c r="AC1478" s="309"/>
      <c r="AD1478" s="320">
        <f t="shared" si="759"/>
        <v>0</v>
      </c>
    </row>
    <row r="1479" spans="1:30" ht="30.75" thickBot="1">
      <c r="A1479" s="67">
        <f t="shared" si="760"/>
        <v>44886</v>
      </c>
      <c r="B1479" s="153">
        <f t="shared" si="761"/>
        <v>0</v>
      </c>
      <c r="C1479" s="153">
        <f t="shared" si="779"/>
        <v>0</v>
      </c>
      <c r="D1479" s="153">
        <f t="shared" si="779"/>
        <v>0</v>
      </c>
      <c r="E1479" s="153">
        <f t="shared" si="779"/>
        <v>0</v>
      </c>
      <c r="F1479" s="153">
        <f t="shared" si="779"/>
        <v>0</v>
      </c>
      <c r="G1479" s="153">
        <f t="shared" si="779"/>
        <v>0</v>
      </c>
      <c r="H1479" s="153">
        <f t="shared" si="779"/>
        <v>0</v>
      </c>
      <c r="I1479" s="153">
        <f t="shared" si="779"/>
        <v>0</v>
      </c>
      <c r="J1479" s="153">
        <f t="shared" si="779"/>
        <v>0</v>
      </c>
      <c r="K1479" s="153">
        <f t="shared" si="779"/>
        <v>0</v>
      </c>
      <c r="L1479" s="153">
        <f t="shared" si="779"/>
        <v>0</v>
      </c>
      <c r="M1479" s="153">
        <f t="shared" si="779"/>
        <v>0</v>
      </c>
      <c r="N1479" s="153">
        <f t="shared" si="779"/>
        <v>0</v>
      </c>
      <c r="O1479" s="153">
        <f t="shared" si="779"/>
        <v>0</v>
      </c>
      <c r="P1479" s="153">
        <f t="shared" si="779"/>
        <v>0</v>
      </c>
      <c r="Q1479" s="153">
        <f t="shared" si="779"/>
        <v>0</v>
      </c>
      <c r="R1479" s="153">
        <f t="shared" si="779"/>
        <v>0</v>
      </c>
      <c r="S1479" s="153">
        <f t="shared" si="779"/>
        <v>0</v>
      </c>
      <c r="T1479" s="153" t="e">
        <f t="shared" si="774"/>
        <v>#VALUE!</v>
      </c>
      <c r="U1479" s="153" t="e">
        <f t="shared" si="774"/>
        <v>#VALUE!</v>
      </c>
      <c r="V1479" s="153" t="e">
        <f t="shared" si="774"/>
        <v>#VALUE!</v>
      </c>
      <c r="W1479" s="153">
        <f t="shared" si="774"/>
        <v>0</v>
      </c>
      <c r="X1479" s="153">
        <f t="shared" si="774"/>
        <v>0</v>
      </c>
      <c r="Y1479" s="153">
        <f t="shared" ref="Y1479" si="785">Y28+Y74+Y112+Y151+Y189+Y229+Y266+Y306+Y347+Y389+Y428+Y466+Y502+Y539+Y577+Y613+Y651+Y689+Y727+Y765+Y803+Y841+Y879+Y918+Y957+Y995+Y1033+Y1071+Y1109+Y1147+Y1184+Y1221+Y1258+Y1295+Y1332+Y1369+Y1406+Y1442</f>
        <v>0</v>
      </c>
      <c r="Z1479" s="309">
        <f t="shared" si="764"/>
        <v>0</v>
      </c>
      <c r="AA1479" s="256">
        <f t="shared" si="758"/>
        <v>0</v>
      </c>
      <c r="AB1479" s="309"/>
      <c r="AC1479" s="309"/>
      <c r="AD1479" s="320">
        <f t="shared" si="759"/>
        <v>0</v>
      </c>
    </row>
    <row r="1480" spans="1:30" ht="30.75" thickBot="1">
      <c r="A1480" s="67">
        <f t="shared" si="760"/>
        <v>44887</v>
      </c>
      <c r="B1480" s="153">
        <f t="shared" si="761"/>
        <v>0</v>
      </c>
      <c r="C1480" s="153">
        <f t="shared" si="779"/>
        <v>0</v>
      </c>
      <c r="D1480" s="153">
        <f t="shared" si="779"/>
        <v>0</v>
      </c>
      <c r="E1480" s="153">
        <f t="shared" si="779"/>
        <v>0</v>
      </c>
      <c r="F1480" s="153">
        <f t="shared" si="779"/>
        <v>0</v>
      </c>
      <c r="G1480" s="153">
        <f t="shared" si="779"/>
        <v>0</v>
      </c>
      <c r="H1480" s="153">
        <f t="shared" si="779"/>
        <v>0</v>
      </c>
      <c r="I1480" s="153">
        <f t="shared" si="779"/>
        <v>0</v>
      </c>
      <c r="J1480" s="153">
        <f t="shared" si="779"/>
        <v>0</v>
      </c>
      <c r="K1480" s="153">
        <f t="shared" si="779"/>
        <v>0</v>
      </c>
      <c r="L1480" s="153">
        <f t="shared" si="779"/>
        <v>0</v>
      </c>
      <c r="M1480" s="153">
        <f t="shared" si="779"/>
        <v>0</v>
      </c>
      <c r="N1480" s="153">
        <f t="shared" si="779"/>
        <v>0</v>
      </c>
      <c r="O1480" s="153">
        <f t="shared" si="779"/>
        <v>0</v>
      </c>
      <c r="P1480" s="153">
        <f t="shared" si="779"/>
        <v>0</v>
      </c>
      <c r="Q1480" s="153">
        <f t="shared" si="779"/>
        <v>0</v>
      </c>
      <c r="R1480" s="153">
        <f t="shared" si="779"/>
        <v>0</v>
      </c>
      <c r="S1480" s="153">
        <f t="shared" si="779"/>
        <v>0</v>
      </c>
      <c r="T1480" s="153">
        <f t="shared" ref="T1480:X1489" si="786">T324+T370+T408+T447+T485+T525+T562+T602+T643+T685+T724+T762+T798+T835+T873+T909+T947+T985+T1023+T1061+T1099+T1137+T1175+T1214+T1253+T1291+T1329+T1367+T1405+T1443</f>
        <v>0</v>
      </c>
      <c r="U1480" s="153">
        <f t="shared" si="786"/>
        <v>0</v>
      </c>
      <c r="V1480" s="153">
        <f t="shared" si="786"/>
        <v>0</v>
      </c>
      <c r="W1480" s="153">
        <f t="shared" si="786"/>
        <v>0</v>
      </c>
      <c r="X1480" s="153">
        <f t="shared" si="786"/>
        <v>0</v>
      </c>
      <c r="Y1480" s="153">
        <f t="shared" ref="Y1480" si="787">Y29+Y75+Y113+Y152+Y190+Y230+Y267+Y307+Y348+Y390+Y429+Y467+Y503+Y540+Y578+Y614+Y652+Y690+Y728+Y766+Y804+Y842+Y880+Y919+Y958+Y996+Y1034+Y1072+Y1110+Y1148+Y1185+Y1222+Y1259+Y1296+Y1333+Y1370+Y1407+Y1443</f>
        <v>0</v>
      </c>
      <c r="Z1480" s="309">
        <f t="shared" si="764"/>
        <v>0</v>
      </c>
      <c r="AA1480" s="256">
        <f t="shared" si="758"/>
        <v>0</v>
      </c>
      <c r="AB1480" s="309"/>
      <c r="AC1480" s="309"/>
      <c r="AD1480" s="320">
        <f t="shared" si="759"/>
        <v>0</v>
      </c>
    </row>
    <row r="1481" spans="1:30" ht="30.75" thickBot="1">
      <c r="A1481" s="67">
        <f t="shared" si="760"/>
        <v>44888</v>
      </c>
      <c r="B1481" s="153">
        <f t="shared" si="761"/>
        <v>0</v>
      </c>
      <c r="C1481" s="153">
        <f t="shared" si="779"/>
        <v>0</v>
      </c>
      <c r="D1481" s="153">
        <f t="shared" si="779"/>
        <v>0</v>
      </c>
      <c r="E1481" s="153">
        <f t="shared" si="779"/>
        <v>0</v>
      </c>
      <c r="F1481" s="153">
        <f t="shared" si="779"/>
        <v>0</v>
      </c>
      <c r="G1481" s="153">
        <f t="shared" si="779"/>
        <v>0</v>
      </c>
      <c r="H1481" s="153">
        <f t="shared" si="779"/>
        <v>0</v>
      </c>
      <c r="I1481" s="153">
        <f t="shared" si="779"/>
        <v>0</v>
      </c>
      <c r="J1481" s="153">
        <f t="shared" si="779"/>
        <v>0</v>
      </c>
      <c r="K1481" s="153">
        <f t="shared" si="779"/>
        <v>0</v>
      </c>
      <c r="L1481" s="153">
        <f t="shared" si="779"/>
        <v>0</v>
      </c>
      <c r="M1481" s="153">
        <f t="shared" si="779"/>
        <v>0</v>
      </c>
      <c r="N1481" s="153">
        <f t="shared" si="779"/>
        <v>0</v>
      </c>
      <c r="O1481" s="153">
        <f t="shared" si="779"/>
        <v>0</v>
      </c>
      <c r="P1481" s="153">
        <f t="shared" si="779"/>
        <v>0</v>
      </c>
      <c r="Q1481" s="153">
        <f t="shared" si="779"/>
        <v>0</v>
      </c>
      <c r="R1481" s="153">
        <f t="shared" si="779"/>
        <v>0</v>
      </c>
      <c r="S1481" s="153">
        <f t="shared" si="779"/>
        <v>0</v>
      </c>
      <c r="T1481" s="153" t="e">
        <f t="shared" si="786"/>
        <v>#VALUE!</v>
      </c>
      <c r="U1481" s="153">
        <f t="shared" si="786"/>
        <v>0</v>
      </c>
      <c r="V1481" s="153" t="e">
        <f t="shared" si="786"/>
        <v>#VALUE!</v>
      </c>
      <c r="W1481" s="153">
        <f t="shared" si="786"/>
        <v>0</v>
      </c>
      <c r="X1481" s="153">
        <f t="shared" si="786"/>
        <v>0</v>
      </c>
      <c r="Y1481" s="153">
        <f t="shared" ref="Y1481" si="788">Y30+Y76+Y114+Y153+Y191+Y231+Y268+Y308+Y349+Y391+Y430+Y468+Y504+Y541+Y579+Y615+Y653+Y691+Y729+Y767+Y805+Y843+Y881+Y920+Y959+Y997+Y1035+Y1073+Y1111+Y1149+Y1186+Y1223+Y1260+Y1297+Y1334+Y1371+Y1408+Y1444</f>
        <v>0</v>
      </c>
      <c r="Z1481" s="309">
        <f t="shared" si="764"/>
        <v>0</v>
      </c>
      <c r="AA1481" s="256">
        <f t="shared" si="758"/>
        <v>0</v>
      </c>
      <c r="AB1481" s="309"/>
      <c r="AC1481" s="309"/>
      <c r="AD1481" s="320">
        <f t="shared" si="759"/>
        <v>0</v>
      </c>
    </row>
    <row r="1482" spans="1:30" ht="30.75" thickBot="1">
      <c r="A1482" s="67">
        <f t="shared" si="760"/>
        <v>44889</v>
      </c>
      <c r="B1482" s="153">
        <f t="shared" si="761"/>
        <v>0</v>
      </c>
      <c r="C1482" s="153">
        <f t="shared" si="779"/>
        <v>0</v>
      </c>
      <c r="D1482" s="153">
        <f t="shared" si="779"/>
        <v>0</v>
      </c>
      <c r="E1482" s="153">
        <f t="shared" si="779"/>
        <v>0</v>
      </c>
      <c r="F1482" s="153">
        <f t="shared" si="779"/>
        <v>0</v>
      </c>
      <c r="G1482" s="153">
        <f t="shared" si="779"/>
        <v>0</v>
      </c>
      <c r="H1482" s="153">
        <f t="shared" si="779"/>
        <v>0</v>
      </c>
      <c r="I1482" s="153">
        <f t="shared" si="779"/>
        <v>0</v>
      </c>
      <c r="J1482" s="153">
        <f t="shared" si="779"/>
        <v>0</v>
      </c>
      <c r="K1482" s="153">
        <f t="shared" si="779"/>
        <v>0</v>
      </c>
      <c r="L1482" s="153">
        <f t="shared" si="779"/>
        <v>0</v>
      </c>
      <c r="M1482" s="153">
        <f t="shared" si="779"/>
        <v>0</v>
      </c>
      <c r="N1482" s="153">
        <f t="shared" si="779"/>
        <v>0</v>
      </c>
      <c r="O1482" s="153">
        <f t="shared" si="779"/>
        <v>0</v>
      </c>
      <c r="P1482" s="153">
        <f t="shared" si="779"/>
        <v>0</v>
      </c>
      <c r="Q1482" s="153">
        <f t="shared" si="779"/>
        <v>0</v>
      </c>
      <c r="R1482" s="153">
        <f t="shared" si="779"/>
        <v>0</v>
      </c>
      <c r="S1482" s="153">
        <f t="shared" si="779"/>
        <v>0</v>
      </c>
      <c r="T1482" s="153" t="e">
        <f t="shared" si="786"/>
        <v>#VALUE!</v>
      </c>
      <c r="U1482" s="153" t="e">
        <f t="shared" si="786"/>
        <v>#VALUE!</v>
      </c>
      <c r="V1482" s="153" t="e">
        <f t="shared" si="786"/>
        <v>#VALUE!</v>
      </c>
      <c r="W1482" s="153">
        <f t="shared" si="786"/>
        <v>0</v>
      </c>
      <c r="X1482" s="153">
        <f t="shared" si="786"/>
        <v>0</v>
      </c>
      <c r="Y1482" s="153">
        <f t="shared" ref="Y1482" si="789">Y31+Y77+Y115+Y154+Y192+Y232+Y269+Y309+Y350+Y392+Y431+Y469+Y505+Y542+Y580+Y616+Y654+Y692+Y730+Y768+Y806+Y844+Y882+Y921+Y960+Y998+Y1036+Y1074+Y1112+Y1150+Y1187+Y1224+Y1261+Y1298+Y1335+Y1372+Y1409+Y1445</f>
        <v>0</v>
      </c>
      <c r="Z1482" s="309">
        <f t="shared" si="764"/>
        <v>0</v>
      </c>
      <c r="AA1482" s="256">
        <f t="shared" si="758"/>
        <v>0</v>
      </c>
      <c r="AB1482" s="309"/>
      <c r="AC1482" s="309"/>
      <c r="AD1482" s="320">
        <f t="shared" si="759"/>
        <v>0</v>
      </c>
    </row>
    <row r="1483" spans="1:30" ht="30.75" thickBot="1">
      <c r="A1483" s="67">
        <f t="shared" si="760"/>
        <v>44890</v>
      </c>
      <c r="B1483" s="153">
        <f t="shared" si="761"/>
        <v>0</v>
      </c>
      <c r="C1483" s="153">
        <f t="shared" si="779"/>
        <v>0</v>
      </c>
      <c r="D1483" s="153">
        <f t="shared" si="779"/>
        <v>0</v>
      </c>
      <c r="E1483" s="153">
        <f t="shared" si="779"/>
        <v>0</v>
      </c>
      <c r="F1483" s="153">
        <f t="shared" si="779"/>
        <v>0</v>
      </c>
      <c r="G1483" s="153">
        <f t="shared" si="779"/>
        <v>0</v>
      </c>
      <c r="H1483" s="153">
        <f t="shared" si="779"/>
        <v>0</v>
      </c>
      <c r="I1483" s="153">
        <f t="shared" si="779"/>
        <v>0</v>
      </c>
      <c r="J1483" s="153">
        <f t="shared" si="779"/>
        <v>0</v>
      </c>
      <c r="K1483" s="153">
        <f t="shared" si="779"/>
        <v>0</v>
      </c>
      <c r="L1483" s="153">
        <f t="shared" si="779"/>
        <v>0</v>
      </c>
      <c r="M1483" s="153">
        <f t="shared" si="779"/>
        <v>0</v>
      </c>
      <c r="N1483" s="153">
        <f t="shared" si="779"/>
        <v>0</v>
      </c>
      <c r="O1483" s="153">
        <f t="shared" si="779"/>
        <v>0</v>
      </c>
      <c r="P1483" s="153">
        <f t="shared" si="779"/>
        <v>0</v>
      </c>
      <c r="Q1483" s="153">
        <f t="shared" si="779"/>
        <v>0</v>
      </c>
      <c r="R1483" s="153">
        <f t="shared" si="779"/>
        <v>0</v>
      </c>
      <c r="S1483" s="153">
        <f t="shared" si="779"/>
        <v>0</v>
      </c>
      <c r="T1483" s="153">
        <f t="shared" si="786"/>
        <v>0</v>
      </c>
      <c r="U1483" s="153">
        <f t="shared" si="786"/>
        <v>0</v>
      </c>
      <c r="V1483" s="153">
        <f t="shared" si="786"/>
        <v>0</v>
      </c>
      <c r="W1483" s="153">
        <f t="shared" si="786"/>
        <v>0</v>
      </c>
      <c r="X1483" s="153">
        <f t="shared" si="786"/>
        <v>0</v>
      </c>
      <c r="Y1483" s="153">
        <f t="shared" ref="Y1483" si="790">Y32+Y78+Y116+Y155+Y193+Y233+Y270+Y310+Y351+Y393+Y432+Y470+Y506+Y543+Y581+Y617+Y655+Y693+Y731+Y769+Y807+Y845+Y883+Y922+Y961+Y999+Y1037+Y1075+Y1113+Y1151+Y1188+Y1225+Y1262+Y1299+Y1336+Y1373+Y1410+Y1446</f>
        <v>0</v>
      </c>
      <c r="Z1483" s="309">
        <f t="shared" si="764"/>
        <v>0</v>
      </c>
      <c r="AA1483" s="256">
        <f t="shared" si="758"/>
        <v>0</v>
      </c>
      <c r="AB1483" s="309"/>
      <c r="AC1483" s="309"/>
      <c r="AD1483" s="320">
        <f t="shared" si="759"/>
        <v>0</v>
      </c>
    </row>
    <row r="1484" spans="1:30" ht="30.75" thickBot="1">
      <c r="A1484" s="67">
        <f t="shared" si="760"/>
        <v>44891</v>
      </c>
      <c r="B1484" s="153">
        <f t="shared" si="761"/>
        <v>0</v>
      </c>
      <c r="C1484" s="153">
        <f t="shared" si="779"/>
        <v>0</v>
      </c>
      <c r="D1484" s="153">
        <f t="shared" si="779"/>
        <v>0</v>
      </c>
      <c r="E1484" s="153">
        <f t="shared" si="779"/>
        <v>0</v>
      </c>
      <c r="F1484" s="153">
        <f t="shared" si="779"/>
        <v>0</v>
      </c>
      <c r="G1484" s="153">
        <f t="shared" si="779"/>
        <v>0</v>
      </c>
      <c r="H1484" s="153">
        <f t="shared" si="779"/>
        <v>0</v>
      </c>
      <c r="I1484" s="153">
        <f t="shared" si="779"/>
        <v>0</v>
      </c>
      <c r="J1484" s="153">
        <f t="shared" si="779"/>
        <v>0</v>
      </c>
      <c r="K1484" s="153">
        <f t="shared" si="779"/>
        <v>0</v>
      </c>
      <c r="L1484" s="153">
        <f t="shared" si="779"/>
        <v>0</v>
      </c>
      <c r="M1484" s="153">
        <f t="shared" si="779"/>
        <v>0</v>
      </c>
      <c r="N1484" s="153">
        <f t="shared" si="779"/>
        <v>0</v>
      </c>
      <c r="O1484" s="153">
        <f t="shared" si="779"/>
        <v>0</v>
      </c>
      <c r="P1484" s="153">
        <f t="shared" si="779"/>
        <v>0</v>
      </c>
      <c r="Q1484" s="153">
        <f t="shared" si="779"/>
        <v>0</v>
      </c>
      <c r="R1484" s="153">
        <f t="shared" si="779"/>
        <v>0</v>
      </c>
      <c r="S1484" s="153">
        <f t="shared" si="779"/>
        <v>0</v>
      </c>
      <c r="T1484" s="153">
        <f t="shared" si="786"/>
        <v>0</v>
      </c>
      <c r="U1484" s="153">
        <f t="shared" si="786"/>
        <v>0</v>
      </c>
      <c r="V1484" s="153">
        <f t="shared" si="786"/>
        <v>0</v>
      </c>
      <c r="W1484" s="153">
        <f t="shared" si="786"/>
        <v>0</v>
      </c>
      <c r="X1484" s="153">
        <f t="shared" si="786"/>
        <v>0</v>
      </c>
      <c r="Y1484" s="153">
        <f t="shared" ref="Y1484" si="791">Y33+Y79+Y117+Y156+Y194+Y234+Y271+Y311+Y352+Y394+Y433+Y471+Y507+Y544+Y582+Y618+Y656+Y694+Y732+Y770+Y808+Y846+Y884+Y923+Y962+Y1000+Y1038+Y1076+Y1114+Y1152+Y1189+Y1226+Y1263+Y1300+Y1337+Y1374+Y1411+Y1447</f>
        <v>0</v>
      </c>
      <c r="Z1484" s="309">
        <f t="shared" si="764"/>
        <v>0</v>
      </c>
      <c r="AA1484" s="256">
        <f t="shared" si="758"/>
        <v>0</v>
      </c>
      <c r="AB1484" s="309"/>
      <c r="AC1484" s="309"/>
      <c r="AD1484" s="320">
        <f t="shared" si="759"/>
        <v>0</v>
      </c>
    </row>
    <row r="1485" spans="1:30" ht="30.75" thickBot="1">
      <c r="A1485" s="67">
        <f t="shared" si="760"/>
        <v>44892</v>
      </c>
      <c r="B1485" s="153">
        <f t="shared" si="761"/>
        <v>0</v>
      </c>
      <c r="C1485" s="153">
        <f t="shared" si="779"/>
        <v>0</v>
      </c>
      <c r="D1485" s="153">
        <f t="shared" si="779"/>
        <v>0</v>
      </c>
      <c r="E1485" s="153">
        <f t="shared" si="779"/>
        <v>0</v>
      </c>
      <c r="F1485" s="153">
        <f t="shared" si="779"/>
        <v>0</v>
      </c>
      <c r="G1485" s="153">
        <f t="shared" si="779"/>
        <v>0</v>
      </c>
      <c r="H1485" s="153">
        <f t="shared" si="779"/>
        <v>0</v>
      </c>
      <c r="I1485" s="153">
        <f t="shared" si="779"/>
        <v>0</v>
      </c>
      <c r="J1485" s="153">
        <f t="shared" si="779"/>
        <v>0</v>
      </c>
      <c r="K1485" s="153">
        <f t="shared" si="779"/>
        <v>0</v>
      </c>
      <c r="L1485" s="153">
        <f t="shared" si="779"/>
        <v>0</v>
      </c>
      <c r="M1485" s="153">
        <f t="shared" si="779"/>
        <v>0</v>
      </c>
      <c r="N1485" s="153">
        <f t="shared" si="779"/>
        <v>0</v>
      </c>
      <c r="O1485" s="153">
        <f t="shared" si="779"/>
        <v>0</v>
      </c>
      <c r="P1485" s="153">
        <f t="shared" si="779"/>
        <v>0</v>
      </c>
      <c r="Q1485" s="153">
        <f t="shared" si="779"/>
        <v>0</v>
      </c>
      <c r="R1485" s="153">
        <f t="shared" si="779"/>
        <v>0</v>
      </c>
      <c r="S1485" s="153">
        <f t="shared" si="779"/>
        <v>0</v>
      </c>
      <c r="T1485" s="153">
        <f t="shared" si="786"/>
        <v>0</v>
      </c>
      <c r="U1485" s="153">
        <f t="shared" si="786"/>
        <v>0</v>
      </c>
      <c r="V1485" s="153">
        <f t="shared" si="786"/>
        <v>0</v>
      </c>
      <c r="W1485" s="153">
        <f t="shared" si="786"/>
        <v>0</v>
      </c>
      <c r="X1485" s="153">
        <f t="shared" si="786"/>
        <v>0</v>
      </c>
      <c r="Y1485" s="153">
        <f t="shared" ref="Y1485" si="792">Y34+Y80+Y118+Y157+Y195+Y235+Y272+Y312+Y353+Y395+Y434+Y472+Y508+Y545+Y583+Y619+Y657+Y695+Y733+Y771+Y809+Y847+Y885+Y924+Y963+Y1001+Y1039+Y1077+Y1115+Y1153+Y1190+Y1227+Y1264+Y1301+Y1338+Y1375+Y1412+Y1448</f>
        <v>0</v>
      </c>
      <c r="Z1485" s="309">
        <f t="shared" si="764"/>
        <v>0</v>
      </c>
      <c r="AA1485" s="256">
        <f t="shared" si="758"/>
        <v>0</v>
      </c>
      <c r="AB1485" s="309"/>
      <c r="AC1485" s="309"/>
      <c r="AD1485" s="320">
        <f t="shared" si="759"/>
        <v>0</v>
      </c>
    </row>
    <row r="1486" spans="1:30" ht="30.75" thickBot="1">
      <c r="A1486" s="67">
        <f t="shared" si="760"/>
        <v>44893</v>
      </c>
      <c r="B1486" s="153">
        <f t="shared" si="761"/>
        <v>0</v>
      </c>
      <c r="C1486" s="153">
        <f t="shared" si="779"/>
        <v>0</v>
      </c>
      <c r="D1486" s="153">
        <f t="shared" si="779"/>
        <v>0</v>
      </c>
      <c r="E1486" s="153">
        <f t="shared" si="779"/>
        <v>0</v>
      </c>
      <c r="F1486" s="153">
        <f t="shared" si="779"/>
        <v>0</v>
      </c>
      <c r="G1486" s="153">
        <f t="shared" si="779"/>
        <v>0</v>
      </c>
      <c r="H1486" s="153">
        <f t="shared" si="779"/>
        <v>0</v>
      </c>
      <c r="I1486" s="153">
        <f t="shared" si="779"/>
        <v>0</v>
      </c>
      <c r="J1486" s="153">
        <f t="shared" si="779"/>
        <v>0</v>
      </c>
      <c r="K1486" s="153">
        <f t="shared" si="779"/>
        <v>0</v>
      </c>
      <c r="L1486" s="153">
        <f t="shared" si="779"/>
        <v>0</v>
      </c>
      <c r="M1486" s="153">
        <f t="shared" si="779"/>
        <v>0</v>
      </c>
      <c r="N1486" s="153">
        <f t="shared" si="779"/>
        <v>0</v>
      </c>
      <c r="O1486" s="153">
        <f t="shared" si="779"/>
        <v>0</v>
      </c>
      <c r="P1486" s="153">
        <f t="shared" si="779"/>
        <v>0</v>
      </c>
      <c r="Q1486" s="153">
        <f t="shared" si="779"/>
        <v>0</v>
      </c>
      <c r="R1486" s="153">
        <f t="shared" si="779"/>
        <v>0</v>
      </c>
      <c r="S1486" s="153">
        <f t="shared" si="779"/>
        <v>0</v>
      </c>
      <c r="T1486" s="153">
        <f t="shared" si="786"/>
        <v>0</v>
      </c>
      <c r="U1486" s="153">
        <f t="shared" si="786"/>
        <v>0</v>
      </c>
      <c r="V1486" s="153">
        <f t="shared" si="786"/>
        <v>0</v>
      </c>
      <c r="W1486" s="153">
        <f t="shared" si="786"/>
        <v>0</v>
      </c>
      <c r="X1486" s="153">
        <f t="shared" si="786"/>
        <v>0</v>
      </c>
      <c r="Y1486" s="153">
        <f t="shared" ref="Y1486" si="793">Y35+Y81+Y119+Y158+Y196+Y236+Y273+Y313+Y354+Y396+Y435+Y473+Y509+Y546+Y584+Y620+Y658+Y696+Y734+Y772+Y810+Y848+Y886+Y925+Y964+Y1002+Y1040+Y1078+Y1116+Y1154+Y1191+Y1228+Y1265+Y1302+Y1339+Y1376+Y1413+Y1449</f>
        <v>0</v>
      </c>
      <c r="Z1486" s="309">
        <f t="shared" si="764"/>
        <v>0</v>
      </c>
      <c r="AA1486" s="256">
        <f t="shared" si="758"/>
        <v>0</v>
      </c>
      <c r="AB1486" s="309"/>
      <c r="AC1486" s="309"/>
      <c r="AD1486" s="320">
        <f t="shared" si="759"/>
        <v>0</v>
      </c>
    </row>
    <row r="1487" spans="1:30" ht="30.75" thickBot="1">
      <c r="A1487" s="67">
        <f t="shared" si="760"/>
        <v>44894</v>
      </c>
      <c r="B1487" s="153">
        <f t="shared" si="761"/>
        <v>0</v>
      </c>
      <c r="C1487" s="153">
        <f t="shared" si="779"/>
        <v>0</v>
      </c>
      <c r="D1487" s="153">
        <f t="shared" si="779"/>
        <v>0</v>
      </c>
      <c r="E1487" s="153">
        <f t="shared" si="779"/>
        <v>0</v>
      </c>
      <c r="F1487" s="153">
        <f t="shared" si="779"/>
        <v>0</v>
      </c>
      <c r="G1487" s="153">
        <f t="shared" si="779"/>
        <v>0</v>
      </c>
      <c r="H1487" s="153">
        <f t="shared" si="779"/>
        <v>0</v>
      </c>
      <c r="I1487" s="153">
        <f t="shared" si="779"/>
        <v>0</v>
      </c>
      <c r="J1487" s="153">
        <f t="shared" si="779"/>
        <v>0</v>
      </c>
      <c r="K1487" s="153">
        <f t="shared" si="779"/>
        <v>0</v>
      </c>
      <c r="L1487" s="153">
        <f t="shared" si="779"/>
        <v>0</v>
      </c>
      <c r="M1487" s="153">
        <f t="shared" si="779"/>
        <v>0</v>
      </c>
      <c r="N1487" s="153">
        <f t="shared" si="779"/>
        <v>0</v>
      </c>
      <c r="O1487" s="153">
        <f t="shared" si="779"/>
        <v>0</v>
      </c>
      <c r="P1487" s="153">
        <f t="shared" si="779"/>
        <v>0</v>
      </c>
      <c r="Q1487" s="153">
        <f t="shared" si="779"/>
        <v>0</v>
      </c>
      <c r="R1487" s="153">
        <f t="shared" si="779"/>
        <v>0</v>
      </c>
      <c r="S1487" s="153">
        <f t="shared" si="779"/>
        <v>0</v>
      </c>
      <c r="T1487" s="153">
        <f t="shared" si="786"/>
        <v>0</v>
      </c>
      <c r="U1487" s="153">
        <f t="shared" si="786"/>
        <v>0</v>
      </c>
      <c r="V1487" s="153">
        <f t="shared" si="786"/>
        <v>0</v>
      </c>
      <c r="W1487" s="153">
        <f t="shared" si="786"/>
        <v>0</v>
      </c>
      <c r="X1487" s="153">
        <f t="shared" si="786"/>
        <v>0</v>
      </c>
      <c r="Y1487" s="153">
        <f t="shared" ref="Y1487" si="794">Y36+Y82+Y120+Y159+Y197+Y237+Y274+Y314+Y355+Y397+Y436+Y474+Y510+Y547+Y585+Y621+Y659+Y697+Y735+Y773+Y811+Y849+Y887+Y926+Y965+Y1003+Y1041+Y1079+Y1117+Y1155+Y1192+Y1229+Y1266+Y1303+Y1340+Y1377+Y1414+Y1450</f>
        <v>0</v>
      </c>
      <c r="Z1487" s="309">
        <f t="shared" si="764"/>
        <v>0</v>
      </c>
      <c r="AA1487" s="256">
        <f t="shared" si="758"/>
        <v>0</v>
      </c>
      <c r="AB1487" s="309"/>
      <c r="AC1487" s="309"/>
      <c r="AD1487" s="320">
        <f t="shared" si="759"/>
        <v>0</v>
      </c>
    </row>
    <row r="1488" spans="1:30" ht="30.75" thickBot="1">
      <c r="A1488" s="67">
        <f t="shared" si="760"/>
        <v>44895</v>
      </c>
      <c r="B1488" s="153">
        <f t="shared" si="761"/>
        <v>0</v>
      </c>
      <c r="C1488" s="153">
        <f t="shared" si="779"/>
        <v>0</v>
      </c>
      <c r="D1488" s="153">
        <f t="shared" si="779"/>
        <v>0</v>
      </c>
      <c r="E1488" s="153">
        <f t="shared" si="779"/>
        <v>0</v>
      </c>
      <c r="F1488" s="153">
        <f t="shared" si="779"/>
        <v>0</v>
      </c>
      <c r="G1488" s="153">
        <f t="shared" si="779"/>
        <v>0</v>
      </c>
      <c r="H1488" s="153">
        <f t="shared" si="779"/>
        <v>0</v>
      </c>
      <c r="I1488" s="153">
        <f t="shared" si="779"/>
        <v>0</v>
      </c>
      <c r="J1488" s="153">
        <f t="shared" si="779"/>
        <v>0</v>
      </c>
      <c r="K1488" s="153">
        <f t="shared" si="779"/>
        <v>0</v>
      </c>
      <c r="L1488" s="153">
        <f t="shared" si="779"/>
        <v>0</v>
      </c>
      <c r="M1488" s="153">
        <f t="shared" si="779"/>
        <v>0</v>
      </c>
      <c r="N1488" s="153">
        <f t="shared" si="779"/>
        <v>0</v>
      </c>
      <c r="O1488" s="153">
        <f t="shared" si="779"/>
        <v>0</v>
      </c>
      <c r="P1488" s="153">
        <f t="shared" si="779"/>
        <v>0</v>
      </c>
      <c r="Q1488" s="153">
        <f t="shared" si="779"/>
        <v>0</v>
      </c>
      <c r="R1488" s="153">
        <f t="shared" si="779"/>
        <v>0</v>
      </c>
      <c r="S1488" s="153">
        <f t="shared" si="779"/>
        <v>0</v>
      </c>
      <c r="T1488" s="153">
        <f t="shared" si="786"/>
        <v>0</v>
      </c>
      <c r="U1488" s="153">
        <f t="shared" si="786"/>
        <v>0</v>
      </c>
      <c r="V1488" s="153">
        <f t="shared" si="786"/>
        <v>0</v>
      </c>
      <c r="W1488" s="153">
        <f t="shared" si="786"/>
        <v>0</v>
      </c>
      <c r="X1488" s="153">
        <f t="shared" si="786"/>
        <v>0</v>
      </c>
      <c r="Y1488" s="153">
        <f t="shared" ref="Y1488" si="795">Y37+Y83+Y121+Y160+Y198+Y238+Y275+Y315+Y356+Y398+Y437+Y475+Y511+Y548+Y586+Y622+Y660+Y698+Y736+Y774+Y812+Y850+Y888+Y927+Y966+Y1004+Y1042+Y1080+Y1118+Y1156+Y1193+Y1230+Y1267+Y1304+Y1341+Y1378+Y1415+Y1451</f>
        <v>0</v>
      </c>
      <c r="Z1488" s="309">
        <f t="shared" si="764"/>
        <v>0</v>
      </c>
      <c r="AA1488" s="256">
        <f t="shared" si="758"/>
        <v>0</v>
      </c>
      <c r="AB1488" s="309"/>
      <c r="AC1488" s="309"/>
      <c r="AD1488" s="320">
        <f t="shared" si="759"/>
        <v>0</v>
      </c>
    </row>
    <row r="1489" spans="1:30" ht="30.75" thickBot="1">
      <c r="A1489" s="67">
        <f t="shared" si="760"/>
        <v>44896</v>
      </c>
      <c r="B1489" s="153">
        <f t="shared" si="761"/>
        <v>0</v>
      </c>
      <c r="C1489" s="153">
        <f t="shared" si="779"/>
        <v>0</v>
      </c>
      <c r="D1489" s="153">
        <f t="shared" si="779"/>
        <v>0</v>
      </c>
      <c r="E1489" s="153">
        <f t="shared" si="779"/>
        <v>0</v>
      </c>
      <c r="F1489" s="153">
        <f t="shared" si="779"/>
        <v>0</v>
      </c>
      <c r="G1489" s="153">
        <f t="shared" si="779"/>
        <v>0</v>
      </c>
      <c r="H1489" s="153">
        <f t="shared" si="779"/>
        <v>0</v>
      </c>
      <c r="I1489" s="153">
        <f t="shared" si="779"/>
        <v>0</v>
      </c>
      <c r="J1489" s="153">
        <f t="shared" si="779"/>
        <v>0</v>
      </c>
      <c r="K1489" s="153">
        <f t="shared" si="779"/>
        <v>0</v>
      </c>
      <c r="L1489" s="153">
        <f t="shared" si="779"/>
        <v>0</v>
      </c>
      <c r="M1489" s="153">
        <f t="shared" si="779"/>
        <v>0</v>
      </c>
      <c r="N1489" s="153">
        <f t="shared" si="779"/>
        <v>0</v>
      </c>
      <c r="O1489" s="153">
        <f t="shared" si="779"/>
        <v>0</v>
      </c>
      <c r="P1489" s="153">
        <f t="shared" si="779"/>
        <v>0</v>
      </c>
      <c r="Q1489" s="153">
        <f t="shared" si="779"/>
        <v>0</v>
      </c>
      <c r="R1489" s="153">
        <f t="shared" ref="R1489:S1489" si="796">R38+R84+R122+R161+R199+R239+R276+R316+R357+R399+R438+R476+R512+R549+R587+R623+R661+R699+R737+R775+R813+R851+R889+R928+R967+R1005+R1043+R1081+R1119+R1157+R1194+R1231+R1268+R1305+R1342+R1379+R1416+R1452</f>
        <v>0</v>
      </c>
      <c r="S1489" s="153">
        <f t="shared" si="796"/>
        <v>0</v>
      </c>
      <c r="T1489" s="153">
        <f t="shared" si="786"/>
        <v>0</v>
      </c>
      <c r="U1489" s="153">
        <f t="shared" si="786"/>
        <v>0</v>
      </c>
      <c r="V1489" s="153">
        <f t="shared" si="786"/>
        <v>0</v>
      </c>
      <c r="W1489" s="153">
        <f t="shared" si="786"/>
        <v>0</v>
      </c>
      <c r="X1489" s="153">
        <f t="shared" si="786"/>
        <v>0</v>
      </c>
      <c r="Y1489" s="153">
        <f t="shared" ref="Y1489" si="797">Y38+Y84+Y122+Y161+Y199+Y239+Y276+Y316+Y357+Y399+Y438+Y476+Y512+Y549+Y587+Y623+Y661+Y699+Y737+Y775+Y813+Y851+Y889+Y928+Y967+Y1005+Y1043+Y1081+Y1119+Y1157+Y1194+Y1231+Y1268+Y1305+Y1342+Y1379+Y1416+Y1452</f>
        <v>0</v>
      </c>
      <c r="Z1489" s="309">
        <f t="shared" si="764"/>
        <v>0</v>
      </c>
      <c r="AA1489" s="256">
        <f t="shared" si="758"/>
        <v>0</v>
      </c>
      <c r="AB1489" s="309"/>
      <c r="AC1489" s="309"/>
      <c r="AD1489" s="320">
        <f t="shared" si="759"/>
        <v>0</v>
      </c>
    </row>
    <row r="1490" spans="1:30" ht="30" thickTop="1" thickBot="1">
      <c r="A1490" s="96" t="s">
        <v>74</v>
      </c>
      <c r="B1490" s="104">
        <f>SUM(B1459:B1489)</f>
        <v>0</v>
      </c>
      <c r="C1490" s="104">
        <f t="shared" ref="C1490:D1490" si="798">SUM(C1459:C1489)</f>
        <v>0</v>
      </c>
      <c r="D1490" s="104">
        <f t="shared" si="798"/>
        <v>0</v>
      </c>
      <c r="E1490" s="104"/>
      <c r="F1490" s="104">
        <f t="shared" ref="F1490:O1490" si="799">SUM(F1459:F1489)</f>
        <v>0</v>
      </c>
      <c r="G1490" s="104">
        <f t="shared" si="799"/>
        <v>0</v>
      </c>
      <c r="H1490" s="104">
        <f t="shared" si="799"/>
        <v>0</v>
      </c>
      <c r="I1490" s="104">
        <f t="shared" si="799"/>
        <v>0</v>
      </c>
      <c r="J1490" s="104">
        <f t="shared" si="799"/>
        <v>0</v>
      </c>
      <c r="K1490" s="104">
        <f t="shared" si="799"/>
        <v>0</v>
      </c>
      <c r="L1490" s="104">
        <f t="shared" si="799"/>
        <v>0</v>
      </c>
      <c r="M1490" s="104">
        <f t="shared" si="799"/>
        <v>0</v>
      </c>
      <c r="N1490" s="104">
        <f t="shared" si="799"/>
        <v>0</v>
      </c>
      <c r="O1490" s="104">
        <f t="shared" si="799"/>
        <v>0</v>
      </c>
      <c r="P1490" s="104"/>
      <c r="Q1490" s="104">
        <f t="shared" ref="Q1490:S1490" si="800">SUM(Q1459:Q1489)</f>
        <v>0</v>
      </c>
      <c r="R1490" s="104">
        <f t="shared" si="800"/>
        <v>0</v>
      </c>
      <c r="S1490" s="104">
        <f t="shared" si="800"/>
        <v>0</v>
      </c>
      <c r="T1490" s="104"/>
      <c r="U1490" s="104"/>
      <c r="V1490" s="104"/>
      <c r="W1490" s="104"/>
      <c r="X1490" s="104"/>
      <c r="Y1490" s="292">
        <f t="shared" ref="Y1490" si="801">SUM(Y1459:Y1489)</f>
        <v>0</v>
      </c>
      <c r="Z1490" s="259"/>
      <c r="AA1490" s="259"/>
      <c r="AB1490" s="316">
        <f>SUM(AB1459:AB1489)</f>
        <v>0</v>
      </c>
      <c r="AC1490" s="316"/>
      <c r="AD1490" s="260"/>
    </row>
    <row r="1491" spans="1:30" ht="15.75" thickTop="1">
      <c r="B1491">
        <v>61</v>
      </c>
      <c r="K1491">
        <v>84</v>
      </c>
    </row>
    <row r="1492" spans="1:30">
      <c r="B1492">
        <f>B1490*B1491</f>
        <v>0</v>
      </c>
      <c r="K1492">
        <f>K1490*K1491</f>
        <v>0</v>
      </c>
    </row>
  </sheetData>
  <mergeCells count="557">
    <mergeCell ref="R1162:S1162"/>
    <mergeCell ref="R705:S705"/>
    <mergeCell ref="R743:S743"/>
    <mergeCell ref="R781:S781"/>
    <mergeCell ref="R819:S819"/>
    <mergeCell ref="R857:S857"/>
    <mergeCell ref="R896:S896"/>
    <mergeCell ref="R935:S935"/>
    <mergeCell ref="R973:S973"/>
    <mergeCell ref="R1011:S1011"/>
    <mergeCell ref="R325:S325"/>
    <mergeCell ref="R367:S367"/>
    <mergeCell ref="R406:S406"/>
    <mergeCell ref="R444:S444"/>
    <mergeCell ref="R480:S480"/>
    <mergeCell ref="R517:S517"/>
    <mergeCell ref="R555:S555"/>
    <mergeCell ref="R591:S591"/>
    <mergeCell ref="R629:S629"/>
    <mergeCell ref="R6:S6"/>
    <mergeCell ref="R52:S52"/>
    <mergeCell ref="R90:S90"/>
    <mergeCell ref="R129:S129"/>
    <mergeCell ref="R167:S167"/>
    <mergeCell ref="R207:S207"/>
    <mergeCell ref="R244:S244"/>
    <mergeCell ref="R284:S284"/>
    <mergeCell ref="B705:E705"/>
    <mergeCell ref="K705:Q705"/>
    <mergeCell ref="B517:E517"/>
    <mergeCell ref="K517:Q517"/>
    <mergeCell ref="F555:H555"/>
    <mergeCell ref="B704:Y704"/>
    <mergeCell ref="F367:H367"/>
    <mergeCell ref="I480:J480"/>
    <mergeCell ref="B516:Y516"/>
    <mergeCell ref="I367:J367"/>
    <mergeCell ref="B554:Y554"/>
    <mergeCell ref="F517:H517"/>
    <mergeCell ref="I517:J517"/>
    <mergeCell ref="B405:Y405"/>
    <mergeCell ref="B479:Y479"/>
    <mergeCell ref="B443:Y443"/>
    <mergeCell ref="T705:U705"/>
    <mergeCell ref="B1161:Y1161"/>
    <mergeCell ref="A1162:A1163"/>
    <mergeCell ref="B1162:E1162"/>
    <mergeCell ref="F1162:H1162"/>
    <mergeCell ref="I1162:J1162"/>
    <mergeCell ref="K1162:Q1162"/>
    <mergeCell ref="T1162:U1162"/>
    <mergeCell ref="T857:U857"/>
    <mergeCell ref="B896:E896"/>
    <mergeCell ref="K896:Q896"/>
    <mergeCell ref="T896:U896"/>
    <mergeCell ref="B935:E935"/>
    <mergeCell ref="K935:Q935"/>
    <mergeCell ref="T935:U935"/>
    <mergeCell ref="I857:J857"/>
    <mergeCell ref="B857:E857"/>
    <mergeCell ref="K857:Q857"/>
    <mergeCell ref="B1048:Y1048"/>
    <mergeCell ref="B1010:Y1010"/>
    <mergeCell ref="A1125:A1126"/>
    <mergeCell ref="F1125:H1125"/>
    <mergeCell ref="A1049:A1050"/>
    <mergeCell ref="K1011:Q1011"/>
    <mergeCell ref="B1049:E1049"/>
    <mergeCell ref="K1049:Q1049"/>
    <mergeCell ref="T1049:U1049"/>
    <mergeCell ref="B1011:E1011"/>
    <mergeCell ref="T1011:U1011"/>
    <mergeCell ref="A857:A858"/>
    <mergeCell ref="A743:A744"/>
    <mergeCell ref="A781:A782"/>
    <mergeCell ref="F1049:H1049"/>
    <mergeCell ref="I1049:J1049"/>
    <mergeCell ref="B856:Y856"/>
    <mergeCell ref="B934:Y934"/>
    <mergeCell ref="B895:Y895"/>
    <mergeCell ref="F857:H857"/>
    <mergeCell ref="B743:E743"/>
    <mergeCell ref="K743:Q743"/>
    <mergeCell ref="F781:H781"/>
    <mergeCell ref="I781:J781"/>
    <mergeCell ref="B818:Y818"/>
    <mergeCell ref="F819:H819"/>
    <mergeCell ref="I819:J819"/>
    <mergeCell ref="F743:H743"/>
    <mergeCell ref="I743:J743"/>
    <mergeCell ref="R1049:S1049"/>
    <mergeCell ref="T244:U244"/>
    <mergeCell ref="B284:E284"/>
    <mergeCell ref="K284:Q284"/>
    <mergeCell ref="T284:U284"/>
    <mergeCell ref="B325:E325"/>
    <mergeCell ref="K325:Q325"/>
    <mergeCell ref="T325:U325"/>
    <mergeCell ref="I667:J667"/>
    <mergeCell ref="B366:Y366"/>
    <mergeCell ref="F406:H406"/>
    <mergeCell ref="I406:J406"/>
    <mergeCell ref="T367:U367"/>
    <mergeCell ref="B406:E406"/>
    <mergeCell ref="K406:Q406"/>
    <mergeCell ref="F667:H667"/>
    <mergeCell ref="I555:J555"/>
    <mergeCell ref="B590:Y590"/>
    <mergeCell ref="T406:U406"/>
    <mergeCell ref="B444:E444"/>
    <mergeCell ref="K444:Q444"/>
    <mergeCell ref="T444:U444"/>
    <mergeCell ref="B480:E480"/>
    <mergeCell ref="K480:Q480"/>
    <mergeCell ref="T480:U480"/>
    <mergeCell ref="B367:E367"/>
    <mergeCell ref="K367:Q367"/>
    <mergeCell ref="F444:H444"/>
    <mergeCell ref="I444:J444"/>
    <mergeCell ref="F480:H480"/>
    <mergeCell ref="T517:U517"/>
    <mergeCell ref="B555:E555"/>
    <mergeCell ref="K555:Q555"/>
    <mergeCell ref="T555:U555"/>
    <mergeCell ref="I1125:J1125"/>
    <mergeCell ref="B1124:Y1124"/>
    <mergeCell ref="F1087:H1087"/>
    <mergeCell ref="I1087:J1087"/>
    <mergeCell ref="A1087:A1088"/>
    <mergeCell ref="B1086:Y1086"/>
    <mergeCell ref="B1125:E1125"/>
    <mergeCell ref="K1125:Q1125"/>
    <mergeCell ref="T1125:U1125"/>
    <mergeCell ref="B1087:E1087"/>
    <mergeCell ref="K1087:Q1087"/>
    <mergeCell ref="T1087:U1087"/>
    <mergeCell ref="R1087:S1087"/>
    <mergeCell ref="R1125:S1125"/>
    <mergeCell ref="F629:H629"/>
    <mergeCell ref="I629:J629"/>
    <mergeCell ref="F591:H591"/>
    <mergeCell ref="K629:Q629"/>
    <mergeCell ref="T629:U629"/>
    <mergeCell ref="B667:E667"/>
    <mergeCell ref="K667:Q667"/>
    <mergeCell ref="T667:U667"/>
    <mergeCell ref="B629:E629"/>
    <mergeCell ref="B666:Y666"/>
    <mergeCell ref="B628:Y628"/>
    <mergeCell ref="B591:E591"/>
    <mergeCell ref="K591:Q591"/>
    <mergeCell ref="T591:U591"/>
    <mergeCell ref="I591:J591"/>
    <mergeCell ref="R667:S667"/>
    <mergeCell ref="F705:H705"/>
    <mergeCell ref="T743:U743"/>
    <mergeCell ref="B781:E781"/>
    <mergeCell ref="K781:Q781"/>
    <mergeCell ref="T781:U781"/>
    <mergeCell ref="B819:E819"/>
    <mergeCell ref="K819:Q819"/>
    <mergeCell ref="T819:U819"/>
    <mergeCell ref="A1011:A1012"/>
    <mergeCell ref="F1011:H1011"/>
    <mergeCell ref="I1011:J1011"/>
    <mergeCell ref="A896:A897"/>
    <mergeCell ref="B972:Y972"/>
    <mergeCell ref="A973:A974"/>
    <mergeCell ref="F973:H973"/>
    <mergeCell ref="I973:J973"/>
    <mergeCell ref="F935:H935"/>
    <mergeCell ref="I935:J935"/>
    <mergeCell ref="A935:A936"/>
    <mergeCell ref="F896:H896"/>
    <mergeCell ref="I896:J896"/>
    <mergeCell ref="B973:E973"/>
    <mergeCell ref="K973:Q973"/>
    <mergeCell ref="T973:U973"/>
    <mergeCell ref="A705:A706"/>
    <mergeCell ref="A819:A820"/>
    <mergeCell ref="A6:A7"/>
    <mergeCell ref="A52:A53"/>
    <mergeCell ref="A90:A91"/>
    <mergeCell ref="A129:A130"/>
    <mergeCell ref="A167:A168"/>
    <mergeCell ref="A207:A208"/>
    <mergeCell ref="A244:A245"/>
    <mergeCell ref="A284:A285"/>
    <mergeCell ref="A325:A326"/>
    <mergeCell ref="A367:A368"/>
    <mergeCell ref="A406:A407"/>
    <mergeCell ref="A444:A445"/>
    <mergeCell ref="A480:A481"/>
    <mergeCell ref="A517:A518"/>
    <mergeCell ref="A555:A556"/>
    <mergeCell ref="A667:A668"/>
    <mergeCell ref="A629:A630"/>
    <mergeCell ref="A591:A592"/>
    <mergeCell ref="I90:J90"/>
    <mergeCell ref="F129:H129"/>
    <mergeCell ref="I129:J129"/>
    <mergeCell ref="F207:H207"/>
    <mergeCell ref="I167:J167"/>
    <mergeCell ref="B206:Y206"/>
    <mergeCell ref="H203:J203"/>
    <mergeCell ref="F167:H167"/>
    <mergeCell ref="I207:J207"/>
    <mergeCell ref="K90:Q90"/>
    <mergeCell ref="T90:U90"/>
    <mergeCell ref="K167:Q167"/>
    <mergeCell ref="T167:U167"/>
    <mergeCell ref="B207:E207"/>
    <mergeCell ref="K207:Q207"/>
    <mergeCell ref="T207:U207"/>
    <mergeCell ref="F284:H284"/>
    <mergeCell ref="B129:E129"/>
    <mergeCell ref="K129:Q129"/>
    <mergeCell ref="T129:U129"/>
    <mergeCell ref="K244:Q244"/>
    <mergeCell ref="B244:E244"/>
    <mergeCell ref="B167:E167"/>
    <mergeCell ref="B5:Y5"/>
    <mergeCell ref="B51:Y51"/>
    <mergeCell ref="B89:Y89"/>
    <mergeCell ref="B128:Y128"/>
    <mergeCell ref="B166:Y166"/>
    <mergeCell ref="F6:H6"/>
    <mergeCell ref="I6:J6"/>
    <mergeCell ref="F52:H52"/>
    <mergeCell ref="I52:J52"/>
    <mergeCell ref="F90:H90"/>
    <mergeCell ref="B6:E6"/>
    <mergeCell ref="K6:Q6"/>
    <mergeCell ref="T6:U6"/>
    <mergeCell ref="B52:E52"/>
    <mergeCell ref="K52:Q52"/>
    <mergeCell ref="T52:U52"/>
    <mergeCell ref="B90:E90"/>
    <mergeCell ref="AI128:AZ128"/>
    <mergeCell ref="AI206:AZ206"/>
    <mergeCell ref="AI628:AZ628"/>
    <mergeCell ref="AI283:AZ283"/>
    <mergeCell ref="AH52:AH53"/>
    <mergeCell ref="AH90:AH91"/>
    <mergeCell ref="I705:J705"/>
    <mergeCell ref="B742:Y742"/>
    <mergeCell ref="B780:Y780"/>
    <mergeCell ref="AA360:AB360"/>
    <mergeCell ref="B243:Y243"/>
    <mergeCell ref="I284:J284"/>
    <mergeCell ref="F244:H244"/>
    <mergeCell ref="I244:J244"/>
    <mergeCell ref="H321:J321"/>
    <mergeCell ref="I325:J325"/>
    <mergeCell ref="B324:Y324"/>
    <mergeCell ref="B283:Y283"/>
    <mergeCell ref="F325:H325"/>
    <mergeCell ref="Y323:AA323"/>
    <mergeCell ref="AH129:AH130"/>
    <mergeCell ref="AI129:AK129"/>
    <mergeCell ref="AL129:AN129"/>
    <mergeCell ref="AO129:AQ129"/>
    <mergeCell ref="AI51:AZ51"/>
    <mergeCell ref="AI52:AK52"/>
    <mergeCell ref="AL52:AN52"/>
    <mergeCell ref="AO52:AQ52"/>
    <mergeCell ref="AR52:AT52"/>
    <mergeCell ref="AU52:AV52"/>
    <mergeCell ref="AW52:AX52"/>
    <mergeCell ref="AI89:AZ89"/>
    <mergeCell ref="AI90:AK90"/>
    <mergeCell ref="AL90:AN90"/>
    <mergeCell ref="AO90:AQ90"/>
    <mergeCell ref="AR90:AT90"/>
    <mergeCell ref="AU90:AV90"/>
    <mergeCell ref="AW90:AX90"/>
    <mergeCell ref="AR129:AT129"/>
    <mergeCell ref="AU129:AV129"/>
    <mergeCell ref="AW129:AX129"/>
    <mergeCell ref="AI166:AZ166"/>
    <mergeCell ref="AH167:AH168"/>
    <mergeCell ref="AI167:AK167"/>
    <mergeCell ref="AL167:AN167"/>
    <mergeCell ref="AO167:AQ167"/>
    <mergeCell ref="AR167:AT167"/>
    <mergeCell ref="AU167:AV167"/>
    <mergeCell ref="AW167:AX167"/>
    <mergeCell ref="AH207:AH208"/>
    <mergeCell ref="AI207:AK207"/>
    <mergeCell ref="AL207:AN207"/>
    <mergeCell ref="AO207:AQ207"/>
    <mergeCell ref="AR207:AT207"/>
    <mergeCell ref="AU207:AV207"/>
    <mergeCell ref="AW207:AX207"/>
    <mergeCell ref="AI243:AZ243"/>
    <mergeCell ref="AH244:AH245"/>
    <mergeCell ref="AI244:AK244"/>
    <mergeCell ref="AL244:AN244"/>
    <mergeCell ref="AO244:AQ244"/>
    <mergeCell ref="AR244:AT244"/>
    <mergeCell ref="AU244:AV244"/>
    <mergeCell ref="AW244:AX244"/>
    <mergeCell ref="AH284:AH285"/>
    <mergeCell ref="AI284:AK284"/>
    <mergeCell ref="AL284:AN284"/>
    <mergeCell ref="AO284:AQ284"/>
    <mergeCell ref="AR284:AT284"/>
    <mergeCell ref="AU284:AV284"/>
    <mergeCell ref="AW284:AX284"/>
    <mergeCell ref="AI324:AZ324"/>
    <mergeCell ref="AH325:AH326"/>
    <mergeCell ref="AI325:AK325"/>
    <mergeCell ref="AL325:AN325"/>
    <mergeCell ref="AO325:AQ325"/>
    <mergeCell ref="AR325:AT325"/>
    <mergeCell ref="AU325:AV325"/>
    <mergeCell ref="AW325:AX325"/>
    <mergeCell ref="AI366:AZ366"/>
    <mergeCell ref="AH367:AH368"/>
    <mergeCell ref="AI367:AK367"/>
    <mergeCell ref="AL367:AN367"/>
    <mergeCell ref="AO367:AQ367"/>
    <mergeCell ref="AR367:AT367"/>
    <mergeCell ref="AU367:AV367"/>
    <mergeCell ref="AW367:AX367"/>
    <mergeCell ref="AI405:AZ405"/>
    <mergeCell ref="AH406:AH407"/>
    <mergeCell ref="AI406:AK406"/>
    <mergeCell ref="AL406:AN406"/>
    <mergeCell ref="AO406:AQ406"/>
    <mergeCell ref="AR406:AT406"/>
    <mergeCell ref="AU406:AV406"/>
    <mergeCell ref="AW406:AX406"/>
    <mergeCell ref="AI443:AZ443"/>
    <mergeCell ref="AH444:AH445"/>
    <mergeCell ref="AI444:AK444"/>
    <mergeCell ref="AL444:AN444"/>
    <mergeCell ref="AO444:AQ444"/>
    <mergeCell ref="AR444:AT444"/>
    <mergeCell ref="AU444:AV444"/>
    <mergeCell ref="AW444:AX444"/>
    <mergeCell ref="AI479:AZ479"/>
    <mergeCell ref="AH480:AH481"/>
    <mergeCell ref="AI480:AK480"/>
    <mergeCell ref="AL480:AN480"/>
    <mergeCell ref="AO480:AQ480"/>
    <mergeCell ref="AR480:AT480"/>
    <mergeCell ref="AU480:AV480"/>
    <mergeCell ref="AW480:AX480"/>
    <mergeCell ref="AI516:AZ516"/>
    <mergeCell ref="AI590:AZ590"/>
    <mergeCell ref="AH591:AH592"/>
    <mergeCell ref="AI591:AK591"/>
    <mergeCell ref="AL591:AN591"/>
    <mergeCell ref="AO591:AQ591"/>
    <mergeCell ref="AR591:AT591"/>
    <mergeCell ref="AU591:AV591"/>
    <mergeCell ref="AW591:AX591"/>
    <mergeCell ref="AH517:AH518"/>
    <mergeCell ref="AI517:AK517"/>
    <mergeCell ref="AL517:AN517"/>
    <mergeCell ref="AO517:AQ517"/>
    <mergeCell ref="AR517:AT517"/>
    <mergeCell ref="AU517:AV517"/>
    <mergeCell ref="AW517:AX517"/>
    <mergeCell ref="AI554:AZ554"/>
    <mergeCell ref="AH555:AH556"/>
    <mergeCell ref="AI555:AK555"/>
    <mergeCell ref="AL555:AN555"/>
    <mergeCell ref="AO555:AQ555"/>
    <mergeCell ref="AR555:AT555"/>
    <mergeCell ref="AU555:AV555"/>
    <mergeCell ref="AW555:AX555"/>
    <mergeCell ref="AH629:AH630"/>
    <mergeCell ref="AI629:AK629"/>
    <mergeCell ref="AL629:AN629"/>
    <mergeCell ref="AO629:AQ629"/>
    <mergeCell ref="AR629:AT629"/>
    <mergeCell ref="AU629:AV629"/>
    <mergeCell ref="AW629:AX629"/>
    <mergeCell ref="AI666:AZ666"/>
    <mergeCell ref="AH667:AH668"/>
    <mergeCell ref="AI667:AK667"/>
    <mergeCell ref="AL667:AN667"/>
    <mergeCell ref="AO667:AQ667"/>
    <mergeCell ref="AR667:AT667"/>
    <mergeCell ref="AU667:AV667"/>
    <mergeCell ref="AW667:AX667"/>
    <mergeCell ref="AI704:AZ704"/>
    <mergeCell ref="AH705:AH706"/>
    <mergeCell ref="AI705:AK705"/>
    <mergeCell ref="AL705:AN705"/>
    <mergeCell ref="AO705:AQ705"/>
    <mergeCell ref="AR705:AT705"/>
    <mergeCell ref="AU705:AV705"/>
    <mergeCell ref="AW705:AX705"/>
    <mergeCell ref="AI742:AZ742"/>
    <mergeCell ref="AH743:AH744"/>
    <mergeCell ref="AI743:AK743"/>
    <mergeCell ref="AL743:AN743"/>
    <mergeCell ref="AO743:AQ743"/>
    <mergeCell ref="AR743:AT743"/>
    <mergeCell ref="AU743:AV743"/>
    <mergeCell ref="AW743:AX743"/>
    <mergeCell ref="AI780:AZ780"/>
    <mergeCell ref="AH781:AH782"/>
    <mergeCell ref="AI781:AK781"/>
    <mergeCell ref="AL781:AN781"/>
    <mergeCell ref="AO781:AQ781"/>
    <mergeCell ref="AR781:AT781"/>
    <mergeCell ref="AU781:AV781"/>
    <mergeCell ref="AW781:AX781"/>
    <mergeCell ref="AI856:AZ856"/>
    <mergeCell ref="AH857:AH858"/>
    <mergeCell ref="AI857:AK857"/>
    <mergeCell ref="AL857:AN857"/>
    <mergeCell ref="AO857:AQ857"/>
    <mergeCell ref="AR857:AT857"/>
    <mergeCell ref="AU857:AV857"/>
    <mergeCell ref="AW857:AX857"/>
    <mergeCell ref="AI818:AZ818"/>
    <mergeCell ref="AH819:AH820"/>
    <mergeCell ref="AI819:AK819"/>
    <mergeCell ref="AL819:AN819"/>
    <mergeCell ref="AO819:AQ819"/>
    <mergeCell ref="AR819:AT819"/>
    <mergeCell ref="AU819:AV819"/>
    <mergeCell ref="AW819:AX819"/>
    <mergeCell ref="AI895:AZ895"/>
    <mergeCell ref="AH896:AH897"/>
    <mergeCell ref="AI896:AK896"/>
    <mergeCell ref="AL896:AN896"/>
    <mergeCell ref="AO896:AQ896"/>
    <mergeCell ref="AR896:AT896"/>
    <mergeCell ref="AU896:AV896"/>
    <mergeCell ref="AW896:AX896"/>
    <mergeCell ref="AI934:AZ934"/>
    <mergeCell ref="AH935:AH936"/>
    <mergeCell ref="AI935:AK935"/>
    <mergeCell ref="AL935:AN935"/>
    <mergeCell ref="AO935:AQ935"/>
    <mergeCell ref="AR935:AT935"/>
    <mergeCell ref="AU935:AV935"/>
    <mergeCell ref="AW935:AX935"/>
    <mergeCell ref="AI972:AZ972"/>
    <mergeCell ref="AH973:AH974"/>
    <mergeCell ref="AI973:AK973"/>
    <mergeCell ref="AL973:AN973"/>
    <mergeCell ref="AO973:AQ973"/>
    <mergeCell ref="AR973:AT973"/>
    <mergeCell ref="AU973:AV973"/>
    <mergeCell ref="AW973:AX973"/>
    <mergeCell ref="AI1086:AZ1086"/>
    <mergeCell ref="AH1087:AH1088"/>
    <mergeCell ref="AI1087:AK1087"/>
    <mergeCell ref="AL1087:AN1087"/>
    <mergeCell ref="AO1087:AQ1087"/>
    <mergeCell ref="AR1087:AT1087"/>
    <mergeCell ref="AU1087:AV1087"/>
    <mergeCell ref="AW1087:AX1087"/>
    <mergeCell ref="AI1010:AZ1010"/>
    <mergeCell ref="AH1011:AH1012"/>
    <mergeCell ref="AI1011:AK1011"/>
    <mergeCell ref="AL1011:AN1011"/>
    <mergeCell ref="AO1011:AQ1011"/>
    <mergeCell ref="AR1011:AT1011"/>
    <mergeCell ref="AU1011:AV1011"/>
    <mergeCell ref="AW1011:AX1011"/>
    <mergeCell ref="AI1048:AZ1048"/>
    <mergeCell ref="AH4:AZ4"/>
    <mergeCell ref="AI1124:AZ1124"/>
    <mergeCell ref="AH1125:AH1126"/>
    <mergeCell ref="AI1125:AK1125"/>
    <mergeCell ref="AL1125:AN1125"/>
    <mergeCell ref="AO1125:AQ1125"/>
    <mergeCell ref="AR1125:AT1125"/>
    <mergeCell ref="AU1125:AV1125"/>
    <mergeCell ref="AW1125:AX1125"/>
    <mergeCell ref="AI5:AZ5"/>
    <mergeCell ref="AH6:AH7"/>
    <mergeCell ref="AI6:AK6"/>
    <mergeCell ref="AL6:AN6"/>
    <mergeCell ref="AO6:AQ6"/>
    <mergeCell ref="AR6:AT6"/>
    <mergeCell ref="AU6:AV6"/>
    <mergeCell ref="AW6:AX6"/>
    <mergeCell ref="AH1049:AH1050"/>
    <mergeCell ref="AI1049:AK1049"/>
    <mergeCell ref="AL1049:AN1049"/>
    <mergeCell ref="AO1049:AQ1049"/>
    <mergeCell ref="AR1049:AT1049"/>
    <mergeCell ref="AU1049:AV1049"/>
    <mergeCell ref="AW1049:AX1049"/>
    <mergeCell ref="B1198:Y1198"/>
    <mergeCell ref="A1199:A1200"/>
    <mergeCell ref="B1199:E1199"/>
    <mergeCell ref="F1199:H1199"/>
    <mergeCell ref="I1199:J1199"/>
    <mergeCell ref="K1199:Q1199"/>
    <mergeCell ref="R1199:S1199"/>
    <mergeCell ref="T1199:U1199"/>
    <mergeCell ref="B1235:Y1235"/>
    <mergeCell ref="A1236:A1237"/>
    <mergeCell ref="B1236:E1236"/>
    <mergeCell ref="F1236:H1236"/>
    <mergeCell ref="I1236:J1236"/>
    <mergeCell ref="K1236:Q1236"/>
    <mergeCell ref="R1236:S1236"/>
    <mergeCell ref="T1236:U1236"/>
    <mergeCell ref="B1272:Y1272"/>
    <mergeCell ref="A1273:A1274"/>
    <mergeCell ref="B1273:E1273"/>
    <mergeCell ref="F1273:H1273"/>
    <mergeCell ref="I1273:J1273"/>
    <mergeCell ref="K1273:Q1273"/>
    <mergeCell ref="R1273:S1273"/>
    <mergeCell ref="T1273:U1273"/>
    <mergeCell ref="B1309:Y1309"/>
    <mergeCell ref="A1310:A1311"/>
    <mergeCell ref="B1310:E1310"/>
    <mergeCell ref="F1310:H1310"/>
    <mergeCell ref="I1310:J1310"/>
    <mergeCell ref="K1310:Q1310"/>
    <mergeCell ref="R1310:S1310"/>
    <mergeCell ref="T1310:U1310"/>
    <mergeCell ref="B1346:Y1346"/>
    <mergeCell ref="A1347:A1348"/>
    <mergeCell ref="B1347:E1347"/>
    <mergeCell ref="F1347:H1347"/>
    <mergeCell ref="I1347:J1347"/>
    <mergeCell ref="K1347:Q1347"/>
    <mergeCell ref="R1347:S1347"/>
    <mergeCell ref="T1347:U1347"/>
    <mergeCell ref="B1383:Y1383"/>
    <mergeCell ref="A1384:A1385"/>
    <mergeCell ref="B1384:E1384"/>
    <mergeCell ref="F1384:H1384"/>
    <mergeCell ref="I1384:J1384"/>
    <mergeCell ref="K1384:Q1384"/>
    <mergeCell ref="R1384:S1384"/>
    <mergeCell ref="T1384:U1384"/>
    <mergeCell ref="A1457:A1458"/>
    <mergeCell ref="B1457:E1457"/>
    <mergeCell ref="F1457:H1457"/>
    <mergeCell ref="I1457:J1457"/>
    <mergeCell ref="K1457:Q1457"/>
    <mergeCell ref="R1457:S1457"/>
    <mergeCell ref="T1457:U1457"/>
    <mergeCell ref="B1419:Y1419"/>
    <mergeCell ref="A1420:A1421"/>
    <mergeCell ref="B1420:E1420"/>
    <mergeCell ref="F1420:H1420"/>
    <mergeCell ref="I1420:J1420"/>
    <mergeCell ref="K1420:Q1420"/>
    <mergeCell ref="R1420:S1420"/>
    <mergeCell ref="T1420:U1420"/>
    <mergeCell ref="B1456:Y1456"/>
  </mergeCells>
  <conditionalFormatting sqref="Z86:AD89">
    <cfRule type="duplicateValues" dxfId="650" priority="26"/>
  </conditionalFormatting>
  <conditionalFormatting sqref="Z240:AD240">
    <cfRule type="duplicateValues" dxfId="649" priority="22"/>
  </conditionalFormatting>
  <conditionalFormatting sqref="Z513:AD513">
    <cfRule type="duplicateValues" dxfId="648" priority="15"/>
  </conditionalFormatting>
  <conditionalFormatting sqref="Z700:AD700">
    <cfRule type="duplicateValues" dxfId="647" priority="12"/>
  </conditionalFormatting>
  <conditionalFormatting sqref="Z39:AC39">
    <cfRule type="duplicateValues" dxfId="646" priority="2"/>
  </conditionalFormatting>
  <printOptions horizontalCentered="1" verticalCentered="1"/>
  <pageMargins left="0" right="0.23622047244094499" top="0.511811023622047" bottom="0" header="0" footer="0"/>
  <pageSetup paperSize="9" scale="36" orientation="landscape" cellComments="asDisplayed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R67"/>
  <sheetViews>
    <sheetView topLeftCell="G30" zoomScale="90" zoomScaleNormal="90" workbookViewId="0">
      <selection activeCell="Q43" sqref="Q43"/>
    </sheetView>
  </sheetViews>
  <sheetFormatPr defaultRowHeight="15"/>
  <cols>
    <col min="1" max="1" width="33.42578125" bestFit="1" customWidth="1"/>
    <col min="2" max="2" width="20.140625" bestFit="1" customWidth="1"/>
    <col min="3" max="3" width="20.7109375" customWidth="1"/>
    <col min="4" max="4" width="20.140625" bestFit="1" customWidth="1"/>
    <col min="5" max="5" width="4.7109375" customWidth="1"/>
    <col min="6" max="6" width="29.140625" bestFit="1" customWidth="1"/>
    <col min="7" max="7" width="17.7109375" customWidth="1"/>
    <col min="8" max="9" width="19.140625" bestFit="1" customWidth="1"/>
    <col min="10" max="11" width="17.7109375" customWidth="1"/>
    <col min="12" max="12" width="19.140625" bestFit="1" customWidth="1"/>
    <col min="13" max="14" width="17.7109375" customWidth="1"/>
    <col min="15" max="15" width="7.7109375" customWidth="1"/>
    <col min="16" max="16" width="28.7109375" customWidth="1"/>
    <col min="17" max="17" width="20.7109375" customWidth="1"/>
    <col min="18" max="18" width="7.7109375" customWidth="1"/>
    <col min="19" max="19" width="32.7109375" customWidth="1"/>
    <col min="20" max="20" width="21.5703125" bestFit="1" customWidth="1"/>
    <col min="21" max="24" width="17.7109375" customWidth="1"/>
    <col min="25" max="25" width="14.7109375" customWidth="1"/>
    <col min="26" max="26" width="21" bestFit="1" customWidth="1"/>
    <col min="27" max="27" width="20.140625" bestFit="1" customWidth="1"/>
    <col min="28" max="33" width="19.7109375" customWidth="1"/>
    <col min="34" max="36" width="17.7109375" customWidth="1"/>
    <col min="37" max="37" width="13" bestFit="1" customWidth="1"/>
    <col min="38" max="38" width="17.140625" hidden="1" customWidth="1"/>
    <col min="39" max="39" width="15.7109375" hidden="1" customWidth="1"/>
    <col min="40" max="40" width="13" hidden="1" customWidth="1"/>
  </cols>
  <sheetData>
    <row r="1" spans="1:36">
      <c r="E1" s="5"/>
    </row>
    <row r="2" spans="1:36">
      <c r="E2" s="5"/>
    </row>
    <row r="3" spans="1:36" ht="15.75" thickBot="1">
      <c r="C3" t="s">
        <v>1</v>
      </c>
      <c r="E3" s="5" t="s">
        <v>1</v>
      </c>
      <c r="F3" t="s">
        <v>1</v>
      </c>
      <c r="N3" t="s">
        <v>1</v>
      </c>
      <c r="S3" t="s">
        <v>1</v>
      </c>
      <c r="U3" t="s">
        <v>1</v>
      </c>
    </row>
    <row r="4" spans="1:36" ht="20.100000000000001" customHeight="1" thickTop="1">
      <c r="B4" t="s">
        <v>1</v>
      </c>
      <c r="D4" t="s">
        <v>1</v>
      </c>
      <c r="E4" t="s">
        <v>1</v>
      </c>
      <c r="P4" s="617" t="s">
        <v>108</v>
      </c>
      <c r="Q4" s="618">
        <f>Q9+Q10+Q19+Q20+Q21+Q22+Q8</f>
        <v>0</v>
      </c>
    </row>
    <row r="5" spans="1:36" ht="20.100000000000001" customHeight="1" thickBot="1">
      <c r="P5" s="619" t="s">
        <v>109</v>
      </c>
      <c r="Q5" s="620">
        <f>Q25+Q26+Q27+Q28+Q29+Q30+Q31</f>
        <v>0</v>
      </c>
    </row>
    <row r="6" spans="1:36" ht="48" customHeight="1" thickTop="1" thickBot="1">
      <c r="A6" s="1502">
        <f>'Main Page'!E17</f>
        <v>44866</v>
      </c>
      <c r="B6" s="1507"/>
      <c r="C6" s="1507"/>
      <c r="D6" s="1507"/>
      <c r="E6" s="1507"/>
      <c r="F6" s="1507"/>
      <c r="G6" s="1507"/>
      <c r="H6" s="1507"/>
      <c r="I6" s="1507"/>
      <c r="J6" s="1507"/>
      <c r="K6" s="1507"/>
      <c r="L6" s="1507"/>
      <c r="M6" s="1507"/>
      <c r="N6" s="1507"/>
      <c r="O6" s="1507"/>
      <c r="P6" s="1508"/>
      <c r="Q6" s="1509"/>
      <c r="R6" t="s">
        <v>1</v>
      </c>
      <c r="S6" s="1502">
        <f>A6</f>
        <v>44866</v>
      </c>
      <c r="T6" s="1503"/>
      <c r="U6" s="1503"/>
      <c r="V6" s="1503"/>
      <c r="W6" s="1503"/>
      <c r="X6" s="1503"/>
      <c r="Y6" s="1503"/>
      <c r="Z6" s="1503"/>
      <c r="AA6" s="1503"/>
      <c r="AB6" s="1503"/>
      <c r="AC6" s="1503"/>
      <c r="AD6" s="1503"/>
      <c r="AE6" s="1504"/>
    </row>
    <row r="7" spans="1:36" ht="43.5" thickTop="1" thickBot="1">
      <c r="A7" s="1505" t="s">
        <v>110</v>
      </c>
      <c r="B7" s="1506"/>
      <c r="C7" s="367" t="s">
        <v>97</v>
      </c>
      <c r="D7" s="368" t="s">
        <v>74</v>
      </c>
      <c r="F7" s="363" t="s">
        <v>111</v>
      </c>
      <c r="G7" s="364" t="s">
        <v>112</v>
      </c>
      <c r="H7" s="365" t="s">
        <v>113</v>
      </c>
      <c r="I7" s="365" t="s">
        <v>26</v>
      </c>
      <c r="J7" s="365" t="s">
        <v>114</v>
      </c>
      <c r="K7" s="366" t="s">
        <v>115</v>
      </c>
      <c r="L7" s="365" t="s">
        <v>116</v>
      </c>
      <c r="M7" s="365" t="s">
        <v>117</v>
      </c>
      <c r="N7" s="365" t="s">
        <v>118</v>
      </c>
      <c r="P7" s="1510" t="s">
        <v>69</v>
      </c>
      <c r="Q7" s="1511"/>
      <c r="S7" s="380" t="s">
        <v>58</v>
      </c>
      <c r="T7" s="380" t="s">
        <v>59</v>
      </c>
      <c r="U7" s="380" t="s">
        <v>119</v>
      </c>
      <c r="V7" s="380" t="s">
        <v>74</v>
      </c>
      <c r="W7" s="380" t="s">
        <v>120</v>
      </c>
      <c r="X7" s="380" t="s">
        <v>59</v>
      </c>
      <c r="Z7" s="367" t="s">
        <v>121</v>
      </c>
      <c r="AA7" s="367"/>
      <c r="AB7" s="415" t="s">
        <v>122</v>
      </c>
      <c r="AC7" s="416" t="s">
        <v>90</v>
      </c>
      <c r="AD7" s="367" t="s">
        <v>56</v>
      </c>
      <c r="AE7" s="416" t="s">
        <v>100</v>
      </c>
      <c r="AF7" s="560" t="s">
        <v>122</v>
      </c>
      <c r="AG7" s="570" t="s">
        <v>56</v>
      </c>
      <c r="AI7" s="1487" t="s">
        <v>123</v>
      </c>
      <c r="AJ7" s="1488"/>
    </row>
    <row r="8" spans="1:36" ht="27" customHeight="1" thickTop="1" thickBot="1">
      <c r="A8" s="717"/>
      <c r="B8" s="233"/>
      <c r="C8" s="463"/>
      <c r="D8" s="525"/>
      <c r="F8" s="478" t="s">
        <v>93</v>
      </c>
      <c r="G8" s="405">
        <f>'CUSTOMERS REPORT'!Y8</f>
        <v>0</v>
      </c>
      <c r="H8" s="503">
        <f>'CUSTOMERS REPORT'!Z8</f>
        <v>0</v>
      </c>
      <c r="I8" s="497">
        <f>'CUSTOMERS REPORT'!AA8</f>
        <v>0</v>
      </c>
      <c r="J8" s="497">
        <f>'CUSTOMERS REPORT'!AB8</f>
        <v>0</v>
      </c>
      <c r="K8" s="497">
        <f>'CUSTOMERS REPORT'!AC8</f>
        <v>0</v>
      </c>
      <c r="L8" s="503">
        <f>'CUSTOMERS REPORT'!AD8</f>
        <v>0</v>
      </c>
      <c r="M8" s="413">
        <f t="shared" ref="M8:M45" si="0">G8</f>
        <v>0</v>
      </c>
      <c r="N8" s="411">
        <f t="shared" ref="N8:N45" si="1">J8</f>
        <v>0</v>
      </c>
      <c r="P8" s="191" t="s">
        <v>124</v>
      </c>
      <c r="Q8" s="223"/>
      <c r="S8" s="1036" t="s">
        <v>125</v>
      </c>
      <c r="T8" s="446"/>
      <c r="U8" s="455"/>
      <c r="V8" s="450">
        <f t="shared" ref="V8:V43" si="2">SUM(T8:U8)</f>
        <v>0</v>
      </c>
      <c r="W8" s="450"/>
      <c r="X8" s="446">
        <f t="shared" ref="X8:X43" si="3">V8-W8</f>
        <v>0</v>
      </c>
      <c r="Z8" s="382" t="s">
        <v>210</v>
      </c>
      <c r="AA8" s="463"/>
      <c r="AB8" s="459"/>
      <c r="AC8" s="233">
        <f t="shared" ref="AC8:AC20" si="4">AA8+AB8</f>
        <v>0</v>
      </c>
      <c r="AD8" s="468"/>
      <c r="AE8" s="556">
        <f t="shared" ref="AE8:AE42" si="5">AC8-AD8</f>
        <v>0</v>
      </c>
      <c r="AF8" s="459">
        <f t="shared" ref="AF8:AF42" si="6">AB8</f>
        <v>0</v>
      </c>
      <c r="AG8" s="233">
        <f>AD8</f>
        <v>0</v>
      </c>
      <c r="AI8" s="391" t="s">
        <v>126</v>
      </c>
      <c r="AJ8" s="392"/>
    </row>
    <row r="9" spans="1:36" ht="27" customHeight="1" thickTop="1">
      <c r="A9" s="718"/>
      <c r="B9" s="526"/>
      <c r="C9" s="348"/>
      <c r="D9" s="527"/>
      <c r="F9" s="479" t="s">
        <v>103</v>
      </c>
      <c r="G9" s="406">
        <f>'CUSTOMERS REPORT'!Y54</f>
        <v>0</v>
      </c>
      <c r="H9" s="504">
        <f>'CUSTOMERS REPORT'!Z54</f>
        <v>0</v>
      </c>
      <c r="I9" s="498">
        <f>'CUSTOMERS REPORT'!AA54</f>
        <v>0</v>
      </c>
      <c r="J9" s="498">
        <f>'CUSTOMERS REPORT'!AB54</f>
        <v>0</v>
      </c>
      <c r="K9" s="498">
        <f>'CUSTOMERS REPORT'!AC54</f>
        <v>0</v>
      </c>
      <c r="L9" s="504">
        <f>'CUSTOMERS REPORT'!AD54</f>
        <v>0</v>
      </c>
      <c r="M9" s="414">
        <f t="shared" si="0"/>
        <v>0</v>
      </c>
      <c r="N9" s="412">
        <f t="shared" si="1"/>
        <v>0</v>
      </c>
      <c r="P9" s="432"/>
      <c r="Q9" s="436"/>
      <c r="S9" s="1037" t="s">
        <v>127</v>
      </c>
      <c r="T9" s="447"/>
      <c r="U9" s="456"/>
      <c r="V9" s="451">
        <f t="shared" si="2"/>
        <v>0</v>
      </c>
      <c r="W9" s="451"/>
      <c r="X9" s="447">
        <f t="shared" si="3"/>
        <v>0</v>
      </c>
      <c r="Z9" s="375" t="s">
        <v>211</v>
      </c>
      <c r="AA9" s="348"/>
      <c r="AB9" s="460"/>
      <c r="AC9" s="462">
        <f t="shared" si="4"/>
        <v>0</v>
      </c>
      <c r="AD9" s="469"/>
      <c r="AE9" s="465">
        <f t="shared" si="5"/>
        <v>0</v>
      </c>
      <c r="AF9" s="460">
        <f t="shared" si="6"/>
        <v>0</v>
      </c>
      <c r="AG9" s="234">
        <f>AD9</f>
        <v>0</v>
      </c>
      <c r="AI9" s="393" t="s">
        <v>128</v>
      </c>
      <c r="AJ9" s="394">
        <f>'1'!B26</f>
        <v>0</v>
      </c>
    </row>
    <row r="10" spans="1:36" ht="27" customHeight="1" thickBot="1">
      <c r="A10" s="718"/>
      <c r="B10" s="528"/>
      <c r="C10" s="350"/>
      <c r="D10" s="527"/>
      <c r="F10" s="479" t="s">
        <v>104</v>
      </c>
      <c r="G10" s="406">
        <f>'CUSTOMERS REPORT'!Y92</f>
        <v>0</v>
      </c>
      <c r="H10" s="504">
        <f>'CUSTOMERS REPORT'!Z92</f>
        <v>0</v>
      </c>
      <c r="I10" s="498">
        <f>'CUSTOMERS REPORT'!AA92</f>
        <v>0</v>
      </c>
      <c r="J10" s="498">
        <f>'CUSTOMERS REPORT'!AB92</f>
        <v>0</v>
      </c>
      <c r="K10" s="498">
        <f>'CUSTOMERS REPORT'!AC92</f>
        <v>0</v>
      </c>
      <c r="L10" s="504">
        <f>'CUSTOMERS REPORT'!AD92</f>
        <v>0</v>
      </c>
      <c r="M10" s="414">
        <f t="shared" si="0"/>
        <v>0</v>
      </c>
      <c r="N10" s="412">
        <f t="shared" si="1"/>
        <v>0</v>
      </c>
      <c r="P10" s="433"/>
      <c r="Q10" s="437"/>
      <c r="S10" s="1037" t="s">
        <v>129</v>
      </c>
      <c r="T10" s="447"/>
      <c r="U10" s="456"/>
      <c r="V10" s="451">
        <f t="shared" si="2"/>
        <v>0</v>
      </c>
      <c r="W10" s="451"/>
      <c r="X10" s="447">
        <f t="shared" si="3"/>
        <v>0</v>
      </c>
      <c r="Z10" s="375" t="s">
        <v>212</v>
      </c>
      <c r="AA10" s="348"/>
      <c r="AB10" s="460"/>
      <c r="AC10" s="462">
        <f t="shared" si="4"/>
        <v>0</v>
      </c>
      <c r="AD10" s="469"/>
      <c r="AE10" s="465">
        <f t="shared" si="5"/>
        <v>0</v>
      </c>
      <c r="AF10" s="460">
        <f t="shared" si="6"/>
        <v>0</v>
      </c>
      <c r="AG10" s="234">
        <f t="shared" ref="AG10:AG42" si="7">AD10</f>
        <v>0</v>
      </c>
      <c r="AI10" s="395" t="s">
        <v>74</v>
      </c>
      <c r="AJ10" s="396">
        <f>AJ8+AJ9</f>
        <v>0</v>
      </c>
    </row>
    <row r="11" spans="1:36" ht="27" customHeight="1" thickTop="1" thickBot="1">
      <c r="A11" s="718"/>
      <c r="B11" s="528"/>
      <c r="C11" s="350"/>
      <c r="D11" s="527"/>
      <c r="F11" s="479" t="s">
        <v>260</v>
      </c>
      <c r="G11" s="406">
        <f>'CUSTOMERS REPORT'!Y93</f>
        <v>0</v>
      </c>
      <c r="H11" s="504">
        <f>'CUSTOMERS REPORT'!Z131</f>
        <v>0</v>
      </c>
      <c r="I11" s="498">
        <f>'CUSTOMERS REPORT'!AA131</f>
        <v>0</v>
      </c>
      <c r="J11" s="498">
        <f>'CUSTOMERS REPORT'!AB131</f>
        <v>0</v>
      </c>
      <c r="K11" s="498">
        <f>'CUSTOMERS REPORT'!AC131</f>
        <v>0</v>
      </c>
      <c r="L11" s="504">
        <f>'CUSTOMERS REPORT'!AD131</f>
        <v>0</v>
      </c>
      <c r="M11" s="414">
        <f t="shared" si="0"/>
        <v>0</v>
      </c>
      <c r="N11" s="412">
        <f t="shared" si="1"/>
        <v>0</v>
      </c>
      <c r="P11" s="433"/>
      <c r="Q11" s="437"/>
      <c r="S11" s="1037" t="s">
        <v>130</v>
      </c>
      <c r="T11" s="447"/>
      <c r="U11" s="456"/>
      <c r="V11" s="451">
        <f t="shared" si="2"/>
        <v>0</v>
      </c>
      <c r="W11" s="451"/>
      <c r="X11" s="447">
        <f t="shared" si="3"/>
        <v>0</v>
      </c>
      <c r="Z11" s="375" t="s">
        <v>348</v>
      </c>
      <c r="AA11" s="348"/>
      <c r="AB11" s="734"/>
      <c r="AC11" s="462">
        <f t="shared" si="4"/>
        <v>0</v>
      </c>
      <c r="AD11" s="469"/>
      <c r="AE11" s="465">
        <f t="shared" si="5"/>
        <v>0</v>
      </c>
      <c r="AF11" s="460"/>
      <c r="AG11" s="234"/>
      <c r="AI11" s="1031"/>
      <c r="AJ11" s="1032"/>
    </row>
    <row r="12" spans="1:36" ht="27" customHeight="1">
      <c r="A12" s="718"/>
      <c r="B12" s="528"/>
      <c r="C12" s="350"/>
      <c r="D12" s="527"/>
      <c r="F12" s="479" t="s">
        <v>105</v>
      </c>
      <c r="G12" s="406">
        <f>'CUSTOMERS REPORT'!Y169</f>
        <v>0</v>
      </c>
      <c r="H12" s="504">
        <f>'CUSTOMERS REPORT'!Z169</f>
        <v>0</v>
      </c>
      <c r="I12" s="498">
        <f>'CUSTOMERS REPORT'!AA169</f>
        <v>0</v>
      </c>
      <c r="J12" s="498">
        <f>'CUSTOMERS REPORT'!AB169</f>
        <v>0</v>
      </c>
      <c r="K12" s="498">
        <f>'CUSTOMERS REPORT'!AC169</f>
        <v>0</v>
      </c>
      <c r="L12" s="504">
        <f>'CUSTOMERS REPORT'!AD169</f>
        <v>0</v>
      </c>
      <c r="M12" s="414">
        <f t="shared" si="0"/>
        <v>0</v>
      </c>
      <c r="N12" s="412">
        <f t="shared" si="1"/>
        <v>0</v>
      </c>
      <c r="P12" s="433"/>
      <c r="Q12" s="437"/>
      <c r="S12" s="1037" t="s">
        <v>131</v>
      </c>
      <c r="T12" s="447"/>
      <c r="U12" s="456"/>
      <c r="V12" s="451">
        <f t="shared" si="2"/>
        <v>0</v>
      </c>
      <c r="W12" s="451"/>
      <c r="X12" s="447">
        <f t="shared" si="3"/>
        <v>0</v>
      </c>
      <c r="Z12" s="375" t="s">
        <v>213</v>
      </c>
      <c r="AA12" s="348"/>
      <c r="AB12" s="460"/>
      <c r="AC12" s="462">
        <f t="shared" si="4"/>
        <v>0</v>
      </c>
      <c r="AD12" s="469"/>
      <c r="AE12" s="465">
        <f t="shared" si="5"/>
        <v>0</v>
      </c>
      <c r="AF12" s="460"/>
      <c r="AG12" s="234"/>
      <c r="AI12" s="1491"/>
      <c r="AJ12" s="1492"/>
    </row>
    <row r="13" spans="1:36" ht="27" customHeight="1">
      <c r="A13" s="718"/>
      <c r="B13" s="528"/>
      <c r="C13" s="350"/>
      <c r="D13" s="527"/>
      <c r="F13" s="479" t="s">
        <v>181</v>
      </c>
      <c r="G13" s="406">
        <f>'CUSTOMERS REPORT'!Y95</f>
        <v>0</v>
      </c>
      <c r="H13" s="504">
        <f>'CUSTOMERS REPORT'!Z209</f>
        <v>0</v>
      </c>
      <c r="I13" s="498">
        <f>'CUSTOMERS REPORT'!AA209</f>
        <v>0</v>
      </c>
      <c r="J13" s="498">
        <f>'CUSTOMERS REPORT'!AB209</f>
        <v>0</v>
      </c>
      <c r="K13" s="498">
        <f>'CUSTOMERS REPORT'!AC209</f>
        <v>0</v>
      </c>
      <c r="L13" s="504">
        <f>'CUSTOMERS REPORT'!AD209</f>
        <v>0</v>
      </c>
      <c r="M13" s="414">
        <f t="shared" si="0"/>
        <v>0</v>
      </c>
      <c r="N13" s="412">
        <f t="shared" si="1"/>
        <v>0</v>
      </c>
      <c r="P13" s="433"/>
      <c r="Q13" s="437"/>
      <c r="S13" s="1037" t="s">
        <v>133</v>
      </c>
      <c r="T13" s="447"/>
      <c r="U13" s="456"/>
      <c r="V13" s="451">
        <f t="shared" si="2"/>
        <v>0</v>
      </c>
      <c r="W13" s="451"/>
      <c r="X13" s="447">
        <f t="shared" si="3"/>
        <v>0</v>
      </c>
      <c r="Z13" s="375" t="s">
        <v>214</v>
      </c>
      <c r="AA13" s="348"/>
      <c r="AB13" s="460"/>
      <c r="AC13" s="462">
        <f t="shared" si="4"/>
        <v>0</v>
      </c>
      <c r="AD13" s="469"/>
      <c r="AE13" s="465">
        <f t="shared" si="5"/>
        <v>0</v>
      </c>
      <c r="AF13" s="460"/>
      <c r="AG13" s="234"/>
      <c r="AI13" s="1493"/>
      <c r="AJ13" s="1494"/>
    </row>
    <row r="14" spans="1:36" ht="27" customHeight="1">
      <c r="A14" s="718"/>
      <c r="B14" s="528"/>
      <c r="C14" s="350"/>
      <c r="D14" s="527"/>
      <c r="F14" s="479" t="s">
        <v>218</v>
      </c>
      <c r="G14" s="406">
        <f>'CUSTOMERS REPORT'!Y246</f>
        <v>0</v>
      </c>
      <c r="H14" s="504">
        <f>'CUSTOMERS REPORT'!Z246</f>
        <v>0</v>
      </c>
      <c r="I14" s="498">
        <f>'CUSTOMERS REPORT'!AA246</f>
        <v>0</v>
      </c>
      <c r="J14" s="498">
        <f>'CUSTOMERS REPORT'!AB246</f>
        <v>0</v>
      </c>
      <c r="K14" s="498">
        <f>'CUSTOMERS REPORT'!AC246</f>
        <v>0</v>
      </c>
      <c r="L14" s="504">
        <f>'CUSTOMERS REPORT'!AD246</f>
        <v>0</v>
      </c>
      <c r="M14" s="414">
        <f t="shared" si="0"/>
        <v>0</v>
      </c>
      <c r="N14" s="412">
        <f t="shared" si="1"/>
        <v>0</v>
      </c>
      <c r="P14" s="433"/>
      <c r="Q14" s="437"/>
      <c r="S14" s="1037" t="s">
        <v>134</v>
      </c>
      <c r="T14" s="447"/>
      <c r="U14" s="456"/>
      <c r="V14" s="451">
        <f t="shared" si="2"/>
        <v>0</v>
      </c>
      <c r="W14" s="451"/>
      <c r="X14" s="447">
        <f t="shared" si="3"/>
        <v>0</v>
      </c>
      <c r="Z14" s="375" t="s">
        <v>294</v>
      </c>
      <c r="AA14" s="348"/>
      <c r="AB14" s="460"/>
      <c r="AC14" s="462">
        <f t="shared" si="4"/>
        <v>0</v>
      </c>
      <c r="AD14" s="469"/>
      <c r="AE14" s="465">
        <f t="shared" si="5"/>
        <v>0</v>
      </c>
      <c r="AF14" s="460"/>
      <c r="AG14" s="234"/>
      <c r="AI14" s="1085"/>
      <c r="AJ14" s="1086"/>
    </row>
    <row r="15" spans="1:36" ht="27" customHeight="1">
      <c r="A15" s="718"/>
      <c r="B15" s="528"/>
      <c r="C15" s="350"/>
      <c r="D15" s="527"/>
      <c r="F15" s="480" t="s">
        <v>195</v>
      </c>
      <c r="G15" s="406">
        <f>'CUSTOMERS REPORT'!Y286</f>
        <v>0</v>
      </c>
      <c r="H15" s="504">
        <f>'CUSTOMERS REPORT'!Z286</f>
        <v>0</v>
      </c>
      <c r="I15" s="498">
        <f>'CUSTOMERS REPORT'!AA286</f>
        <v>0</v>
      </c>
      <c r="J15" s="498">
        <f>'CUSTOMERS REPORT'!AB286</f>
        <v>0</v>
      </c>
      <c r="K15" s="498">
        <f>'CUSTOMERS REPORT'!AC286</f>
        <v>0</v>
      </c>
      <c r="L15" s="504">
        <f>'CUSTOMERS REPORT'!AD286</f>
        <v>0</v>
      </c>
      <c r="M15" s="414">
        <f t="shared" si="0"/>
        <v>0</v>
      </c>
      <c r="N15" s="412">
        <f t="shared" si="1"/>
        <v>0</v>
      </c>
      <c r="P15" s="433"/>
      <c r="Q15" s="437"/>
      <c r="S15" s="1037" t="s">
        <v>135</v>
      </c>
      <c r="T15" s="447"/>
      <c r="U15" s="456"/>
      <c r="V15" s="451">
        <f t="shared" si="2"/>
        <v>0</v>
      </c>
      <c r="W15" s="451"/>
      <c r="X15" s="447">
        <f t="shared" si="3"/>
        <v>0</v>
      </c>
      <c r="Z15" s="375" t="s">
        <v>346</v>
      </c>
      <c r="AA15" s="348"/>
      <c r="AB15" s="460"/>
      <c r="AC15" s="462">
        <f t="shared" si="4"/>
        <v>0</v>
      </c>
      <c r="AD15" s="469"/>
      <c r="AE15" s="465">
        <f t="shared" si="5"/>
        <v>0</v>
      </c>
      <c r="AF15" s="460"/>
      <c r="AG15" s="234"/>
      <c r="AI15" s="1087"/>
      <c r="AJ15" s="1086"/>
    </row>
    <row r="16" spans="1:36" ht="27" customHeight="1">
      <c r="A16" s="718"/>
      <c r="B16" s="528"/>
      <c r="C16" s="350"/>
      <c r="D16" s="527"/>
      <c r="F16" s="479" t="s">
        <v>441</v>
      </c>
      <c r="G16" s="406">
        <f>'CUSTOMERS REPORT'!Y98</f>
        <v>0</v>
      </c>
      <c r="H16" s="504">
        <f>'CUSTOMERS REPORT'!Z327</f>
        <v>0</v>
      </c>
      <c r="I16" s="498">
        <f>'CUSTOMERS REPORT'!AA327</f>
        <v>0</v>
      </c>
      <c r="J16" s="498">
        <f>'CUSTOMERS REPORT'!AB327</f>
        <v>0</v>
      </c>
      <c r="K16" s="498">
        <f>'CUSTOMERS REPORT'!AC327</f>
        <v>0</v>
      </c>
      <c r="L16" s="504">
        <f>'CUSTOMERS REPORT'!AD327</f>
        <v>0</v>
      </c>
      <c r="M16" s="414">
        <f t="shared" si="0"/>
        <v>0</v>
      </c>
      <c r="N16" s="412">
        <f t="shared" si="1"/>
        <v>0</v>
      </c>
      <c r="P16" s="433"/>
      <c r="Q16" s="437"/>
      <c r="S16" s="1037" t="s">
        <v>138</v>
      </c>
      <c r="T16" s="447"/>
      <c r="U16" s="456"/>
      <c r="V16" s="451">
        <f t="shared" si="2"/>
        <v>0</v>
      </c>
      <c r="W16" s="451"/>
      <c r="X16" s="447">
        <f t="shared" si="3"/>
        <v>0</v>
      </c>
      <c r="Z16" s="375" t="s">
        <v>145</v>
      </c>
      <c r="AA16" s="348"/>
      <c r="AB16" s="460"/>
      <c r="AC16" s="462">
        <f t="shared" si="4"/>
        <v>0</v>
      </c>
      <c r="AD16" s="469"/>
      <c r="AE16" s="465">
        <f t="shared" si="5"/>
        <v>0</v>
      </c>
      <c r="AF16" s="460"/>
      <c r="AG16" s="234"/>
      <c r="AI16" s="1088"/>
      <c r="AJ16" s="1086"/>
    </row>
    <row r="17" spans="1:36" ht="27" customHeight="1">
      <c r="A17" s="718"/>
      <c r="B17" s="528"/>
      <c r="C17" s="350"/>
      <c r="D17" s="527"/>
      <c r="F17" s="480" t="s">
        <v>296</v>
      </c>
      <c r="G17" s="406">
        <f>'CUSTOMERS REPORT'!Y99</f>
        <v>0</v>
      </c>
      <c r="H17" s="504">
        <f>'CUSTOMERS REPORT'!Z369</f>
        <v>0</v>
      </c>
      <c r="I17" s="498">
        <f>'CUSTOMERS REPORT'!AA369</f>
        <v>0</v>
      </c>
      <c r="J17" s="498">
        <f>'CUSTOMERS REPORT'!AB369</f>
        <v>0</v>
      </c>
      <c r="K17" s="498">
        <f>'CUSTOMERS REPORT'!AC369</f>
        <v>0</v>
      </c>
      <c r="L17" s="504">
        <f>'CUSTOMERS REPORT'!AD369</f>
        <v>0</v>
      </c>
      <c r="M17" s="414">
        <f t="shared" si="0"/>
        <v>0</v>
      </c>
      <c r="N17" s="412">
        <f t="shared" si="1"/>
        <v>0</v>
      </c>
      <c r="P17" s="433"/>
      <c r="Q17" s="437"/>
      <c r="S17" s="1037" t="s">
        <v>139</v>
      </c>
      <c r="T17" s="447"/>
      <c r="U17" s="456"/>
      <c r="V17" s="451">
        <f t="shared" si="2"/>
        <v>0</v>
      </c>
      <c r="W17" s="451"/>
      <c r="X17" s="447">
        <f t="shared" si="3"/>
        <v>0</v>
      </c>
      <c r="Z17" s="375" t="s">
        <v>353</v>
      </c>
      <c r="AA17" s="348"/>
      <c r="AB17" s="460"/>
      <c r="AC17" s="462">
        <f t="shared" si="4"/>
        <v>0</v>
      </c>
      <c r="AD17" s="469"/>
      <c r="AE17" s="465">
        <f t="shared" si="5"/>
        <v>0</v>
      </c>
      <c r="AF17" s="460"/>
      <c r="AG17" s="234"/>
      <c r="AI17" s="1031"/>
      <c r="AJ17" s="1032"/>
    </row>
    <row r="18" spans="1:36" ht="27" customHeight="1">
      <c r="A18" s="718"/>
      <c r="B18" s="528"/>
      <c r="C18" s="350"/>
      <c r="D18" s="527"/>
      <c r="F18" s="480" t="s">
        <v>462</v>
      </c>
      <c r="G18" s="406">
        <f>'CUSTOMERS REPORT'!Y408</f>
        <v>0</v>
      </c>
      <c r="H18" s="504">
        <f>'CUSTOMERS REPORT'!Z408</f>
        <v>0</v>
      </c>
      <c r="I18" s="498">
        <f>'CUSTOMERS REPORT'!AA408</f>
        <v>0</v>
      </c>
      <c r="J18" s="498">
        <f>'CUSTOMERS REPORT'!AB408</f>
        <v>0</v>
      </c>
      <c r="K18" s="498">
        <f>'CUSTOMERS REPORT'!AC408</f>
        <v>0</v>
      </c>
      <c r="L18" s="504">
        <f>'CUSTOMERS REPORT'!AD408</f>
        <v>0</v>
      </c>
      <c r="M18" s="414">
        <f t="shared" si="0"/>
        <v>0</v>
      </c>
      <c r="N18" s="412">
        <f t="shared" si="1"/>
        <v>0</v>
      </c>
      <c r="P18" s="433"/>
      <c r="Q18" s="437"/>
      <c r="S18" s="1037" t="s">
        <v>141</v>
      </c>
      <c r="T18" s="447"/>
      <c r="U18" s="456"/>
      <c r="V18" s="451">
        <f t="shared" si="2"/>
        <v>0</v>
      </c>
      <c r="W18" s="451"/>
      <c r="X18" s="447">
        <f t="shared" si="3"/>
        <v>0</v>
      </c>
      <c r="Z18" s="375" t="s">
        <v>140</v>
      </c>
      <c r="AA18" s="348"/>
      <c r="AB18" s="460"/>
      <c r="AC18" s="462">
        <f t="shared" si="4"/>
        <v>0</v>
      </c>
      <c r="AD18" s="469"/>
      <c r="AE18" s="465">
        <f t="shared" si="5"/>
        <v>0</v>
      </c>
      <c r="AF18" s="460"/>
      <c r="AG18" s="234"/>
      <c r="AI18" s="1031"/>
      <c r="AJ18" s="1032"/>
    </row>
    <row r="19" spans="1:36" ht="27" customHeight="1" thickBot="1">
      <c r="A19" s="719"/>
      <c r="B19" s="529"/>
      <c r="C19" s="350"/>
      <c r="D19" s="527"/>
      <c r="F19" s="480" t="s">
        <v>302</v>
      </c>
      <c r="G19" s="406">
        <f>'CUSTOMERS REPORT'!Y131</f>
        <v>0</v>
      </c>
      <c r="H19" s="504">
        <f>'CUSTOMERS REPORT'!Z446</f>
        <v>0</v>
      </c>
      <c r="I19" s="498">
        <f>'CUSTOMERS REPORT'!AA446</f>
        <v>0</v>
      </c>
      <c r="J19" s="498">
        <f>'CUSTOMERS REPORT'!AB446</f>
        <v>0</v>
      </c>
      <c r="K19" s="498">
        <f>'CUSTOMERS REPORT'!AC446</f>
        <v>0</v>
      </c>
      <c r="L19" s="504">
        <f>'CUSTOMERS REPORT'!AD446</f>
        <v>0</v>
      </c>
      <c r="M19" s="414">
        <f t="shared" si="0"/>
        <v>0</v>
      </c>
      <c r="N19" s="412">
        <f t="shared" si="1"/>
        <v>0</v>
      </c>
      <c r="P19" s="433"/>
      <c r="Q19" s="437"/>
      <c r="S19" s="1037" t="s">
        <v>143</v>
      </c>
      <c r="T19" s="447"/>
      <c r="U19" s="456"/>
      <c r="V19" s="451">
        <f t="shared" si="2"/>
        <v>0</v>
      </c>
      <c r="W19" s="451"/>
      <c r="X19" s="447">
        <f t="shared" si="3"/>
        <v>0</v>
      </c>
      <c r="Z19" s="375" t="s">
        <v>307</v>
      </c>
      <c r="AA19" s="348"/>
      <c r="AB19" s="460"/>
      <c r="AC19" s="462">
        <f t="shared" si="4"/>
        <v>0</v>
      </c>
      <c r="AD19" s="469"/>
      <c r="AE19" s="465">
        <f t="shared" si="5"/>
        <v>0</v>
      </c>
      <c r="AF19" s="460">
        <f t="shared" si="6"/>
        <v>0</v>
      </c>
      <c r="AG19" s="234">
        <f t="shared" si="7"/>
        <v>0</v>
      </c>
    </row>
    <row r="20" spans="1:36" ht="27" customHeight="1" thickTop="1" thickBot="1">
      <c r="A20" s="719"/>
      <c r="B20" s="529"/>
      <c r="C20" s="350"/>
      <c r="D20" s="527"/>
      <c r="F20" s="480" t="s">
        <v>328</v>
      </c>
      <c r="G20" s="406">
        <f>'CUSTOMERS REPORT'!Y482</f>
        <v>0</v>
      </c>
      <c r="H20" s="504">
        <f>'CUSTOMERS REPORT'!Z482</f>
        <v>0</v>
      </c>
      <c r="I20" s="498">
        <f>'CUSTOMERS REPORT'!AA482</f>
        <v>0</v>
      </c>
      <c r="J20" s="498">
        <f>'CUSTOMERS REPORT'!AB482</f>
        <v>0</v>
      </c>
      <c r="K20" s="498">
        <f>'CUSTOMERS REPORT'!AC482</f>
        <v>0</v>
      </c>
      <c r="L20" s="504">
        <f>'CUSTOMERS REPORT'!AD482</f>
        <v>0</v>
      </c>
      <c r="M20" s="414">
        <f t="shared" si="0"/>
        <v>0</v>
      </c>
      <c r="N20" s="412">
        <f t="shared" si="1"/>
        <v>0</v>
      </c>
      <c r="P20" s="433"/>
      <c r="Q20" s="437"/>
      <c r="S20" s="1037" t="s">
        <v>140</v>
      </c>
      <c r="T20" s="447"/>
      <c r="U20" s="456"/>
      <c r="V20" s="451">
        <f t="shared" si="2"/>
        <v>0</v>
      </c>
      <c r="W20" s="451"/>
      <c r="X20" s="447">
        <f t="shared" si="3"/>
        <v>0</v>
      </c>
      <c r="Z20" s="375" t="s">
        <v>345</v>
      </c>
      <c r="AA20" s="348"/>
      <c r="AB20" s="460"/>
      <c r="AC20" s="462">
        <f t="shared" si="4"/>
        <v>0</v>
      </c>
      <c r="AD20" s="469"/>
      <c r="AE20" s="465">
        <f t="shared" si="5"/>
        <v>0</v>
      </c>
      <c r="AF20" s="460">
        <f t="shared" si="6"/>
        <v>0</v>
      </c>
      <c r="AG20" s="234">
        <f t="shared" si="7"/>
        <v>0</v>
      </c>
      <c r="AI20" s="1487" t="s">
        <v>132</v>
      </c>
      <c r="AJ20" s="1488"/>
    </row>
    <row r="21" spans="1:36" ht="27" customHeight="1" thickTop="1" thickBot="1">
      <c r="A21" s="720"/>
      <c r="B21" s="530"/>
      <c r="C21" s="531"/>
      <c r="D21" s="532"/>
      <c r="F21" s="480" t="s">
        <v>275</v>
      </c>
      <c r="G21" s="406">
        <f>'CUSTOMERS REPORT'!Y519</f>
        <v>0</v>
      </c>
      <c r="H21" s="504">
        <f>'CUSTOMERS REPORT'!Z519</f>
        <v>0</v>
      </c>
      <c r="I21" s="498">
        <f>'CUSTOMERS REPORT'!AA519</f>
        <v>0</v>
      </c>
      <c r="J21" s="498">
        <f>'CUSTOMERS REPORT'!AB519</f>
        <v>0</v>
      </c>
      <c r="K21" s="498">
        <f>'CUSTOMERS REPORT'!AC519</f>
        <v>0</v>
      </c>
      <c r="L21" s="504">
        <f>'CUSTOMERS REPORT'!AD519</f>
        <v>0</v>
      </c>
      <c r="M21" s="414">
        <f t="shared" si="0"/>
        <v>0</v>
      </c>
      <c r="N21" s="412">
        <f t="shared" si="1"/>
        <v>0</v>
      </c>
      <c r="P21" s="433"/>
      <c r="Q21" s="435"/>
      <c r="S21" s="1037" t="s">
        <v>147</v>
      </c>
      <c r="T21" s="447"/>
      <c r="U21" s="456"/>
      <c r="V21" s="451">
        <f t="shared" si="2"/>
        <v>0</v>
      </c>
      <c r="W21" s="451"/>
      <c r="X21" s="447">
        <f t="shared" si="3"/>
        <v>0</v>
      </c>
      <c r="Z21" s="1091" t="s">
        <v>325</v>
      </c>
      <c r="AA21" s="348"/>
      <c r="AB21" s="734"/>
      <c r="AC21" s="462">
        <f t="shared" ref="AC21:AC41" si="8">AA21+AB21</f>
        <v>0</v>
      </c>
      <c r="AD21" s="469"/>
      <c r="AE21" s="465">
        <f t="shared" si="5"/>
        <v>0</v>
      </c>
      <c r="AF21" s="460">
        <f t="shared" si="6"/>
        <v>0</v>
      </c>
      <c r="AG21" s="234">
        <f t="shared" si="7"/>
        <v>0</v>
      </c>
      <c r="AI21" s="391" t="s">
        <v>126</v>
      </c>
      <c r="AJ21" s="392">
        <v>0</v>
      </c>
    </row>
    <row r="22" spans="1:36" ht="27" customHeight="1" thickTop="1" thickBot="1">
      <c r="A22" s="486" t="s">
        <v>74</v>
      </c>
      <c r="B22" s="533">
        <f>SUM(B8:B21)</f>
        <v>0</v>
      </c>
      <c r="C22" s="534">
        <v>0</v>
      </c>
      <c r="D22" s="535">
        <f t="shared" ref="D22:D23" si="9">B22+C22</f>
        <v>0</v>
      </c>
      <c r="F22" s="480" t="s">
        <v>283</v>
      </c>
      <c r="G22" s="406">
        <f>'CUSTOMERS REPORT'!Y557</f>
        <v>0</v>
      </c>
      <c r="H22" s="504">
        <f>'CUSTOMERS REPORT'!Z557</f>
        <v>0</v>
      </c>
      <c r="I22" s="498">
        <f>'CUSTOMERS REPORT'!AA557</f>
        <v>0</v>
      </c>
      <c r="J22" s="498">
        <f>'CUSTOMERS REPORT'!AB557</f>
        <v>0</v>
      </c>
      <c r="K22" s="498">
        <f>'CUSTOMERS REPORT'!AC557</f>
        <v>0</v>
      </c>
      <c r="L22" s="504">
        <f>'CUSTOMERS REPORT'!AD557</f>
        <v>0</v>
      </c>
      <c r="M22" s="414">
        <f t="shared" si="0"/>
        <v>0</v>
      </c>
      <c r="N22" s="412">
        <f t="shared" si="1"/>
        <v>0</v>
      </c>
      <c r="P22" s="433"/>
      <c r="Q22" s="438"/>
      <c r="S22" s="1037" t="s">
        <v>145</v>
      </c>
      <c r="T22" s="447"/>
      <c r="U22" s="456"/>
      <c r="V22" s="451">
        <f t="shared" si="2"/>
        <v>0</v>
      </c>
      <c r="W22" s="451"/>
      <c r="X22" s="447">
        <f t="shared" si="3"/>
        <v>0</v>
      </c>
      <c r="Z22" s="375" t="s">
        <v>331</v>
      </c>
      <c r="AA22" s="348"/>
      <c r="AB22" s="460"/>
      <c r="AC22" s="462">
        <f t="shared" si="8"/>
        <v>0</v>
      </c>
      <c r="AD22" s="469"/>
      <c r="AE22" s="465">
        <f t="shared" si="5"/>
        <v>0</v>
      </c>
      <c r="AF22" s="460">
        <f t="shared" si="6"/>
        <v>0</v>
      </c>
      <c r="AG22" s="234">
        <f t="shared" si="7"/>
        <v>0</v>
      </c>
      <c r="AI22" s="393">
        <f>R56</f>
        <v>0</v>
      </c>
      <c r="AJ22" s="394">
        <f>R56*1800</f>
        <v>0</v>
      </c>
    </row>
    <row r="23" spans="1:36" ht="27" customHeight="1" thickTop="1" thickBot="1">
      <c r="A23" s="721" t="s">
        <v>136</v>
      </c>
      <c r="B23" s="462"/>
      <c r="C23" s="536">
        <v>0</v>
      </c>
      <c r="D23" s="537">
        <f t="shared" si="9"/>
        <v>0</v>
      </c>
      <c r="F23" s="480" t="s">
        <v>299</v>
      </c>
      <c r="G23" s="406">
        <f>'CUSTOMERS REPORT'!Y593</f>
        <v>0</v>
      </c>
      <c r="H23" s="504">
        <f>'CUSTOMERS REPORT'!Z593</f>
        <v>0</v>
      </c>
      <c r="I23" s="498">
        <f>'CUSTOMERS REPORT'!AA593</f>
        <v>0</v>
      </c>
      <c r="J23" s="498">
        <f>'CUSTOMERS REPORT'!AB593</f>
        <v>0</v>
      </c>
      <c r="K23" s="498">
        <f>'CUSTOMERS REPORT'!AC593</f>
        <v>0</v>
      </c>
      <c r="L23" s="504">
        <f>'CUSTOMERS REPORT'!AD593</f>
        <v>0</v>
      </c>
      <c r="M23" s="414">
        <f t="shared" si="0"/>
        <v>0</v>
      </c>
      <c r="N23" s="412">
        <f t="shared" si="1"/>
        <v>0</v>
      </c>
      <c r="P23" s="190" t="s">
        <v>48</v>
      </c>
      <c r="Q23" s="439">
        <f>SUM(Q8:Q22)</f>
        <v>0</v>
      </c>
      <c r="S23" s="1037" t="s">
        <v>352</v>
      </c>
      <c r="T23" s="447"/>
      <c r="U23" s="456"/>
      <c r="V23" s="451">
        <f t="shared" si="2"/>
        <v>0</v>
      </c>
      <c r="W23" s="451"/>
      <c r="X23" s="447">
        <f t="shared" si="3"/>
        <v>0</v>
      </c>
      <c r="Z23" s="375" t="s">
        <v>503</v>
      </c>
      <c r="AA23" s="348"/>
      <c r="AB23" s="460"/>
      <c r="AC23" s="462">
        <f t="shared" si="8"/>
        <v>0</v>
      </c>
      <c r="AD23" s="469"/>
      <c r="AE23" s="465">
        <f t="shared" si="5"/>
        <v>0</v>
      </c>
      <c r="AF23" s="460">
        <f t="shared" si="6"/>
        <v>0</v>
      </c>
      <c r="AG23" s="234">
        <f t="shared" si="7"/>
        <v>0</v>
      </c>
      <c r="AI23" s="395" t="s">
        <v>74</v>
      </c>
      <c r="AJ23" s="396">
        <f>AJ21+AJ22</f>
        <v>0</v>
      </c>
    </row>
    <row r="24" spans="1:36" ht="27" customHeight="1" thickTop="1" thickBot="1">
      <c r="A24" s="721" t="s">
        <v>430</v>
      </c>
      <c r="B24" s="234"/>
      <c r="C24" s="348">
        <v>0</v>
      </c>
      <c r="D24" s="234">
        <f t="shared" ref="D24:D36" si="10">B24+C24</f>
        <v>0</v>
      </c>
      <c r="F24" s="813" t="s">
        <v>306</v>
      </c>
      <c r="G24" s="406">
        <f>'CUSTOMERS REPORT'!Y631</f>
        <v>0</v>
      </c>
      <c r="H24" s="504">
        <f>'CUSTOMERS REPORT'!Z631</f>
        <v>0</v>
      </c>
      <c r="I24" s="498">
        <f>'CUSTOMERS REPORT'!AA631</f>
        <v>0</v>
      </c>
      <c r="J24" s="498">
        <f>'CUSTOMERS REPORT'!AB631</f>
        <v>0</v>
      </c>
      <c r="K24" s="498">
        <f>'CUSTOMERS REPORT'!AC631</f>
        <v>0</v>
      </c>
      <c r="L24" s="504">
        <f>'CUSTOMERS REPORT'!AD631</f>
        <v>0</v>
      </c>
      <c r="M24" s="414">
        <f t="shared" si="0"/>
        <v>0</v>
      </c>
      <c r="N24" s="412">
        <f t="shared" si="1"/>
        <v>0</v>
      </c>
      <c r="P24" s="1514" t="s">
        <v>137</v>
      </c>
      <c r="Q24" s="1514"/>
      <c r="R24" t="s">
        <v>1</v>
      </c>
      <c r="S24" s="1037" t="s">
        <v>18</v>
      </c>
      <c r="T24" s="733"/>
      <c r="U24" s="456"/>
      <c r="V24" s="451">
        <f t="shared" si="2"/>
        <v>0</v>
      </c>
      <c r="W24" s="451"/>
      <c r="X24" s="447">
        <f t="shared" si="3"/>
        <v>0</v>
      </c>
      <c r="Z24" s="375"/>
      <c r="AA24" s="348"/>
      <c r="AB24" s="735"/>
      <c r="AC24" s="462">
        <f t="shared" si="8"/>
        <v>0</v>
      </c>
      <c r="AD24" s="469"/>
      <c r="AE24" s="465">
        <f t="shared" si="5"/>
        <v>0</v>
      </c>
      <c r="AF24" s="460">
        <f t="shared" si="6"/>
        <v>0</v>
      </c>
      <c r="AG24" s="234">
        <f t="shared" si="7"/>
        <v>0</v>
      </c>
    </row>
    <row r="25" spans="1:36" ht="27" customHeight="1" thickTop="1" thickBot="1">
      <c r="A25" s="721" t="s">
        <v>204</v>
      </c>
      <c r="B25" s="234"/>
      <c r="C25" s="348">
        <v>0</v>
      </c>
      <c r="D25" s="234">
        <f t="shared" si="10"/>
        <v>0</v>
      </c>
      <c r="F25" s="480" t="s">
        <v>327</v>
      </c>
      <c r="G25" s="406">
        <f>'CUSTOMERS REPORT'!Y669</f>
        <v>0</v>
      </c>
      <c r="H25" s="504">
        <f>'CUSTOMERS REPORT'!Z669</f>
        <v>0</v>
      </c>
      <c r="I25" s="498">
        <f>'CUSTOMERS REPORT'!AA669</f>
        <v>0</v>
      </c>
      <c r="J25" s="498">
        <f>'CUSTOMERS REPORT'!AB669</f>
        <v>0</v>
      </c>
      <c r="K25" s="498">
        <f>'CUSTOMERS REPORT'!AC669</f>
        <v>0</v>
      </c>
      <c r="L25" s="504">
        <f>'CUSTOMERS REPORT'!AD669</f>
        <v>0</v>
      </c>
      <c r="M25" s="414">
        <f t="shared" si="0"/>
        <v>0</v>
      </c>
      <c r="N25" s="412">
        <f t="shared" si="1"/>
        <v>0</v>
      </c>
      <c r="P25" s="434"/>
      <c r="Q25" s="440"/>
      <c r="S25" s="1037" t="s">
        <v>351</v>
      </c>
      <c r="T25" s="816"/>
      <c r="U25" s="456"/>
      <c r="V25" s="451">
        <f t="shared" si="2"/>
        <v>0</v>
      </c>
      <c r="W25" s="451"/>
      <c r="X25" s="447">
        <f t="shared" si="3"/>
        <v>0</v>
      </c>
      <c r="Z25" s="375"/>
      <c r="AA25" s="348"/>
      <c r="AB25" s="460"/>
      <c r="AC25" s="462">
        <f t="shared" si="8"/>
        <v>0</v>
      </c>
      <c r="AD25" s="469"/>
      <c r="AE25" s="465">
        <f t="shared" si="5"/>
        <v>0</v>
      </c>
      <c r="AF25" s="460">
        <f t="shared" si="6"/>
        <v>0</v>
      </c>
      <c r="AG25" s="234">
        <f t="shared" si="7"/>
        <v>0</v>
      </c>
      <c r="AH25" t="s">
        <v>1</v>
      </c>
      <c r="AI25" s="397" t="s">
        <v>59</v>
      </c>
      <c r="AJ25" s="398">
        <f>AJ23-AJ10-AJ15</f>
        <v>0</v>
      </c>
    </row>
    <row r="26" spans="1:36" ht="27" customHeight="1" thickTop="1">
      <c r="A26" s="721" t="s">
        <v>203</v>
      </c>
      <c r="B26" s="234"/>
      <c r="C26" s="465"/>
      <c r="D26" s="234">
        <f t="shared" si="10"/>
        <v>0</v>
      </c>
      <c r="F26" s="480" t="s">
        <v>311</v>
      </c>
      <c r="G26" s="406">
        <f>'CUSTOMERS REPORT'!Y707</f>
        <v>0</v>
      </c>
      <c r="H26" s="504">
        <f>'CUSTOMERS REPORT'!Z707</f>
        <v>0</v>
      </c>
      <c r="I26" s="498">
        <f>'CUSTOMERS REPORT'!AA707</f>
        <v>0</v>
      </c>
      <c r="J26" s="498">
        <f>'CUSTOMERS REPORT'!AB707</f>
        <v>0</v>
      </c>
      <c r="K26" s="498">
        <f>'CUSTOMERS REPORT'!AC707</f>
        <v>0</v>
      </c>
      <c r="L26" s="504">
        <f>'CUSTOMERS REPORT'!AD707</f>
        <v>0</v>
      </c>
      <c r="M26" s="414">
        <f t="shared" si="0"/>
        <v>0</v>
      </c>
      <c r="N26" s="412">
        <f t="shared" si="1"/>
        <v>0</v>
      </c>
      <c r="P26" s="433"/>
      <c r="Q26" s="438"/>
      <c r="R26" t="s">
        <v>1</v>
      </c>
      <c r="S26" s="1037" t="s">
        <v>354</v>
      </c>
      <c r="T26" s="816"/>
      <c r="U26" s="456"/>
      <c r="V26" s="451">
        <f t="shared" si="2"/>
        <v>0</v>
      </c>
      <c r="W26" s="451"/>
      <c r="X26" s="447">
        <f t="shared" si="3"/>
        <v>0</v>
      </c>
      <c r="Z26" s="1091"/>
      <c r="AA26" s="348"/>
      <c r="AB26" s="460"/>
      <c r="AC26" s="462">
        <f t="shared" si="8"/>
        <v>0</v>
      </c>
      <c r="AD26" s="469"/>
      <c r="AE26" s="465">
        <f t="shared" si="5"/>
        <v>0</v>
      </c>
      <c r="AF26" s="460">
        <f t="shared" si="6"/>
        <v>0</v>
      </c>
      <c r="AG26" s="234">
        <f t="shared" si="7"/>
        <v>0</v>
      </c>
    </row>
    <row r="27" spans="1:36" ht="27" customHeight="1">
      <c r="A27" s="721" t="s">
        <v>142</v>
      </c>
      <c r="B27" s="234"/>
      <c r="C27" s="465">
        <v>0</v>
      </c>
      <c r="D27" s="234">
        <f t="shared" si="10"/>
        <v>0</v>
      </c>
      <c r="F27" s="480" t="s">
        <v>324</v>
      </c>
      <c r="G27" s="406">
        <f>'CUSTOMERS REPORT'!Y745</f>
        <v>0</v>
      </c>
      <c r="H27" s="504">
        <f>'CUSTOMERS REPORT'!Z745</f>
        <v>0</v>
      </c>
      <c r="I27" s="498">
        <f>'CUSTOMERS REPORT'!AA745</f>
        <v>0</v>
      </c>
      <c r="J27" s="498">
        <f>'CUSTOMERS REPORT'!AB745</f>
        <v>0</v>
      </c>
      <c r="K27" s="498">
        <f>'CUSTOMERS REPORT'!AC745</f>
        <v>0</v>
      </c>
      <c r="L27" s="504">
        <f>'CUSTOMERS REPORT'!AD745</f>
        <v>0</v>
      </c>
      <c r="M27" s="414">
        <f t="shared" si="0"/>
        <v>0</v>
      </c>
      <c r="N27" s="412">
        <f t="shared" si="1"/>
        <v>0</v>
      </c>
      <c r="P27" s="433"/>
      <c r="Q27" s="435"/>
      <c r="R27" t="s">
        <v>1</v>
      </c>
      <c r="S27" s="1037" t="s">
        <v>261</v>
      </c>
      <c r="T27" s="447"/>
      <c r="U27" s="456"/>
      <c r="V27" s="451">
        <f t="shared" si="2"/>
        <v>0</v>
      </c>
      <c r="W27" s="451"/>
      <c r="X27" s="447">
        <f t="shared" si="3"/>
        <v>0</v>
      </c>
      <c r="Z27" s="375"/>
      <c r="AA27" s="348"/>
      <c r="AB27" s="460"/>
      <c r="AC27" s="462">
        <f t="shared" si="8"/>
        <v>0</v>
      </c>
      <c r="AD27" s="469"/>
      <c r="AE27" s="465">
        <f t="shared" si="5"/>
        <v>0</v>
      </c>
      <c r="AF27" s="460">
        <f t="shared" si="6"/>
        <v>0</v>
      </c>
      <c r="AG27" s="234">
        <f t="shared" si="7"/>
        <v>0</v>
      </c>
    </row>
    <row r="28" spans="1:36" ht="27" customHeight="1" thickBot="1">
      <c r="A28" s="721" t="s">
        <v>144</v>
      </c>
      <c r="B28" s="234"/>
      <c r="C28" s="348">
        <v>0</v>
      </c>
      <c r="D28" s="234">
        <f t="shared" si="10"/>
        <v>0</v>
      </c>
      <c r="F28" s="480" t="s">
        <v>264</v>
      </c>
      <c r="G28" s="406">
        <f>'CUSTOMERS REPORT'!Y783</f>
        <v>0</v>
      </c>
      <c r="H28" s="504">
        <f>'CUSTOMERS REPORT'!Z783</f>
        <v>0</v>
      </c>
      <c r="I28" s="498">
        <f>'CUSTOMERS REPORT'!AA783</f>
        <v>0</v>
      </c>
      <c r="J28" s="498">
        <f>'CUSTOMERS REPORT'!AB783</f>
        <v>0</v>
      </c>
      <c r="K28" s="498">
        <f>'CUSTOMERS REPORT'!AC783</f>
        <v>0</v>
      </c>
      <c r="L28" s="504">
        <f>'CUSTOMERS REPORT'!AD783</f>
        <v>0</v>
      </c>
      <c r="M28" s="414">
        <f t="shared" si="0"/>
        <v>0</v>
      </c>
      <c r="N28" s="412">
        <f t="shared" si="1"/>
        <v>0</v>
      </c>
      <c r="P28" s="433"/>
      <c r="Q28" s="438"/>
      <c r="S28" s="1037" t="s">
        <v>308</v>
      </c>
      <c r="T28" s="447"/>
      <c r="U28" s="456"/>
      <c r="V28" s="451">
        <f t="shared" si="2"/>
        <v>0</v>
      </c>
      <c r="W28" s="451"/>
      <c r="X28" s="447">
        <f t="shared" si="3"/>
        <v>0</v>
      </c>
      <c r="Z28" s="375">
        <v>0</v>
      </c>
      <c r="AA28" s="348"/>
      <c r="AB28" s="460"/>
      <c r="AC28" s="462">
        <f t="shared" si="8"/>
        <v>0</v>
      </c>
      <c r="AD28" s="469"/>
      <c r="AE28" s="465">
        <f t="shared" si="5"/>
        <v>0</v>
      </c>
      <c r="AF28" s="460">
        <f t="shared" si="6"/>
        <v>0</v>
      </c>
      <c r="AG28" s="234">
        <f t="shared" si="7"/>
        <v>0</v>
      </c>
    </row>
    <row r="29" spans="1:36" ht="27" customHeight="1" thickTop="1">
      <c r="A29" s="721" t="s">
        <v>146</v>
      </c>
      <c r="B29" s="234"/>
      <c r="C29" s="348">
        <v>0</v>
      </c>
      <c r="D29" s="234">
        <f t="shared" si="10"/>
        <v>0</v>
      </c>
      <c r="F29" s="813" t="s">
        <v>285</v>
      </c>
      <c r="G29" s="406">
        <f>'CUSTOMERS REPORT'!Y821</f>
        <v>0</v>
      </c>
      <c r="H29" s="504">
        <f>'CUSTOMERS REPORT'!Z821</f>
        <v>0</v>
      </c>
      <c r="I29" s="498">
        <f>'CUSTOMERS REPORT'!AA821</f>
        <v>0</v>
      </c>
      <c r="J29" s="498">
        <f>'CUSTOMERS REPORT'!AB821</f>
        <v>0</v>
      </c>
      <c r="K29" s="498">
        <f>'CUSTOMERS REPORT'!AC821</f>
        <v>0</v>
      </c>
      <c r="L29" s="504">
        <f>'CUSTOMERS REPORT'!AD821</f>
        <v>0</v>
      </c>
      <c r="M29" s="414">
        <f t="shared" si="0"/>
        <v>0</v>
      </c>
      <c r="N29" s="412">
        <f t="shared" si="1"/>
        <v>0</v>
      </c>
      <c r="P29" s="433"/>
      <c r="Q29" s="441"/>
      <c r="S29" s="1038" t="s">
        <v>293</v>
      </c>
      <c r="T29" s="447"/>
      <c r="U29" s="456"/>
      <c r="V29" s="451">
        <f t="shared" si="2"/>
        <v>0</v>
      </c>
      <c r="W29" s="451"/>
      <c r="X29" s="447">
        <f t="shared" si="3"/>
        <v>0</v>
      </c>
      <c r="Z29" s="375">
        <v>0</v>
      </c>
      <c r="AA29" s="348"/>
      <c r="AB29" s="460"/>
      <c r="AC29" s="462">
        <f t="shared" si="8"/>
        <v>0</v>
      </c>
      <c r="AD29" s="469"/>
      <c r="AE29" s="465">
        <f t="shared" si="5"/>
        <v>0</v>
      </c>
      <c r="AF29" s="460">
        <f t="shared" si="6"/>
        <v>0</v>
      </c>
      <c r="AG29" s="234">
        <f t="shared" si="7"/>
        <v>0</v>
      </c>
    </row>
    <row r="30" spans="1:36" ht="27" customHeight="1">
      <c r="A30" s="721" t="s">
        <v>255</v>
      </c>
      <c r="B30" s="234"/>
      <c r="C30" s="348">
        <v>0</v>
      </c>
      <c r="D30" s="234">
        <f t="shared" si="10"/>
        <v>0</v>
      </c>
      <c r="F30" s="480" t="s">
        <v>286</v>
      </c>
      <c r="G30" s="406">
        <f>'CUSTOMERS REPORT'!Y859</f>
        <v>0</v>
      </c>
      <c r="H30" s="504">
        <f>'CUSTOMERS REPORT'!Z859</f>
        <v>0</v>
      </c>
      <c r="I30" s="498">
        <f>'CUSTOMERS REPORT'!AA859</f>
        <v>0</v>
      </c>
      <c r="J30" s="498">
        <f>'CUSTOMERS REPORT'!AB859</f>
        <v>0</v>
      </c>
      <c r="K30" s="498">
        <f>'CUSTOMERS REPORT'!AC859</f>
        <v>0</v>
      </c>
      <c r="L30" s="504">
        <f>'CUSTOMERS REPORT'!AD859</f>
        <v>0</v>
      </c>
      <c r="M30" s="414">
        <f t="shared" si="0"/>
        <v>0</v>
      </c>
      <c r="N30" s="412">
        <f t="shared" si="1"/>
        <v>0</v>
      </c>
      <c r="P30" s="433"/>
      <c r="Q30" s="442"/>
      <c r="S30" s="1037" t="s">
        <v>287</v>
      </c>
      <c r="T30" s="447"/>
      <c r="U30" s="456"/>
      <c r="V30" s="451">
        <f t="shared" si="2"/>
        <v>0</v>
      </c>
      <c r="W30" s="451"/>
      <c r="X30" s="447">
        <f t="shared" si="3"/>
        <v>0</v>
      </c>
      <c r="Z30" s="375">
        <v>0</v>
      </c>
      <c r="AA30" s="348"/>
      <c r="AB30" s="460"/>
      <c r="AC30" s="462">
        <f t="shared" si="8"/>
        <v>0</v>
      </c>
      <c r="AD30" s="469"/>
      <c r="AE30" s="465">
        <f t="shared" si="5"/>
        <v>0</v>
      </c>
      <c r="AF30" s="460">
        <f t="shared" si="6"/>
        <v>0</v>
      </c>
      <c r="AG30" s="234">
        <f t="shared" si="7"/>
        <v>0</v>
      </c>
    </row>
    <row r="31" spans="1:36" ht="27" customHeight="1" thickBot="1">
      <c r="A31" s="722" t="s">
        <v>148</v>
      </c>
      <c r="B31" s="234"/>
      <c r="C31" s="465">
        <v>0</v>
      </c>
      <c r="D31" s="234">
        <f t="shared" si="10"/>
        <v>0</v>
      </c>
      <c r="F31" s="480" t="s">
        <v>344</v>
      </c>
      <c r="G31" s="406">
        <f>'CUSTOMERS REPORT'!Y898</f>
        <v>0</v>
      </c>
      <c r="H31" s="504">
        <f>'CUSTOMERS REPORT'!Z898</f>
        <v>0</v>
      </c>
      <c r="I31" s="498">
        <f>'CUSTOMERS REPORT'!AA898</f>
        <v>0</v>
      </c>
      <c r="J31" s="498">
        <f>'CUSTOMERS REPORT'!AB898</f>
        <v>0</v>
      </c>
      <c r="K31" s="498">
        <f>'CUSTOMERS REPORT'!AC898</f>
        <v>0</v>
      </c>
      <c r="L31" s="504">
        <f>'CUSTOMERS REPORT'!AD898</f>
        <v>0</v>
      </c>
      <c r="M31" s="414">
        <f t="shared" si="0"/>
        <v>0</v>
      </c>
      <c r="N31" s="412">
        <f t="shared" si="1"/>
        <v>0</v>
      </c>
      <c r="P31" s="433"/>
      <c r="Q31" s="435"/>
      <c r="S31" s="1037" t="s">
        <v>222</v>
      </c>
      <c r="T31" s="447"/>
      <c r="U31" s="456"/>
      <c r="V31" s="451">
        <f t="shared" si="2"/>
        <v>0</v>
      </c>
      <c r="W31" s="451"/>
      <c r="X31" s="447">
        <f t="shared" si="3"/>
        <v>0</v>
      </c>
      <c r="Z31" s="375">
        <v>0</v>
      </c>
      <c r="AA31" s="348"/>
      <c r="AB31" s="460">
        <f>U36*550</f>
        <v>0</v>
      </c>
      <c r="AC31" s="462">
        <f t="shared" si="8"/>
        <v>0</v>
      </c>
      <c r="AD31" s="469"/>
      <c r="AE31" s="465">
        <f t="shared" si="5"/>
        <v>0</v>
      </c>
      <c r="AF31" s="460">
        <f t="shared" si="6"/>
        <v>0</v>
      </c>
      <c r="AG31" s="234">
        <f t="shared" si="7"/>
        <v>0</v>
      </c>
      <c r="AI31" t="s">
        <v>1</v>
      </c>
    </row>
    <row r="32" spans="1:36" ht="27" customHeight="1" thickTop="1" thickBot="1">
      <c r="A32" s="721" t="s">
        <v>219</v>
      </c>
      <c r="B32" s="234"/>
      <c r="C32" s="348">
        <v>0</v>
      </c>
      <c r="D32" s="234">
        <f t="shared" si="10"/>
        <v>0</v>
      </c>
      <c r="F32" s="480" t="s">
        <v>329</v>
      </c>
      <c r="G32" s="406">
        <f>'CUSTOMERS REPORT'!Y937</f>
        <v>0</v>
      </c>
      <c r="H32" s="504">
        <f>'CUSTOMERS REPORT'!Z937</f>
        <v>0</v>
      </c>
      <c r="I32" s="498">
        <f>'CUSTOMERS REPORT'!AA937</f>
        <v>0</v>
      </c>
      <c r="J32" s="498">
        <f>'CUSTOMERS REPORT'!AB937</f>
        <v>0</v>
      </c>
      <c r="K32" s="498">
        <f>'CUSTOMERS REPORT'!AC937</f>
        <v>0</v>
      </c>
      <c r="L32" s="504">
        <f>'CUSTOMERS REPORT'!AD937</f>
        <v>0</v>
      </c>
      <c r="M32" s="414">
        <f t="shared" si="0"/>
        <v>0</v>
      </c>
      <c r="N32" s="412">
        <f t="shared" si="1"/>
        <v>0</v>
      </c>
      <c r="P32" s="190" t="s">
        <v>51</v>
      </c>
      <c r="Q32" s="439">
        <f>Q23-Q25-Q26-Q27-Q28-Q29-Q30-Q31</f>
        <v>0</v>
      </c>
      <c r="R32" t="s">
        <v>1</v>
      </c>
      <c r="S32" s="1038" t="s">
        <v>295</v>
      </c>
      <c r="T32" s="447"/>
      <c r="U32" s="456"/>
      <c r="V32" s="451">
        <f t="shared" si="2"/>
        <v>0</v>
      </c>
      <c r="W32" s="451"/>
      <c r="X32" s="447">
        <f t="shared" si="3"/>
        <v>0</v>
      </c>
      <c r="Z32" s="375">
        <v>0</v>
      </c>
      <c r="AA32" s="465"/>
      <c r="AB32" s="460"/>
      <c r="AC32" s="462">
        <f t="shared" si="8"/>
        <v>0</v>
      </c>
      <c r="AD32" s="469"/>
      <c r="AE32" s="465">
        <f t="shared" si="5"/>
        <v>0</v>
      </c>
      <c r="AF32" s="460">
        <f t="shared" si="6"/>
        <v>0</v>
      </c>
      <c r="AG32" s="234">
        <f t="shared" si="7"/>
        <v>0</v>
      </c>
    </row>
    <row r="33" spans="1:44" ht="27" customHeight="1" thickTop="1" thickBot="1">
      <c r="A33" s="723" t="s">
        <v>220</v>
      </c>
      <c r="B33" s="538"/>
      <c r="C33" s="348">
        <v>0</v>
      </c>
      <c r="D33" s="234">
        <f t="shared" si="10"/>
        <v>0</v>
      </c>
      <c r="F33" s="480" t="s">
        <v>414</v>
      </c>
      <c r="G33" s="406">
        <f>'CUSTOMERS REPORT'!Y975</f>
        <v>0</v>
      </c>
      <c r="H33" s="504">
        <f>'CUSTOMERS REPORT'!Z975</f>
        <v>0</v>
      </c>
      <c r="I33" s="498">
        <f>'CUSTOMERS REPORT'!AA975</f>
        <v>0</v>
      </c>
      <c r="J33" s="498">
        <f>'CUSTOMERS REPORT'!AB975</f>
        <v>0</v>
      </c>
      <c r="K33" s="498">
        <f>'CUSTOMERS REPORT'!AC975</f>
        <v>0</v>
      </c>
      <c r="L33" s="504">
        <f>'CUSTOMERS REPORT'!AD975</f>
        <v>0</v>
      </c>
      <c r="M33" s="414">
        <f t="shared" si="0"/>
        <v>0</v>
      </c>
      <c r="N33" s="412">
        <f t="shared" si="1"/>
        <v>0</v>
      </c>
      <c r="P33" s="1499" t="s">
        <v>149</v>
      </c>
      <c r="Q33" s="1500"/>
      <c r="S33" s="1038" t="s">
        <v>305</v>
      </c>
      <c r="T33" s="447"/>
      <c r="U33" s="456"/>
      <c r="V33" s="451">
        <f t="shared" si="2"/>
        <v>0</v>
      </c>
      <c r="W33" s="451"/>
      <c r="X33" s="447">
        <f t="shared" si="3"/>
        <v>0</v>
      </c>
      <c r="Z33" s="375">
        <v>0</v>
      </c>
      <c r="AA33" s="465"/>
      <c r="AB33" s="460"/>
      <c r="AC33" s="462">
        <f t="shared" si="8"/>
        <v>0</v>
      </c>
      <c r="AD33" s="469"/>
      <c r="AE33" s="465">
        <f t="shared" si="5"/>
        <v>0</v>
      </c>
      <c r="AF33" s="460">
        <f t="shared" si="6"/>
        <v>0</v>
      </c>
      <c r="AG33" s="234">
        <f t="shared" si="7"/>
        <v>0</v>
      </c>
    </row>
    <row r="34" spans="1:44" ht="27" customHeight="1" thickTop="1" thickBot="1">
      <c r="A34" s="723" t="s">
        <v>221</v>
      </c>
      <c r="B34" s="538"/>
      <c r="C34" s="348">
        <v>0</v>
      </c>
      <c r="D34" s="234">
        <f t="shared" si="10"/>
        <v>0</v>
      </c>
      <c r="F34" s="885" t="s">
        <v>303</v>
      </c>
      <c r="G34" s="406">
        <f>'CUSTOMERS REPORT'!Y1013</f>
        <v>0</v>
      </c>
      <c r="H34" s="504">
        <f>'CUSTOMERS REPORT'!Z1013</f>
        <v>0</v>
      </c>
      <c r="I34" s="498">
        <f>'CUSTOMERS REPORT'!AA1013</f>
        <v>0</v>
      </c>
      <c r="J34" s="498">
        <f>'CUSTOMERS REPORT'!AB1013</f>
        <v>0</v>
      </c>
      <c r="K34" s="498">
        <f>'CUSTOMERS REPORT'!AC1013</f>
        <v>0</v>
      </c>
      <c r="L34" s="504">
        <f>'CUSTOMERS REPORT'!AD1013</f>
        <v>0</v>
      </c>
      <c r="M34" s="414">
        <f t="shared" si="0"/>
        <v>0</v>
      </c>
      <c r="N34" s="412">
        <f t="shared" si="1"/>
        <v>0</v>
      </c>
      <c r="P34" s="220" t="s">
        <v>150</v>
      </c>
      <c r="Q34" s="223">
        <f>Q8</f>
        <v>0</v>
      </c>
      <c r="S34" s="1037" t="s">
        <v>208</v>
      </c>
      <c r="T34" s="448"/>
      <c r="U34" s="457"/>
      <c r="V34" s="452">
        <f t="shared" si="2"/>
        <v>0</v>
      </c>
      <c r="W34" s="452"/>
      <c r="X34" s="448">
        <f t="shared" si="3"/>
        <v>0</v>
      </c>
      <c r="Z34" s="375">
        <v>0</v>
      </c>
      <c r="AA34" s="465"/>
      <c r="AB34" s="460"/>
      <c r="AC34" s="462">
        <f t="shared" si="8"/>
        <v>0</v>
      </c>
      <c r="AD34" s="469"/>
      <c r="AE34" s="465">
        <f t="shared" si="5"/>
        <v>0</v>
      </c>
      <c r="AF34" s="460">
        <f t="shared" si="6"/>
        <v>0</v>
      </c>
      <c r="AG34" s="234">
        <f t="shared" si="7"/>
        <v>0</v>
      </c>
    </row>
    <row r="35" spans="1:44" ht="27" customHeight="1" thickTop="1">
      <c r="A35" s="721" t="s">
        <v>314</v>
      </c>
      <c r="B35" s="529"/>
      <c r="C35" s="350">
        <v>0</v>
      </c>
      <c r="D35" s="529">
        <f t="shared" si="10"/>
        <v>0</v>
      </c>
      <c r="F35" s="480" t="s">
        <v>309</v>
      </c>
      <c r="G35" s="407">
        <f>'CUSTOMERS REPORT'!Y1051</f>
        <v>0</v>
      </c>
      <c r="H35" s="505">
        <f>'CUSTOMERS REPORT'!Z1051</f>
        <v>0</v>
      </c>
      <c r="I35" s="499">
        <f>'CUSTOMERS REPORT'!AA1051</f>
        <v>0</v>
      </c>
      <c r="J35" s="499">
        <f>'CUSTOMERS REPORT'!AB1051</f>
        <v>0</v>
      </c>
      <c r="K35" s="499">
        <f>'CUSTOMERS REPORT'!AC1051</f>
        <v>0</v>
      </c>
      <c r="L35" s="505">
        <f>'CUSTOMERS REPORT'!AD1051</f>
        <v>0</v>
      </c>
      <c r="M35" s="414">
        <f t="shared" si="0"/>
        <v>0</v>
      </c>
      <c r="N35" s="412">
        <f t="shared" si="1"/>
        <v>0</v>
      </c>
      <c r="P35" s="252" t="s">
        <v>151</v>
      </c>
      <c r="Q35" s="443">
        <f>Q43</f>
        <v>0</v>
      </c>
      <c r="R35" t="s">
        <v>1</v>
      </c>
      <c r="S35" s="1038" t="s">
        <v>350</v>
      </c>
      <c r="T35" s="448"/>
      <c r="U35" s="457"/>
      <c r="V35" s="452">
        <f t="shared" si="2"/>
        <v>0</v>
      </c>
      <c r="W35" s="452"/>
      <c r="X35" s="448">
        <f t="shared" si="3"/>
        <v>0</v>
      </c>
      <c r="Z35" s="375">
        <v>0</v>
      </c>
      <c r="AA35" s="466"/>
      <c r="AB35" s="460"/>
      <c r="AC35" s="462">
        <f t="shared" si="8"/>
        <v>0</v>
      </c>
      <c r="AD35" s="469"/>
      <c r="AE35" s="465">
        <f t="shared" si="5"/>
        <v>0</v>
      </c>
      <c r="AF35" s="460">
        <f t="shared" si="6"/>
        <v>0</v>
      </c>
      <c r="AG35" s="234">
        <f t="shared" si="7"/>
        <v>0</v>
      </c>
    </row>
    <row r="36" spans="1:44" ht="27" customHeight="1" thickBot="1">
      <c r="A36" s="721" t="s">
        <v>409</v>
      </c>
      <c r="B36" s="539"/>
      <c r="C36" s="350">
        <v>0</v>
      </c>
      <c r="D36" s="529">
        <f t="shared" si="10"/>
        <v>0</v>
      </c>
      <c r="F36" s="480" t="s">
        <v>312</v>
      </c>
      <c r="G36" s="407">
        <f>'CUSTOMERS REPORT'!Y1089</f>
        <v>0</v>
      </c>
      <c r="H36" s="505">
        <f>'CUSTOMERS REPORT'!Z1089</f>
        <v>0</v>
      </c>
      <c r="I36" s="499">
        <f>'CUSTOMERS REPORT'!AA1089</f>
        <v>0</v>
      </c>
      <c r="J36" s="499">
        <f>'CUSTOMERS REPORT'!AB1089</f>
        <v>0</v>
      </c>
      <c r="K36" s="499">
        <f>'CUSTOMERS REPORT'!AC1089</f>
        <v>0</v>
      </c>
      <c r="L36" s="505">
        <f>'CUSTOMERS REPORT'!AD1089</f>
        <v>0</v>
      </c>
      <c r="M36" s="414">
        <f t="shared" si="0"/>
        <v>0</v>
      </c>
      <c r="N36" s="412">
        <f t="shared" si="1"/>
        <v>0</v>
      </c>
      <c r="P36" s="372" t="s">
        <v>152</v>
      </c>
      <c r="Q36" s="444">
        <f>'1'!J48</f>
        <v>0</v>
      </c>
      <c r="R36" t="s">
        <v>1</v>
      </c>
      <c r="S36" s="1037" t="s">
        <v>349</v>
      </c>
      <c r="T36" s="447"/>
      <c r="U36" s="456"/>
      <c r="V36" s="451">
        <f t="shared" si="2"/>
        <v>0</v>
      </c>
      <c r="W36" s="452"/>
      <c r="X36" s="448">
        <f t="shared" si="3"/>
        <v>0</v>
      </c>
      <c r="Z36" s="375">
        <v>0</v>
      </c>
      <c r="AA36" s="466"/>
      <c r="AB36" s="460"/>
      <c r="AC36" s="462">
        <f t="shared" si="8"/>
        <v>0</v>
      </c>
      <c r="AD36" s="469"/>
      <c r="AE36" s="465">
        <f t="shared" si="5"/>
        <v>0</v>
      </c>
      <c r="AF36" s="460">
        <f t="shared" si="6"/>
        <v>0</v>
      </c>
      <c r="AG36" s="234">
        <f t="shared" si="7"/>
        <v>0</v>
      </c>
    </row>
    <row r="37" spans="1:44" ht="27" customHeight="1" thickTop="1">
      <c r="A37" s="721" t="s">
        <v>410</v>
      </c>
      <c r="B37" s="234"/>
      <c r="C37" s="348">
        <v>0</v>
      </c>
      <c r="D37" s="234">
        <f t="shared" ref="D37:D48" si="11">B37+C37</f>
        <v>0</v>
      </c>
      <c r="F37" s="813" t="s">
        <v>313</v>
      </c>
      <c r="G37" s="406">
        <f>'CUSTOMERS REPORT'!Y1127</f>
        <v>0</v>
      </c>
      <c r="H37" s="504">
        <f>'CUSTOMERS REPORT'!Z1127</f>
        <v>0</v>
      </c>
      <c r="I37" s="498">
        <f>'CUSTOMERS REPORT'!AA1127</f>
        <v>0</v>
      </c>
      <c r="J37" s="498">
        <f>'CUSTOMERS REPORT'!AB1127</f>
        <v>0</v>
      </c>
      <c r="K37" s="498">
        <f>'CUSTOMERS REPORT'!AC1127</f>
        <v>0</v>
      </c>
      <c r="L37" s="504">
        <f>'CUSTOMERS REPORT'!AD1127</f>
        <v>0</v>
      </c>
      <c r="M37" s="414">
        <f t="shared" si="0"/>
        <v>0</v>
      </c>
      <c r="N37" s="412">
        <f t="shared" si="1"/>
        <v>0</v>
      </c>
      <c r="P37" s="373" t="s">
        <v>153</v>
      </c>
      <c r="Q37" s="445">
        <f>Q34+Q35+Q36</f>
        <v>0</v>
      </c>
      <c r="R37" t="s">
        <v>1</v>
      </c>
      <c r="S37" s="402"/>
      <c r="T37" s="447"/>
      <c r="U37" s="456"/>
      <c r="V37" s="451">
        <f t="shared" si="2"/>
        <v>0</v>
      </c>
      <c r="W37" s="452"/>
      <c r="X37" s="448">
        <f t="shared" si="3"/>
        <v>0</v>
      </c>
      <c r="Z37" s="375">
        <v>0</v>
      </c>
      <c r="AA37" s="466"/>
      <c r="AB37" s="460"/>
      <c r="AC37" s="462">
        <f t="shared" si="8"/>
        <v>0</v>
      </c>
      <c r="AD37" s="469"/>
      <c r="AE37" s="465">
        <f t="shared" si="5"/>
        <v>0</v>
      </c>
      <c r="AF37" s="460">
        <f t="shared" si="6"/>
        <v>0</v>
      </c>
      <c r="AG37" s="234">
        <f t="shared" si="7"/>
        <v>0</v>
      </c>
    </row>
    <row r="38" spans="1:44" ht="27" customHeight="1">
      <c r="A38" s="721" t="s">
        <v>182</v>
      </c>
      <c r="B38" s="234"/>
      <c r="C38" s="348">
        <v>0</v>
      </c>
      <c r="D38" s="234">
        <f t="shared" si="11"/>
        <v>0</v>
      </c>
      <c r="F38" s="480" t="s">
        <v>464</v>
      </c>
      <c r="G38" s="408">
        <f>'CUSTOMERS REPORT'!Y1164</f>
        <v>0</v>
      </c>
      <c r="H38" s="506">
        <f>'CUSTOMERS REPORT'!Z1164</f>
        <v>0</v>
      </c>
      <c r="I38" s="500">
        <f>'CUSTOMERS REPORT'!AA1164</f>
        <v>0</v>
      </c>
      <c r="J38" s="500">
        <f>'CUSTOMERS REPORT'!AB1164</f>
        <v>0</v>
      </c>
      <c r="K38" s="500">
        <f>'CUSTOMERS REPORT'!AC1164</f>
        <v>0</v>
      </c>
      <c r="L38" s="506">
        <f>'CUSTOMERS REPORT'!AD1164</f>
        <v>0</v>
      </c>
      <c r="M38" s="414">
        <f t="shared" si="0"/>
        <v>0</v>
      </c>
      <c r="N38" s="412">
        <f t="shared" si="1"/>
        <v>0</v>
      </c>
      <c r="P38" s="373" t="s">
        <v>154</v>
      </c>
      <c r="Q38" s="445">
        <f>D48</f>
        <v>0</v>
      </c>
      <c r="S38" s="400"/>
      <c r="T38" s="447"/>
      <c r="U38" s="456"/>
      <c r="V38" s="451">
        <f t="shared" si="2"/>
        <v>0</v>
      </c>
      <c r="W38" s="452"/>
      <c r="X38" s="448">
        <f t="shared" si="3"/>
        <v>0</v>
      </c>
      <c r="Z38" s="375">
        <v>0</v>
      </c>
      <c r="AA38" s="466"/>
      <c r="AB38" s="460"/>
      <c r="AC38" s="462">
        <f t="shared" si="8"/>
        <v>0</v>
      </c>
      <c r="AD38" s="469"/>
      <c r="AE38" s="465">
        <f t="shared" si="5"/>
        <v>0</v>
      </c>
      <c r="AF38" s="460">
        <f t="shared" si="6"/>
        <v>0</v>
      </c>
      <c r="AG38" s="234">
        <f t="shared" si="7"/>
        <v>0</v>
      </c>
    </row>
    <row r="39" spans="1:44" ht="27" customHeight="1" thickBot="1">
      <c r="A39" s="721" t="s">
        <v>183</v>
      </c>
      <c r="B39" s="234"/>
      <c r="C39" s="348">
        <v>0</v>
      </c>
      <c r="D39" s="234">
        <f t="shared" si="11"/>
        <v>0</v>
      </c>
      <c r="F39" s="480" t="s">
        <v>330</v>
      </c>
      <c r="G39" s="406">
        <f>'CUSTOMERS REPORT'!Y1201</f>
        <v>0</v>
      </c>
      <c r="H39" s="504">
        <f>'CUSTOMERS REPORT'!Z1201</f>
        <v>0</v>
      </c>
      <c r="I39" s="498">
        <f>'CUSTOMERS REPORT'!AA1201</f>
        <v>0</v>
      </c>
      <c r="J39" s="498">
        <f>'CUSTOMERS REPORT'!AB1201</f>
        <v>0</v>
      </c>
      <c r="K39" s="498">
        <f>'CUSTOMERS REPORT'!AC1201</f>
        <v>0</v>
      </c>
      <c r="L39" s="504">
        <f>'CUSTOMERS REPORT'!AD1201</f>
        <v>0</v>
      </c>
      <c r="M39" s="414">
        <f t="shared" si="0"/>
        <v>0</v>
      </c>
      <c r="N39" s="412">
        <f t="shared" si="1"/>
        <v>0</v>
      </c>
      <c r="P39" s="373" t="s">
        <v>109</v>
      </c>
      <c r="Q39" s="445">
        <f>SUM(Q25:Q31)</f>
        <v>0</v>
      </c>
      <c r="R39" t="s">
        <v>1</v>
      </c>
      <c r="S39" s="400"/>
      <c r="T39" s="447"/>
      <c r="U39" s="456"/>
      <c r="V39" s="451">
        <f t="shared" si="2"/>
        <v>0</v>
      </c>
      <c r="W39" s="452"/>
      <c r="X39" s="448">
        <f t="shared" si="3"/>
        <v>0</v>
      </c>
      <c r="Z39" s="375">
        <v>0</v>
      </c>
      <c r="AA39" s="466"/>
      <c r="AB39" s="460"/>
      <c r="AC39" s="462">
        <f t="shared" si="8"/>
        <v>0</v>
      </c>
      <c r="AD39" s="469"/>
      <c r="AE39" s="465">
        <f t="shared" si="5"/>
        <v>0</v>
      </c>
      <c r="AF39" s="460">
        <f t="shared" si="6"/>
        <v>0</v>
      </c>
      <c r="AG39" s="234">
        <f t="shared" si="7"/>
        <v>0</v>
      </c>
    </row>
    <row r="40" spans="1:44" ht="27" customHeight="1" thickTop="1" thickBot="1">
      <c r="A40" s="721" t="s">
        <v>156</v>
      </c>
      <c r="B40" s="234"/>
      <c r="C40" s="348">
        <v>0</v>
      </c>
      <c r="D40" s="234">
        <f t="shared" si="11"/>
        <v>0</v>
      </c>
      <c r="F40" s="480" t="s">
        <v>408</v>
      </c>
      <c r="G40" s="406">
        <f>'CUSTOMERS REPORT'!Y1238</f>
        <v>0</v>
      </c>
      <c r="H40" s="504">
        <f>'CUSTOMERS REPORT'!Z1238</f>
        <v>0</v>
      </c>
      <c r="I40" s="498">
        <f>'CUSTOMERS REPORT'!AA1238</f>
        <v>0</v>
      </c>
      <c r="J40" s="498">
        <f>'CUSTOMERS REPORT'!AB1238</f>
        <v>0</v>
      </c>
      <c r="K40" s="498">
        <f>'CUSTOMERS REPORT'!AC1238</f>
        <v>0</v>
      </c>
      <c r="L40" s="504">
        <f>'CUSTOMERS REPORT'!AD1238</f>
        <v>0</v>
      </c>
      <c r="M40" s="414">
        <f t="shared" si="0"/>
        <v>0</v>
      </c>
      <c r="N40" s="412">
        <f t="shared" si="1"/>
        <v>0</v>
      </c>
      <c r="P40" s="374" t="s">
        <v>155</v>
      </c>
      <c r="Q40" s="445">
        <f>Q48</f>
        <v>0</v>
      </c>
      <c r="S40" s="402"/>
      <c r="T40" s="447"/>
      <c r="U40" s="456"/>
      <c r="V40" s="451">
        <f t="shared" si="2"/>
        <v>0</v>
      </c>
      <c r="W40" s="452"/>
      <c r="X40" s="448">
        <f t="shared" si="3"/>
        <v>0</v>
      </c>
      <c r="Z40" s="375">
        <v>0</v>
      </c>
      <c r="AA40" s="466"/>
      <c r="AB40" s="460"/>
      <c r="AC40" s="462">
        <f t="shared" si="8"/>
        <v>0</v>
      </c>
      <c r="AD40" s="469"/>
      <c r="AE40" s="465">
        <f t="shared" si="5"/>
        <v>0</v>
      </c>
      <c r="AF40" s="460">
        <f t="shared" si="6"/>
        <v>0</v>
      </c>
      <c r="AG40" s="234">
        <f t="shared" si="7"/>
        <v>0</v>
      </c>
    </row>
    <row r="41" spans="1:44" ht="27" customHeight="1" thickTop="1" thickBot="1">
      <c r="A41" s="721" t="s">
        <v>326</v>
      </c>
      <c r="B41" s="234"/>
      <c r="C41" s="348">
        <v>0</v>
      </c>
      <c r="D41" s="234">
        <f t="shared" si="11"/>
        <v>0</v>
      </c>
      <c r="E41" t="s">
        <v>1</v>
      </c>
      <c r="F41" s="480" t="s">
        <v>461</v>
      </c>
      <c r="G41" s="409">
        <f>'CUSTOMERS REPORT'!Y1275</f>
        <v>0</v>
      </c>
      <c r="H41" s="507">
        <f>'CUSTOMERS REPORT'!Z1275</f>
        <v>0</v>
      </c>
      <c r="I41" s="501">
        <f>'CUSTOMERS REPORT'!AA1275</f>
        <v>0</v>
      </c>
      <c r="J41" s="501">
        <f>'CUSTOMERS REPORT'!AB1275</f>
        <v>0</v>
      </c>
      <c r="K41" s="501">
        <f>'CUSTOMERS REPORT'!AC1275</f>
        <v>0</v>
      </c>
      <c r="L41" s="507">
        <f>'CUSTOMERS REPORT'!AD1275</f>
        <v>0</v>
      </c>
      <c r="M41" s="414">
        <f t="shared" si="0"/>
        <v>0</v>
      </c>
      <c r="N41" s="412">
        <f t="shared" si="1"/>
        <v>0</v>
      </c>
      <c r="P41" s="221" t="s">
        <v>51</v>
      </c>
      <c r="Q41" s="223">
        <f>Q37-Q38-Q39-Q40</f>
        <v>0</v>
      </c>
      <c r="S41" s="1010"/>
      <c r="T41" s="447"/>
      <c r="U41" s="456"/>
      <c r="V41" s="451">
        <f t="shared" si="2"/>
        <v>0</v>
      </c>
      <c r="W41" s="452"/>
      <c r="X41" s="448">
        <f t="shared" si="3"/>
        <v>0</v>
      </c>
      <c r="Z41" s="375">
        <v>0</v>
      </c>
      <c r="AA41" s="466"/>
      <c r="AB41" s="460"/>
      <c r="AC41" s="462">
        <f t="shared" si="8"/>
        <v>0</v>
      </c>
      <c r="AD41" s="469"/>
      <c r="AE41" s="465">
        <f t="shared" si="5"/>
        <v>0</v>
      </c>
      <c r="AF41" s="460">
        <f t="shared" si="6"/>
        <v>0</v>
      </c>
      <c r="AG41" s="234">
        <f t="shared" si="7"/>
        <v>0</v>
      </c>
    </row>
    <row r="42" spans="1:44" ht="27" customHeight="1" thickTop="1" thickBot="1">
      <c r="A42" s="721" t="s">
        <v>184</v>
      </c>
      <c r="B42" s="529"/>
      <c r="C42" s="350">
        <v>0</v>
      </c>
      <c r="D42" s="529">
        <f t="shared" si="11"/>
        <v>0</v>
      </c>
      <c r="F42" s="885" t="s">
        <v>320</v>
      </c>
      <c r="G42" s="409">
        <f>'CUSTOMERS REPORT'!Y1312</f>
        <v>0</v>
      </c>
      <c r="H42" s="507">
        <f>'CUSTOMERS REPORT'!Z1312</f>
        <v>0</v>
      </c>
      <c r="I42" s="501">
        <f>'CUSTOMERS REPORT'!AA1312</f>
        <v>0</v>
      </c>
      <c r="J42" s="501">
        <f>'CUSTOMERS REPORT'!AB1312</f>
        <v>0</v>
      </c>
      <c r="K42" s="501">
        <f>'CUSTOMERS REPORT'!AC1312</f>
        <v>0</v>
      </c>
      <c r="L42" s="507">
        <f>'CUSTOMERS REPORT'!AD1312</f>
        <v>0</v>
      </c>
      <c r="M42" s="414">
        <f t="shared" si="0"/>
        <v>0</v>
      </c>
      <c r="N42" s="412">
        <f t="shared" si="1"/>
        <v>0</v>
      </c>
      <c r="P42" s="1499" t="s">
        <v>157</v>
      </c>
      <c r="Q42" s="1500"/>
      <c r="S42" s="402"/>
      <c r="T42" s="741"/>
      <c r="U42" s="458"/>
      <c r="V42" s="453">
        <f t="shared" si="2"/>
        <v>0</v>
      </c>
      <c r="W42" s="454"/>
      <c r="X42" s="449">
        <f t="shared" si="3"/>
        <v>0</v>
      </c>
      <c r="Z42" s="375">
        <v>0</v>
      </c>
      <c r="AA42" s="467"/>
      <c r="AB42" s="461"/>
      <c r="AC42" s="462">
        <f>AA42+AB42</f>
        <v>0</v>
      </c>
      <c r="AD42" s="470"/>
      <c r="AE42" s="465">
        <f t="shared" si="5"/>
        <v>0</v>
      </c>
      <c r="AF42" s="566">
        <f t="shared" si="6"/>
        <v>0</v>
      </c>
      <c r="AG42" s="572">
        <f t="shared" si="7"/>
        <v>0</v>
      </c>
    </row>
    <row r="43" spans="1:44" ht="27" customHeight="1" thickTop="1" thickBot="1">
      <c r="A43" s="721" t="s">
        <v>310</v>
      </c>
      <c r="B43" s="539"/>
      <c r="C43" s="350">
        <v>0</v>
      </c>
      <c r="D43" s="529">
        <f t="shared" si="11"/>
        <v>0</v>
      </c>
      <c r="F43" s="480" t="s">
        <v>490</v>
      </c>
      <c r="G43" s="409">
        <f>'CUSTOMERS REPORT'!Y1349</f>
        <v>0</v>
      </c>
      <c r="H43" s="507">
        <f>'CUSTOMERS REPORT'!Z1349</f>
        <v>0</v>
      </c>
      <c r="I43" s="501">
        <f>'CUSTOMERS REPORT'!AA1349</f>
        <v>0</v>
      </c>
      <c r="J43" s="501">
        <f>'CUSTOMERS REPORT'!AB1349</f>
        <v>0</v>
      </c>
      <c r="K43" s="501">
        <f>'CUSTOMERS REPORT'!AC1349</f>
        <v>0</v>
      </c>
      <c r="L43" s="507">
        <f>'CUSTOMERS REPORT'!AD1349</f>
        <v>0</v>
      </c>
      <c r="M43" s="414">
        <f t="shared" si="0"/>
        <v>0</v>
      </c>
      <c r="N43" s="412">
        <f t="shared" si="1"/>
        <v>0</v>
      </c>
      <c r="P43" s="220" t="s">
        <v>124</v>
      </c>
      <c r="Q43" s="223"/>
      <c r="R43" t="s">
        <v>1</v>
      </c>
      <c r="S43" s="1010"/>
      <c r="T43" s="741"/>
      <c r="U43" s="742"/>
      <c r="V43" s="1025">
        <f t="shared" si="2"/>
        <v>0</v>
      </c>
      <c r="W43" s="743"/>
      <c r="X43" s="744">
        <f t="shared" si="3"/>
        <v>0</v>
      </c>
      <c r="Z43" s="383"/>
      <c r="AA43" s="356">
        <f>SUM(AA8:AA42)</f>
        <v>0</v>
      </c>
      <c r="AB43" s="385">
        <f>SUM(AB8:AB42)</f>
        <v>0</v>
      </c>
      <c r="AC43" s="357" t="s">
        <v>74</v>
      </c>
      <c r="AD43" s="387">
        <f>SUM(AD8:AD42)</f>
        <v>0</v>
      </c>
      <c r="AE43" s="557">
        <f>SUM(AE8:AE42)</f>
        <v>0</v>
      </c>
      <c r="AF43" s="567">
        <f>SUM(AF8:AF42)</f>
        <v>0</v>
      </c>
      <c r="AG43" s="571">
        <f>SUM(AG8:AG42)</f>
        <v>0</v>
      </c>
    </row>
    <row r="44" spans="1:44" ht="27" customHeight="1" thickTop="1">
      <c r="A44" s="724" t="s">
        <v>158</v>
      </c>
      <c r="B44" s="234"/>
      <c r="C44" s="348">
        <v>0</v>
      </c>
      <c r="D44" s="234">
        <f t="shared" si="11"/>
        <v>0</v>
      </c>
      <c r="F44" s="480" t="s">
        <v>106</v>
      </c>
      <c r="G44" s="409">
        <f>'CUSTOMERS REPORT'!Y1386</f>
        <v>0</v>
      </c>
      <c r="H44" s="507">
        <f>'CUSTOMERS REPORT'!Z1386</f>
        <v>0</v>
      </c>
      <c r="I44" s="501">
        <f>'CUSTOMERS REPORT'!AA1386</f>
        <v>0</v>
      </c>
      <c r="J44" s="501">
        <f>'CUSTOMERS REPORT'!AB1386</f>
        <v>0</v>
      </c>
      <c r="K44" s="501">
        <f>'CUSTOMERS REPORT'!AC1386</f>
        <v>0</v>
      </c>
      <c r="L44" s="507">
        <f>'CUSTOMERS REPORT'!AD1386</f>
        <v>0</v>
      </c>
      <c r="M44" s="414">
        <f t="shared" si="0"/>
        <v>0</v>
      </c>
      <c r="N44" s="412">
        <f t="shared" si="1"/>
        <v>0</v>
      </c>
      <c r="P44" s="222" t="s">
        <v>114</v>
      </c>
      <c r="Q44" s="377">
        <f>J46</f>
        <v>0</v>
      </c>
      <c r="S44" s="400"/>
      <c r="T44" s="348"/>
      <c r="U44" s="306"/>
      <c r="V44" s="349"/>
      <c r="W44" s="351"/>
      <c r="X44" s="350"/>
      <c r="Y44" s="616">
        <f>X31+X32+X33+X34+X35+X36+X37+X38+X39+X40+X41</f>
        <v>0</v>
      </c>
      <c r="Z44" s="375"/>
      <c r="AA44" s="339"/>
      <c r="AB44" s="386">
        <v>0</v>
      </c>
      <c r="AC44" s="340" t="s">
        <v>126</v>
      </c>
      <c r="AD44" s="388">
        <v>0</v>
      </c>
      <c r="AE44" s="558"/>
      <c r="AF44" s="568"/>
      <c r="AG44" s="83" t="s">
        <v>1</v>
      </c>
    </row>
    <row r="45" spans="1:44" ht="27" customHeight="1" thickBot="1">
      <c r="A45" s="721" t="s">
        <v>216</v>
      </c>
      <c r="B45" s="234"/>
      <c r="C45" s="348">
        <v>0</v>
      </c>
      <c r="D45" s="234">
        <f t="shared" si="11"/>
        <v>0</v>
      </c>
      <c r="F45" s="485" t="s">
        <v>159</v>
      </c>
      <c r="G45" s="410">
        <f>'CUSTOMERS REPORT'!Y1422</f>
        <v>0</v>
      </c>
      <c r="H45" s="362">
        <f>'CUSTOMERS REPORT'!Z1422</f>
        <v>0</v>
      </c>
      <c r="I45" s="502">
        <f>'CUSTOMERS REPORT'!AA1422</f>
        <v>0</v>
      </c>
      <c r="J45" s="502">
        <f>'CUSTOMERS REPORT'!AB1422</f>
        <v>0</v>
      </c>
      <c r="K45" s="502">
        <f>'CUSTOMERS REPORT'!AC1422</f>
        <v>0</v>
      </c>
      <c r="L45" s="362">
        <f>'CUSTOMERS REPORT'!AD1422</f>
        <v>0</v>
      </c>
      <c r="M45" s="414">
        <f t="shared" si="0"/>
        <v>0</v>
      </c>
      <c r="N45" s="412">
        <f t="shared" si="1"/>
        <v>0</v>
      </c>
      <c r="P45" s="222" t="s">
        <v>153</v>
      </c>
      <c r="Q45" s="378">
        <f>Q43+Q44</f>
        <v>0</v>
      </c>
      <c r="S45" s="400"/>
      <c r="T45" s="352"/>
      <c r="U45" s="307"/>
      <c r="V45" s="353"/>
      <c r="W45" s="354"/>
      <c r="X45" s="355"/>
      <c r="Z45" s="384"/>
      <c r="AA45" s="359"/>
      <c r="AB45" s="390">
        <f>SUM(AB43:AB44)</f>
        <v>0</v>
      </c>
      <c r="AC45" s="360" t="s">
        <v>74</v>
      </c>
      <c r="AD45" s="389">
        <f>SUM(AD43:AD44)</f>
        <v>0</v>
      </c>
      <c r="AE45" s="559"/>
      <c r="AF45" s="569"/>
      <c r="AG45" s="573"/>
      <c r="AL45" t="s">
        <v>1</v>
      </c>
      <c r="AO45" s="2"/>
      <c r="AP45" s="2"/>
      <c r="AQ45" s="2"/>
    </row>
    <row r="46" spans="1:44" ht="27" customHeight="1" thickTop="1" thickBot="1">
      <c r="A46" s="721" t="s">
        <v>431</v>
      </c>
      <c r="B46" s="234"/>
      <c r="C46" s="465">
        <v>0</v>
      </c>
      <c r="D46" s="234">
        <f t="shared" si="11"/>
        <v>0</v>
      </c>
      <c r="F46" s="369"/>
      <c r="G46" s="424">
        <f>SUM(G8:G45)</f>
        <v>0</v>
      </c>
      <c r="H46" s="1497" t="s">
        <v>160</v>
      </c>
      <c r="I46" s="1498"/>
      <c r="J46" s="421">
        <f>SUM(J8:J45)</f>
        <v>0</v>
      </c>
      <c r="K46" s="427">
        <f>SUM(K8:K45)</f>
        <v>0</v>
      </c>
      <c r="L46" s="431">
        <f>SUM(L8:L45)</f>
        <v>0</v>
      </c>
      <c r="M46" s="429">
        <f>SUM(M8:M45)</f>
        <v>0</v>
      </c>
      <c r="N46" s="430">
        <f>SUM(N8:N45)</f>
        <v>0</v>
      </c>
      <c r="P46" s="222" t="s">
        <v>154</v>
      </c>
      <c r="Q46" s="378">
        <f>B48</f>
        <v>0</v>
      </c>
      <c r="AO46" s="943"/>
      <c r="AP46" s="943"/>
      <c r="AQ46" s="943"/>
      <c r="AR46" s="944"/>
    </row>
    <row r="47" spans="1:44" ht="27" customHeight="1" thickTop="1" thickBot="1">
      <c r="A47" s="721" t="s">
        <v>161</v>
      </c>
      <c r="B47" s="540"/>
      <c r="C47" s="541">
        <v>0</v>
      </c>
      <c r="D47" s="542">
        <f t="shared" si="11"/>
        <v>0</v>
      </c>
      <c r="F47" s="370"/>
      <c r="G47" s="425">
        <v>0</v>
      </c>
      <c r="H47" s="1512" t="s">
        <v>162</v>
      </c>
      <c r="I47" s="1513"/>
      <c r="J47" s="423">
        <v>0</v>
      </c>
      <c r="K47" s="423">
        <v>0</v>
      </c>
      <c r="L47" s="343"/>
      <c r="M47" s="344"/>
      <c r="N47" s="345"/>
      <c r="P47" s="375" t="s">
        <v>163</v>
      </c>
      <c r="Q47" s="378">
        <f>Q9+Q10+Q19+Q20+Q21+Q22</f>
        <v>0</v>
      </c>
      <c r="R47" s="19"/>
      <c r="S47" s="1489" t="s">
        <v>92</v>
      </c>
      <c r="T47" s="1402" t="s">
        <v>95</v>
      </c>
      <c r="U47" s="1403"/>
      <c r="V47" s="1403"/>
      <c r="W47" s="1404"/>
      <c r="X47" s="1402" t="s">
        <v>7</v>
      </c>
      <c r="Y47" s="1403"/>
      <c r="Z47" s="1404"/>
      <c r="AA47" s="1402" t="s">
        <v>8</v>
      </c>
      <c r="AB47" s="1404"/>
      <c r="AC47" s="1402" t="s">
        <v>9</v>
      </c>
      <c r="AD47" s="1403"/>
      <c r="AE47" s="1403"/>
      <c r="AF47" s="1403"/>
      <c r="AG47" s="1403"/>
      <c r="AH47" s="1403"/>
      <c r="AI47" s="1403"/>
      <c r="AJ47" s="1405" t="s">
        <v>10</v>
      </c>
      <c r="AK47" s="1406"/>
      <c r="AL47" s="1400" t="s">
        <v>289</v>
      </c>
      <c r="AM47" s="1401"/>
      <c r="AN47" s="842" t="s">
        <v>290</v>
      </c>
      <c r="AO47" s="946"/>
      <c r="AP47" s="945"/>
      <c r="AQ47" s="943"/>
      <c r="AR47" s="944"/>
    </row>
    <row r="48" spans="1:44" ht="27" customHeight="1" thickTop="1" thickBot="1">
      <c r="A48" s="192" t="s">
        <v>74</v>
      </c>
      <c r="B48" s="544">
        <f>SUM(B22:B47)</f>
        <v>0</v>
      </c>
      <c r="C48" s="543">
        <v>0</v>
      </c>
      <c r="D48" s="544">
        <f t="shared" si="11"/>
        <v>0</v>
      </c>
      <c r="F48" s="371"/>
      <c r="G48" s="426">
        <f>G46+G47</f>
        <v>0</v>
      </c>
      <c r="H48" s="1495" t="s">
        <v>164</v>
      </c>
      <c r="I48" s="1496"/>
      <c r="J48" s="422">
        <f>J46+J47</f>
        <v>0</v>
      </c>
      <c r="K48" s="428">
        <f>K46+K47</f>
        <v>0</v>
      </c>
      <c r="L48" s="346"/>
      <c r="M48" s="347"/>
      <c r="N48" s="621">
        <f>G48-J48</f>
        <v>0</v>
      </c>
      <c r="P48" s="376" t="s">
        <v>155</v>
      </c>
      <c r="Q48" s="379">
        <f>Q45-Q46-Q47</f>
        <v>0</v>
      </c>
      <c r="R48" s="19"/>
      <c r="S48" s="1490"/>
      <c r="T48" s="482" t="s">
        <v>12</v>
      </c>
      <c r="U48" s="482" t="s">
        <v>13</v>
      </c>
      <c r="V48" s="482" t="s">
        <v>14</v>
      </c>
      <c r="W48" s="958" t="s">
        <v>263</v>
      </c>
      <c r="X48" s="482" t="s">
        <v>12</v>
      </c>
      <c r="Y48" s="482" t="s">
        <v>13</v>
      </c>
      <c r="Z48" s="482" t="s">
        <v>282</v>
      </c>
      <c r="AA48" s="482" t="s">
        <v>12</v>
      </c>
      <c r="AB48" s="482" t="s">
        <v>16</v>
      </c>
      <c r="AC48" s="482" t="s">
        <v>17</v>
      </c>
      <c r="AD48" s="482" t="s">
        <v>18</v>
      </c>
      <c r="AE48" s="482" t="s">
        <v>19</v>
      </c>
      <c r="AF48" s="484" t="s">
        <v>96</v>
      </c>
      <c r="AG48" s="484" t="s">
        <v>257</v>
      </c>
      <c r="AH48" s="482" t="s">
        <v>254</v>
      </c>
      <c r="AI48" s="482" t="s">
        <v>20</v>
      </c>
      <c r="AJ48" s="483" t="s">
        <v>14</v>
      </c>
      <c r="AK48" s="482" t="s">
        <v>13</v>
      </c>
      <c r="AL48" s="846" t="s">
        <v>284</v>
      </c>
      <c r="AM48" s="846" t="s">
        <v>288</v>
      </c>
      <c r="AN48" s="484" t="s">
        <v>291</v>
      </c>
      <c r="AO48" s="947"/>
      <c r="AP48" s="972"/>
      <c r="AQ48" s="972"/>
      <c r="AR48" s="944"/>
    </row>
    <row r="49" spans="1:44" ht="24.95" customHeight="1" thickTop="1" thickBot="1">
      <c r="H49" s="616">
        <f>SUM(H8:H45)</f>
        <v>0</v>
      </c>
      <c r="R49" s="19"/>
      <c r="S49" s="865" t="s">
        <v>165</v>
      </c>
      <c r="T49" s="866"/>
      <c r="U49" s="866"/>
      <c r="V49" s="866"/>
      <c r="W49" s="866"/>
      <c r="X49" s="866"/>
      <c r="Y49" s="866"/>
      <c r="Z49" s="866"/>
      <c r="AA49" s="866"/>
      <c r="AB49" s="866"/>
      <c r="AC49" s="866"/>
      <c r="AD49" s="866"/>
      <c r="AE49" s="866"/>
      <c r="AF49" s="866"/>
      <c r="AG49" s="866"/>
      <c r="AH49" s="866"/>
      <c r="AI49" s="866"/>
      <c r="AJ49" s="866"/>
      <c r="AK49" s="866"/>
      <c r="AL49" s="866"/>
      <c r="AM49" s="866"/>
      <c r="AN49" s="866"/>
      <c r="AO49" s="943"/>
      <c r="AP49" s="943"/>
      <c r="AQ49" s="943"/>
      <c r="AR49" s="944"/>
    </row>
    <row r="50" spans="1:44" ht="24.95" customHeight="1" thickBot="1">
      <c r="C50" t="s">
        <v>1</v>
      </c>
      <c r="L50" s="417">
        <v>5000</v>
      </c>
      <c r="M50" s="417"/>
      <c r="N50" s="417">
        <f t="shared" ref="N50:N57" si="12">L50*M50</f>
        <v>0</v>
      </c>
      <c r="R50" s="19"/>
      <c r="S50" s="854" t="s">
        <v>166</v>
      </c>
      <c r="T50" s="852"/>
      <c r="U50" s="852"/>
      <c r="V50" s="852"/>
      <c r="W50" s="852"/>
      <c r="X50" s="852"/>
      <c r="Y50" s="852"/>
      <c r="Z50" s="852"/>
      <c r="AA50" s="852"/>
      <c r="AB50" s="852"/>
      <c r="AC50" s="852"/>
      <c r="AD50" s="852"/>
      <c r="AE50" s="852"/>
      <c r="AF50" s="855"/>
      <c r="AG50" s="852"/>
      <c r="AH50" s="852"/>
      <c r="AI50" s="848"/>
      <c r="AJ50" s="848"/>
      <c r="AK50" s="848"/>
      <c r="AL50" s="849"/>
      <c r="AM50" s="927"/>
      <c r="AN50" s="927"/>
      <c r="AO50" s="943"/>
      <c r="AP50" s="943"/>
      <c r="AQ50" s="943"/>
      <c r="AR50" s="944"/>
    </row>
    <row r="51" spans="1:44" ht="24.95" customHeight="1" thickBot="1">
      <c r="L51" s="417">
        <v>1000</v>
      </c>
      <c r="M51" s="417"/>
      <c r="N51" s="417">
        <f t="shared" si="12"/>
        <v>0</v>
      </c>
      <c r="R51" s="19"/>
      <c r="S51" s="867" t="s">
        <v>91</v>
      </c>
      <c r="T51" s="868"/>
      <c r="U51" s="868"/>
      <c r="V51" s="868"/>
      <c r="W51" s="868"/>
      <c r="X51" s="868"/>
      <c r="Y51" s="868"/>
      <c r="Z51" s="868"/>
      <c r="AA51" s="868"/>
      <c r="AB51" s="868"/>
      <c r="AC51" s="868"/>
      <c r="AD51" s="868"/>
      <c r="AE51" s="868"/>
      <c r="AF51" s="869"/>
      <c r="AG51" s="868"/>
      <c r="AH51" s="870"/>
      <c r="AI51" s="868"/>
      <c r="AJ51" s="868"/>
      <c r="AK51" s="868"/>
      <c r="AL51" s="849"/>
      <c r="AM51" s="850"/>
      <c r="AN51" s="850"/>
      <c r="AO51" s="943"/>
      <c r="AP51" s="943"/>
      <c r="AQ51" s="943"/>
      <c r="AR51" s="944"/>
    </row>
    <row r="52" spans="1:44" ht="24.95" customHeight="1" thickBot="1">
      <c r="L52" s="417">
        <v>500</v>
      </c>
      <c r="M52" s="417"/>
      <c r="N52" s="417">
        <f t="shared" si="12"/>
        <v>0</v>
      </c>
      <c r="O52" t="s">
        <v>1</v>
      </c>
      <c r="R52" s="19"/>
      <c r="S52" s="856" t="s">
        <v>167</v>
      </c>
      <c r="T52" s="857"/>
      <c r="U52" s="857"/>
      <c r="V52" s="857"/>
      <c r="W52" s="857"/>
      <c r="X52" s="857"/>
      <c r="Y52" s="857"/>
      <c r="Z52" s="857"/>
      <c r="AA52" s="857"/>
      <c r="AB52" s="857"/>
      <c r="AC52" s="857"/>
      <c r="AD52" s="857"/>
      <c r="AE52" s="857"/>
      <c r="AF52" s="858"/>
      <c r="AG52" s="859"/>
      <c r="AH52" s="860"/>
      <c r="AI52" s="851"/>
      <c r="AJ52" s="851"/>
      <c r="AK52" s="849"/>
      <c r="AL52" s="849"/>
      <c r="AM52" s="850"/>
      <c r="AN52" s="850"/>
      <c r="AO52" s="948"/>
      <c r="AP52" s="944"/>
      <c r="AQ52" s="943"/>
      <c r="AR52" s="944"/>
    </row>
    <row r="53" spans="1:44" ht="24.95" customHeight="1" thickBot="1">
      <c r="K53">
        <v>701</v>
      </c>
      <c r="L53" s="417">
        <v>100</v>
      </c>
      <c r="M53" s="417"/>
      <c r="N53" s="417">
        <f t="shared" si="12"/>
        <v>0</v>
      </c>
      <c r="P53" t="s">
        <v>1</v>
      </c>
      <c r="R53" s="19"/>
      <c r="S53" s="871" t="s">
        <v>81</v>
      </c>
      <c r="T53" s="866">
        <f t="shared" ref="T53:AA53" si="13">SUM(T49+T50+T52)</f>
        <v>0</v>
      </c>
      <c r="U53" s="866">
        <f t="shared" si="13"/>
        <v>0</v>
      </c>
      <c r="V53" s="866">
        <f t="shared" si="13"/>
        <v>0</v>
      </c>
      <c r="W53" s="866">
        <f t="shared" si="13"/>
        <v>0</v>
      </c>
      <c r="X53" s="866">
        <f t="shared" si="13"/>
        <v>0</v>
      </c>
      <c r="Y53" s="866">
        <f t="shared" si="13"/>
        <v>0</v>
      </c>
      <c r="Z53" s="866">
        <f t="shared" si="13"/>
        <v>0</v>
      </c>
      <c r="AA53" s="866">
        <f t="shared" si="13"/>
        <v>0</v>
      </c>
      <c r="AB53" s="866">
        <f t="shared" ref="AB53:AJ53" si="14">SUM(AB49+AB50+AB52)</f>
        <v>0</v>
      </c>
      <c r="AC53" s="866">
        <f t="shared" si="14"/>
        <v>0</v>
      </c>
      <c r="AD53" s="866">
        <f t="shared" si="14"/>
        <v>0</v>
      </c>
      <c r="AE53" s="866">
        <f t="shared" si="14"/>
        <v>0</v>
      </c>
      <c r="AF53" s="866">
        <f t="shared" si="14"/>
        <v>0</v>
      </c>
      <c r="AG53" s="866">
        <f t="shared" si="14"/>
        <v>0</v>
      </c>
      <c r="AH53" s="866">
        <f t="shared" si="14"/>
        <v>0</v>
      </c>
      <c r="AI53" s="866">
        <f t="shared" si="14"/>
        <v>0</v>
      </c>
      <c r="AJ53" s="866">
        <f t="shared" si="14"/>
        <v>0</v>
      </c>
      <c r="AK53" s="866">
        <f t="shared" ref="AK53:AM53" si="15">SUM(AK49+AK50+AK52)</f>
        <v>0</v>
      </c>
      <c r="AL53" s="866">
        <f t="shared" si="15"/>
        <v>0</v>
      </c>
      <c r="AM53" s="872">
        <f t="shared" si="15"/>
        <v>0</v>
      </c>
      <c r="AN53" s="872">
        <f t="shared" ref="AN53" si="16">SUM(AN49+AN50+AN52)</f>
        <v>0</v>
      </c>
      <c r="AO53" s="944"/>
      <c r="AP53" s="944"/>
      <c r="AQ53" s="944"/>
      <c r="AR53" s="944"/>
    </row>
    <row r="54" spans="1:44" ht="24.95" customHeight="1" thickBot="1">
      <c r="K54">
        <v>469</v>
      </c>
      <c r="L54" s="417">
        <v>50</v>
      </c>
      <c r="M54" s="417"/>
      <c r="N54" s="417">
        <f t="shared" si="12"/>
        <v>0</v>
      </c>
      <c r="R54" s="19"/>
      <c r="S54" s="854" t="s">
        <v>168</v>
      </c>
      <c r="T54" s="852">
        <f>'CUSTOMERS REPORT'!B8+'CUSTOMERS REPORT'!B54+'CUSTOMERS REPORT'!B92+'CUSTOMERS REPORT'!B131+'CUSTOMERS REPORT'!B169+'CUSTOMERS REPORT'!B209+'CUSTOMERS REPORT'!B246+'CUSTOMERS REPORT'!B286+'CUSTOMERS REPORT'!B327+'CUSTOMERS REPORT'!B369+'CUSTOMERS REPORT'!B408+'CUSTOMERS REPORT'!B446+'CUSTOMERS REPORT'!B482+'CUSTOMERS REPORT'!B519+'CUSTOMERS REPORT'!B557+'CUSTOMERS REPORT'!B593+'CUSTOMERS REPORT'!B631+'CUSTOMERS REPORT'!B669+'CUSTOMERS REPORT'!B707+'CUSTOMERS REPORT'!B745+'CUSTOMERS REPORT'!B783+'CUSTOMERS REPORT'!B821+'CUSTOMERS REPORT'!B859+'CUSTOMERS REPORT'!B898+'CUSTOMERS REPORT'!B937+'CUSTOMERS REPORT'!B975+'CUSTOMERS REPORT'!B1013+'CUSTOMERS REPORT'!B1051+'CUSTOMERS REPORT'!B1089+'CUSTOMERS REPORT'!B1127+'CUSTOMERS REPORT'!B1164+'CUSTOMERS REPORT'!B1201+'CUSTOMERS REPORT'!B1238+'CUSTOMERS REPORT'!B1275+'CUSTOMERS REPORT'!B1312+'CUSTOMERS REPORT'!B1349+'CUSTOMERS REPORT'!B1386+'CUSTOMERS REPORT'!B1422</f>
        <v>0</v>
      </c>
      <c r="U54" s="852">
        <f>'CUSTOMERS REPORT'!C8+'CUSTOMERS REPORT'!C54+'CUSTOMERS REPORT'!C92+'CUSTOMERS REPORT'!C131+'CUSTOMERS REPORT'!C169+'CUSTOMERS REPORT'!C209+'CUSTOMERS REPORT'!C246+'CUSTOMERS REPORT'!C286+'CUSTOMERS REPORT'!C327+'CUSTOMERS REPORT'!C369+'CUSTOMERS REPORT'!C408+'CUSTOMERS REPORT'!C446+'CUSTOMERS REPORT'!C482+'CUSTOMERS REPORT'!C519+'CUSTOMERS REPORT'!C557+'CUSTOMERS REPORT'!C593+'CUSTOMERS REPORT'!C631+'CUSTOMERS REPORT'!C669+'CUSTOMERS REPORT'!C707+'CUSTOMERS REPORT'!C745+'CUSTOMERS REPORT'!C783+'CUSTOMERS REPORT'!C821+'CUSTOMERS REPORT'!C859+'CUSTOMERS REPORT'!C898+'CUSTOMERS REPORT'!C937+'CUSTOMERS REPORT'!C975+'CUSTOMERS REPORT'!C1013+'CUSTOMERS REPORT'!C1051+'CUSTOMERS REPORT'!C1089+'CUSTOMERS REPORT'!C1127+'CUSTOMERS REPORT'!C1164+'CUSTOMERS REPORT'!C1201+'CUSTOMERS REPORT'!C1238+'CUSTOMERS REPORT'!C1275+'CUSTOMERS REPORT'!C1312+'CUSTOMERS REPORT'!C1349+'CUSTOMERS REPORT'!C1386+'CUSTOMERS REPORT'!C1422</f>
        <v>0</v>
      </c>
      <c r="V54" s="852">
        <f>'CUSTOMERS REPORT'!D8+'CUSTOMERS REPORT'!D54+'CUSTOMERS REPORT'!D92+'CUSTOMERS REPORT'!D131+'CUSTOMERS REPORT'!D169+'CUSTOMERS REPORT'!D209+'CUSTOMERS REPORT'!D246+'CUSTOMERS REPORT'!D286+'CUSTOMERS REPORT'!D327+'CUSTOMERS REPORT'!D369+'CUSTOMERS REPORT'!D408+'CUSTOMERS REPORT'!D446+'CUSTOMERS REPORT'!D482+'CUSTOMERS REPORT'!D519+'CUSTOMERS REPORT'!D557+'CUSTOMERS REPORT'!D593+'CUSTOMERS REPORT'!D631+'CUSTOMERS REPORT'!D669+'CUSTOMERS REPORT'!D707+'CUSTOMERS REPORT'!D745+'CUSTOMERS REPORT'!D783+'CUSTOMERS REPORT'!D821+'CUSTOMERS REPORT'!D859+'CUSTOMERS REPORT'!D898+'CUSTOMERS REPORT'!D937+'CUSTOMERS REPORT'!D975+'CUSTOMERS REPORT'!D1013+'CUSTOMERS REPORT'!D1051+'CUSTOMERS REPORT'!D1089+'CUSTOMERS REPORT'!D1127+'CUSTOMERS REPORT'!D1164+'CUSTOMERS REPORT'!D1201+'CUSTOMERS REPORT'!D1238+'CUSTOMERS REPORT'!D1275+'CUSTOMERS REPORT'!D1312+'CUSTOMERS REPORT'!D1349+'CUSTOMERS REPORT'!D1386+'CUSTOMERS REPORT'!D1422</f>
        <v>0</v>
      </c>
      <c r="W54" s="852">
        <f>'CUSTOMERS REPORT'!E8+'CUSTOMERS REPORT'!E54+'CUSTOMERS REPORT'!E92+'CUSTOMERS REPORT'!E131+'CUSTOMERS REPORT'!E169+'CUSTOMERS REPORT'!E209+'CUSTOMERS REPORT'!E246+'CUSTOMERS REPORT'!E286+'CUSTOMERS REPORT'!E327+'CUSTOMERS REPORT'!E369+'CUSTOMERS REPORT'!E408+'CUSTOMERS REPORT'!E446+'CUSTOMERS REPORT'!E482+'CUSTOMERS REPORT'!E519+'CUSTOMERS REPORT'!E557+'CUSTOMERS REPORT'!E593+'CUSTOMERS REPORT'!E631+'CUSTOMERS REPORT'!E669+'CUSTOMERS REPORT'!E707+'CUSTOMERS REPORT'!E745+'CUSTOMERS REPORT'!E783+'CUSTOMERS REPORT'!E821+'CUSTOMERS REPORT'!E859+'CUSTOMERS REPORT'!E898+'CUSTOMERS REPORT'!E937+'CUSTOMERS REPORT'!E975+'CUSTOMERS REPORT'!E1013+'CUSTOMERS REPORT'!E1051+'CUSTOMERS REPORT'!E1089+'CUSTOMERS REPORT'!E1127+'CUSTOMERS REPORT'!E1164+'CUSTOMERS REPORT'!E1201+'CUSTOMERS REPORT'!E1238+'CUSTOMERS REPORT'!E1275+'CUSTOMERS REPORT'!E1312+'CUSTOMERS REPORT'!E1349+'CUSTOMERS REPORT'!E1386+'CUSTOMERS REPORT'!E1422</f>
        <v>0</v>
      </c>
      <c r="X54" s="852">
        <f>'CUSTOMERS REPORT'!F8+'CUSTOMERS REPORT'!F54+'CUSTOMERS REPORT'!F92+'CUSTOMERS REPORT'!F131+'CUSTOMERS REPORT'!F169+'CUSTOMERS REPORT'!F209+'CUSTOMERS REPORT'!F246+'CUSTOMERS REPORT'!F286+'CUSTOMERS REPORT'!F327+'CUSTOMERS REPORT'!F369+'CUSTOMERS REPORT'!F408+'CUSTOMERS REPORT'!F446+'CUSTOMERS REPORT'!F482+'CUSTOMERS REPORT'!F519+'CUSTOMERS REPORT'!F557+'CUSTOMERS REPORT'!F593+'CUSTOMERS REPORT'!F631+'CUSTOMERS REPORT'!F669+'CUSTOMERS REPORT'!F707+'CUSTOMERS REPORT'!F745+'CUSTOMERS REPORT'!F783+'CUSTOMERS REPORT'!F821+'CUSTOMERS REPORT'!F859+'CUSTOMERS REPORT'!F898+'CUSTOMERS REPORT'!F937+'CUSTOMERS REPORT'!F975+'CUSTOMERS REPORT'!F1013+'CUSTOMERS REPORT'!F1051+'CUSTOMERS REPORT'!F1089+'CUSTOMERS REPORT'!F1127+'CUSTOMERS REPORT'!F1164+'CUSTOMERS REPORT'!F1201+'CUSTOMERS REPORT'!F1238+'CUSTOMERS REPORT'!F1275+'CUSTOMERS REPORT'!F1312+'CUSTOMERS REPORT'!F1349+'CUSTOMERS REPORT'!F1386+'CUSTOMERS REPORT'!F1422</f>
        <v>0</v>
      </c>
      <c r="Y54" s="852">
        <f>'CUSTOMERS REPORT'!G8+'CUSTOMERS REPORT'!G54+'CUSTOMERS REPORT'!G92+'CUSTOMERS REPORT'!G131+'CUSTOMERS REPORT'!G169+'CUSTOMERS REPORT'!G209+'CUSTOMERS REPORT'!G246+'CUSTOMERS REPORT'!G286+'CUSTOMERS REPORT'!G327+'CUSTOMERS REPORT'!G369+'CUSTOMERS REPORT'!G408+'CUSTOMERS REPORT'!G446+'CUSTOMERS REPORT'!G482+'CUSTOMERS REPORT'!G519+'CUSTOMERS REPORT'!G557+'CUSTOMERS REPORT'!G593+'CUSTOMERS REPORT'!G631+'CUSTOMERS REPORT'!G669+'CUSTOMERS REPORT'!G707+'CUSTOMERS REPORT'!G745+'CUSTOMERS REPORT'!G783+'CUSTOMERS REPORT'!G821+'CUSTOMERS REPORT'!G859+'CUSTOMERS REPORT'!G898+'CUSTOMERS REPORT'!G937+'CUSTOMERS REPORT'!G975+'CUSTOMERS REPORT'!G1013+'CUSTOMERS REPORT'!G1051+'CUSTOMERS REPORT'!G1089+'CUSTOMERS REPORT'!G1127+'CUSTOMERS REPORT'!G1164+'CUSTOMERS REPORT'!G1201+'CUSTOMERS REPORT'!G1238+'CUSTOMERS REPORT'!G1275+'CUSTOMERS REPORT'!G1312+'CUSTOMERS REPORT'!G1349+'CUSTOMERS REPORT'!G1386+'CUSTOMERS REPORT'!G1422</f>
        <v>0</v>
      </c>
      <c r="Z54" s="852">
        <f>'CUSTOMERS REPORT'!H8+'CUSTOMERS REPORT'!H54+'CUSTOMERS REPORT'!H92+'CUSTOMERS REPORT'!H131+'CUSTOMERS REPORT'!H169+'CUSTOMERS REPORT'!H209+'CUSTOMERS REPORT'!H246+'CUSTOMERS REPORT'!H286+'CUSTOMERS REPORT'!H327+'CUSTOMERS REPORT'!H369+'CUSTOMERS REPORT'!H408+'CUSTOMERS REPORT'!H446+'CUSTOMERS REPORT'!H482+'CUSTOMERS REPORT'!H519+'CUSTOMERS REPORT'!H557+'CUSTOMERS REPORT'!H593+'CUSTOMERS REPORT'!H631+'CUSTOMERS REPORT'!H669+'CUSTOMERS REPORT'!H707+'CUSTOMERS REPORT'!H745+'CUSTOMERS REPORT'!H783+'CUSTOMERS REPORT'!H821+'CUSTOMERS REPORT'!H859+'CUSTOMERS REPORT'!H898+'CUSTOMERS REPORT'!H937+'CUSTOMERS REPORT'!H975+'CUSTOMERS REPORT'!H1013+'CUSTOMERS REPORT'!H1051+'CUSTOMERS REPORT'!H1089+'CUSTOMERS REPORT'!H1127+'CUSTOMERS REPORT'!H1164+'CUSTOMERS REPORT'!H1201+'CUSTOMERS REPORT'!H1238+'CUSTOMERS REPORT'!H1275+'CUSTOMERS REPORT'!H1312+'CUSTOMERS REPORT'!H1349+'CUSTOMERS REPORT'!H1386+'CUSTOMERS REPORT'!H1422</f>
        <v>0</v>
      </c>
      <c r="AA54" s="852">
        <f>'CUSTOMERS REPORT'!I8+'CUSTOMERS REPORT'!I54+'CUSTOMERS REPORT'!I92+'CUSTOMERS REPORT'!I131+'CUSTOMERS REPORT'!I169+'CUSTOMERS REPORT'!I209+'CUSTOMERS REPORT'!I246+'CUSTOMERS REPORT'!I286+'CUSTOMERS REPORT'!I327+'CUSTOMERS REPORT'!I369+'CUSTOMERS REPORT'!I408+'CUSTOMERS REPORT'!I446+'CUSTOMERS REPORT'!I482+'CUSTOMERS REPORT'!I519+'CUSTOMERS REPORT'!I557+'CUSTOMERS REPORT'!I593+'CUSTOMERS REPORT'!I631+'CUSTOMERS REPORT'!I669+'CUSTOMERS REPORT'!I707+'CUSTOMERS REPORT'!I745+'CUSTOMERS REPORT'!I783+'CUSTOMERS REPORT'!I821+'CUSTOMERS REPORT'!I859+'CUSTOMERS REPORT'!I898+'CUSTOMERS REPORT'!I937+'CUSTOMERS REPORT'!I975+'CUSTOMERS REPORT'!I1013+'CUSTOMERS REPORT'!I1051+'CUSTOMERS REPORT'!I1089+'CUSTOMERS REPORT'!I1127+'CUSTOMERS REPORT'!I1164+'CUSTOMERS REPORT'!I1201+'CUSTOMERS REPORT'!I1238+'CUSTOMERS REPORT'!I1275+'CUSTOMERS REPORT'!I1312+'CUSTOMERS REPORT'!I1349+'CUSTOMERS REPORT'!I1386+'CUSTOMERS REPORT'!I1422</f>
        <v>0</v>
      </c>
      <c r="AB54" s="852">
        <f>'CUSTOMERS REPORT'!J8+'CUSTOMERS REPORT'!J54+'CUSTOMERS REPORT'!J92+'CUSTOMERS REPORT'!J131+'CUSTOMERS REPORT'!J169+'CUSTOMERS REPORT'!J209+'CUSTOMERS REPORT'!J246+'CUSTOMERS REPORT'!J286+'CUSTOMERS REPORT'!J327+'CUSTOMERS REPORT'!J369+'CUSTOMERS REPORT'!J408+'CUSTOMERS REPORT'!J446+'CUSTOMERS REPORT'!J482+'CUSTOMERS REPORT'!J519+'CUSTOMERS REPORT'!J557+'CUSTOMERS REPORT'!J593+'CUSTOMERS REPORT'!J631+'CUSTOMERS REPORT'!J669+'CUSTOMERS REPORT'!J707+'CUSTOMERS REPORT'!J745+'CUSTOMERS REPORT'!J783+'CUSTOMERS REPORT'!J821+'CUSTOMERS REPORT'!J859+'CUSTOMERS REPORT'!J898+'CUSTOMERS REPORT'!J937+'CUSTOMERS REPORT'!J975+'CUSTOMERS REPORT'!J1013+'CUSTOMERS REPORT'!J1051+'CUSTOMERS REPORT'!J1089+'CUSTOMERS REPORT'!J1127+'CUSTOMERS REPORT'!J1164+'CUSTOMERS REPORT'!J1201+'CUSTOMERS REPORT'!J1238+'CUSTOMERS REPORT'!J1275+'CUSTOMERS REPORT'!J1312+'CUSTOMERS REPORT'!J1349+'CUSTOMERS REPORT'!J1386+'CUSTOMERS REPORT'!J1422</f>
        <v>0</v>
      </c>
      <c r="AC54" s="852">
        <f>'CUSTOMERS REPORT'!K8+'CUSTOMERS REPORT'!K54+'CUSTOMERS REPORT'!K92+'CUSTOMERS REPORT'!K131+'CUSTOMERS REPORT'!K169+'CUSTOMERS REPORT'!K209+'CUSTOMERS REPORT'!K246+'CUSTOMERS REPORT'!K286+'CUSTOMERS REPORT'!K327+'CUSTOMERS REPORT'!K369+'CUSTOMERS REPORT'!K408+'CUSTOMERS REPORT'!K446+'CUSTOMERS REPORT'!K482+'CUSTOMERS REPORT'!K519+'CUSTOMERS REPORT'!K557+'CUSTOMERS REPORT'!K593+'CUSTOMERS REPORT'!K631+'CUSTOMERS REPORT'!K669+'CUSTOMERS REPORT'!K707+'CUSTOMERS REPORT'!K745+'CUSTOMERS REPORT'!K783+'CUSTOMERS REPORT'!K821+'CUSTOMERS REPORT'!K859+'CUSTOMERS REPORT'!K898+'CUSTOMERS REPORT'!K937+'CUSTOMERS REPORT'!K975+'CUSTOMERS REPORT'!K1013+'CUSTOMERS REPORT'!K1051+'CUSTOMERS REPORT'!K1089+'CUSTOMERS REPORT'!K1127+'CUSTOMERS REPORT'!K1164+'CUSTOMERS REPORT'!K1201+'CUSTOMERS REPORT'!K1238+'CUSTOMERS REPORT'!K1275+'CUSTOMERS REPORT'!K1312+'CUSTOMERS REPORT'!K1349+'CUSTOMERS REPORT'!K1386+'CUSTOMERS REPORT'!K1422</f>
        <v>0</v>
      </c>
      <c r="AD54" s="852">
        <f>'CUSTOMERS REPORT'!L8+'CUSTOMERS REPORT'!L54+'CUSTOMERS REPORT'!L92+'CUSTOMERS REPORT'!L131+'CUSTOMERS REPORT'!L169+'CUSTOMERS REPORT'!L209+'CUSTOMERS REPORT'!L246+'CUSTOMERS REPORT'!L286+'CUSTOMERS REPORT'!L327+'CUSTOMERS REPORT'!L369+'CUSTOMERS REPORT'!L408+'CUSTOMERS REPORT'!L446+'CUSTOMERS REPORT'!L482+'CUSTOMERS REPORT'!L519+'CUSTOMERS REPORT'!L557+'CUSTOMERS REPORT'!L593+'CUSTOMERS REPORT'!L631+'CUSTOMERS REPORT'!L669+'CUSTOMERS REPORT'!L707+'CUSTOMERS REPORT'!L745+'CUSTOMERS REPORT'!L783+'CUSTOMERS REPORT'!L821+'CUSTOMERS REPORT'!L859+'CUSTOMERS REPORT'!L898+'CUSTOMERS REPORT'!L937+'CUSTOMERS REPORT'!L975+'CUSTOMERS REPORT'!L1013+'CUSTOMERS REPORT'!L1051+'CUSTOMERS REPORT'!L1089+'CUSTOMERS REPORT'!L1127+'CUSTOMERS REPORT'!L1164+'CUSTOMERS REPORT'!L1201+'CUSTOMERS REPORT'!L1238+'CUSTOMERS REPORT'!L1275+'CUSTOMERS REPORT'!L1312+'CUSTOMERS REPORT'!L1349+'CUSTOMERS REPORT'!L1386+'CUSTOMERS REPORT'!L1422</f>
        <v>0</v>
      </c>
      <c r="AE54" s="852">
        <f>'CUSTOMERS REPORT'!M8+'CUSTOMERS REPORT'!M54+'CUSTOMERS REPORT'!M92+'CUSTOMERS REPORT'!M131+'CUSTOMERS REPORT'!M169+'CUSTOMERS REPORT'!M209+'CUSTOMERS REPORT'!M246+'CUSTOMERS REPORT'!M286+'CUSTOMERS REPORT'!M327+'CUSTOMERS REPORT'!M369+'CUSTOMERS REPORT'!M408+'CUSTOMERS REPORT'!M446+'CUSTOMERS REPORT'!M482+'CUSTOMERS REPORT'!M519+'CUSTOMERS REPORT'!M557+'CUSTOMERS REPORT'!M593+'CUSTOMERS REPORT'!M631+'CUSTOMERS REPORT'!M669+'CUSTOMERS REPORT'!M707+'CUSTOMERS REPORT'!M745+'CUSTOMERS REPORT'!M783+'CUSTOMERS REPORT'!M821+'CUSTOMERS REPORT'!M859+'CUSTOMERS REPORT'!M898+'CUSTOMERS REPORT'!M937+'CUSTOMERS REPORT'!M975+'CUSTOMERS REPORT'!M1013+'CUSTOMERS REPORT'!M1051+'CUSTOMERS REPORT'!M1089+'CUSTOMERS REPORT'!M1127+'CUSTOMERS REPORT'!M1164+'CUSTOMERS REPORT'!M1201+'CUSTOMERS REPORT'!M1238+'CUSTOMERS REPORT'!M1275+'CUSTOMERS REPORT'!M1312+'CUSTOMERS REPORT'!M1349+'CUSTOMERS REPORT'!M1386+'CUSTOMERS REPORT'!M1422</f>
        <v>0</v>
      </c>
      <c r="AF54" s="852">
        <f>'CUSTOMERS REPORT'!N8+'CUSTOMERS REPORT'!N54+'CUSTOMERS REPORT'!N92+'CUSTOMERS REPORT'!N131+'CUSTOMERS REPORT'!N169+'CUSTOMERS REPORT'!N209+'CUSTOMERS REPORT'!N246+'CUSTOMERS REPORT'!N286+'CUSTOMERS REPORT'!N327+'CUSTOMERS REPORT'!N369+'CUSTOMERS REPORT'!N408+'CUSTOMERS REPORT'!N446+'CUSTOMERS REPORT'!N482+'CUSTOMERS REPORT'!N519+'CUSTOMERS REPORT'!N557+'CUSTOMERS REPORT'!N593+'CUSTOMERS REPORT'!N631+'CUSTOMERS REPORT'!N669+'CUSTOMERS REPORT'!N707+'CUSTOMERS REPORT'!N745+'CUSTOMERS REPORT'!N783+'CUSTOMERS REPORT'!N821+'CUSTOMERS REPORT'!N859+'CUSTOMERS REPORT'!N898+'CUSTOMERS REPORT'!N937+'CUSTOMERS REPORT'!N975+'CUSTOMERS REPORT'!N1013+'CUSTOMERS REPORT'!N1051+'CUSTOMERS REPORT'!N1089+'CUSTOMERS REPORT'!N1127+'CUSTOMERS REPORT'!N1164+'CUSTOMERS REPORT'!N1201+'CUSTOMERS REPORT'!N1238+'CUSTOMERS REPORT'!N1275+'CUSTOMERS REPORT'!N1312+'CUSTOMERS REPORT'!N1349+'CUSTOMERS REPORT'!N1386+'CUSTOMERS REPORT'!N1422</f>
        <v>0</v>
      </c>
      <c r="AG54" s="852">
        <f>'CUSTOMERS REPORT'!O8+'CUSTOMERS REPORT'!O54+'CUSTOMERS REPORT'!O92+'CUSTOMERS REPORT'!O131+'CUSTOMERS REPORT'!O169+'CUSTOMERS REPORT'!O209+'CUSTOMERS REPORT'!O246+'CUSTOMERS REPORT'!O286+'CUSTOMERS REPORT'!O327+'CUSTOMERS REPORT'!O369+'CUSTOMERS REPORT'!O408+'CUSTOMERS REPORT'!O446+'CUSTOMERS REPORT'!O482+'CUSTOMERS REPORT'!O519+'CUSTOMERS REPORT'!O557+'CUSTOMERS REPORT'!O593+'CUSTOMERS REPORT'!O631+'CUSTOMERS REPORT'!O669+'CUSTOMERS REPORT'!O707+'CUSTOMERS REPORT'!O745+'CUSTOMERS REPORT'!O783+'CUSTOMERS REPORT'!O821+'CUSTOMERS REPORT'!O859+'CUSTOMERS REPORT'!O898+'CUSTOMERS REPORT'!O937+'CUSTOMERS REPORT'!O975+'CUSTOMERS REPORT'!O1013+'CUSTOMERS REPORT'!O1051+'CUSTOMERS REPORT'!O1089+'CUSTOMERS REPORT'!O1127+'CUSTOMERS REPORT'!O1164+'CUSTOMERS REPORT'!O1201+'CUSTOMERS REPORT'!O1238+'CUSTOMERS REPORT'!O1275+'CUSTOMERS REPORT'!O1312+'CUSTOMERS REPORT'!O1349+'CUSTOMERS REPORT'!O1386+'CUSTOMERS REPORT'!O1422</f>
        <v>0</v>
      </c>
      <c r="AH54" s="852">
        <f>'CUSTOMERS REPORT'!P8+'CUSTOMERS REPORT'!P54+'CUSTOMERS REPORT'!P92+'CUSTOMERS REPORT'!P131+'CUSTOMERS REPORT'!P169+'CUSTOMERS REPORT'!P209+'CUSTOMERS REPORT'!P246+'CUSTOMERS REPORT'!P286+'CUSTOMERS REPORT'!P327+'CUSTOMERS REPORT'!P369+'CUSTOMERS REPORT'!P408+'CUSTOMERS REPORT'!P446+'CUSTOMERS REPORT'!P482+'CUSTOMERS REPORT'!P519+'CUSTOMERS REPORT'!P557+'CUSTOMERS REPORT'!P593+'CUSTOMERS REPORT'!P631+'CUSTOMERS REPORT'!P669+'CUSTOMERS REPORT'!P707+'CUSTOMERS REPORT'!P745+'CUSTOMERS REPORT'!P783+'CUSTOMERS REPORT'!P821+'CUSTOMERS REPORT'!P859+'CUSTOMERS REPORT'!P898+'CUSTOMERS REPORT'!P937+'CUSTOMERS REPORT'!P975+'CUSTOMERS REPORT'!P1013+'CUSTOMERS REPORT'!P1051+'CUSTOMERS REPORT'!P1089+'CUSTOMERS REPORT'!P1127+'CUSTOMERS REPORT'!P1164+'CUSTOMERS REPORT'!P1201+'CUSTOMERS REPORT'!P1238+'CUSTOMERS REPORT'!P1275+'CUSTOMERS REPORT'!P1312+'CUSTOMERS REPORT'!P1349+'CUSTOMERS REPORT'!P1386+'CUSTOMERS REPORT'!P1422</f>
        <v>0</v>
      </c>
      <c r="AI54" s="852">
        <f>'CUSTOMERS REPORT'!Q8+'CUSTOMERS REPORT'!Q54+'CUSTOMERS REPORT'!Q92+'CUSTOMERS REPORT'!Q131+'CUSTOMERS REPORT'!Q169+'CUSTOMERS REPORT'!Q209+'CUSTOMERS REPORT'!Q246+'CUSTOMERS REPORT'!Q286+'CUSTOMERS REPORT'!Q327+'CUSTOMERS REPORT'!Q369+'CUSTOMERS REPORT'!Q408+'CUSTOMERS REPORT'!Q446+'CUSTOMERS REPORT'!Q482+'CUSTOMERS REPORT'!Q519+'CUSTOMERS REPORT'!Q557+'CUSTOMERS REPORT'!Q593+'CUSTOMERS REPORT'!Q631+'CUSTOMERS REPORT'!Q669+'CUSTOMERS REPORT'!Q707+'CUSTOMERS REPORT'!Q745+'CUSTOMERS REPORT'!Q783+'CUSTOMERS REPORT'!Q821+'CUSTOMERS REPORT'!Q859+'CUSTOMERS REPORT'!Q898+'CUSTOMERS REPORT'!Q937+'CUSTOMERS REPORT'!Q975+'CUSTOMERS REPORT'!Q1013+'CUSTOMERS REPORT'!Q1051+'CUSTOMERS REPORT'!Q1089+'CUSTOMERS REPORT'!Q1127+'CUSTOMERS REPORT'!Q1164+'CUSTOMERS REPORT'!Q1201+'CUSTOMERS REPORT'!Q1238+'CUSTOMERS REPORT'!Q1275+'CUSTOMERS REPORT'!Q1312+'CUSTOMERS REPORT'!Q1349+'CUSTOMERS REPORT'!Q1386+'CUSTOMERS REPORT'!Q1422</f>
        <v>0</v>
      </c>
      <c r="AJ54" s="852">
        <f>'CUSTOMERS REPORT'!R8+'CUSTOMERS REPORT'!R54+'CUSTOMERS REPORT'!R92+'CUSTOMERS REPORT'!R131+'CUSTOMERS REPORT'!R169+'CUSTOMERS REPORT'!R209+'CUSTOMERS REPORT'!R246+'CUSTOMERS REPORT'!R286+'CUSTOMERS REPORT'!R327+'CUSTOMERS REPORT'!R369+'CUSTOMERS REPORT'!R408+'CUSTOMERS REPORT'!R446+'CUSTOMERS REPORT'!R482+'CUSTOMERS REPORT'!R519+'CUSTOMERS REPORT'!R557+'CUSTOMERS REPORT'!R593+'CUSTOMERS REPORT'!R631+'CUSTOMERS REPORT'!R669+'CUSTOMERS REPORT'!R707+'CUSTOMERS REPORT'!R745+'CUSTOMERS REPORT'!R783+'CUSTOMERS REPORT'!R821+'CUSTOMERS REPORT'!R859+'CUSTOMERS REPORT'!R898+'CUSTOMERS REPORT'!R937+'CUSTOMERS REPORT'!R975+'CUSTOMERS REPORT'!R1013+'CUSTOMERS REPORT'!R1051+'CUSTOMERS REPORT'!R1089+'CUSTOMERS REPORT'!R1127+'CUSTOMERS REPORT'!R1164+'CUSTOMERS REPORT'!R1201+'CUSTOMERS REPORT'!R1238+'CUSTOMERS REPORT'!R1275+'CUSTOMERS REPORT'!R1312+'CUSTOMERS REPORT'!R1349+'CUSTOMERS REPORT'!R1386+'CUSTOMERS REPORT'!R1422</f>
        <v>0</v>
      </c>
      <c r="AK54" s="852">
        <f>'CUSTOMERS REPORT'!S8+'CUSTOMERS REPORT'!S54+'CUSTOMERS REPORT'!S92+'CUSTOMERS REPORT'!S131+'CUSTOMERS REPORT'!S169+'CUSTOMERS REPORT'!S209+'CUSTOMERS REPORT'!S246+'CUSTOMERS REPORT'!S286+'CUSTOMERS REPORT'!S327+'CUSTOMERS REPORT'!S369+'CUSTOMERS REPORT'!S408+'CUSTOMERS REPORT'!S446+'CUSTOMERS REPORT'!S482+'CUSTOMERS REPORT'!S519+'CUSTOMERS REPORT'!S557+'CUSTOMERS REPORT'!S593+'CUSTOMERS REPORT'!S631+'CUSTOMERS REPORT'!S669+'CUSTOMERS REPORT'!S707+'CUSTOMERS REPORT'!S745+'CUSTOMERS REPORT'!S783+'CUSTOMERS REPORT'!S821+'CUSTOMERS REPORT'!S859+'CUSTOMERS REPORT'!S898+'CUSTOMERS REPORT'!S937+'CUSTOMERS REPORT'!S975+'CUSTOMERS REPORT'!S1013+'CUSTOMERS REPORT'!S1051+'CUSTOMERS REPORT'!S1089+'CUSTOMERS REPORT'!S1127+'CUSTOMERS REPORT'!S1164+'CUSTOMERS REPORT'!S1201+'CUSTOMERS REPORT'!S1238+'CUSTOMERS REPORT'!S1275+'CUSTOMERS REPORT'!S1312+'CUSTOMERS REPORT'!S1349+'CUSTOMERS REPORT'!S1386+'CUSTOMERS REPORT'!S1422</f>
        <v>0</v>
      </c>
      <c r="AL54" s="852">
        <f>'CUSTOMERS REPORT'!T8+'CUSTOMERS REPORT'!T54+'CUSTOMERS REPORT'!T92+'CUSTOMERS REPORT'!T131+'CUSTOMERS REPORT'!T169+'CUSTOMERS REPORT'!T209+'CUSTOMERS REPORT'!T246+'CUSTOMERS REPORT'!T286+'CUSTOMERS REPORT'!T327+'CUSTOMERS REPORT'!T369+'CUSTOMERS REPORT'!T408+'CUSTOMERS REPORT'!T446+'CUSTOMERS REPORT'!T482+'CUSTOMERS REPORT'!T519+'CUSTOMERS REPORT'!T557+'CUSTOMERS REPORT'!T593+'CUSTOMERS REPORT'!T631+'CUSTOMERS REPORT'!T669+'CUSTOMERS REPORT'!T707+'CUSTOMERS REPORT'!T745+'CUSTOMERS REPORT'!T783+'CUSTOMERS REPORT'!T821+'CUSTOMERS REPORT'!T859+'CUSTOMERS REPORT'!T898+'CUSTOMERS REPORT'!T937+'CUSTOMERS REPORT'!T975+'CUSTOMERS REPORT'!T1013+'CUSTOMERS REPORT'!T1051+'CUSTOMERS REPORT'!T1089+'CUSTOMERS REPORT'!T1127</f>
        <v>0</v>
      </c>
      <c r="AM54" s="873">
        <f>'CUSTOMERS REPORT'!U8+'CUSTOMERS REPORT'!U54+'CUSTOMERS REPORT'!U92+'CUSTOMERS REPORT'!U131+'CUSTOMERS REPORT'!U169+'CUSTOMERS REPORT'!U209+'CUSTOMERS REPORT'!U246+'CUSTOMERS REPORT'!U286+'CUSTOMERS REPORT'!U327+'CUSTOMERS REPORT'!U369+'CUSTOMERS REPORT'!U408+'CUSTOMERS REPORT'!U446+'CUSTOMERS REPORT'!U482+'CUSTOMERS REPORT'!U519+'CUSTOMERS REPORT'!U557+'CUSTOMERS REPORT'!U593+'CUSTOMERS REPORT'!U631+'CUSTOMERS REPORT'!U669+'CUSTOMERS REPORT'!U707+'CUSTOMERS REPORT'!U745+'CUSTOMERS REPORT'!U783+'CUSTOMERS REPORT'!U821+'CUSTOMERS REPORT'!U859+'CUSTOMERS REPORT'!U898+'CUSTOMERS REPORT'!U937+'CUSTOMERS REPORT'!U975+'CUSTOMERS REPORT'!U1013+'CUSTOMERS REPORT'!U1051+'CUSTOMERS REPORT'!U1089+'CUSTOMERS REPORT'!U1127</f>
        <v>0</v>
      </c>
      <c r="AN54" s="873">
        <f>'CUSTOMERS REPORT'!V8+'CUSTOMERS REPORT'!V54+'CUSTOMERS REPORT'!V92+'CUSTOMERS REPORT'!V131+'CUSTOMERS REPORT'!V169+'CUSTOMERS REPORT'!V209+'CUSTOMERS REPORT'!V246+'CUSTOMERS REPORT'!V286+'CUSTOMERS REPORT'!V327+'CUSTOMERS REPORT'!V369+'CUSTOMERS REPORT'!V408+'CUSTOMERS REPORT'!V446+'CUSTOMERS REPORT'!V482+'CUSTOMERS REPORT'!V519+'CUSTOMERS REPORT'!V557+'CUSTOMERS REPORT'!V593+'CUSTOMERS REPORT'!V631+'CUSTOMERS REPORT'!V669+'CUSTOMERS REPORT'!V707+'CUSTOMERS REPORT'!V745+'CUSTOMERS REPORT'!V783+'CUSTOMERS REPORT'!V821+'CUSTOMERS REPORT'!V859+'CUSTOMERS REPORT'!V898+'CUSTOMERS REPORT'!V937+'CUSTOMERS REPORT'!V975+'CUSTOMERS REPORT'!V1013+'CUSTOMERS REPORT'!V1051+'CUSTOMERS REPORT'!V1089+'CUSTOMERS REPORT'!V1127</f>
        <v>0</v>
      </c>
      <c r="AO54" s="944"/>
      <c r="AP54" s="944"/>
      <c r="AQ54" s="944"/>
      <c r="AR54" s="944"/>
    </row>
    <row r="55" spans="1:44" ht="24.95" customHeight="1" thickBot="1">
      <c r="K55">
        <v>612</v>
      </c>
      <c r="L55" s="417">
        <v>20</v>
      </c>
      <c r="M55" s="417"/>
      <c r="N55" s="417">
        <f t="shared" si="12"/>
        <v>0</v>
      </c>
      <c r="R55" s="19"/>
      <c r="S55" s="865" t="s">
        <v>169</v>
      </c>
      <c r="T55" s="866">
        <f t="shared" ref="T55:AA55" si="17">T53-T54-T51</f>
        <v>0</v>
      </c>
      <c r="U55" s="866">
        <f t="shared" si="17"/>
        <v>0</v>
      </c>
      <c r="V55" s="866">
        <f t="shared" si="17"/>
        <v>0</v>
      </c>
      <c r="W55" s="866">
        <f t="shared" si="17"/>
        <v>0</v>
      </c>
      <c r="X55" s="866">
        <f t="shared" si="17"/>
        <v>0</v>
      </c>
      <c r="Y55" s="866">
        <f t="shared" si="17"/>
        <v>0</v>
      </c>
      <c r="Z55" s="866">
        <f t="shared" si="17"/>
        <v>0</v>
      </c>
      <c r="AA55" s="866">
        <f t="shared" si="17"/>
        <v>0</v>
      </c>
      <c r="AB55" s="866">
        <f t="shared" ref="AB55:AJ55" si="18">AB53-AB54-AB51</f>
        <v>0</v>
      </c>
      <c r="AC55" s="866">
        <f t="shared" si="18"/>
        <v>0</v>
      </c>
      <c r="AD55" s="866">
        <f t="shared" si="18"/>
        <v>0</v>
      </c>
      <c r="AE55" s="866">
        <f t="shared" si="18"/>
        <v>0</v>
      </c>
      <c r="AF55" s="866">
        <f t="shared" si="18"/>
        <v>0</v>
      </c>
      <c r="AG55" s="866">
        <f t="shared" si="18"/>
        <v>0</v>
      </c>
      <c r="AH55" s="866">
        <f t="shared" si="18"/>
        <v>0</v>
      </c>
      <c r="AI55" s="866">
        <f t="shared" si="18"/>
        <v>0</v>
      </c>
      <c r="AJ55" s="866">
        <f t="shared" si="18"/>
        <v>0</v>
      </c>
      <c r="AK55" s="866">
        <f t="shared" ref="AK55:AM55" si="19">AK53-AK54-AK51</f>
        <v>0</v>
      </c>
      <c r="AL55" s="866">
        <f t="shared" si="19"/>
        <v>0</v>
      </c>
      <c r="AM55" s="872">
        <f t="shared" si="19"/>
        <v>0</v>
      </c>
      <c r="AN55" s="872">
        <f t="shared" ref="AN55" si="20">AN53-AN54-AN51</f>
        <v>0</v>
      </c>
    </row>
    <row r="56" spans="1:44" ht="28.5" thickBot="1">
      <c r="A56" s="114"/>
      <c r="B56" s="120"/>
      <c r="C56" s="115"/>
      <c r="K56">
        <v>884</v>
      </c>
      <c r="L56" s="417">
        <v>10</v>
      </c>
      <c r="M56" s="417"/>
      <c r="N56" s="417">
        <f t="shared" si="12"/>
        <v>0</v>
      </c>
      <c r="R56" s="123">
        <f>T56+U56+V56+W56+X56+Y56+Z56+AA56+AB56+AC56+AD56+AE56+AF56+AG56+AH56+AI56+AJ56+AK56+AL56+AM56+AN56</f>
        <v>0</v>
      </c>
      <c r="S56" s="874" t="s">
        <v>170</v>
      </c>
      <c r="T56" s="875"/>
      <c r="U56" s="875"/>
      <c r="V56" s="875"/>
      <c r="W56" s="875"/>
      <c r="X56" s="875"/>
      <c r="Y56" s="875"/>
      <c r="Z56" s="876"/>
      <c r="AA56" s="875"/>
      <c r="AB56" s="875"/>
      <c r="AC56" s="875"/>
      <c r="AD56" s="875"/>
      <c r="AE56" s="875"/>
      <c r="AF56" s="875"/>
      <c r="AG56" s="875"/>
      <c r="AH56" s="875"/>
      <c r="AI56" s="877"/>
      <c r="AJ56" s="877"/>
      <c r="AK56" s="877"/>
      <c r="AL56" s="52"/>
      <c r="AM56" s="928"/>
      <c r="AN56" s="928"/>
    </row>
    <row r="57" spans="1:44" ht="24" thickBot="1">
      <c r="A57" s="114"/>
      <c r="B57" s="131"/>
      <c r="C57" s="115"/>
      <c r="D57" s="115"/>
      <c r="E57" s="19"/>
      <c r="F57" s="19"/>
      <c r="G57" s="19"/>
      <c r="H57" s="19"/>
      <c r="I57" s="19"/>
      <c r="J57" s="19"/>
      <c r="K57" s="19">
        <v>3267</v>
      </c>
      <c r="L57" s="418">
        <v>1</v>
      </c>
      <c r="M57" s="418"/>
      <c r="N57" s="417">
        <f t="shared" si="12"/>
        <v>0</v>
      </c>
      <c r="O57" s="19"/>
      <c r="R57" s="19"/>
      <c r="S57" s="882" t="s">
        <v>23</v>
      </c>
      <c r="T57" s="883" t="e">
        <f t="shared" ref="T57:AA57" si="21">T50/T56</f>
        <v>#DIV/0!</v>
      </c>
      <c r="U57" s="883" t="e">
        <f t="shared" si="21"/>
        <v>#DIV/0!</v>
      </c>
      <c r="V57" s="883" t="e">
        <f t="shared" si="21"/>
        <v>#DIV/0!</v>
      </c>
      <c r="W57" s="883" t="e">
        <f t="shared" si="21"/>
        <v>#DIV/0!</v>
      </c>
      <c r="X57" s="883" t="e">
        <f t="shared" si="21"/>
        <v>#DIV/0!</v>
      </c>
      <c r="Y57" s="883" t="e">
        <f t="shared" si="21"/>
        <v>#DIV/0!</v>
      </c>
      <c r="Z57" s="883" t="e">
        <f t="shared" si="21"/>
        <v>#DIV/0!</v>
      </c>
      <c r="AA57" s="883" t="e">
        <f t="shared" si="21"/>
        <v>#DIV/0!</v>
      </c>
      <c r="AB57" s="883" t="e">
        <f t="shared" ref="AB57:AJ57" si="22">AB50/AB56</f>
        <v>#DIV/0!</v>
      </c>
      <c r="AC57" s="883" t="e">
        <f t="shared" si="22"/>
        <v>#DIV/0!</v>
      </c>
      <c r="AD57" s="883" t="e">
        <f t="shared" si="22"/>
        <v>#DIV/0!</v>
      </c>
      <c r="AE57" s="883" t="e">
        <f t="shared" si="22"/>
        <v>#DIV/0!</v>
      </c>
      <c r="AF57" s="883" t="e">
        <f t="shared" si="22"/>
        <v>#DIV/0!</v>
      </c>
      <c r="AG57" s="883" t="e">
        <f t="shared" si="22"/>
        <v>#DIV/0!</v>
      </c>
      <c r="AH57" s="883" t="e">
        <f t="shared" si="22"/>
        <v>#DIV/0!</v>
      </c>
      <c r="AI57" s="883" t="e">
        <f t="shared" si="22"/>
        <v>#DIV/0!</v>
      </c>
      <c r="AJ57" s="883" t="e">
        <f t="shared" si="22"/>
        <v>#DIV/0!</v>
      </c>
      <c r="AK57" s="883" t="e">
        <f t="shared" ref="AK57:AM57" si="23">AK50/AK56</f>
        <v>#DIV/0!</v>
      </c>
      <c r="AL57" s="883" t="e">
        <f t="shared" si="23"/>
        <v>#DIV/0!</v>
      </c>
      <c r="AM57" s="884" t="e">
        <f t="shared" si="23"/>
        <v>#DIV/0!</v>
      </c>
      <c r="AN57" s="884" t="e">
        <f t="shared" ref="AN57" si="24">AN50/AN56</f>
        <v>#DIV/0!</v>
      </c>
    </row>
    <row r="58" spans="1:44" ht="28.5" thickBot="1">
      <c r="A58" s="114"/>
      <c r="B58" s="131"/>
      <c r="C58" s="115"/>
      <c r="D58" s="115" t="s">
        <v>1</v>
      </c>
      <c r="K58">
        <f>K53*100+K54*50+K55*20+K56*10+K57*1</f>
        <v>117897</v>
      </c>
      <c r="L58" s="1501" t="s">
        <v>171</v>
      </c>
      <c r="M58" s="1501"/>
      <c r="N58" s="419">
        <f>SUM(N50:N57)</f>
        <v>0</v>
      </c>
      <c r="Q58" t="s">
        <v>1</v>
      </c>
      <c r="R58" s="19"/>
      <c r="S58" s="878" t="s">
        <v>172</v>
      </c>
      <c r="T58" s="879">
        <f>T54</f>
        <v>0</v>
      </c>
      <c r="U58" s="879">
        <f t="shared" ref="U58:AA58" si="25">U54</f>
        <v>0</v>
      </c>
      <c r="V58" s="879">
        <f t="shared" si="25"/>
        <v>0</v>
      </c>
      <c r="W58" s="879">
        <f t="shared" si="25"/>
        <v>0</v>
      </c>
      <c r="X58" s="879">
        <f t="shared" si="25"/>
        <v>0</v>
      </c>
      <c r="Y58" s="879">
        <f t="shared" si="25"/>
        <v>0</v>
      </c>
      <c r="Z58" s="879">
        <f t="shared" si="25"/>
        <v>0</v>
      </c>
      <c r="AA58" s="879">
        <f t="shared" si="25"/>
        <v>0</v>
      </c>
      <c r="AB58" s="879">
        <f t="shared" ref="AB58:AJ58" si="26">AB54</f>
        <v>0</v>
      </c>
      <c r="AC58" s="879">
        <f t="shared" si="26"/>
        <v>0</v>
      </c>
      <c r="AD58" s="879">
        <f t="shared" si="26"/>
        <v>0</v>
      </c>
      <c r="AE58" s="879">
        <f t="shared" si="26"/>
        <v>0</v>
      </c>
      <c r="AF58" s="879">
        <f t="shared" si="26"/>
        <v>0</v>
      </c>
      <c r="AG58" s="879">
        <f t="shared" si="26"/>
        <v>0</v>
      </c>
      <c r="AH58" s="879">
        <f t="shared" si="26"/>
        <v>0</v>
      </c>
      <c r="AI58" s="879">
        <f t="shared" si="26"/>
        <v>0</v>
      </c>
      <c r="AJ58" s="879">
        <f t="shared" si="26"/>
        <v>0</v>
      </c>
      <c r="AK58" s="880"/>
      <c r="AL58" s="880"/>
      <c r="AM58" s="881"/>
      <c r="AN58" s="881"/>
    </row>
    <row r="59" spans="1:44" ht="28.5">
      <c r="A59" s="114"/>
      <c r="B59" s="132"/>
      <c r="C59" s="115"/>
      <c r="D59" s="115" t="s">
        <v>1</v>
      </c>
      <c r="K59" t="s">
        <v>1</v>
      </c>
      <c r="L59" s="1486" t="s">
        <v>173</v>
      </c>
      <c r="M59" s="1486"/>
      <c r="N59" s="420">
        <f>N58-Q48</f>
        <v>0</v>
      </c>
      <c r="R59" s="19"/>
      <c r="S59" s="114"/>
      <c r="T59" s="121"/>
      <c r="U59" s="121"/>
      <c r="V59" s="121" t="s">
        <v>1</v>
      </c>
      <c r="W59" s="121"/>
      <c r="X59" s="121"/>
      <c r="Y59" s="121"/>
      <c r="Z59" s="122"/>
      <c r="AA59" s="121"/>
      <c r="AB59" s="121"/>
      <c r="AC59" s="121"/>
      <c r="AD59" s="121"/>
      <c r="AE59" s="121"/>
      <c r="AF59" s="121"/>
      <c r="AG59" s="121"/>
      <c r="AH59" s="119"/>
      <c r="AI59" s="119"/>
    </row>
    <row r="60" spans="1:44" ht="23.25">
      <c r="A60" s="114"/>
      <c r="B60" s="132"/>
      <c r="C60" s="115"/>
      <c r="D60" s="115"/>
      <c r="P60" s="19"/>
      <c r="Q60" s="19"/>
      <c r="R60" s="19"/>
      <c r="S60" s="19"/>
      <c r="AL60" t="s">
        <v>1</v>
      </c>
    </row>
    <row r="61" spans="1:44" ht="23.25">
      <c r="A61" s="114"/>
      <c r="B61" s="132"/>
      <c r="C61" s="115"/>
      <c r="D61" s="116"/>
      <c r="M61" t="s">
        <v>1</v>
      </c>
      <c r="P61" s="185"/>
      <c r="Q61" s="186"/>
      <c r="R61" s="19"/>
      <c r="S61" s="19"/>
    </row>
    <row r="62" spans="1:44" ht="20.25">
      <c r="C62" s="116"/>
      <c r="P62" s="19"/>
      <c r="Q62" s="19"/>
      <c r="R62" s="19"/>
      <c r="S62" s="19"/>
    </row>
    <row r="63" spans="1:44">
      <c r="E63" s="19"/>
    </row>
    <row r="64" spans="1:44">
      <c r="E64" s="19"/>
      <c r="J64" t="s">
        <v>3</v>
      </c>
    </row>
    <row r="65" spans="3:5" ht="21">
      <c r="C65" s="251"/>
      <c r="E65" s="19"/>
    </row>
    <row r="66" spans="3:5">
      <c r="E66" s="49"/>
    </row>
    <row r="67" spans="3:5" ht="23.25">
      <c r="E67" s="113"/>
    </row>
  </sheetData>
  <mergeCells count="22">
    <mergeCell ref="S6:AE6"/>
    <mergeCell ref="A7:B7"/>
    <mergeCell ref="A6:Q6"/>
    <mergeCell ref="P7:Q7"/>
    <mergeCell ref="X47:Z47"/>
    <mergeCell ref="H47:I47"/>
    <mergeCell ref="P33:Q33"/>
    <mergeCell ref="P24:Q24"/>
    <mergeCell ref="H48:I48"/>
    <mergeCell ref="H46:I46"/>
    <mergeCell ref="P42:Q42"/>
    <mergeCell ref="AL47:AM47"/>
    <mergeCell ref="L58:M58"/>
    <mergeCell ref="L59:M59"/>
    <mergeCell ref="AI7:AJ7"/>
    <mergeCell ref="AI20:AJ20"/>
    <mergeCell ref="S47:S48"/>
    <mergeCell ref="T47:W47"/>
    <mergeCell ref="AA47:AB47"/>
    <mergeCell ref="AC47:AI47"/>
    <mergeCell ref="AJ47:AK47"/>
    <mergeCell ref="AI12:AJ13"/>
  </mergeCells>
  <conditionalFormatting sqref="M48:N48">
    <cfRule type="duplicateValues" dxfId="645" priority="19"/>
    <cfRule type="duplicateValues" dxfId="644" priority="20"/>
    <cfRule type="duplicateValues" dxfId="643" priority="21"/>
    <cfRule type="duplicateValues" dxfId="642" priority="22"/>
  </conditionalFormatting>
  <conditionalFormatting sqref="L48 N48">
    <cfRule type="cellIs" dxfId="641" priority="18" operator="equal">
      <formula>66890</formula>
    </cfRule>
  </conditionalFormatting>
  <conditionalFormatting sqref="N48">
    <cfRule type="cellIs" dxfId="640" priority="17" operator="lessThan">
      <formula>1</formula>
    </cfRule>
  </conditionalFormatting>
  <conditionalFormatting sqref="T57">
    <cfRule type="cellIs" dxfId="639" priority="16" operator="lessThan">
      <formula>63</formula>
    </cfRule>
  </conditionalFormatting>
  <conditionalFormatting sqref="U57">
    <cfRule type="cellIs" dxfId="638" priority="14" operator="lessThan">
      <formula>63</formula>
    </cfRule>
    <cfRule type="cellIs" dxfId="637" priority="15" operator="lessThan">
      <formula>63</formula>
    </cfRule>
  </conditionalFormatting>
  <conditionalFormatting sqref="W57">
    <cfRule type="cellIs" dxfId="636" priority="13" operator="lessThan">
      <formula>140</formula>
    </cfRule>
  </conditionalFormatting>
  <conditionalFormatting sqref="X57">
    <cfRule type="cellIs" dxfId="635" priority="12" operator="lessThan">
      <formula>125</formula>
    </cfRule>
  </conditionalFormatting>
  <conditionalFormatting sqref="Y57">
    <cfRule type="cellIs" dxfId="634" priority="11" operator="lessThan">
      <formula>150</formula>
    </cfRule>
  </conditionalFormatting>
  <conditionalFormatting sqref="Z57">
    <cfRule type="cellIs" dxfId="633" priority="10" operator="lessThan">
      <formula>590</formula>
    </cfRule>
  </conditionalFormatting>
  <conditionalFormatting sqref="AA57">
    <cfRule type="cellIs" dxfId="632" priority="9" operator="lessThan">
      <formula>704</formula>
    </cfRule>
  </conditionalFormatting>
  <conditionalFormatting sqref="AB57">
    <cfRule type="cellIs" dxfId="631" priority="8" operator="lessThan">
      <formula>52</formula>
    </cfRule>
  </conditionalFormatting>
  <conditionalFormatting sqref="AC57">
    <cfRule type="cellIs" dxfId="630" priority="7" operator="lessThan">
      <formula>52</formula>
    </cfRule>
  </conditionalFormatting>
  <conditionalFormatting sqref="AG57">
    <cfRule type="cellIs" dxfId="629" priority="6" operator="lessThan">
      <formula>63</formula>
    </cfRule>
  </conditionalFormatting>
  <conditionalFormatting sqref="AH57">
    <cfRule type="cellIs" dxfId="628" priority="5" operator="lessThan">
      <formula>63</formula>
    </cfRule>
  </conditionalFormatting>
  <conditionalFormatting sqref="AJ57">
    <cfRule type="cellIs" dxfId="627" priority="4" operator="lessThan">
      <formula>270</formula>
    </cfRule>
  </conditionalFormatting>
  <conditionalFormatting sqref="AI57">
    <cfRule type="cellIs" dxfId="626" priority="3" operator="lessThan">
      <formula>270</formula>
    </cfRule>
  </conditionalFormatting>
  <conditionalFormatting sqref="AK57:AN57">
    <cfRule type="cellIs" dxfId="625" priority="1" operator="lessThan">
      <formula>270</formula>
    </cfRule>
  </conditionalFormatting>
  <printOptions horizontalCentered="1" verticalCentered="1"/>
  <pageMargins left="0" right="0" top="0" bottom="0" header="0" footer="0"/>
  <pageSetup paperSize="5" scale="47" orientation="landscape" cellComments="asDisplayed" r:id="rId1"/>
  <ignoredErrors>
    <ignoredError sqref="T57:AA57" evalError="1"/>
  </ignoredError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AN67"/>
  <sheetViews>
    <sheetView topLeftCell="AC1" zoomScale="90" zoomScaleNormal="90" workbookViewId="0">
      <selection activeCell="AP1" sqref="AP1"/>
    </sheetView>
  </sheetViews>
  <sheetFormatPr defaultRowHeight="15"/>
  <cols>
    <col min="1" max="1" width="32.7109375" bestFit="1" customWidth="1"/>
    <col min="2" max="2" width="17.7109375" customWidth="1"/>
    <col min="3" max="4" width="20.7109375" customWidth="1"/>
    <col min="5" max="5" width="4.7109375" customWidth="1"/>
    <col min="6" max="6" width="35.85546875" bestFit="1" customWidth="1"/>
    <col min="7" max="7" width="17.7109375" customWidth="1"/>
    <col min="8" max="9" width="19.140625" bestFit="1" customWidth="1"/>
    <col min="10" max="11" width="17.7109375" customWidth="1"/>
    <col min="12" max="12" width="19.140625" bestFit="1" customWidth="1"/>
    <col min="13" max="14" width="17.7109375" customWidth="1"/>
    <col min="15" max="15" width="7.7109375" customWidth="1"/>
    <col min="16" max="16" width="28.7109375" customWidth="1"/>
    <col min="17" max="17" width="20.7109375" customWidth="1"/>
    <col min="18" max="18" width="7.7109375" customWidth="1"/>
    <col min="19" max="19" width="32.7109375" customWidth="1"/>
    <col min="20" max="24" width="17.7109375" customWidth="1"/>
    <col min="25" max="26" width="14.7109375" customWidth="1"/>
    <col min="27" max="27" width="20.140625" bestFit="1" customWidth="1"/>
    <col min="28" max="28" width="22.28515625" bestFit="1" customWidth="1"/>
    <col min="29" max="29" width="20.140625" bestFit="1" customWidth="1"/>
    <col min="30" max="30" width="17.7109375" customWidth="1"/>
    <col min="31" max="31" width="20.140625" bestFit="1" customWidth="1"/>
    <col min="32" max="33" width="20.7109375" customWidth="1"/>
    <col min="34" max="37" width="17.7109375" customWidth="1"/>
    <col min="38" max="40" width="13" hidden="1" customWidth="1"/>
  </cols>
  <sheetData>
    <row r="1" spans="1:36">
      <c r="E1" s="5"/>
    </row>
    <row r="2" spans="1:36">
      <c r="E2" s="5"/>
    </row>
    <row r="3" spans="1:36" ht="15.75" thickBot="1">
      <c r="C3" t="s">
        <v>1</v>
      </c>
      <c r="E3" s="5" t="s">
        <v>1</v>
      </c>
      <c r="F3" t="s">
        <v>1</v>
      </c>
      <c r="N3" t="s">
        <v>1</v>
      </c>
      <c r="S3" t="s">
        <v>1</v>
      </c>
      <c r="U3" t="s">
        <v>1</v>
      </c>
    </row>
    <row r="4" spans="1:36" ht="21.75" thickTop="1">
      <c r="B4" t="s">
        <v>1</v>
      </c>
      <c r="D4" t="s">
        <v>1</v>
      </c>
      <c r="E4" t="s">
        <v>1</v>
      </c>
      <c r="P4" s="617" t="s">
        <v>108</v>
      </c>
      <c r="Q4" s="618">
        <f>'1'!Q4+'2'!Q9+'2'!Q10+'2'!Q19+'2'!Q20+'2'!Q21+'2'!Q22</f>
        <v>0</v>
      </c>
    </row>
    <row r="5" spans="1:36" ht="21.75" thickBot="1">
      <c r="P5" s="619" t="s">
        <v>109</v>
      </c>
      <c r="Q5" s="620">
        <f>'1'!Q5+'2'!Q25+'2'!Q26+'2'!Q27+'2'!Q28+'2'!Q29+'2'!Q30+'2'!Q31</f>
        <v>0</v>
      </c>
      <c r="AG5" t="s">
        <v>1</v>
      </c>
      <c r="AH5" t="s">
        <v>1</v>
      </c>
    </row>
    <row r="6" spans="1:36" ht="48" thickTop="1" thickBot="1">
      <c r="A6" s="1502">
        <f>'Main Page'!E18</f>
        <v>44867</v>
      </c>
      <c r="B6" s="1507"/>
      <c r="C6" s="1507"/>
      <c r="D6" s="1507"/>
      <c r="E6" s="1507"/>
      <c r="F6" s="1507"/>
      <c r="G6" s="1507"/>
      <c r="H6" s="1507"/>
      <c r="I6" s="1507"/>
      <c r="J6" s="1507"/>
      <c r="K6" s="1507"/>
      <c r="L6" s="1507"/>
      <c r="M6" s="1507"/>
      <c r="N6" s="1507"/>
      <c r="O6" s="1507"/>
      <c r="P6" s="1507"/>
      <c r="Q6" s="1515"/>
      <c r="R6" t="s">
        <v>1</v>
      </c>
      <c r="S6" s="1502">
        <f>A6</f>
        <v>44867</v>
      </c>
      <c r="T6" s="1503"/>
      <c r="U6" s="1503"/>
      <c r="V6" s="1503"/>
      <c r="W6" s="1503"/>
      <c r="X6" s="1503"/>
      <c r="Y6" s="1503"/>
      <c r="Z6" s="1503"/>
      <c r="AA6" s="1503"/>
      <c r="AB6" s="1503"/>
      <c r="AC6" s="1503"/>
      <c r="AD6" s="1503"/>
      <c r="AE6" s="1504"/>
    </row>
    <row r="7" spans="1:36" ht="43.5" thickTop="1" thickBot="1">
      <c r="A7" s="1505" t="s">
        <v>110</v>
      </c>
      <c r="B7" s="1506"/>
      <c r="C7" s="367" t="s">
        <v>97</v>
      </c>
      <c r="D7" s="368" t="s">
        <v>74</v>
      </c>
      <c r="F7" s="363" t="s">
        <v>111</v>
      </c>
      <c r="G7" s="364" t="s">
        <v>112</v>
      </c>
      <c r="H7" s="365" t="s">
        <v>113</v>
      </c>
      <c r="I7" s="365" t="s">
        <v>26</v>
      </c>
      <c r="J7" s="365" t="s">
        <v>114</v>
      </c>
      <c r="K7" s="366" t="s">
        <v>115</v>
      </c>
      <c r="L7" s="365" t="s">
        <v>116</v>
      </c>
      <c r="M7" s="365" t="s">
        <v>117</v>
      </c>
      <c r="N7" s="365" t="s">
        <v>118</v>
      </c>
      <c r="P7" s="1510" t="s">
        <v>69</v>
      </c>
      <c r="Q7" s="1511"/>
      <c r="S7" s="380" t="s">
        <v>58</v>
      </c>
      <c r="T7" s="380" t="s">
        <v>59</v>
      </c>
      <c r="U7" s="380" t="s">
        <v>119</v>
      </c>
      <c r="V7" s="380" t="s">
        <v>74</v>
      </c>
      <c r="W7" s="380" t="s">
        <v>120</v>
      </c>
      <c r="X7" s="380" t="s">
        <v>59</v>
      </c>
      <c r="Z7" s="367" t="s">
        <v>121</v>
      </c>
      <c r="AA7" s="367" t="s">
        <v>97</v>
      </c>
      <c r="AB7" s="415" t="s">
        <v>122</v>
      </c>
      <c r="AC7" s="416" t="s">
        <v>90</v>
      </c>
      <c r="AD7" s="367" t="s">
        <v>56</v>
      </c>
      <c r="AE7" s="381" t="s">
        <v>100</v>
      </c>
      <c r="AF7" s="560" t="s">
        <v>122</v>
      </c>
      <c r="AG7" s="570" t="s">
        <v>56</v>
      </c>
      <c r="AI7" s="1487" t="s">
        <v>123</v>
      </c>
      <c r="AJ7" s="1488"/>
    </row>
    <row r="8" spans="1:36" ht="27" customHeight="1" thickTop="1" thickBot="1">
      <c r="A8" s="717"/>
      <c r="B8" s="233"/>
      <c r="C8" s="463"/>
      <c r="D8" s="233"/>
      <c r="F8" s="478" t="str">
        <f>'1'!F8</f>
        <v>ISHAQ ANSARI</v>
      </c>
      <c r="G8" s="405">
        <f>'CUSTOMERS REPORT'!Y9</f>
        <v>0</v>
      </c>
      <c r="H8" s="503">
        <f>'CUSTOMERS REPORT'!Z9</f>
        <v>0</v>
      </c>
      <c r="I8" s="405">
        <f>'CUSTOMERS REPORT'!AA9</f>
        <v>0</v>
      </c>
      <c r="J8" s="497">
        <f>'CUSTOMERS REPORT'!AB9</f>
        <v>0</v>
      </c>
      <c r="K8" s="497">
        <f>'CUSTOMERS REPORT'!AC9</f>
        <v>0</v>
      </c>
      <c r="L8" s="508">
        <f>'CUSTOMERS REPORT'!AD9</f>
        <v>0</v>
      </c>
      <c r="M8" s="413">
        <f>'1'!M8+'2'!G8</f>
        <v>0</v>
      </c>
      <c r="N8" s="411">
        <f>'1'!N8+'2'!J8</f>
        <v>0</v>
      </c>
      <c r="P8" s="191" t="s">
        <v>124</v>
      </c>
      <c r="Q8" s="223">
        <f>'1'!Q32</f>
        <v>0</v>
      </c>
      <c r="S8" s="1036" t="str">
        <f>'1'!S8</f>
        <v>FLOUR</v>
      </c>
      <c r="T8" s="446">
        <f>'1'!X8</f>
        <v>0</v>
      </c>
      <c r="U8" s="455"/>
      <c r="V8" s="450">
        <f t="shared" ref="V8:V43" si="0">SUM(T8:U8)</f>
        <v>0</v>
      </c>
      <c r="W8" s="450"/>
      <c r="X8" s="446">
        <f t="shared" ref="X8:X43" si="1">V8-W8</f>
        <v>0</v>
      </c>
      <c r="Z8" s="382" t="str">
        <f>'1'!Z8</f>
        <v>GHAZI</v>
      </c>
      <c r="AA8" s="464">
        <f>'1'!AE8</f>
        <v>0</v>
      </c>
      <c r="AB8" s="459"/>
      <c r="AC8" s="233">
        <f t="shared" ref="AC8:AC41" si="2">AA8+AB8</f>
        <v>0</v>
      </c>
      <c r="AD8" s="468"/>
      <c r="AE8" s="463">
        <f t="shared" ref="AE8:AE42" si="3">AC8-AD8</f>
        <v>0</v>
      </c>
      <c r="AF8" s="563">
        <f>'1'!AF8+'2'!AB8</f>
        <v>0</v>
      </c>
      <c r="AG8" s="233">
        <f>'1'!AG8+'2'!AD8</f>
        <v>0</v>
      </c>
      <c r="AI8" s="391" t="s">
        <v>126</v>
      </c>
      <c r="AJ8" s="392">
        <f>'1'!AJ10</f>
        <v>0</v>
      </c>
    </row>
    <row r="9" spans="1:36" ht="27" customHeight="1" thickTop="1">
      <c r="A9" s="718"/>
      <c r="B9" s="526"/>
      <c r="C9" s="348"/>
      <c r="D9" s="550"/>
      <c r="F9" s="479" t="str">
        <f>'1'!F9</f>
        <v>MAKKI BAKERY</v>
      </c>
      <c r="G9" s="406">
        <f>'CUSTOMERS REPORT'!Y55</f>
        <v>0</v>
      </c>
      <c r="H9" s="504">
        <f>'CUSTOMERS REPORT'!Z55</f>
        <v>0</v>
      </c>
      <c r="I9" s="406">
        <f>'CUSTOMERS REPORT'!AA55</f>
        <v>0</v>
      </c>
      <c r="J9" s="498">
        <f>'CUSTOMERS REPORT'!AB55</f>
        <v>0</v>
      </c>
      <c r="K9" s="498">
        <f>'CUSTOMERS REPORT'!AC55</f>
        <v>0</v>
      </c>
      <c r="L9" s="509">
        <f>'CUSTOMERS REPORT'!AD55</f>
        <v>0</v>
      </c>
      <c r="M9" s="414">
        <f>'1'!M9+'2'!G9</f>
        <v>0</v>
      </c>
      <c r="N9" s="412">
        <f>'1'!N9+'2'!J9</f>
        <v>0</v>
      </c>
      <c r="P9" s="432"/>
      <c r="Q9" s="436"/>
      <c r="S9" s="1037" t="str">
        <f>'1'!S9</f>
        <v>SUGAR</v>
      </c>
      <c r="T9" s="446">
        <f>'1'!X9</f>
        <v>0</v>
      </c>
      <c r="U9" s="456"/>
      <c r="V9" s="451">
        <f t="shared" si="0"/>
        <v>0</v>
      </c>
      <c r="W9" s="451"/>
      <c r="X9" s="447">
        <f t="shared" si="1"/>
        <v>0</v>
      </c>
      <c r="Z9" s="375" t="str">
        <f>'1'!Z9</f>
        <v>SOHNI</v>
      </c>
      <c r="AA9" s="464">
        <f>'1'!AE9</f>
        <v>0</v>
      </c>
      <c r="AB9" s="460"/>
      <c r="AC9" s="462">
        <f t="shared" si="2"/>
        <v>0</v>
      </c>
      <c r="AD9" s="469"/>
      <c r="AE9" s="348">
        <f t="shared" si="3"/>
        <v>0</v>
      </c>
      <c r="AF9" s="563">
        <f>'1'!AF9+'2'!AB9</f>
        <v>0</v>
      </c>
      <c r="AG9" s="234">
        <f>'1'!AG9+'2'!AD9</f>
        <v>0</v>
      </c>
      <c r="AI9" s="393" t="s">
        <v>128</v>
      </c>
      <c r="AJ9" s="394">
        <f>B26</f>
        <v>0</v>
      </c>
    </row>
    <row r="10" spans="1:36" ht="27" customHeight="1" thickBot="1">
      <c r="A10" s="718"/>
      <c r="B10" s="528"/>
      <c r="C10" s="350"/>
      <c r="D10" s="550"/>
      <c r="F10" s="479" t="str">
        <f>'1'!F10</f>
        <v>ABID HUSSAIN</v>
      </c>
      <c r="G10" s="406">
        <f>'CUSTOMERS REPORT'!Y93</f>
        <v>0</v>
      </c>
      <c r="H10" s="504">
        <f>'CUSTOMERS REPORT'!Z93</f>
        <v>0</v>
      </c>
      <c r="I10" s="406">
        <f>'CUSTOMERS REPORT'!AA93</f>
        <v>0</v>
      </c>
      <c r="J10" s="498">
        <f>'CUSTOMERS REPORT'!AB93</f>
        <v>0</v>
      </c>
      <c r="K10" s="498">
        <f>'CUSTOMERS REPORT'!AC93</f>
        <v>0</v>
      </c>
      <c r="L10" s="509">
        <f>'CUSTOMERS REPORT'!AD93</f>
        <v>0</v>
      </c>
      <c r="M10" s="414">
        <f>'1'!M10+'2'!G10</f>
        <v>0</v>
      </c>
      <c r="N10" s="412">
        <f>'1'!N10+'2'!J10</f>
        <v>0</v>
      </c>
      <c r="P10" s="433"/>
      <c r="Q10" s="437"/>
      <c r="S10" s="1037" t="str">
        <f>'1'!S10</f>
        <v>GHEE</v>
      </c>
      <c r="T10" s="446">
        <f>'1'!X10</f>
        <v>0</v>
      </c>
      <c r="U10" s="456"/>
      <c r="V10" s="451">
        <f t="shared" si="0"/>
        <v>0</v>
      </c>
      <c r="W10" s="451"/>
      <c r="X10" s="447">
        <f t="shared" si="1"/>
        <v>0</v>
      </c>
      <c r="Z10" s="375" t="str">
        <f>'1'!Z10</f>
        <v>HUSSAINI</v>
      </c>
      <c r="AA10" s="464">
        <f>'1'!AE10</f>
        <v>0</v>
      </c>
      <c r="AB10" s="460"/>
      <c r="AC10" s="462">
        <f t="shared" si="2"/>
        <v>0</v>
      </c>
      <c r="AD10" s="469"/>
      <c r="AE10" s="348">
        <f t="shared" si="3"/>
        <v>0</v>
      </c>
      <c r="AF10" s="563">
        <f>'1'!AF10+'2'!AB10</f>
        <v>0</v>
      </c>
      <c r="AG10" s="234">
        <f>'1'!AG10+'2'!AD10</f>
        <v>0</v>
      </c>
      <c r="AI10" s="395" t="s">
        <v>74</v>
      </c>
      <c r="AJ10" s="396">
        <f>AJ8+AJ9</f>
        <v>0</v>
      </c>
    </row>
    <row r="11" spans="1:36" ht="27" customHeight="1" thickTop="1" thickBot="1">
      <c r="A11" s="718"/>
      <c r="B11" s="528"/>
      <c r="C11" s="350"/>
      <c r="D11" s="550"/>
      <c r="F11" s="479" t="str">
        <f>'1'!F11</f>
        <v>SHAHID 5 #</v>
      </c>
      <c r="G11" s="406">
        <f>'CUSTOMERS REPORT'!Y132</f>
        <v>0</v>
      </c>
      <c r="H11" s="504">
        <f>'CUSTOMERS REPORT'!Z132</f>
        <v>0</v>
      </c>
      <c r="I11" s="406">
        <f>'CUSTOMERS REPORT'!AA132</f>
        <v>0</v>
      </c>
      <c r="J11" s="498">
        <f>'CUSTOMERS REPORT'!AB132</f>
        <v>0</v>
      </c>
      <c r="K11" s="498">
        <f>'CUSTOMERS REPORT'!AC132</f>
        <v>0</v>
      </c>
      <c r="L11" s="509">
        <f>'CUSTOMERS REPORT'!AD132</f>
        <v>0</v>
      </c>
      <c r="M11" s="414">
        <f>'1'!M11+'2'!G11</f>
        <v>0</v>
      </c>
      <c r="N11" s="412">
        <f>'1'!N11+'2'!J11</f>
        <v>0</v>
      </c>
      <c r="P11" s="433"/>
      <c r="Q11" s="437"/>
      <c r="S11" s="1037" t="str">
        <f>'1'!S11</f>
        <v>YEAST</v>
      </c>
      <c r="T11" s="446">
        <f>'1'!X11</f>
        <v>0</v>
      </c>
      <c r="U11" s="456"/>
      <c r="V11" s="451">
        <f t="shared" si="0"/>
        <v>0</v>
      </c>
      <c r="W11" s="451"/>
      <c r="X11" s="447">
        <f t="shared" si="1"/>
        <v>0</v>
      </c>
      <c r="Z11" s="375" t="str">
        <f>'1'!Z11</f>
        <v>IMRAN ALAM</v>
      </c>
      <c r="AA11" s="464">
        <f>'1'!AE11</f>
        <v>0</v>
      </c>
      <c r="AB11" s="460"/>
      <c r="AC11" s="462">
        <f t="shared" si="2"/>
        <v>0</v>
      </c>
      <c r="AD11" s="469"/>
      <c r="AE11" s="348">
        <f t="shared" si="3"/>
        <v>0</v>
      </c>
      <c r="AF11" s="563">
        <f>'1'!AF11+'2'!AB11</f>
        <v>0</v>
      </c>
      <c r="AG11" s="234">
        <f>'1'!AG11+'2'!AD11</f>
        <v>0</v>
      </c>
      <c r="AI11" s="1031"/>
      <c r="AJ11" s="1032"/>
    </row>
    <row r="12" spans="1:36" ht="27" customHeight="1">
      <c r="A12" s="718"/>
      <c r="B12" s="528"/>
      <c r="C12" s="350"/>
      <c r="D12" s="550"/>
      <c r="F12" s="479" t="str">
        <f>'1'!F12</f>
        <v>ZULFIQAR</v>
      </c>
      <c r="G12" s="406">
        <f>'CUSTOMERS REPORT'!Y170</f>
        <v>0</v>
      </c>
      <c r="H12" s="504">
        <f>'CUSTOMERS REPORT'!Z170</f>
        <v>0</v>
      </c>
      <c r="I12" s="406">
        <f>'CUSTOMERS REPORT'!AA170</f>
        <v>0</v>
      </c>
      <c r="J12" s="498">
        <f>'CUSTOMERS REPORT'!AB170</f>
        <v>0</v>
      </c>
      <c r="K12" s="498">
        <f>'CUSTOMERS REPORT'!AC170</f>
        <v>0</v>
      </c>
      <c r="L12" s="509">
        <f>'CUSTOMERS REPORT'!AD170</f>
        <v>0</v>
      </c>
      <c r="M12" s="414">
        <f>'1'!M12+'2'!G12</f>
        <v>0</v>
      </c>
      <c r="N12" s="412">
        <f>'1'!N12+'2'!J12</f>
        <v>0</v>
      </c>
      <c r="P12" s="433"/>
      <c r="Q12" s="437"/>
      <c r="S12" s="1037" t="str">
        <f>'1'!S12</f>
        <v xml:space="preserve">EKKA </v>
      </c>
      <c r="T12" s="446">
        <f>'1'!X12</f>
        <v>0</v>
      </c>
      <c r="U12" s="456"/>
      <c r="V12" s="451">
        <f t="shared" si="0"/>
        <v>0</v>
      </c>
      <c r="W12" s="451"/>
      <c r="X12" s="447">
        <f t="shared" si="1"/>
        <v>0</v>
      </c>
      <c r="Z12" s="375" t="str">
        <f>'1'!Z12</f>
        <v>ZAHEER</v>
      </c>
      <c r="AA12" s="464">
        <f>'1'!AE12</f>
        <v>0</v>
      </c>
      <c r="AB12" s="460"/>
      <c r="AC12" s="462">
        <f t="shared" si="2"/>
        <v>0</v>
      </c>
      <c r="AD12" s="469"/>
      <c r="AE12" s="348">
        <f t="shared" si="3"/>
        <v>0</v>
      </c>
      <c r="AF12" s="563">
        <f>'1'!AF12+'2'!AB12</f>
        <v>0</v>
      </c>
      <c r="AG12" s="234">
        <f>'1'!AG12+'2'!AD12</f>
        <v>0</v>
      </c>
      <c r="AI12" s="1491" t="s">
        <v>323</v>
      </c>
      <c r="AJ12" s="1492"/>
    </row>
    <row r="13" spans="1:36" ht="27" customHeight="1">
      <c r="A13" s="718"/>
      <c r="B13" s="528"/>
      <c r="C13" s="350"/>
      <c r="D13" s="550"/>
      <c r="F13" s="479" t="str">
        <f>'1'!F13</f>
        <v>QASIM ORANGI</v>
      </c>
      <c r="G13" s="406">
        <f>'CUSTOMERS REPORT'!Y210</f>
        <v>0</v>
      </c>
      <c r="H13" s="504">
        <f>'CUSTOMERS REPORT'!Z210</f>
        <v>0</v>
      </c>
      <c r="I13" s="406">
        <f>'CUSTOMERS REPORT'!AA210</f>
        <v>0</v>
      </c>
      <c r="J13" s="498">
        <f>'CUSTOMERS REPORT'!AB210</f>
        <v>0</v>
      </c>
      <c r="K13" s="498">
        <f>'CUSTOMERS REPORT'!AC210</f>
        <v>0</v>
      </c>
      <c r="L13" s="509">
        <f>'CUSTOMERS REPORT'!AD210</f>
        <v>0</v>
      </c>
      <c r="M13" s="414">
        <f>'1'!M13+'2'!G13</f>
        <v>0</v>
      </c>
      <c r="N13" s="412">
        <f>'1'!N13+'2'!J13</f>
        <v>0</v>
      </c>
      <c r="P13" s="433"/>
      <c r="Q13" s="437"/>
      <c r="S13" s="1037" t="str">
        <f>'1'!S13</f>
        <v>VANILLA</v>
      </c>
      <c r="T13" s="446">
        <f>'1'!X13</f>
        <v>0</v>
      </c>
      <c r="U13" s="456"/>
      <c r="V13" s="451">
        <f t="shared" si="0"/>
        <v>0</v>
      </c>
      <c r="W13" s="451"/>
      <c r="X13" s="447">
        <f t="shared" si="1"/>
        <v>0</v>
      </c>
      <c r="Z13" s="375" t="str">
        <f>'1'!Z13</f>
        <v>FAISAL</v>
      </c>
      <c r="AA13" s="464">
        <f>'1'!AE13</f>
        <v>0</v>
      </c>
      <c r="AB13" s="460"/>
      <c r="AC13" s="462">
        <f t="shared" si="2"/>
        <v>0</v>
      </c>
      <c r="AD13" s="469"/>
      <c r="AE13" s="348">
        <f t="shared" si="3"/>
        <v>0</v>
      </c>
      <c r="AF13" s="563">
        <f>'1'!AF13+'2'!AB13</f>
        <v>0</v>
      </c>
      <c r="AG13" s="234">
        <f>'1'!AG13+'2'!AD13</f>
        <v>0</v>
      </c>
      <c r="AI13" s="1493"/>
      <c r="AJ13" s="1494"/>
    </row>
    <row r="14" spans="1:36" ht="27" customHeight="1">
      <c r="A14" s="718"/>
      <c r="B14" s="528"/>
      <c r="C14" s="350"/>
      <c r="D14" s="550"/>
      <c r="F14" s="479" t="str">
        <f>'1'!F14</f>
        <v>BADSHAH KHAN HYD</v>
      </c>
      <c r="G14" s="406">
        <f>'CUSTOMERS REPORT'!Y247</f>
        <v>0</v>
      </c>
      <c r="H14" s="504">
        <f>'CUSTOMERS REPORT'!Z247</f>
        <v>0</v>
      </c>
      <c r="I14" s="406">
        <f>'CUSTOMERS REPORT'!AA247</f>
        <v>0</v>
      </c>
      <c r="J14" s="498">
        <f>'CUSTOMERS REPORT'!AB247</f>
        <v>0</v>
      </c>
      <c r="K14" s="498">
        <f>'CUSTOMERS REPORT'!AC247</f>
        <v>0</v>
      </c>
      <c r="L14" s="509">
        <f>'CUSTOMERS REPORT'!AD247</f>
        <v>0</v>
      </c>
      <c r="M14" s="414">
        <f>'1'!M14+'2'!G14</f>
        <v>0</v>
      </c>
      <c r="N14" s="412">
        <f>'1'!N14+'2'!J14</f>
        <v>0</v>
      </c>
      <c r="P14" s="433"/>
      <c r="Q14" s="437"/>
      <c r="S14" s="1037" t="str">
        <f>'1'!S14</f>
        <v>COLOUR</v>
      </c>
      <c r="T14" s="446">
        <f>'1'!X14</f>
        <v>0</v>
      </c>
      <c r="U14" s="456"/>
      <c r="V14" s="451">
        <f t="shared" si="0"/>
        <v>0</v>
      </c>
      <c r="W14" s="451"/>
      <c r="X14" s="447">
        <f t="shared" si="1"/>
        <v>0</v>
      </c>
      <c r="Z14" s="375" t="str">
        <f>'1'!Z14</f>
        <v>RANA EKKA</v>
      </c>
      <c r="AA14" s="464">
        <f>'1'!AE14</f>
        <v>0</v>
      </c>
      <c r="AB14" s="460"/>
      <c r="AC14" s="462">
        <f t="shared" si="2"/>
        <v>0</v>
      </c>
      <c r="AD14" s="469"/>
      <c r="AE14" s="348">
        <f t="shared" si="3"/>
        <v>0</v>
      </c>
      <c r="AF14" s="563">
        <f>'1'!AF14+'2'!AB14</f>
        <v>0</v>
      </c>
      <c r="AG14" s="234">
        <f>'1'!AG14+'2'!AD14</f>
        <v>0</v>
      </c>
      <c r="AI14" s="1085" t="s">
        <v>126</v>
      </c>
      <c r="AJ14" s="1086"/>
    </row>
    <row r="15" spans="1:36" ht="27" customHeight="1">
      <c r="A15" s="718"/>
      <c r="B15" s="528"/>
      <c r="C15" s="350"/>
      <c r="D15" s="550"/>
      <c r="F15" s="479" t="str">
        <f>'1'!F15</f>
        <v>SHAMOON</v>
      </c>
      <c r="G15" s="406">
        <f>'CUSTOMERS REPORT'!Y287</f>
        <v>0</v>
      </c>
      <c r="H15" s="504">
        <f>'CUSTOMERS REPORT'!Z287</f>
        <v>0</v>
      </c>
      <c r="I15" s="406">
        <f>'CUSTOMERS REPORT'!AA287</f>
        <v>0</v>
      </c>
      <c r="J15" s="498">
        <f>'CUSTOMERS REPORT'!AB287</f>
        <v>0</v>
      </c>
      <c r="K15" s="498">
        <f>'CUSTOMERS REPORT'!AC287</f>
        <v>0</v>
      </c>
      <c r="L15" s="509">
        <f>'CUSTOMERS REPORT'!AD287</f>
        <v>0</v>
      </c>
      <c r="M15" s="414">
        <f>'1'!M15+'2'!G15</f>
        <v>0</v>
      </c>
      <c r="N15" s="412">
        <f>'1'!N15+'2'!J15</f>
        <v>0</v>
      </c>
      <c r="P15" s="433"/>
      <c r="Q15" s="437"/>
      <c r="S15" s="1037" t="str">
        <f>'1'!S15</f>
        <v>TILL</v>
      </c>
      <c r="T15" s="446">
        <f>'1'!X15</f>
        <v>0</v>
      </c>
      <c r="U15" s="456"/>
      <c r="V15" s="451">
        <f t="shared" si="0"/>
        <v>0</v>
      </c>
      <c r="W15" s="451"/>
      <c r="X15" s="447">
        <f t="shared" si="1"/>
        <v>0</v>
      </c>
      <c r="Z15" s="375" t="str">
        <f>'1'!Z15</f>
        <v>sheeba</v>
      </c>
      <c r="AA15" s="464">
        <f>'1'!AE15</f>
        <v>0</v>
      </c>
      <c r="AB15" s="460"/>
      <c r="AC15" s="462">
        <f t="shared" si="2"/>
        <v>0</v>
      </c>
      <c r="AD15" s="469"/>
      <c r="AE15" s="348">
        <f t="shared" si="3"/>
        <v>0</v>
      </c>
      <c r="AF15" s="563">
        <f>'1'!AF15+'2'!AB15</f>
        <v>0</v>
      </c>
      <c r="AG15" s="234">
        <f>'1'!AG15+'2'!AD15</f>
        <v>0</v>
      </c>
      <c r="AI15" s="1087" t="s">
        <v>128</v>
      </c>
      <c r="AJ15" s="1086">
        <f>B41</f>
        <v>0</v>
      </c>
    </row>
    <row r="16" spans="1:36" ht="27" customHeight="1">
      <c r="A16" s="718"/>
      <c r="B16" s="528"/>
      <c r="C16" s="350"/>
      <c r="D16" s="550"/>
      <c r="F16" s="479" t="str">
        <f>'1'!F16</f>
        <v>MATEEN</v>
      </c>
      <c r="G16" s="406">
        <f>'CUSTOMERS REPORT'!Y328</f>
        <v>0</v>
      </c>
      <c r="H16" s="504">
        <f>'CUSTOMERS REPORT'!Z328</f>
        <v>0</v>
      </c>
      <c r="I16" s="406">
        <f>'CUSTOMERS REPORT'!AA328</f>
        <v>0</v>
      </c>
      <c r="J16" s="498">
        <f>'CUSTOMERS REPORT'!AB328</f>
        <v>0</v>
      </c>
      <c r="K16" s="498">
        <f>'CUSTOMERS REPORT'!AC328</f>
        <v>0</v>
      </c>
      <c r="L16" s="509">
        <f>'CUSTOMERS REPORT'!AD328</f>
        <v>0</v>
      </c>
      <c r="M16" s="414">
        <f>'1'!M16+'2'!G16</f>
        <v>0</v>
      </c>
      <c r="N16" s="412">
        <f>'1'!N16+'2'!J16</f>
        <v>0</v>
      </c>
      <c r="P16" s="433"/>
      <c r="Q16" s="437"/>
      <c r="S16" s="1037" t="str">
        <f>'1'!S16</f>
        <v>ILLAICHI</v>
      </c>
      <c r="T16" s="446">
        <f>'1'!X16</f>
        <v>0</v>
      </c>
      <c r="U16" s="456"/>
      <c r="V16" s="451">
        <f t="shared" si="0"/>
        <v>0</v>
      </c>
      <c r="W16" s="451"/>
      <c r="X16" s="447">
        <f t="shared" si="1"/>
        <v>0</v>
      </c>
      <c r="Z16" s="375" t="str">
        <f>'1'!Z16</f>
        <v>COTTON</v>
      </c>
      <c r="AA16" s="464">
        <f>'1'!AE16</f>
        <v>0</v>
      </c>
      <c r="AB16" s="460"/>
      <c r="AC16" s="462">
        <f t="shared" si="2"/>
        <v>0</v>
      </c>
      <c r="AD16" s="469"/>
      <c r="AE16" s="348">
        <f t="shared" si="3"/>
        <v>0</v>
      </c>
      <c r="AF16" s="563">
        <f>'1'!AF16+'2'!AB16</f>
        <v>0</v>
      </c>
      <c r="AG16" s="234">
        <f>'1'!AG16+'2'!AD16</f>
        <v>0</v>
      </c>
      <c r="AI16" s="1088" t="s">
        <v>74</v>
      </c>
      <c r="AJ16" s="1086">
        <f>AJ14-AJ15</f>
        <v>0</v>
      </c>
    </row>
    <row r="17" spans="1:36" ht="27" customHeight="1">
      <c r="A17" s="718"/>
      <c r="B17" s="528"/>
      <c r="C17" s="350"/>
      <c r="D17" s="550"/>
      <c r="F17" s="479" t="str">
        <f>'1'!F17</f>
        <v>AMJAD ORANGI</v>
      </c>
      <c r="G17" s="406">
        <f>'CUSTOMERS REPORT'!Y370</f>
        <v>0</v>
      </c>
      <c r="H17" s="504">
        <f>'CUSTOMERS REPORT'!Z370</f>
        <v>0</v>
      </c>
      <c r="I17" s="406">
        <f>'CUSTOMERS REPORT'!AA370</f>
        <v>0</v>
      </c>
      <c r="J17" s="498">
        <f>'CUSTOMERS REPORT'!AB370</f>
        <v>0</v>
      </c>
      <c r="K17" s="498">
        <f>'CUSTOMERS REPORT'!AC370</f>
        <v>0</v>
      </c>
      <c r="L17" s="509">
        <f>'CUSTOMERS REPORT'!AD370</f>
        <v>0</v>
      </c>
      <c r="M17" s="414">
        <f>'1'!M17+'2'!G17</f>
        <v>0</v>
      </c>
      <c r="N17" s="412">
        <f>'1'!N17+'2'!J17</f>
        <v>0</v>
      </c>
      <c r="P17" s="433"/>
      <c r="Q17" s="437"/>
      <c r="S17" s="1037" t="str">
        <f>'1'!S17</f>
        <v>S-THELLI</v>
      </c>
      <c r="T17" s="446">
        <f>'1'!X17</f>
        <v>0</v>
      </c>
      <c r="U17" s="456"/>
      <c r="V17" s="451">
        <f t="shared" si="0"/>
        <v>0</v>
      </c>
      <c r="W17" s="451"/>
      <c r="X17" s="447">
        <f t="shared" si="1"/>
        <v>0</v>
      </c>
      <c r="Z17" s="375" t="str">
        <f>'1'!Z17</f>
        <v>SHAHID UP</v>
      </c>
      <c r="AA17" s="464">
        <f>'1'!AE17</f>
        <v>0</v>
      </c>
      <c r="AB17" s="460"/>
      <c r="AC17" s="462">
        <f t="shared" si="2"/>
        <v>0</v>
      </c>
      <c r="AD17" s="469"/>
      <c r="AE17" s="348">
        <f t="shared" si="3"/>
        <v>0</v>
      </c>
      <c r="AF17" s="563">
        <f>'1'!AF17+'2'!AB17</f>
        <v>0</v>
      </c>
      <c r="AG17" s="234">
        <f>'1'!AG17+'2'!AD17</f>
        <v>0</v>
      </c>
      <c r="AI17" s="1031"/>
      <c r="AJ17" s="1032"/>
    </row>
    <row r="18" spans="1:36" ht="27" customHeight="1">
      <c r="A18" s="718"/>
      <c r="B18" s="528"/>
      <c r="C18" s="350"/>
      <c r="D18" s="550"/>
      <c r="F18" s="479" t="str">
        <f>'1'!F18</f>
        <v>HAFIZ DRIVER</v>
      </c>
      <c r="G18" s="406">
        <f>'CUSTOMERS REPORT'!Y409</f>
        <v>0</v>
      </c>
      <c r="H18" s="504">
        <f>'CUSTOMERS REPORT'!Z409</f>
        <v>0</v>
      </c>
      <c r="I18" s="406">
        <f>'CUSTOMERS REPORT'!AA409</f>
        <v>0</v>
      </c>
      <c r="J18" s="498">
        <f>'CUSTOMERS REPORT'!AB409</f>
        <v>0</v>
      </c>
      <c r="K18" s="498">
        <f>'CUSTOMERS REPORT'!AC409</f>
        <v>0</v>
      </c>
      <c r="L18" s="509">
        <f>'CUSTOMERS REPORT'!AD409</f>
        <v>0</v>
      </c>
      <c r="M18" s="414">
        <f>'1'!M18+'2'!G18</f>
        <v>0</v>
      </c>
      <c r="N18" s="412">
        <f>'1'!N18+'2'!J18</f>
        <v>0</v>
      </c>
      <c r="P18" s="433"/>
      <c r="Q18" s="437"/>
      <c r="S18" s="1037" t="str">
        <f>'1'!S18</f>
        <v>P-THELLI</v>
      </c>
      <c r="T18" s="446">
        <f>'1'!X18</f>
        <v>0</v>
      </c>
      <c r="U18" s="456"/>
      <c r="V18" s="451">
        <f t="shared" si="0"/>
        <v>0</v>
      </c>
      <c r="W18" s="451"/>
      <c r="X18" s="447">
        <f t="shared" si="1"/>
        <v>0</v>
      </c>
      <c r="Z18" s="375" t="str">
        <f>'1'!Z18</f>
        <v>SALT</v>
      </c>
      <c r="AA18" s="464">
        <f>'1'!AE18</f>
        <v>0</v>
      </c>
      <c r="AB18" s="460"/>
      <c r="AC18" s="462">
        <f t="shared" si="2"/>
        <v>0</v>
      </c>
      <c r="AD18" s="469"/>
      <c r="AE18" s="348">
        <f t="shared" si="3"/>
        <v>0</v>
      </c>
      <c r="AF18" s="563">
        <f>'1'!AF18+'2'!AB18</f>
        <v>0</v>
      </c>
      <c r="AG18" s="234">
        <f>'1'!AG18+'2'!AD18</f>
        <v>0</v>
      </c>
      <c r="AI18" s="1031"/>
      <c r="AJ18" s="1032"/>
    </row>
    <row r="19" spans="1:36" ht="27" customHeight="1" thickBot="1">
      <c r="A19" s="719"/>
      <c r="B19" s="529"/>
      <c r="C19" s="350"/>
      <c r="D19" s="550"/>
      <c r="F19" s="479" t="str">
        <f>'1'!F19</f>
        <v>GHULAM QUETTA</v>
      </c>
      <c r="G19" s="406">
        <f>'CUSTOMERS REPORT'!Y447</f>
        <v>0</v>
      </c>
      <c r="H19" s="504">
        <f>'CUSTOMERS REPORT'!Z447</f>
        <v>0</v>
      </c>
      <c r="I19" s="406">
        <f>'CUSTOMERS REPORT'!AA447</f>
        <v>0</v>
      </c>
      <c r="J19" s="498">
        <f>'CUSTOMERS REPORT'!AB447</f>
        <v>0</v>
      </c>
      <c r="K19" s="498">
        <f>'CUSTOMERS REPORT'!AC447</f>
        <v>0</v>
      </c>
      <c r="L19" s="509">
        <f>'CUSTOMERS REPORT'!AD447</f>
        <v>0</v>
      </c>
      <c r="M19" s="414">
        <f>'1'!M19+'2'!G19</f>
        <v>0</v>
      </c>
      <c r="N19" s="412">
        <f>'1'!N19+'2'!J19</f>
        <v>0</v>
      </c>
      <c r="P19" s="433"/>
      <c r="Q19" s="437"/>
      <c r="S19" s="1037" t="str">
        <f>'1'!S19</f>
        <v>RUBBER</v>
      </c>
      <c r="T19" s="446">
        <f>'1'!X19</f>
        <v>0</v>
      </c>
      <c r="U19" s="456"/>
      <c r="V19" s="451">
        <f t="shared" si="0"/>
        <v>0</v>
      </c>
      <c r="W19" s="451"/>
      <c r="X19" s="447">
        <f t="shared" si="1"/>
        <v>0</v>
      </c>
      <c r="Z19" s="375" t="str">
        <f>'1'!Z19</f>
        <v>NAVEED</v>
      </c>
      <c r="AA19" s="464">
        <f>'1'!AE19</f>
        <v>0</v>
      </c>
      <c r="AB19" s="745"/>
      <c r="AC19" s="462">
        <f t="shared" si="2"/>
        <v>0</v>
      </c>
      <c r="AD19" s="469"/>
      <c r="AE19" s="348">
        <f t="shared" si="3"/>
        <v>0</v>
      </c>
      <c r="AF19" s="563">
        <f>'1'!AF19+'2'!AB19</f>
        <v>0</v>
      </c>
      <c r="AG19" s="234">
        <f>'1'!AG19+'2'!AD19</f>
        <v>0</v>
      </c>
    </row>
    <row r="20" spans="1:36" ht="27" customHeight="1" thickTop="1" thickBot="1">
      <c r="A20" s="719"/>
      <c r="B20" s="529"/>
      <c r="C20" s="350"/>
      <c r="D20" s="550"/>
      <c r="F20" s="479" t="str">
        <f>'1'!F20</f>
        <v>HUSSAN GWADAR</v>
      </c>
      <c r="G20" s="406">
        <f>'CUSTOMERS REPORT'!Y483</f>
        <v>0</v>
      </c>
      <c r="H20" s="504">
        <f>'CUSTOMERS REPORT'!Z483</f>
        <v>0</v>
      </c>
      <c r="I20" s="406">
        <f>'CUSTOMERS REPORT'!AA483</f>
        <v>0</v>
      </c>
      <c r="J20" s="498">
        <f>'CUSTOMERS REPORT'!AB483</f>
        <v>0</v>
      </c>
      <c r="K20" s="498">
        <f>'CUSTOMERS REPORT'!AC483</f>
        <v>0</v>
      </c>
      <c r="L20" s="509">
        <f>'CUSTOMERS REPORT'!AD483</f>
        <v>0</v>
      </c>
      <c r="M20" s="414">
        <f>'1'!M20+'2'!G20</f>
        <v>0</v>
      </c>
      <c r="N20" s="412">
        <f>'1'!N20+'2'!J20</f>
        <v>0</v>
      </c>
      <c r="P20" s="433"/>
      <c r="Q20" s="437"/>
      <c r="S20" s="1037" t="str">
        <f>'1'!S20</f>
        <v>SALT</v>
      </c>
      <c r="T20" s="446">
        <f>'1'!X20</f>
        <v>0</v>
      </c>
      <c r="U20" s="456"/>
      <c r="V20" s="451">
        <f t="shared" si="0"/>
        <v>0</v>
      </c>
      <c r="W20" s="451"/>
      <c r="X20" s="447">
        <f t="shared" si="1"/>
        <v>0</v>
      </c>
      <c r="Z20" s="375" t="str">
        <f>'1'!Z20</f>
        <v>YOUSUF BHAI</v>
      </c>
      <c r="AA20" s="464">
        <f>'1'!AE20</f>
        <v>0</v>
      </c>
      <c r="AB20" s="460"/>
      <c r="AC20" s="462">
        <f t="shared" si="2"/>
        <v>0</v>
      </c>
      <c r="AD20" s="469"/>
      <c r="AE20" s="348">
        <f t="shared" si="3"/>
        <v>0</v>
      </c>
      <c r="AF20" s="563">
        <f>'1'!AF20+'2'!AB20</f>
        <v>0</v>
      </c>
      <c r="AG20" s="234">
        <f>'1'!AG20+'2'!AD20</f>
        <v>0</v>
      </c>
      <c r="AI20" s="1487" t="s">
        <v>132</v>
      </c>
      <c r="AJ20" s="1488"/>
    </row>
    <row r="21" spans="1:36" ht="27" customHeight="1" thickTop="1" thickBot="1">
      <c r="A21" s="720"/>
      <c r="B21" s="530"/>
      <c r="C21" s="531"/>
      <c r="D21" s="553"/>
      <c r="F21" s="479" t="str">
        <f>'1'!F21</f>
        <v>AQASH S KOT</v>
      </c>
      <c r="G21" s="406">
        <f>'CUSTOMERS REPORT'!Y520</f>
        <v>0</v>
      </c>
      <c r="H21" s="504">
        <f>'CUSTOMERS REPORT'!Z520</f>
        <v>0</v>
      </c>
      <c r="I21" s="406">
        <f>'CUSTOMERS REPORT'!AA520</f>
        <v>0</v>
      </c>
      <c r="J21" s="498">
        <f>'CUSTOMERS REPORT'!AB520</f>
        <v>0</v>
      </c>
      <c r="K21" s="498">
        <f>'CUSTOMERS REPORT'!AC520</f>
        <v>0</v>
      </c>
      <c r="L21" s="509">
        <f>'CUSTOMERS REPORT'!AD520</f>
        <v>0</v>
      </c>
      <c r="M21" s="414">
        <f>'1'!M21+'2'!G21</f>
        <v>0</v>
      </c>
      <c r="N21" s="412">
        <f>'1'!N21+'2'!J21</f>
        <v>0</v>
      </c>
      <c r="P21" s="433"/>
      <c r="Q21" s="435"/>
      <c r="S21" s="1037" t="str">
        <f>'1'!S21</f>
        <v>TAPE</v>
      </c>
      <c r="T21" s="446">
        <f>'1'!X21</f>
        <v>0</v>
      </c>
      <c r="U21" s="456"/>
      <c r="V21" s="451">
        <f t="shared" si="0"/>
        <v>0</v>
      </c>
      <c r="W21" s="451"/>
      <c r="X21" s="447">
        <f t="shared" si="1"/>
        <v>0</v>
      </c>
      <c r="Z21" s="375" t="str">
        <f>'1'!Z21</f>
        <v>SULEMAN  PRINT</v>
      </c>
      <c r="AA21" s="464">
        <f>'1'!AE21</f>
        <v>0</v>
      </c>
      <c r="AB21" s="460"/>
      <c r="AC21" s="462">
        <f t="shared" si="2"/>
        <v>0</v>
      </c>
      <c r="AD21" s="469"/>
      <c r="AE21" s="348">
        <f t="shared" si="3"/>
        <v>0</v>
      </c>
      <c r="AF21" s="563">
        <f>'1'!AF21+'2'!AB21</f>
        <v>0</v>
      </c>
      <c r="AG21" s="234">
        <f>'1'!AG21+'2'!AD21</f>
        <v>0</v>
      </c>
      <c r="AI21" s="391" t="s">
        <v>126</v>
      </c>
      <c r="AJ21" s="392">
        <f>'1'!AJ23</f>
        <v>0</v>
      </c>
    </row>
    <row r="22" spans="1:36" ht="27" customHeight="1" thickTop="1" thickBot="1">
      <c r="A22" s="486" t="s">
        <v>74</v>
      </c>
      <c r="B22" s="533">
        <f>SUM(B8:B21)</f>
        <v>0</v>
      </c>
      <c r="C22" s="534">
        <f>'1'!D22</f>
        <v>0</v>
      </c>
      <c r="D22" s="535">
        <f t="shared" ref="D22" si="4">B22+C22</f>
        <v>0</v>
      </c>
      <c r="F22" s="479" t="str">
        <f>'1'!F22</f>
        <v>SALEEM T JAM</v>
      </c>
      <c r="G22" s="406">
        <f>'CUSTOMERS REPORT'!Y558</f>
        <v>0</v>
      </c>
      <c r="H22" s="504">
        <f>'CUSTOMERS REPORT'!Z558</f>
        <v>0</v>
      </c>
      <c r="I22" s="406">
        <f>'CUSTOMERS REPORT'!AA558</f>
        <v>0</v>
      </c>
      <c r="J22" s="498">
        <f>'CUSTOMERS REPORT'!AB558</f>
        <v>0</v>
      </c>
      <c r="K22" s="498">
        <f>'CUSTOMERS REPORT'!AC558</f>
        <v>0</v>
      </c>
      <c r="L22" s="509">
        <f>'CUSTOMERS REPORT'!AD558</f>
        <v>0</v>
      </c>
      <c r="M22" s="414">
        <f>'1'!M22+'2'!G22</f>
        <v>0</v>
      </c>
      <c r="N22" s="412">
        <f>'1'!N22+'2'!J22</f>
        <v>0</v>
      </c>
      <c r="P22" s="433"/>
      <c r="Q22" s="438"/>
      <c r="S22" s="1037" t="str">
        <f>'1'!S22</f>
        <v>COTTON</v>
      </c>
      <c r="T22" s="446">
        <f>'1'!X22</f>
        <v>0</v>
      </c>
      <c r="U22" s="456"/>
      <c r="V22" s="451">
        <f t="shared" si="0"/>
        <v>0</v>
      </c>
      <c r="W22" s="451"/>
      <c r="X22" s="447">
        <f t="shared" si="1"/>
        <v>0</v>
      </c>
      <c r="Z22" s="375" t="str">
        <f>'1'!Z22</f>
        <v>IRFAN VANILA</v>
      </c>
      <c r="AA22" s="464">
        <f>'1'!AE22</f>
        <v>0</v>
      </c>
      <c r="AB22" s="460"/>
      <c r="AC22" s="462">
        <f t="shared" si="2"/>
        <v>0</v>
      </c>
      <c r="AD22" s="469"/>
      <c r="AE22" s="348">
        <f t="shared" si="3"/>
        <v>0</v>
      </c>
      <c r="AF22" s="563">
        <f>'1'!AF22+'2'!AB22</f>
        <v>0</v>
      </c>
      <c r="AG22" s="234">
        <f>'1'!AG22+'2'!AD22</f>
        <v>0</v>
      </c>
      <c r="AI22" s="393">
        <f>R56</f>
        <v>0</v>
      </c>
      <c r="AJ22" s="394">
        <f>R56*1800</f>
        <v>0</v>
      </c>
    </row>
    <row r="23" spans="1:36" ht="27" customHeight="1" thickTop="1" thickBot="1">
      <c r="A23" s="715" t="str">
        <f>'1'!A23</f>
        <v>OFFICE FOOD</v>
      </c>
      <c r="B23" s="462"/>
      <c r="C23" s="536">
        <f>'1'!D23</f>
        <v>0</v>
      </c>
      <c r="D23" s="537">
        <f t="shared" ref="D23:D48" si="5">B23+C23</f>
        <v>0</v>
      </c>
      <c r="F23" s="479" t="str">
        <f>'1'!F23</f>
        <v>JAMSHAD BADEEN</v>
      </c>
      <c r="G23" s="406">
        <f>'CUSTOMERS REPORT'!Y594</f>
        <v>0</v>
      </c>
      <c r="H23" s="504">
        <f>'CUSTOMERS REPORT'!Z594</f>
        <v>0</v>
      </c>
      <c r="I23" s="406">
        <f>'CUSTOMERS REPORT'!AA594</f>
        <v>0</v>
      </c>
      <c r="J23" s="498">
        <f>'CUSTOMERS REPORT'!AB594</f>
        <v>0</v>
      </c>
      <c r="K23" s="498">
        <f>'CUSTOMERS REPORT'!AC594</f>
        <v>0</v>
      </c>
      <c r="L23" s="509">
        <f>'CUSTOMERS REPORT'!AD594</f>
        <v>0</v>
      </c>
      <c r="M23" s="414">
        <f>'1'!M23+'2'!G23</f>
        <v>0</v>
      </c>
      <c r="N23" s="412">
        <f>'1'!N23+'2'!J23</f>
        <v>0</v>
      </c>
      <c r="P23" s="190" t="s">
        <v>48</v>
      </c>
      <c r="Q23" s="439">
        <f>SUM(Q8:Q22)</f>
        <v>0</v>
      </c>
      <c r="S23" s="1037" t="str">
        <f>'1'!S23</f>
        <v>WHITE 6</v>
      </c>
      <c r="T23" s="446">
        <f>'1'!X23</f>
        <v>0</v>
      </c>
      <c r="U23" s="456"/>
      <c r="V23" s="451">
        <f t="shared" si="0"/>
        <v>0</v>
      </c>
      <c r="W23" s="451"/>
      <c r="X23" s="447">
        <f t="shared" si="1"/>
        <v>0</v>
      </c>
      <c r="Z23" s="375" t="str">
        <f>'1'!Z23</f>
        <v>IRANI GHEE</v>
      </c>
      <c r="AA23" s="464">
        <f>'1'!AE23</f>
        <v>0</v>
      </c>
      <c r="AB23" s="460"/>
      <c r="AC23" s="462">
        <f t="shared" si="2"/>
        <v>0</v>
      </c>
      <c r="AD23" s="469"/>
      <c r="AE23" s="348">
        <f t="shared" si="3"/>
        <v>0</v>
      </c>
      <c r="AF23" s="563">
        <f>'1'!AF23+'2'!AB23</f>
        <v>0</v>
      </c>
      <c r="AG23" s="234">
        <f>'1'!AG23+'2'!AD23</f>
        <v>0</v>
      </c>
      <c r="AI23" s="395" t="s">
        <v>74</v>
      </c>
      <c r="AJ23" s="396">
        <f>AJ21+AJ22</f>
        <v>0</v>
      </c>
    </row>
    <row r="24" spans="1:36" ht="27" customHeight="1" thickTop="1" thickBot="1">
      <c r="A24" s="715" t="str">
        <f>'1'!A24</f>
        <v>LABOUR FOOD EXP</v>
      </c>
      <c r="B24" s="234"/>
      <c r="C24" s="348">
        <f>'1'!D24</f>
        <v>0</v>
      </c>
      <c r="D24" s="234">
        <f t="shared" si="5"/>
        <v>0</v>
      </c>
      <c r="F24" s="479" t="str">
        <f>'1'!F24</f>
        <v>SARFAZ MP</v>
      </c>
      <c r="G24" s="406">
        <f>'CUSTOMERS REPORT'!Y632</f>
        <v>0</v>
      </c>
      <c r="H24" s="504">
        <f>'CUSTOMERS REPORT'!Z632</f>
        <v>0</v>
      </c>
      <c r="I24" s="406">
        <f>'CUSTOMERS REPORT'!AA632</f>
        <v>0</v>
      </c>
      <c r="J24" s="498">
        <f>'CUSTOMERS REPORT'!AB632</f>
        <v>0</v>
      </c>
      <c r="K24" s="498">
        <f>'CUSTOMERS REPORT'!AC632</f>
        <v>0</v>
      </c>
      <c r="L24" s="509">
        <f>'CUSTOMERS REPORT'!AD632</f>
        <v>0</v>
      </c>
      <c r="M24" s="414">
        <f>'1'!M24+'2'!G24</f>
        <v>0</v>
      </c>
      <c r="N24" s="412">
        <f>'1'!N24+'2'!J24</f>
        <v>0</v>
      </c>
      <c r="P24" s="1514" t="s">
        <v>137</v>
      </c>
      <c r="Q24" s="1514"/>
      <c r="R24" t="s">
        <v>1</v>
      </c>
      <c r="S24" s="1037" t="str">
        <f>'1'!S24</f>
        <v>ORANGE</v>
      </c>
      <c r="T24" s="446">
        <f>'1'!X24</f>
        <v>0</v>
      </c>
      <c r="U24" s="456"/>
      <c r="V24" s="451">
        <f t="shared" si="0"/>
        <v>0</v>
      </c>
      <c r="W24" s="451"/>
      <c r="X24" s="447">
        <f t="shared" si="1"/>
        <v>0</v>
      </c>
      <c r="Z24" s="375">
        <f>'1'!Z24</f>
        <v>0</v>
      </c>
      <c r="AA24" s="464">
        <f>'1'!AE24</f>
        <v>0</v>
      </c>
      <c r="AB24" s="734"/>
      <c r="AC24" s="462">
        <f t="shared" si="2"/>
        <v>0</v>
      </c>
      <c r="AD24" s="469"/>
      <c r="AE24" s="348">
        <f t="shared" si="3"/>
        <v>0</v>
      </c>
      <c r="AF24" s="563">
        <f>'1'!AF24+'2'!AB24</f>
        <v>0</v>
      </c>
      <c r="AG24" s="234">
        <f>'1'!AG24+'2'!AD24</f>
        <v>0</v>
      </c>
    </row>
    <row r="25" spans="1:36" ht="27" customHeight="1" thickTop="1" thickBot="1">
      <c r="A25" s="715" t="str">
        <f>'1'!A25</f>
        <v>OFFICE SALARY</v>
      </c>
      <c r="B25" s="234">
        <f>ATTENDANCE!E28</f>
        <v>0</v>
      </c>
      <c r="C25" s="348">
        <f>'1'!D25</f>
        <v>0</v>
      </c>
      <c r="D25" s="234">
        <f t="shared" si="5"/>
        <v>0</v>
      </c>
      <c r="F25" s="479" t="str">
        <f>'1'!F25</f>
        <v>AFZAL MATLI</v>
      </c>
      <c r="G25" s="406">
        <f>'CUSTOMERS REPORT'!Y670</f>
        <v>0</v>
      </c>
      <c r="H25" s="504">
        <f>'CUSTOMERS REPORT'!Z670</f>
        <v>0</v>
      </c>
      <c r="I25" s="406">
        <f>'CUSTOMERS REPORT'!AA670</f>
        <v>0</v>
      </c>
      <c r="J25" s="498">
        <f>'CUSTOMERS REPORT'!AB670</f>
        <v>0</v>
      </c>
      <c r="K25" s="498">
        <f>'CUSTOMERS REPORT'!AC670</f>
        <v>0</v>
      </c>
      <c r="L25" s="509">
        <f>'CUSTOMERS REPORT'!AD670</f>
        <v>0</v>
      </c>
      <c r="M25" s="414">
        <f>'1'!M25+'2'!G25</f>
        <v>0</v>
      </c>
      <c r="N25" s="412">
        <f>'1'!N25+'2'!J25</f>
        <v>0</v>
      </c>
      <c r="P25" s="434"/>
      <c r="Q25" s="440"/>
      <c r="S25" s="1037" t="str">
        <f>'1'!S25</f>
        <v>MAKKI 7</v>
      </c>
      <c r="T25" s="446">
        <f>'1'!X25</f>
        <v>0</v>
      </c>
      <c r="U25" s="456"/>
      <c r="V25" s="451">
        <f t="shared" si="0"/>
        <v>0</v>
      </c>
      <c r="W25" s="451"/>
      <c r="X25" s="447">
        <f t="shared" si="1"/>
        <v>0</v>
      </c>
      <c r="Z25" s="375">
        <f>'1'!Z25</f>
        <v>0</v>
      </c>
      <c r="AA25" s="464">
        <f>'1'!AE25</f>
        <v>0</v>
      </c>
      <c r="AB25" s="745"/>
      <c r="AC25" s="462">
        <f t="shared" si="2"/>
        <v>0</v>
      </c>
      <c r="AD25" s="469"/>
      <c r="AE25" s="348">
        <f t="shared" si="3"/>
        <v>0</v>
      </c>
      <c r="AF25" s="563">
        <f>'1'!AF25+'2'!AB25</f>
        <v>0</v>
      </c>
      <c r="AG25" s="234">
        <f>'1'!AG25+'2'!AD25</f>
        <v>0</v>
      </c>
      <c r="AI25" s="397" t="s">
        <v>59</v>
      </c>
      <c r="AJ25" s="398">
        <f>AJ23-AJ10</f>
        <v>0</v>
      </c>
    </row>
    <row r="26" spans="1:36" ht="27" customHeight="1" thickTop="1">
      <c r="A26" s="715" t="str">
        <f>'1'!A26</f>
        <v>LABOUR SALARY</v>
      </c>
      <c r="B26" s="234">
        <f>SUM('SALERY SHEET'!F97:G97)</f>
        <v>0</v>
      </c>
      <c r="C26" s="348">
        <f>'1'!D26</f>
        <v>0</v>
      </c>
      <c r="D26" s="234">
        <f t="shared" si="5"/>
        <v>0</v>
      </c>
      <c r="F26" s="479" t="str">
        <f>'1'!F26</f>
        <v xml:space="preserve">ABDUL RASHEED </v>
      </c>
      <c r="G26" s="406">
        <f>'CUSTOMERS REPORT'!Y708</f>
        <v>0</v>
      </c>
      <c r="H26" s="504">
        <f>'CUSTOMERS REPORT'!Z708</f>
        <v>0</v>
      </c>
      <c r="I26" s="406">
        <f>'CUSTOMERS REPORT'!AA708</f>
        <v>0</v>
      </c>
      <c r="J26" s="498">
        <f>'CUSTOMERS REPORT'!AB708</f>
        <v>0</v>
      </c>
      <c r="K26" s="498">
        <f>'CUSTOMERS REPORT'!AC708</f>
        <v>0</v>
      </c>
      <c r="L26" s="509">
        <f>'CUSTOMERS REPORT'!AD708</f>
        <v>0</v>
      </c>
      <c r="M26" s="414">
        <f>'1'!M26+'2'!G26</f>
        <v>0</v>
      </c>
      <c r="N26" s="412">
        <f>'1'!N26+'2'!J26</f>
        <v>0</v>
      </c>
      <c r="P26" s="433"/>
      <c r="Q26" s="438"/>
      <c r="R26" t="s">
        <v>1</v>
      </c>
      <c r="S26" s="1037" t="str">
        <f>'1'!S26</f>
        <v>BLUE 125 GM</v>
      </c>
      <c r="T26" s="446">
        <f>'1'!X26</f>
        <v>0</v>
      </c>
      <c r="U26" s="456"/>
      <c r="V26" s="451">
        <f t="shared" si="0"/>
        <v>0</v>
      </c>
      <c r="W26" s="451"/>
      <c r="X26" s="447">
        <f t="shared" si="1"/>
        <v>0</v>
      </c>
      <c r="Z26" s="375">
        <f>'1'!Z26</f>
        <v>0</v>
      </c>
      <c r="AA26" s="464">
        <f>'1'!AE26</f>
        <v>0</v>
      </c>
      <c r="AB26" s="460"/>
      <c r="AC26" s="462">
        <f t="shared" si="2"/>
        <v>0</v>
      </c>
      <c r="AD26" s="469"/>
      <c r="AE26" s="348">
        <f t="shared" si="3"/>
        <v>0</v>
      </c>
      <c r="AF26" s="563">
        <f>'1'!AF26+'2'!AB26</f>
        <v>0</v>
      </c>
      <c r="AG26" s="234">
        <f>'1'!AG26+'2'!AD26</f>
        <v>0</v>
      </c>
    </row>
    <row r="27" spans="1:36" ht="27" customHeight="1">
      <c r="A27" s="715" t="str">
        <f>'1'!A27</f>
        <v>SHAHZORE</v>
      </c>
      <c r="B27" s="234"/>
      <c r="C27" s="348">
        <f>'1'!D27</f>
        <v>0</v>
      </c>
      <c r="D27" s="234">
        <f t="shared" si="5"/>
        <v>0</v>
      </c>
      <c r="F27" s="479" t="str">
        <f>'1'!F27</f>
        <v>SALEEM ORANGI</v>
      </c>
      <c r="G27" s="406">
        <f>'CUSTOMERS REPORT'!Y746</f>
        <v>0</v>
      </c>
      <c r="H27" s="504">
        <f>'CUSTOMERS REPORT'!Z746</f>
        <v>0</v>
      </c>
      <c r="I27" s="406">
        <f>'CUSTOMERS REPORT'!AA746</f>
        <v>0</v>
      </c>
      <c r="J27" s="498">
        <f>'CUSTOMERS REPORT'!AB746</f>
        <v>0</v>
      </c>
      <c r="K27" s="498">
        <f>'CUSTOMERS REPORT'!AC746</f>
        <v>0</v>
      </c>
      <c r="L27" s="509">
        <f>'CUSTOMERS REPORT'!AD746</f>
        <v>0</v>
      </c>
      <c r="M27" s="414">
        <f>'1'!M27+'2'!G27</f>
        <v>0</v>
      </c>
      <c r="N27" s="412">
        <f>'1'!N27+'2'!J27</f>
        <v>0</v>
      </c>
      <c r="P27" s="433"/>
      <c r="Q27" s="435"/>
      <c r="R27" t="s">
        <v>1</v>
      </c>
      <c r="S27" s="1037" t="str">
        <f>'1'!S27</f>
        <v>MAKKI 5</v>
      </c>
      <c r="T27" s="446">
        <f>'1'!X27</f>
        <v>0</v>
      </c>
      <c r="U27" s="456"/>
      <c r="V27" s="451">
        <f t="shared" si="0"/>
        <v>0</v>
      </c>
      <c r="W27" s="451"/>
      <c r="X27" s="447">
        <f t="shared" si="1"/>
        <v>0</v>
      </c>
      <c r="Z27" s="375">
        <f>'1'!Z27</f>
        <v>0</v>
      </c>
      <c r="AA27" s="464">
        <f>'1'!AE27</f>
        <v>0</v>
      </c>
      <c r="AB27" s="460"/>
      <c r="AC27" s="462">
        <f t="shared" si="2"/>
        <v>0</v>
      </c>
      <c r="AD27" s="469"/>
      <c r="AE27" s="348">
        <f t="shared" si="3"/>
        <v>0</v>
      </c>
      <c r="AF27" s="563">
        <f>'1'!AF27+'2'!AB27</f>
        <v>0</v>
      </c>
      <c r="AG27" s="234">
        <f>'1'!AG27+'2'!AD27</f>
        <v>0</v>
      </c>
    </row>
    <row r="28" spans="1:36" ht="27" customHeight="1">
      <c r="A28" s="715" t="str">
        <f>'1'!A28</f>
        <v>GENERATOR</v>
      </c>
      <c r="B28" s="234"/>
      <c r="C28" s="348">
        <f>'1'!D28</f>
        <v>0</v>
      </c>
      <c r="D28" s="234">
        <f t="shared" si="5"/>
        <v>0</v>
      </c>
      <c r="F28" s="479" t="str">
        <f>'1'!F28</f>
        <v>AYAZ OUSTA</v>
      </c>
      <c r="G28" s="406">
        <f>'CUSTOMERS REPORT'!Y784</f>
        <v>0</v>
      </c>
      <c r="H28" s="504">
        <f>'CUSTOMERS REPORT'!Z784</f>
        <v>0</v>
      </c>
      <c r="I28" s="406">
        <f>'CUSTOMERS REPORT'!AA784</f>
        <v>0</v>
      </c>
      <c r="J28" s="498">
        <f>'CUSTOMERS REPORT'!AB784</f>
        <v>0</v>
      </c>
      <c r="K28" s="498">
        <f>'CUSTOMERS REPORT'!AC784</f>
        <v>0</v>
      </c>
      <c r="L28" s="509">
        <f>'CUSTOMERS REPORT'!AD784</f>
        <v>0</v>
      </c>
      <c r="M28" s="414">
        <f>'1'!M28+'2'!G28</f>
        <v>0</v>
      </c>
      <c r="N28" s="412">
        <f>'1'!N28+'2'!J28</f>
        <v>0</v>
      </c>
      <c r="P28" s="433"/>
      <c r="Q28" s="438"/>
      <c r="S28" s="1037" t="str">
        <f>'1'!S28</f>
        <v>MAKKI 2 PES</v>
      </c>
      <c r="T28" s="446">
        <f>'1'!X28</f>
        <v>0</v>
      </c>
      <c r="U28" s="456"/>
      <c r="V28" s="451">
        <f t="shared" si="0"/>
        <v>0</v>
      </c>
      <c r="W28" s="451"/>
      <c r="X28" s="447">
        <f t="shared" si="1"/>
        <v>0</v>
      </c>
      <c r="Z28" s="375">
        <f>'1'!Z28</f>
        <v>0</v>
      </c>
      <c r="AA28" s="464">
        <f>'1'!AE28</f>
        <v>0</v>
      </c>
      <c r="AB28" s="460"/>
      <c r="AC28" s="462">
        <f t="shared" si="2"/>
        <v>0</v>
      </c>
      <c r="AD28" s="469"/>
      <c r="AE28" s="348">
        <f t="shared" si="3"/>
        <v>0</v>
      </c>
      <c r="AF28" s="563">
        <f>'1'!AF28+'2'!AB28</f>
        <v>0</v>
      </c>
      <c r="AG28" s="234">
        <f>'1'!AG28+'2'!AD28</f>
        <v>0</v>
      </c>
    </row>
    <row r="29" spans="1:36" ht="27" customHeight="1">
      <c r="A29" s="715" t="str">
        <f>'1'!A29</f>
        <v>PATROL FAW</v>
      </c>
      <c r="B29" s="234"/>
      <c r="C29" s="348">
        <f>'1'!D29</f>
        <v>0</v>
      </c>
      <c r="D29" s="234">
        <f t="shared" si="5"/>
        <v>0</v>
      </c>
      <c r="F29" s="479" t="str">
        <f>'1'!F29</f>
        <v>AZHAR BADEEN</v>
      </c>
      <c r="G29" s="406">
        <f>'CUSTOMERS REPORT'!Y822</f>
        <v>0</v>
      </c>
      <c r="H29" s="504">
        <f>'CUSTOMERS REPORT'!Z822</f>
        <v>0</v>
      </c>
      <c r="I29" s="406">
        <f>'CUSTOMERS REPORT'!AA822</f>
        <v>0</v>
      </c>
      <c r="J29" s="498">
        <f>'CUSTOMERS REPORT'!AB822</f>
        <v>0</v>
      </c>
      <c r="K29" s="498">
        <f>'CUSTOMERS REPORT'!AC822</f>
        <v>0</v>
      </c>
      <c r="L29" s="509">
        <f>'CUSTOMERS REPORT'!AD822</f>
        <v>0</v>
      </c>
      <c r="M29" s="414">
        <f>'1'!M29+'2'!G29</f>
        <v>0</v>
      </c>
      <c r="N29" s="412">
        <f>'1'!N29+'2'!J29</f>
        <v>0</v>
      </c>
      <c r="P29" s="433"/>
      <c r="Q29" s="441"/>
      <c r="S29" s="1037" t="str">
        <f>'1'!S29</f>
        <v xml:space="preserve">PRIME </v>
      </c>
      <c r="T29" s="446">
        <f>'1'!X29</f>
        <v>0</v>
      </c>
      <c r="U29" s="456"/>
      <c r="V29" s="451">
        <f t="shared" si="0"/>
        <v>0</v>
      </c>
      <c r="W29" s="451"/>
      <c r="X29" s="447">
        <f t="shared" si="1"/>
        <v>0</v>
      </c>
      <c r="Z29" s="375">
        <f>'1'!Z29</f>
        <v>0</v>
      </c>
      <c r="AA29" s="464">
        <f>'1'!AE29</f>
        <v>0</v>
      </c>
      <c r="AB29" s="460"/>
      <c r="AC29" s="462">
        <f t="shared" si="2"/>
        <v>0</v>
      </c>
      <c r="AD29" s="469"/>
      <c r="AE29" s="348">
        <f t="shared" si="3"/>
        <v>0</v>
      </c>
      <c r="AF29" s="563">
        <f>'1'!AF29+'2'!AB29</f>
        <v>0</v>
      </c>
      <c r="AG29" s="234">
        <f>'1'!AG29+'2'!AD29</f>
        <v>0</v>
      </c>
    </row>
    <row r="30" spans="1:36" ht="27" customHeight="1">
      <c r="A30" s="715" t="str">
        <f>'1'!A30</f>
        <v>FOTON DIESEL</v>
      </c>
      <c r="B30" s="234"/>
      <c r="C30" s="348">
        <f>'1'!D30</f>
        <v>0</v>
      </c>
      <c r="D30" s="234">
        <f t="shared" si="5"/>
        <v>0</v>
      </c>
      <c r="F30" s="479" t="str">
        <f>'1'!F30</f>
        <v>FAISAL HUB</v>
      </c>
      <c r="G30" s="406">
        <f>'CUSTOMERS REPORT'!Y860</f>
        <v>0</v>
      </c>
      <c r="H30" s="504">
        <f>'CUSTOMERS REPORT'!Z860</f>
        <v>0</v>
      </c>
      <c r="I30" s="406">
        <f>'CUSTOMERS REPORT'!AA860</f>
        <v>0</v>
      </c>
      <c r="J30" s="498">
        <f>'CUSTOMERS REPORT'!AB860</f>
        <v>0</v>
      </c>
      <c r="K30" s="498">
        <f>'CUSTOMERS REPORT'!AC860</f>
        <v>0</v>
      </c>
      <c r="L30" s="509">
        <f>'CUSTOMERS REPORT'!AD860</f>
        <v>0</v>
      </c>
      <c r="M30" s="414">
        <f>'1'!M30+'2'!G30</f>
        <v>0</v>
      </c>
      <c r="N30" s="412">
        <f>'1'!N30+'2'!J30</f>
        <v>0</v>
      </c>
      <c r="P30" s="433"/>
      <c r="Q30" s="442"/>
      <c r="S30" s="1037" t="str">
        <f>'1'!S30</f>
        <v>PRIMR 15</v>
      </c>
      <c r="T30" s="446">
        <f>'1'!X30</f>
        <v>0</v>
      </c>
      <c r="U30" s="456"/>
      <c r="V30" s="451">
        <f t="shared" si="0"/>
        <v>0</v>
      </c>
      <c r="W30" s="451"/>
      <c r="X30" s="447">
        <f t="shared" si="1"/>
        <v>0</v>
      </c>
      <c r="Z30" s="375">
        <f>'1'!Z30</f>
        <v>0</v>
      </c>
      <c r="AA30" s="464">
        <f>'1'!AE30</f>
        <v>0</v>
      </c>
      <c r="AB30" s="460"/>
      <c r="AC30" s="462">
        <f t="shared" si="2"/>
        <v>0</v>
      </c>
      <c r="AD30" s="469"/>
      <c r="AE30" s="348">
        <f t="shared" si="3"/>
        <v>0</v>
      </c>
      <c r="AF30" s="563">
        <f>'1'!AF30+'2'!AB30</f>
        <v>0</v>
      </c>
      <c r="AG30" s="234">
        <f>'1'!AG30+'2'!AD30</f>
        <v>0</v>
      </c>
    </row>
    <row r="31" spans="1:36" ht="27" customHeight="1" thickBot="1">
      <c r="A31" s="715" t="str">
        <f>'1'!A31</f>
        <v>UTILITY BILLS</v>
      </c>
      <c r="B31" s="234"/>
      <c r="C31" s="348">
        <f>'1'!D31</f>
        <v>0</v>
      </c>
      <c r="D31" s="234">
        <f t="shared" si="5"/>
        <v>0</v>
      </c>
      <c r="F31" s="479" t="str">
        <f>'1'!F31</f>
        <v>ABDUL RAHMAN</v>
      </c>
      <c r="G31" s="406">
        <f>'CUSTOMERS REPORT'!Y899</f>
        <v>0</v>
      </c>
      <c r="H31" s="504">
        <f>'CUSTOMERS REPORT'!Z899</f>
        <v>0</v>
      </c>
      <c r="I31" s="406">
        <f>'CUSTOMERS REPORT'!AA899</f>
        <v>0</v>
      </c>
      <c r="J31" s="498">
        <f>'CUSTOMERS REPORT'!AB899</f>
        <v>0</v>
      </c>
      <c r="K31" s="498">
        <f>'CUSTOMERS REPORT'!AC899</f>
        <v>0</v>
      </c>
      <c r="L31" s="509">
        <f>'CUSTOMERS REPORT'!AD899</f>
        <v>0</v>
      </c>
      <c r="M31" s="414">
        <f>'1'!M31+'2'!G31</f>
        <v>0</v>
      </c>
      <c r="N31" s="412">
        <f>'1'!N31+'2'!J31</f>
        <v>0</v>
      </c>
      <c r="P31" s="433"/>
      <c r="Q31" s="435"/>
      <c r="S31" s="1037" t="str">
        <f>'1'!S31</f>
        <v>KARACHI</v>
      </c>
      <c r="T31" s="446">
        <f>'1'!X31</f>
        <v>0</v>
      </c>
      <c r="U31" s="456"/>
      <c r="V31" s="451">
        <f t="shared" si="0"/>
        <v>0</v>
      </c>
      <c r="W31" s="451"/>
      <c r="X31" s="447">
        <f t="shared" si="1"/>
        <v>0</v>
      </c>
      <c r="Z31" s="375">
        <f>'1'!Z31</f>
        <v>0</v>
      </c>
      <c r="AA31" s="464">
        <f>'1'!AE31</f>
        <v>0</v>
      </c>
      <c r="AB31" s="460"/>
      <c r="AC31" s="462">
        <f t="shared" si="2"/>
        <v>0</v>
      </c>
      <c r="AD31" s="469"/>
      <c r="AE31" s="348">
        <f t="shared" si="3"/>
        <v>0</v>
      </c>
      <c r="AF31" s="563">
        <f>'1'!AF31+'2'!AB31</f>
        <v>0</v>
      </c>
      <c r="AG31" s="234">
        <f>'1'!AG31+'2'!AD31</f>
        <v>0</v>
      </c>
      <c r="AI31" t="s">
        <v>1</v>
      </c>
    </row>
    <row r="32" spans="1:36" ht="27" customHeight="1" thickTop="1" thickBot="1">
      <c r="A32" s="715" t="str">
        <f>'1'!A32</f>
        <v>WOOD</v>
      </c>
      <c r="B32" s="234"/>
      <c r="C32" s="348">
        <f>'1'!D32</f>
        <v>0</v>
      </c>
      <c r="D32" s="234">
        <f t="shared" si="5"/>
        <v>0</v>
      </c>
      <c r="F32" s="479" t="str">
        <f>'1'!F32</f>
        <v>HAJI JAN GIWANI</v>
      </c>
      <c r="G32" s="406">
        <f>'CUSTOMERS REPORT'!Y938</f>
        <v>0</v>
      </c>
      <c r="H32" s="504">
        <f>'CUSTOMERS REPORT'!Z938</f>
        <v>0</v>
      </c>
      <c r="I32" s="406">
        <f>'CUSTOMERS REPORT'!AA938</f>
        <v>0</v>
      </c>
      <c r="J32" s="498">
        <f>'CUSTOMERS REPORT'!AB938</f>
        <v>0</v>
      </c>
      <c r="K32" s="498">
        <f>'CUSTOMERS REPORT'!AC938</f>
        <v>0</v>
      </c>
      <c r="L32" s="509">
        <f>'CUSTOMERS REPORT'!AD938</f>
        <v>0</v>
      </c>
      <c r="M32" s="414">
        <f>'1'!M32+'2'!G32</f>
        <v>0</v>
      </c>
      <c r="N32" s="412">
        <f>'1'!N32+'2'!J32</f>
        <v>0</v>
      </c>
      <c r="P32" s="190" t="s">
        <v>51</v>
      </c>
      <c r="Q32" s="439">
        <f>Q23-Q25-Q26-Q27-Q28-Q29-Q30-Q31</f>
        <v>0</v>
      </c>
      <c r="R32" t="s">
        <v>1</v>
      </c>
      <c r="S32" s="1037" t="str">
        <f>'1'!S32</f>
        <v>MARVI</v>
      </c>
      <c r="T32" s="446">
        <f>'1'!X32</f>
        <v>0</v>
      </c>
      <c r="U32" s="456"/>
      <c r="V32" s="451">
        <f t="shared" si="0"/>
        <v>0</v>
      </c>
      <c r="W32" s="451"/>
      <c r="X32" s="447">
        <f t="shared" si="1"/>
        <v>0</v>
      </c>
      <c r="Z32" s="375">
        <f>'1'!Z32</f>
        <v>0</v>
      </c>
      <c r="AA32" s="464">
        <f>'1'!AE32</f>
        <v>0</v>
      </c>
      <c r="AB32" s="460"/>
      <c r="AC32" s="462">
        <f t="shared" si="2"/>
        <v>0</v>
      </c>
      <c r="AD32" s="469"/>
      <c r="AE32" s="348">
        <f t="shared" si="3"/>
        <v>0</v>
      </c>
      <c r="AF32" s="563">
        <f>'1'!AF32+'2'!AB32</f>
        <v>0</v>
      </c>
      <c r="AG32" s="234">
        <f>'1'!AG32+'2'!AD32</f>
        <v>0</v>
      </c>
    </row>
    <row r="33" spans="1:40" ht="27" customHeight="1" thickTop="1" thickBot="1">
      <c r="A33" s="715" t="str">
        <f>'1'!A33</f>
        <v>TOLL</v>
      </c>
      <c r="B33" s="538"/>
      <c r="C33" s="348">
        <f>'1'!D33</f>
        <v>0</v>
      </c>
      <c r="D33" s="234">
        <f t="shared" si="5"/>
        <v>0</v>
      </c>
      <c r="F33" s="479" t="str">
        <f>'1'!F33</f>
        <v>ALI QURESHI HYD</v>
      </c>
      <c r="G33" s="406">
        <f>'CUSTOMERS REPORT'!Y976</f>
        <v>0</v>
      </c>
      <c r="H33" s="504">
        <f>'CUSTOMERS REPORT'!Z976</f>
        <v>0</v>
      </c>
      <c r="I33" s="406">
        <f>'CUSTOMERS REPORT'!AA976</f>
        <v>0</v>
      </c>
      <c r="J33" s="498">
        <f>'CUSTOMERS REPORT'!AB976</f>
        <v>0</v>
      </c>
      <c r="K33" s="498">
        <f>'CUSTOMERS REPORT'!AC976</f>
        <v>0</v>
      </c>
      <c r="L33" s="509">
        <f>'CUSTOMERS REPORT'!AD976</f>
        <v>0</v>
      </c>
      <c r="M33" s="414">
        <f>'1'!M33+'2'!G33</f>
        <v>0</v>
      </c>
      <c r="N33" s="412">
        <f>'1'!N33+'2'!J33</f>
        <v>0</v>
      </c>
      <c r="P33" s="1499" t="s">
        <v>149</v>
      </c>
      <c r="Q33" s="1500"/>
      <c r="S33" s="1037" t="str">
        <f>'1'!S33</f>
        <v>TS</v>
      </c>
      <c r="T33" s="446">
        <f>'1'!X33</f>
        <v>0</v>
      </c>
      <c r="U33" s="456"/>
      <c r="V33" s="451">
        <f t="shared" si="0"/>
        <v>0</v>
      </c>
      <c r="W33" s="451"/>
      <c r="X33" s="447">
        <f t="shared" si="1"/>
        <v>0</v>
      </c>
      <c r="Z33" s="375">
        <f>'1'!Z33</f>
        <v>0</v>
      </c>
      <c r="AA33" s="464">
        <f>'1'!AE33</f>
        <v>0</v>
      </c>
      <c r="AB33" s="460">
        <f>'SHAKEEL RUSK'!D9+'SHAKEEL RUSK'!G9</f>
        <v>0</v>
      </c>
      <c r="AC33" s="462">
        <f t="shared" si="2"/>
        <v>0</v>
      </c>
      <c r="AD33" s="469"/>
      <c r="AE33" s="348">
        <f t="shared" si="3"/>
        <v>0</v>
      </c>
      <c r="AF33" s="563">
        <f>'1'!AF33+'2'!AB33</f>
        <v>0</v>
      </c>
      <c r="AG33" s="234">
        <f>'1'!AG33+'2'!AD33</f>
        <v>0</v>
      </c>
    </row>
    <row r="34" spans="1:40" ht="27" customHeight="1" thickTop="1" thickBot="1">
      <c r="A34" s="716" t="str">
        <f>'1'!A34</f>
        <v>FLOUR / SHGER</v>
      </c>
      <c r="B34" s="538"/>
      <c r="C34" s="348">
        <f>'1'!D34</f>
        <v>0</v>
      </c>
      <c r="D34" s="234">
        <f t="shared" si="5"/>
        <v>0</v>
      </c>
      <c r="F34" s="479" t="str">
        <f>'1'!F34</f>
        <v>ALI RAZA KAND KOT</v>
      </c>
      <c r="G34" s="406">
        <f>'CUSTOMERS REPORT'!Y1014</f>
        <v>0</v>
      </c>
      <c r="H34" s="504">
        <f>'CUSTOMERS REPORT'!Z1014</f>
        <v>0</v>
      </c>
      <c r="I34" s="406">
        <f>'CUSTOMERS REPORT'!AA1014</f>
        <v>0</v>
      </c>
      <c r="J34" s="498">
        <f>'CUSTOMERS REPORT'!AB1014</f>
        <v>0</v>
      </c>
      <c r="K34" s="498">
        <f>'CUSTOMERS REPORT'!AC1014</f>
        <v>0</v>
      </c>
      <c r="L34" s="509">
        <f>'CUSTOMERS REPORT'!AD1014</f>
        <v>0</v>
      </c>
      <c r="M34" s="414">
        <f>'1'!M34+'2'!G34</f>
        <v>0</v>
      </c>
      <c r="N34" s="412">
        <f>'1'!N34+'2'!J34</f>
        <v>0</v>
      </c>
      <c r="P34" s="220" t="s">
        <v>150</v>
      </c>
      <c r="Q34" s="223">
        <f>'1'!Q8</f>
        <v>0</v>
      </c>
      <c r="S34" s="1037" t="str">
        <f>'1'!S34</f>
        <v>MAXI</v>
      </c>
      <c r="T34" s="446">
        <f>'1'!X34</f>
        <v>0</v>
      </c>
      <c r="U34" s="457"/>
      <c r="V34" s="452">
        <f t="shared" si="0"/>
        <v>0</v>
      </c>
      <c r="W34" s="452"/>
      <c r="X34" s="448">
        <f t="shared" si="1"/>
        <v>0</v>
      </c>
      <c r="Z34" s="375">
        <f>'1'!Z34</f>
        <v>0</v>
      </c>
      <c r="AA34" s="464">
        <f>'1'!AE34</f>
        <v>0</v>
      </c>
      <c r="AB34" s="460"/>
      <c r="AC34" s="462">
        <f t="shared" si="2"/>
        <v>0</v>
      </c>
      <c r="AD34" s="469"/>
      <c r="AE34" s="348">
        <f t="shared" si="3"/>
        <v>0</v>
      </c>
      <c r="AF34" s="563">
        <f>'1'!AF34+'2'!AB34</f>
        <v>0</v>
      </c>
      <c r="AG34" s="234">
        <f>'1'!AG34+'2'!AD34</f>
        <v>0</v>
      </c>
    </row>
    <row r="35" spans="1:40" ht="27" customHeight="1" thickTop="1">
      <c r="A35" s="716" t="str">
        <f>'1'!A35</f>
        <v>OVEN &amp; PP MACHINE</v>
      </c>
      <c r="B35" s="529"/>
      <c r="C35" s="348">
        <f>'1'!D35</f>
        <v>0</v>
      </c>
      <c r="D35" s="529">
        <f t="shared" si="5"/>
        <v>0</v>
      </c>
      <c r="F35" s="479" t="str">
        <f>'1'!F35</f>
        <v>IQBAL MORO</v>
      </c>
      <c r="G35" s="407">
        <f>'CUSTOMERS REPORT'!Y1052</f>
        <v>0</v>
      </c>
      <c r="H35" s="505">
        <f>'CUSTOMERS REPORT'!Z1052</f>
        <v>0</v>
      </c>
      <c r="I35" s="407">
        <f>'CUSTOMERS REPORT'!AA1052</f>
        <v>0</v>
      </c>
      <c r="J35" s="499">
        <f>'CUSTOMERS REPORT'!AB1052</f>
        <v>0</v>
      </c>
      <c r="K35" s="499">
        <f>'CUSTOMERS REPORT'!AC1052</f>
        <v>0</v>
      </c>
      <c r="L35" s="510">
        <f>'CUSTOMERS REPORT'!AD1052</f>
        <v>0</v>
      </c>
      <c r="M35" s="414">
        <f>'1'!M35+'2'!G35</f>
        <v>0</v>
      </c>
      <c r="N35" s="412">
        <f>'1'!N35+'2'!J35</f>
        <v>0</v>
      </c>
      <c r="P35" s="252" t="s">
        <v>151</v>
      </c>
      <c r="Q35" s="443">
        <f>'1'!Q35</f>
        <v>0</v>
      </c>
      <c r="R35" t="s">
        <v>1</v>
      </c>
      <c r="S35" s="1037" t="str">
        <f>'1'!S35</f>
        <v>M A WHITE</v>
      </c>
      <c r="T35" s="446">
        <f>'1'!X35</f>
        <v>0</v>
      </c>
      <c r="U35" s="457"/>
      <c r="V35" s="452">
        <f t="shared" si="0"/>
        <v>0</v>
      </c>
      <c r="W35" s="452"/>
      <c r="X35" s="448">
        <f t="shared" si="1"/>
        <v>0</v>
      </c>
      <c r="Z35" s="375">
        <f>'1'!Z35</f>
        <v>0</v>
      </c>
      <c r="AA35" s="464">
        <f>'1'!AE35</f>
        <v>0</v>
      </c>
      <c r="AB35" s="460"/>
      <c r="AC35" s="462">
        <f t="shared" si="2"/>
        <v>0</v>
      </c>
      <c r="AD35" s="469"/>
      <c r="AE35" s="348">
        <f t="shared" si="3"/>
        <v>0</v>
      </c>
      <c r="AF35" s="563">
        <f>'1'!AF35+'2'!AB35</f>
        <v>0</v>
      </c>
      <c r="AG35" s="234">
        <f>'1'!AG35+'2'!AD35</f>
        <v>0</v>
      </c>
    </row>
    <row r="36" spans="1:40" ht="27" customHeight="1">
      <c r="A36" s="716" t="str">
        <f>'1'!A36</f>
        <v>zakat</v>
      </c>
      <c r="B36" s="539"/>
      <c r="C36" s="348">
        <f>'1'!D36</f>
        <v>0</v>
      </c>
      <c r="D36" s="529">
        <f t="shared" si="5"/>
        <v>0</v>
      </c>
      <c r="F36" s="479" t="str">
        <f>'1'!F36</f>
        <v>SARFARAZ T ADAM</v>
      </c>
      <c r="G36" s="407">
        <f>'CUSTOMERS REPORT'!Y1090</f>
        <v>0</v>
      </c>
      <c r="H36" s="505">
        <f>'CUSTOMERS REPORT'!Z1090</f>
        <v>0</v>
      </c>
      <c r="I36" s="407">
        <f>'CUSTOMERS REPORT'!AA1090</f>
        <v>0</v>
      </c>
      <c r="J36" s="499">
        <f>'CUSTOMERS REPORT'!AB1090</f>
        <v>0</v>
      </c>
      <c r="K36" s="499">
        <f>'CUSTOMERS REPORT'!AC1090</f>
        <v>0</v>
      </c>
      <c r="L36" s="510">
        <f>'CUSTOMERS REPORT'!AD1090</f>
        <v>0</v>
      </c>
      <c r="M36" s="414">
        <f>'1'!M36+'2'!G36</f>
        <v>0</v>
      </c>
      <c r="N36" s="412">
        <f>'1'!N36+'2'!J36</f>
        <v>0</v>
      </c>
      <c r="P36" s="372" t="s">
        <v>152</v>
      </c>
      <c r="Q36" s="444">
        <f>J48</f>
        <v>0</v>
      </c>
      <c r="R36" t="s">
        <v>1</v>
      </c>
      <c r="S36" s="1037" t="str">
        <f>'1'!S36</f>
        <v>M A ORING</v>
      </c>
      <c r="T36" s="446">
        <f>'1'!X36</f>
        <v>0</v>
      </c>
      <c r="U36" s="456"/>
      <c r="V36" s="451">
        <f t="shared" si="0"/>
        <v>0</v>
      </c>
      <c r="W36" s="452"/>
      <c r="X36" s="448">
        <f t="shared" si="1"/>
        <v>0</v>
      </c>
      <c r="Z36" s="375">
        <f>'1'!Z36</f>
        <v>0</v>
      </c>
      <c r="AA36" s="464">
        <f>'1'!AE36</f>
        <v>0</v>
      </c>
      <c r="AB36" s="460"/>
      <c r="AC36" s="462">
        <f t="shared" si="2"/>
        <v>0</v>
      </c>
      <c r="AD36" s="469"/>
      <c r="AE36" s="348">
        <f t="shared" si="3"/>
        <v>0</v>
      </c>
      <c r="AF36" s="563">
        <f>'1'!AF36+'2'!AB36</f>
        <v>0</v>
      </c>
      <c r="AG36" s="234">
        <f>'1'!AG36+'2'!AD36</f>
        <v>0</v>
      </c>
    </row>
    <row r="37" spans="1:40" ht="27" customHeight="1">
      <c r="A37" s="715" t="str">
        <f>'1'!A37</f>
        <v>javeed manghopir</v>
      </c>
      <c r="B37" s="234"/>
      <c r="C37" s="348">
        <f>'1'!D37</f>
        <v>0</v>
      </c>
      <c r="D37" s="234">
        <f t="shared" si="5"/>
        <v>0</v>
      </c>
      <c r="F37" s="479" t="str">
        <f>'1'!F37</f>
        <v>MUMTAZ K N SHAH</v>
      </c>
      <c r="G37" s="406">
        <f>'CUSTOMERS REPORT'!Y1128</f>
        <v>0</v>
      </c>
      <c r="H37" s="504">
        <f>'CUSTOMERS REPORT'!Z1128</f>
        <v>0</v>
      </c>
      <c r="I37" s="406">
        <f>'CUSTOMERS REPORT'!AA1128</f>
        <v>0</v>
      </c>
      <c r="J37" s="498">
        <f>'CUSTOMERS REPORT'!AB1128</f>
        <v>0</v>
      </c>
      <c r="K37" s="498">
        <f>'CUSTOMERS REPORT'!AC1128</f>
        <v>0</v>
      </c>
      <c r="L37" s="509">
        <f>'CUSTOMERS REPORT'!AD1128</f>
        <v>0</v>
      </c>
      <c r="M37" s="414">
        <f>'1'!M37+'2'!G37</f>
        <v>0</v>
      </c>
      <c r="N37" s="412">
        <f>'1'!N37+'2'!J37</f>
        <v>0</v>
      </c>
      <c r="P37" s="373" t="s">
        <v>153</v>
      </c>
      <c r="Q37" s="445">
        <f>Q34+Q35+Q36</f>
        <v>0</v>
      </c>
      <c r="R37" t="s">
        <v>1</v>
      </c>
      <c r="S37" s="1037">
        <f>'1'!S37</f>
        <v>0</v>
      </c>
      <c r="T37" s="446">
        <f>'1'!X37</f>
        <v>0</v>
      </c>
      <c r="U37" s="456"/>
      <c r="V37" s="451">
        <f t="shared" si="0"/>
        <v>0</v>
      </c>
      <c r="W37" s="452"/>
      <c r="X37" s="448">
        <f t="shared" si="1"/>
        <v>0</v>
      </c>
      <c r="Z37" s="375">
        <f>'1'!Z37</f>
        <v>0</v>
      </c>
      <c r="AA37" s="464">
        <f>'1'!AE37</f>
        <v>0</v>
      </c>
      <c r="AB37" s="460"/>
      <c r="AC37" s="462">
        <f t="shared" si="2"/>
        <v>0</v>
      </c>
      <c r="AD37" s="469"/>
      <c r="AE37" s="348">
        <f t="shared" si="3"/>
        <v>0</v>
      </c>
      <c r="AF37" s="563">
        <f>'1'!AF37+'2'!AB37</f>
        <v>0</v>
      </c>
      <c r="AG37" s="234">
        <f>'1'!AG37+'2'!AD37</f>
        <v>0</v>
      </c>
    </row>
    <row r="38" spans="1:40" ht="27" customHeight="1">
      <c r="A38" s="715" t="str">
        <f>'1'!A38</f>
        <v>EXSIS CASH</v>
      </c>
      <c r="B38" s="234"/>
      <c r="C38" s="548">
        <f>'1'!D38</f>
        <v>0</v>
      </c>
      <c r="D38" s="234">
        <f t="shared" si="5"/>
        <v>0</v>
      </c>
      <c r="F38" s="479" t="str">
        <f>'1'!F38</f>
        <v>GHULAM RASOOL QU</v>
      </c>
      <c r="G38" s="408">
        <f>'CUSTOMERS REPORT'!Y1165</f>
        <v>0</v>
      </c>
      <c r="H38" s="506">
        <f>'CUSTOMERS REPORT'!Z1165</f>
        <v>0</v>
      </c>
      <c r="I38" s="408">
        <f>'CUSTOMERS REPORT'!AA1165</f>
        <v>0</v>
      </c>
      <c r="J38" s="500">
        <f>'CUSTOMERS REPORT'!AB1165</f>
        <v>0</v>
      </c>
      <c r="K38" s="500">
        <f>'CUSTOMERS REPORT'!AC1165</f>
        <v>0</v>
      </c>
      <c r="L38" s="511">
        <f>'CUSTOMERS REPORT'!AD1165</f>
        <v>0</v>
      </c>
      <c r="M38" s="414">
        <f>'1'!M38+'2'!G38</f>
        <v>0</v>
      </c>
      <c r="N38" s="412">
        <f>'1'!N38+'2'!J38</f>
        <v>0</v>
      </c>
      <c r="P38" s="373" t="s">
        <v>154</v>
      </c>
      <c r="Q38" s="445">
        <f>D48</f>
        <v>0</v>
      </c>
      <c r="S38" s="1037">
        <f>'1'!S38</f>
        <v>0</v>
      </c>
      <c r="T38" s="446">
        <f>'1'!X38</f>
        <v>0</v>
      </c>
      <c r="U38" s="456"/>
      <c r="V38" s="451">
        <f t="shared" si="0"/>
        <v>0</v>
      </c>
      <c r="W38" s="452"/>
      <c r="X38" s="448">
        <f t="shared" si="1"/>
        <v>0</v>
      </c>
      <c r="Z38" s="375">
        <f>'1'!Z38</f>
        <v>0</v>
      </c>
      <c r="AA38" s="464">
        <f>'1'!AE38</f>
        <v>0</v>
      </c>
      <c r="AB38" s="460"/>
      <c r="AC38" s="462">
        <f t="shared" si="2"/>
        <v>0</v>
      </c>
      <c r="AD38" s="469"/>
      <c r="AE38" s="348">
        <f t="shared" si="3"/>
        <v>0</v>
      </c>
      <c r="AF38" s="563">
        <f>'1'!AF38+'2'!AB38</f>
        <v>0</v>
      </c>
      <c r="AG38" s="234">
        <f>'1'!AG38+'2'!AD38</f>
        <v>0</v>
      </c>
    </row>
    <row r="39" spans="1:40" ht="27" customHeight="1">
      <c r="A39" s="715" t="str">
        <f>'1'!A39</f>
        <v>SHORT CASH</v>
      </c>
      <c r="B39" s="234"/>
      <c r="C39" s="348">
        <f>'1'!D39</f>
        <v>0</v>
      </c>
      <c r="D39" s="234">
        <f t="shared" si="5"/>
        <v>0</v>
      </c>
      <c r="F39" s="479" t="str">
        <f>'1'!F39</f>
        <v>SHAMSHAD UNCLE</v>
      </c>
      <c r="G39" s="406">
        <f>'CUSTOMERS REPORT'!Y1202</f>
        <v>0</v>
      </c>
      <c r="H39" s="504">
        <f>'CUSTOMERS REPORT'!Z1202</f>
        <v>0</v>
      </c>
      <c r="I39" s="406">
        <f>'CUSTOMERS REPORT'!AA1202</f>
        <v>0</v>
      </c>
      <c r="J39" s="498">
        <f>'CUSTOMERS REPORT'!AB1202</f>
        <v>0</v>
      </c>
      <c r="K39" s="498">
        <f>'CUSTOMERS REPORT'!AC1202</f>
        <v>0</v>
      </c>
      <c r="L39" s="509">
        <f>'CUSTOMERS REPORT'!AD1202</f>
        <v>0</v>
      </c>
      <c r="M39" s="414">
        <f>'1'!M39+'2'!G39</f>
        <v>0</v>
      </c>
      <c r="N39" s="412">
        <f>'1'!N39+'2'!J39</f>
        <v>0</v>
      </c>
      <c r="P39" s="373" t="s">
        <v>109</v>
      </c>
      <c r="Q39" s="445">
        <f>'1'!Q39+'2'!Q25+'2'!Q26+'2'!Q27+'2'!Q28+'2'!Q29+'2'!Q30+'2'!Q31</f>
        <v>0</v>
      </c>
      <c r="R39" t="s">
        <v>1</v>
      </c>
      <c r="S39" s="1037">
        <f>'1'!S39</f>
        <v>0</v>
      </c>
      <c r="T39" s="446">
        <f>'1'!X39</f>
        <v>0</v>
      </c>
      <c r="U39" s="456"/>
      <c r="V39" s="451">
        <f t="shared" si="0"/>
        <v>0</v>
      </c>
      <c r="W39" s="452"/>
      <c r="X39" s="448">
        <f t="shared" si="1"/>
        <v>0</v>
      </c>
      <c r="Z39" s="375">
        <f>'1'!Z39</f>
        <v>0</v>
      </c>
      <c r="AA39" s="464">
        <f>'1'!AE39</f>
        <v>0</v>
      </c>
      <c r="AB39" s="460"/>
      <c r="AC39" s="462">
        <f t="shared" si="2"/>
        <v>0</v>
      </c>
      <c r="AD39" s="469"/>
      <c r="AE39" s="348">
        <f t="shared" si="3"/>
        <v>0</v>
      </c>
      <c r="AF39" s="563">
        <f>'1'!AF39+'2'!AB39</f>
        <v>0</v>
      </c>
      <c r="AG39" s="234">
        <f>'1'!AG39+'2'!AD39</f>
        <v>0</v>
      </c>
    </row>
    <row r="40" spans="1:40" ht="27" customHeight="1" thickBot="1">
      <c r="A40" s="715" t="str">
        <f>'1'!A40</f>
        <v>ASSETS</v>
      </c>
      <c r="B40" s="234"/>
      <c r="C40" s="348">
        <f>'1'!D40</f>
        <v>0</v>
      </c>
      <c r="D40" s="234">
        <f t="shared" si="5"/>
        <v>0</v>
      </c>
      <c r="F40" s="479" t="str">
        <f>'1'!F40</f>
        <v>IBRAHEEM D.G KHAN</v>
      </c>
      <c r="G40" s="406">
        <f>'CUSTOMERS REPORT'!Y1239</f>
        <v>0</v>
      </c>
      <c r="H40" s="504">
        <f>'CUSTOMERS REPORT'!Z1239</f>
        <v>0</v>
      </c>
      <c r="I40" s="406">
        <f>'CUSTOMERS REPORT'!AA1239</f>
        <v>0</v>
      </c>
      <c r="J40" s="498">
        <f>'CUSTOMERS REPORT'!AB1239</f>
        <v>0</v>
      </c>
      <c r="K40" s="498">
        <f>'CUSTOMERS REPORT'!AC1239</f>
        <v>0</v>
      </c>
      <c r="L40" s="509">
        <f>'CUSTOMERS REPORT'!AD1239</f>
        <v>0</v>
      </c>
      <c r="M40" s="414">
        <f>'1'!M40+'2'!G40</f>
        <v>0</v>
      </c>
      <c r="N40" s="412">
        <f>'1'!N40+'2'!J40</f>
        <v>0</v>
      </c>
      <c r="P40" s="374" t="s">
        <v>155</v>
      </c>
      <c r="Q40" s="445">
        <f>Q48</f>
        <v>0</v>
      </c>
      <c r="S40" s="1037">
        <f>'1'!S40</f>
        <v>0</v>
      </c>
      <c r="T40" s="446">
        <f>'1'!X40</f>
        <v>0</v>
      </c>
      <c r="U40" s="456"/>
      <c r="V40" s="451">
        <f t="shared" si="0"/>
        <v>0</v>
      </c>
      <c r="W40" s="452"/>
      <c r="X40" s="448">
        <f t="shared" si="1"/>
        <v>0</v>
      </c>
      <c r="Z40" s="375">
        <f>'1'!Z40</f>
        <v>0</v>
      </c>
      <c r="AA40" s="464">
        <f>'1'!AE40</f>
        <v>0</v>
      </c>
      <c r="AB40" s="460"/>
      <c r="AC40" s="462">
        <f t="shared" si="2"/>
        <v>0</v>
      </c>
      <c r="AD40" s="469"/>
      <c r="AE40" s="348">
        <f t="shared" si="3"/>
        <v>0</v>
      </c>
      <c r="AF40" s="563">
        <f>'1'!AF40+'2'!AB40</f>
        <v>0</v>
      </c>
      <c r="AG40" s="234">
        <f>'1'!AG40+'2'!AD40</f>
        <v>0</v>
      </c>
      <c r="AH40" t="s">
        <v>1</v>
      </c>
    </row>
    <row r="41" spans="1:40" ht="27" customHeight="1" thickTop="1" thickBot="1">
      <c r="A41" s="715" t="str">
        <f>'1'!A41</f>
        <v>BIKE.INSTALMINT</v>
      </c>
      <c r="B41" s="234"/>
      <c r="C41" s="348">
        <f>'1'!D41</f>
        <v>0</v>
      </c>
      <c r="D41" s="234">
        <f t="shared" si="5"/>
        <v>0</v>
      </c>
      <c r="E41" t="s">
        <v>1</v>
      </c>
      <c r="F41" s="479" t="str">
        <f>'1'!F41</f>
        <v>PISHAWAR</v>
      </c>
      <c r="G41" s="409">
        <f>'CUSTOMERS REPORT'!Y1276</f>
        <v>0</v>
      </c>
      <c r="H41" s="507">
        <f>'CUSTOMERS REPORT'!Z1276</f>
        <v>0</v>
      </c>
      <c r="I41" s="409">
        <f>'CUSTOMERS REPORT'!AA1276</f>
        <v>0</v>
      </c>
      <c r="J41" s="501">
        <f>'CUSTOMERS REPORT'!AB1276</f>
        <v>0</v>
      </c>
      <c r="K41" s="501">
        <f>'CUSTOMERS REPORT'!AC1276</f>
        <v>0</v>
      </c>
      <c r="L41" s="512">
        <f>'CUSTOMERS REPORT'!AD1276</f>
        <v>0</v>
      </c>
      <c r="M41" s="414">
        <f>'1'!M41+'2'!G41</f>
        <v>0</v>
      </c>
      <c r="N41" s="412">
        <f>'1'!N41+'2'!J41</f>
        <v>0</v>
      </c>
      <c r="P41" s="221" t="s">
        <v>51</v>
      </c>
      <c r="Q41" s="223">
        <f>Q37-Q38-Q39-Q40</f>
        <v>0</v>
      </c>
      <c r="S41" s="1037">
        <f>'1'!S41</f>
        <v>0</v>
      </c>
      <c r="T41" s="446">
        <f>'1'!X41</f>
        <v>0</v>
      </c>
      <c r="U41" s="456"/>
      <c r="V41" s="451">
        <f t="shared" si="0"/>
        <v>0</v>
      </c>
      <c r="W41" s="452"/>
      <c r="X41" s="448">
        <f t="shared" si="1"/>
        <v>0</v>
      </c>
      <c r="Z41" s="375">
        <f>'1'!Z41</f>
        <v>0</v>
      </c>
      <c r="AA41" s="464">
        <f>'1'!AE41</f>
        <v>0</v>
      </c>
      <c r="AB41" s="460"/>
      <c r="AC41" s="462">
        <f t="shared" si="2"/>
        <v>0</v>
      </c>
      <c r="AD41" s="469"/>
      <c r="AE41" s="348">
        <f t="shared" si="3"/>
        <v>0</v>
      </c>
      <c r="AF41" s="563">
        <f>'1'!AF41+'2'!AB41</f>
        <v>0</v>
      </c>
      <c r="AG41" s="234">
        <f>'1'!AG41+'2'!AD41</f>
        <v>0</v>
      </c>
    </row>
    <row r="42" spans="1:40" ht="27" customHeight="1" thickTop="1" thickBot="1">
      <c r="A42" s="715" t="str">
        <f>'1'!A42</f>
        <v>B.C</v>
      </c>
      <c r="B42" s="529"/>
      <c r="C42" s="348">
        <f>'1'!D42</f>
        <v>0</v>
      </c>
      <c r="D42" s="529">
        <f t="shared" si="5"/>
        <v>0</v>
      </c>
      <c r="F42" s="479" t="str">
        <f>'1'!F42</f>
        <v>HUZAFA KOTRI</v>
      </c>
      <c r="G42" s="409">
        <f>'CUSTOMERS REPORT'!Y1313</f>
        <v>0</v>
      </c>
      <c r="H42" s="507">
        <f>'CUSTOMERS REPORT'!Z1313</f>
        <v>0</v>
      </c>
      <c r="I42" s="409">
        <f>'CUSTOMERS REPORT'!AA1313</f>
        <v>0</v>
      </c>
      <c r="J42" s="501">
        <f>'CUSTOMERS REPORT'!AB1313</f>
        <v>0</v>
      </c>
      <c r="K42" s="501">
        <f>'CUSTOMERS REPORT'!AC1313</f>
        <v>0</v>
      </c>
      <c r="L42" s="512">
        <f>'CUSTOMERS REPORT'!AD1313</f>
        <v>0</v>
      </c>
      <c r="M42" s="414">
        <f>'1'!M42+'2'!G42</f>
        <v>0</v>
      </c>
      <c r="N42" s="412">
        <f>'1'!N42+'2'!J42</f>
        <v>0</v>
      </c>
      <c r="P42" s="1499" t="s">
        <v>157</v>
      </c>
      <c r="Q42" s="1500"/>
      <c r="S42" s="1037">
        <f>'1'!S42</f>
        <v>0</v>
      </c>
      <c r="T42" s="446">
        <f>'1'!X42</f>
        <v>0</v>
      </c>
      <c r="U42" s="458"/>
      <c r="V42" s="453">
        <f t="shared" si="0"/>
        <v>0</v>
      </c>
      <c r="W42" s="454"/>
      <c r="X42" s="449">
        <f t="shared" si="1"/>
        <v>0</v>
      </c>
      <c r="Z42" s="375">
        <f>'1'!Z42</f>
        <v>0</v>
      </c>
      <c r="AA42" s="464">
        <f>'1'!AE42</f>
        <v>0</v>
      </c>
      <c r="AB42" s="461"/>
      <c r="AC42" s="462">
        <f>AA42+AB42</f>
        <v>0</v>
      </c>
      <c r="AD42" s="470"/>
      <c r="AE42" s="348">
        <f t="shared" si="3"/>
        <v>0</v>
      </c>
      <c r="AF42" s="564">
        <f>'1'!AF42+'2'!AB42</f>
        <v>0</v>
      </c>
      <c r="AG42" s="234">
        <f>'1'!AG42+'2'!AD42</f>
        <v>0</v>
      </c>
    </row>
    <row r="43" spans="1:40" ht="27" customHeight="1" thickTop="1" thickBot="1">
      <c r="A43" s="715" t="str">
        <f>'1'!A43</f>
        <v>AQEEL</v>
      </c>
      <c r="B43" s="539"/>
      <c r="C43" s="348">
        <f>'1'!D43</f>
        <v>0</v>
      </c>
      <c r="D43" s="529">
        <f t="shared" si="5"/>
        <v>0</v>
      </c>
      <c r="F43" s="479" t="str">
        <f>'1'!F43</f>
        <v>ZAHID LAHORE</v>
      </c>
      <c r="G43" s="409">
        <f>'CUSTOMERS REPORT'!Y1350</f>
        <v>0</v>
      </c>
      <c r="H43" s="507">
        <f>'CUSTOMERS REPORT'!Z1350</f>
        <v>0</v>
      </c>
      <c r="I43" s="409">
        <f>'CUSTOMERS REPORT'!AA1350</f>
        <v>0</v>
      </c>
      <c r="J43" s="501">
        <f>'CUSTOMERS REPORT'!AB1350</f>
        <v>0</v>
      </c>
      <c r="K43" s="501">
        <f>'CUSTOMERS REPORT'!AC1350</f>
        <v>0</v>
      </c>
      <c r="L43" s="512">
        <f>'CUSTOMERS REPORT'!AD1350</f>
        <v>0</v>
      </c>
      <c r="M43" s="414">
        <f>'1'!M43+'2'!G43</f>
        <v>0</v>
      </c>
      <c r="N43" s="412">
        <f>'1'!N43+'2'!J43</f>
        <v>0</v>
      </c>
      <c r="P43" s="220" t="s">
        <v>124</v>
      </c>
      <c r="Q43" s="223">
        <f>'1'!Q48</f>
        <v>0</v>
      </c>
      <c r="R43" t="s">
        <v>1</v>
      </c>
      <c r="S43" s="1037">
        <f>'1'!S43</f>
        <v>0</v>
      </c>
      <c r="T43" s="446">
        <f>'1'!X43</f>
        <v>0</v>
      </c>
      <c r="U43" s="358"/>
      <c r="V43" s="453">
        <f t="shared" si="0"/>
        <v>0</v>
      </c>
      <c r="W43" s="403"/>
      <c r="X43" s="449">
        <f t="shared" si="1"/>
        <v>0</v>
      </c>
      <c r="Z43" s="383"/>
      <c r="AA43" s="356">
        <f>SUM(AA8:AA42)</f>
        <v>0</v>
      </c>
      <c r="AB43" s="385">
        <f>SUM(AB8:AB42)</f>
        <v>0</v>
      </c>
      <c r="AC43" s="357" t="s">
        <v>74</v>
      </c>
      <c r="AD43" s="387">
        <f>SUM(AD8:AD42)</f>
        <v>0</v>
      </c>
      <c r="AE43" s="358">
        <f>SUM(AE8:AE42)</f>
        <v>0</v>
      </c>
      <c r="AF43" s="565">
        <f>SUM(AF8:AF42)</f>
        <v>0</v>
      </c>
      <c r="AG43" s="571">
        <f>SUM(AG8:AG42)</f>
        <v>0</v>
      </c>
    </row>
    <row r="44" spans="1:40" ht="27" customHeight="1" thickTop="1">
      <c r="A44" s="715" t="str">
        <f>'1'!A44</f>
        <v>M.YOUSUF</v>
      </c>
      <c r="B44" s="234"/>
      <c r="C44" s="348">
        <f>'1'!D44</f>
        <v>0</v>
      </c>
      <c r="D44" s="234">
        <f t="shared" si="5"/>
        <v>0</v>
      </c>
      <c r="F44" s="479" t="str">
        <f>'1'!F44</f>
        <v>CASH SALE</v>
      </c>
      <c r="G44" s="409">
        <f>'CUSTOMERS REPORT'!Y1387</f>
        <v>0</v>
      </c>
      <c r="H44" s="507">
        <f>'CUSTOMERS REPORT'!Z1387</f>
        <v>0</v>
      </c>
      <c r="I44" s="409">
        <f>'CUSTOMERS REPORT'!AA1387</f>
        <v>0</v>
      </c>
      <c r="J44" s="501">
        <f>'CUSTOMERS REPORT'!AB1387</f>
        <v>0</v>
      </c>
      <c r="K44" s="501">
        <f>'CUSTOMERS REPORT'!AC1387</f>
        <v>0</v>
      </c>
      <c r="L44" s="512">
        <f>'CUSTOMERS REPORT'!AD1387</f>
        <v>0</v>
      </c>
      <c r="M44" s="414">
        <f>'1'!M44+'2'!G44</f>
        <v>0</v>
      </c>
      <c r="N44" s="412">
        <f>'1'!N44+'2'!J44</f>
        <v>0</v>
      </c>
      <c r="P44" s="222" t="s">
        <v>114</v>
      </c>
      <c r="Q44" s="377">
        <f>J46</f>
        <v>0</v>
      </c>
      <c r="S44" s="1037"/>
      <c r="T44" s="348"/>
      <c r="U44" s="306"/>
      <c r="V44" s="349"/>
      <c r="W44" s="351"/>
      <c r="X44" s="350"/>
      <c r="Z44" s="375"/>
      <c r="AA44" s="339"/>
      <c r="AB44" s="386">
        <f>'1'!AB45</f>
        <v>0</v>
      </c>
      <c r="AC44" s="340" t="s">
        <v>126</v>
      </c>
      <c r="AD44" s="388">
        <f>'1'!AD45</f>
        <v>0</v>
      </c>
      <c r="AE44" s="341"/>
      <c r="AF44" s="561"/>
      <c r="AG44" s="83" t="s">
        <v>1</v>
      </c>
    </row>
    <row r="45" spans="1:40" ht="27" customHeight="1" thickBot="1">
      <c r="A45" s="715" t="str">
        <f>'1'!A45</f>
        <v>SHAKEEL</v>
      </c>
      <c r="B45" s="234"/>
      <c r="C45" s="348">
        <f>'1'!D45</f>
        <v>0</v>
      </c>
      <c r="D45" s="234">
        <f t="shared" si="5"/>
        <v>0</v>
      </c>
      <c r="F45" s="479" t="str">
        <f>'1'!F45</f>
        <v xml:space="preserve">FREE </v>
      </c>
      <c r="G45" s="410">
        <f>'CUSTOMERS REPORT'!Y1423</f>
        <v>0</v>
      </c>
      <c r="H45" s="362">
        <f>'CUSTOMERS REPORT'!Z1423</f>
        <v>0</v>
      </c>
      <c r="I45" s="410">
        <f>'CUSTOMERS REPORT'!AA1423</f>
        <v>0</v>
      </c>
      <c r="J45" s="502">
        <f>'CUSTOMERS REPORT'!AB1423</f>
        <v>0</v>
      </c>
      <c r="K45" s="502">
        <f>'CUSTOMERS REPORT'!AC1423</f>
        <v>0</v>
      </c>
      <c r="L45" s="513">
        <f>'CUSTOMERS REPORT'!AD1423</f>
        <v>0</v>
      </c>
      <c r="M45" s="414">
        <f>'1'!M45+'2'!G45</f>
        <v>0</v>
      </c>
      <c r="N45" s="412">
        <f>'1'!N45+'2'!J45</f>
        <v>0</v>
      </c>
      <c r="P45" s="222" t="s">
        <v>153</v>
      </c>
      <c r="Q45" s="378">
        <f>Q43+Q44</f>
        <v>0</v>
      </c>
      <c r="S45" s="1039"/>
      <c r="T45" s="352"/>
      <c r="U45" s="307"/>
      <c r="V45" s="353"/>
      <c r="W45" s="354"/>
      <c r="X45" s="355"/>
      <c r="Z45" s="384"/>
      <c r="AA45" s="359"/>
      <c r="AB45" s="390">
        <f>SUM(AB43:AB44)</f>
        <v>0</v>
      </c>
      <c r="AC45" s="360" t="s">
        <v>74</v>
      </c>
      <c r="AD45" s="389">
        <f>SUM(AD43:AD44)</f>
        <v>0</v>
      </c>
      <c r="AE45" s="361"/>
      <c r="AF45" s="562"/>
      <c r="AG45" s="573"/>
    </row>
    <row r="46" spans="1:40" ht="27" customHeight="1" thickTop="1" thickBot="1">
      <c r="A46" s="715" t="str">
        <f>'1'!A46</f>
        <v>ZAHID HUSSAN</v>
      </c>
      <c r="B46" s="234"/>
      <c r="C46" s="348">
        <f>'1'!D46</f>
        <v>0</v>
      </c>
      <c r="D46" s="234">
        <f t="shared" si="5"/>
        <v>0</v>
      </c>
      <c r="F46" s="369"/>
      <c r="G46" s="424">
        <f>SUM(G8:G45)</f>
        <v>0</v>
      </c>
      <c r="H46" s="1497" t="s">
        <v>160</v>
      </c>
      <c r="I46" s="1498"/>
      <c r="J46" s="421">
        <f>SUM(J8:J45)</f>
        <v>0</v>
      </c>
      <c r="K46" s="427">
        <f>SUM(K8:K45)</f>
        <v>0</v>
      </c>
      <c r="L46" s="431">
        <f>SUM(L8:L45)</f>
        <v>0</v>
      </c>
      <c r="M46" s="429">
        <f>SUM(M8:M45)</f>
        <v>0</v>
      </c>
      <c r="N46" s="430">
        <f>SUM(N8:N45)</f>
        <v>0</v>
      </c>
      <c r="P46" s="222" t="s">
        <v>154</v>
      </c>
      <c r="Q46" s="378">
        <f>B48</f>
        <v>0</v>
      </c>
    </row>
    <row r="47" spans="1:40" ht="27" customHeight="1" thickTop="1" thickBot="1">
      <c r="A47" s="715" t="str">
        <f>'1'!A47</f>
        <v xml:space="preserve">INVESTOR </v>
      </c>
      <c r="B47" s="540"/>
      <c r="C47" s="348">
        <f>'1'!D47</f>
        <v>0</v>
      </c>
      <c r="D47" s="542">
        <f t="shared" si="5"/>
        <v>0</v>
      </c>
      <c r="F47" s="370"/>
      <c r="G47" s="425">
        <f>'1'!G48</f>
        <v>0</v>
      </c>
      <c r="H47" s="1512" t="s">
        <v>162</v>
      </c>
      <c r="I47" s="1513"/>
      <c r="J47" s="423">
        <f>'1'!J48</f>
        <v>0</v>
      </c>
      <c r="K47" s="423">
        <f>'1'!K48</f>
        <v>0</v>
      </c>
      <c r="L47" s="343"/>
      <c r="M47" s="344"/>
      <c r="N47" s="345"/>
      <c r="P47" s="375" t="s">
        <v>163</v>
      </c>
      <c r="Q47" s="378">
        <f>Q9+Q10+Q19+Q20+Q21+Q22</f>
        <v>0</v>
      </c>
      <c r="R47" s="19"/>
      <c r="S47" s="1489" t="s">
        <v>92</v>
      </c>
      <c r="T47" s="1402" t="s">
        <v>95</v>
      </c>
      <c r="U47" s="1403"/>
      <c r="V47" s="1403"/>
      <c r="W47" s="1404"/>
      <c r="X47" s="1402" t="s">
        <v>7</v>
      </c>
      <c r="Y47" s="1403"/>
      <c r="Z47" s="1404"/>
      <c r="AA47" s="1402" t="s">
        <v>8</v>
      </c>
      <c r="AB47" s="1404"/>
      <c r="AC47" s="1402" t="s">
        <v>9</v>
      </c>
      <c r="AD47" s="1403"/>
      <c r="AE47" s="1403"/>
      <c r="AF47" s="1403"/>
      <c r="AG47" s="1403"/>
      <c r="AH47" s="1403"/>
      <c r="AI47" s="1403"/>
      <c r="AJ47" s="1405" t="s">
        <v>10</v>
      </c>
      <c r="AK47" s="1406"/>
      <c r="AL47" s="1400" t="s">
        <v>289</v>
      </c>
      <c r="AM47" s="1401"/>
      <c r="AN47" s="842" t="s">
        <v>290</v>
      </c>
    </row>
    <row r="48" spans="1:40" ht="27" customHeight="1" thickTop="1" thickBot="1">
      <c r="A48" s="192" t="s">
        <v>74</v>
      </c>
      <c r="B48" s="544">
        <f>SUM(B22:B47)</f>
        <v>0</v>
      </c>
      <c r="C48" s="543">
        <f>'1'!D48</f>
        <v>0</v>
      </c>
      <c r="D48" s="544">
        <f t="shared" si="5"/>
        <v>0</v>
      </c>
      <c r="F48" s="371"/>
      <c r="G48" s="426">
        <f>G46+G47</f>
        <v>0</v>
      </c>
      <c r="H48" s="1495" t="s">
        <v>164</v>
      </c>
      <c r="I48" s="1496"/>
      <c r="J48" s="422">
        <f>J46+J47</f>
        <v>0</v>
      </c>
      <c r="K48" s="428">
        <f>K46+K47</f>
        <v>0</v>
      </c>
      <c r="L48" s="346"/>
      <c r="M48" s="347"/>
      <c r="N48" s="622">
        <f>G48-J48</f>
        <v>0</v>
      </c>
      <c r="P48" s="376" t="s">
        <v>155</v>
      </c>
      <c r="Q48" s="379">
        <f>Q45-Q46-Q47</f>
        <v>0</v>
      </c>
      <c r="R48" s="19"/>
      <c r="S48" s="1490"/>
      <c r="T48" s="482" t="s">
        <v>12</v>
      </c>
      <c r="U48" s="482" t="s">
        <v>13</v>
      </c>
      <c r="V48" s="482" t="s">
        <v>14</v>
      </c>
      <c r="W48" s="958" t="s">
        <v>263</v>
      </c>
      <c r="X48" s="482" t="s">
        <v>12</v>
      </c>
      <c r="Y48" s="482" t="s">
        <v>13</v>
      </c>
      <c r="Z48" s="482" t="s">
        <v>282</v>
      </c>
      <c r="AA48" s="482" t="s">
        <v>12</v>
      </c>
      <c r="AB48" s="482" t="s">
        <v>16</v>
      </c>
      <c r="AC48" s="482" t="s">
        <v>17</v>
      </c>
      <c r="AD48" s="482" t="s">
        <v>18</v>
      </c>
      <c r="AE48" s="482" t="s">
        <v>19</v>
      </c>
      <c r="AF48" s="484" t="s">
        <v>96</v>
      </c>
      <c r="AG48" s="484" t="s">
        <v>257</v>
      </c>
      <c r="AH48" s="482" t="s">
        <v>254</v>
      </c>
      <c r="AI48" s="482" t="s">
        <v>20</v>
      </c>
      <c r="AJ48" s="483" t="s">
        <v>14</v>
      </c>
      <c r="AK48" s="482" t="s">
        <v>13</v>
      </c>
      <c r="AL48" s="846" t="s">
        <v>284</v>
      </c>
      <c r="AM48" s="846" t="s">
        <v>288</v>
      </c>
      <c r="AN48" s="484" t="s">
        <v>291</v>
      </c>
    </row>
    <row r="49" spans="1:40" ht="24.95" customHeight="1" thickTop="1" thickBot="1">
      <c r="R49" s="19"/>
      <c r="S49" s="865" t="s">
        <v>165</v>
      </c>
      <c r="T49" s="866">
        <f>'1'!T55</f>
        <v>0</v>
      </c>
      <c r="U49" s="866">
        <f>'1'!U55</f>
        <v>0</v>
      </c>
      <c r="V49" s="866">
        <f>'1'!V55</f>
        <v>0</v>
      </c>
      <c r="W49" s="866">
        <f>'1'!W55</f>
        <v>0</v>
      </c>
      <c r="X49" s="866">
        <f>'1'!X55</f>
        <v>0</v>
      </c>
      <c r="Y49" s="866">
        <f>'1'!Y55</f>
        <v>0</v>
      </c>
      <c r="Z49" s="866">
        <f>'1'!Z55</f>
        <v>0</v>
      </c>
      <c r="AA49" s="866">
        <f>'1'!AA55</f>
        <v>0</v>
      </c>
      <c r="AB49" s="866">
        <f>'1'!AB55</f>
        <v>0</v>
      </c>
      <c r="AC49" s="866">
        <f>'1'!AC55</f>
        <v>0</v>
      </c>
      <c r="AD49" s="866">
        <f>'1'!AD55</f>
        <v>0</v>
      </c>
      <c r="AE49" s="866">
        <f>'1'!AE55</f>
        <v>0</v>
      </c>
      <c r="AF49" s="866">
        <f>'1'!AF55</f>
        <v>0</v>
      </c>
      <c r="AG49" s="866">
        <f>'1'!AG55</f>
        <v>0</v>
      </c>
      <c r="AH49" s="866">
        <f>'1'!AH55</f>
        <v>0</v>
      </c>
      <c r="AI49" s="866">
        <f>'1'!AI55</f>
        <v>0</v>
      </c>
      <c r="AJ49" s="866">
        <f>'1'!AJ55</f>
        <v>0</v>
      </c>
      <c r="AK49" s="866">
        <f>'1'!AK55</f>
        <v>0</v>
      </c>
      <c r="AL49" s="866">
        <f>'1'!AL55</f>
        <v>0</v>
      </c>
      <c r="AM49" s="866">
        <f>'1'!AM55</f>
        <v>0</v>
      </c>
      <c r="AN49" s="866">
        <f>'1'!AN55</f>
        <v>0</v>
      </c>
    </row>
    <row r="50" spans="1:40" ht="24.95" customHeight="1" thickBot="1">
      <c r="C50" t="s">
        <v>1</v>
      </c>
      <c r="L50" s="417">
        <v>5000</v>
      </c>
      <c r="M50" s="417"/>
      <c r="N50" s="417">
        <f t="shared" ref="N50:N57" si="6">L50*M50</f>
        <v>0</v>
      </c>
      <c r="Q50" s="111"/>
      <c r="R50" s="19"/>
      <c r="S50" s="854" t="s">
        <v>166</v>
      </c>
      <c r="T50" s="852"/>
      <c r="U50" s="852"/>
      <c r="V50" s="852"/>
      <c r="W50" s="852"/>
      <c r="X50" s="852"/>
      <c r="Y50" s="852"/>
      <c r="Z50" s="852"/>
      <c r="AA50" s="852"/>
      <c r="AB50" s="852"/>
      <c r="AC50" s="852"/>
      <c r="AD50" s="852"/>
      <c r="AE50" s="852"/>
      <c r="AF50" s="852"/>
      <c r="AG50" s="855"/>
      <c r="AH50" s="852"/>
      <c r="AI50" s="852"/>
      <c r="AJ50" s="848"/>
      <c r="AK50" s="848"/>
      <c r="AL50" s="848"/>
      <c r="AM50" s="849"/>
      <c r="AN50" s="930"/>
    </row>
    <row r="51" spans="1:40" ht="24.95" customHeight="1" thickBot="1">
      <c r="L51" s="417">
        <v>1000</v>
      </c>
      <c r="M51" s="417"/>
      <c r="N51" s="417">
        <f t="shared" si="6"/>
        <v>0</v>
      </c>
      <c r="R51" s="19"/>
      <c r="S51" s="867" t="s">
        <v>91</v>
      </c>
      <c r="T51" s="868"/>
      <c r="U51" s="868"/>
      <c r="V51" s="868"/>
      <c r="W51" s="868"/>
      <c r="X51" s="868"/>
      <c r="Y51" s="868"/>
      <c r="Z51" s="868"/>
      <c r="AA51" s="868"/>
      <c r="AB51" s="868"/>
      <c r="AC51" s="868"/>
      <c r="AD51" s="868"/>
      <c r="AE51" s="868"/>
      <c r="AF51" s="868"/>
      <c r="AG51" s="869"/>
      <c r="AH51" s="868"/>
      <c r="AI51" s="870"/>
      <c r="AJ51" s="868"/>
      <c r="AK51" s="868"/>
      <c r="AL51" s="849"/>
      <c r="AM51" s="849"/>
      <c r="AN51" s="850"/>
    </row>
    <row r="52" spans="1:40" ht="24.95" customHeight="1" thickBot="1">
      <c r="L52" s="417">
        <v>500</v>
      </c>
      <c r="M52" s="417"/>
      <c r="N52" s="417">
        <f t="shared" si="6"/>
        <v>0</v>
      </c>
      <c r="O52" t="s">
        <v>1</v>
      </c>
      <c r="R52" s="19"/>
      <c r="S52" s="856" t="s">
        <v>167</v>
      </c>
      <c r="T52" s="857"/>
      <c r="U52" s="857"/>
      <c r="V52" s="857"/>
      <c r="W52" s="857"/>
      <c r="X52" s="857"/>
      <c r="Y52" s="857"/>
      <c r="Z52" s="857"/>
      <c r="AA52" s="857"/>
      <c r="AB52" s="857"/>
      <c r="AC52" s="857"/>
      <c r="AD52" s="857"/>
      <c r="AE52" s="857"/>
      <c r="AF52" s="857"/>
      <c r="AG52" s="858"/>
      <c r="AH52" s="859"/>
      <c r="AI52" s="860"/>
      <c r="AJ52" s="848"/>
      <c r="AK52" s="851"/>
      <c r="AL52" s="849"/>
      <c r="AM52" s="849"/>
      <c r="AN52" s="850"/>
    </row>
    <row r="53" spans="1:40" ht="24.95" customHeight="1" thickBot="1">
      <c r="L53" s="417">
        <v>100</v>
      </c>
      <c r="M53" s="417"/>
      <c r="N53" s="417">
        <f t="shared" si="6"/>
        <v>0</v>
      </c>
      <c r="R53" s="19"/>
      <c r="S53" s="871" t="s">
        <v>81</v>
      </c>
      <c r="T53" s="866">
        <f t="shared" ref="T53:AN53" si="7">SUM(T49+T50+T52)</f>
        <v>0</v>
      </c>
      <c r="U53" s="866">
        <f t="shared" si="7"/>
        <v>0</v>
      </c>
      <c r="V53" s="866">
        <f t="shared" si="7"/>
        <v>0</v>
      </c>
      <c r="W53" s="866">
        <f t="shared" si="7"/>
        <v>0</v>
      </c>
      <c r="X53" s="866">
        <f t="shared" si="7"/>
        <v>0</v>
      </c>
      <c r="Y53" s="866">
        <f t="shared" si="7"/>
        <v>0</v>
      </c>
      <c r="Z53" s="866">
        <f t="shared" si="7"/>
        <v>0</v>
      </c>
      <c r="AA53" s="866">
        <f t="shared" si="7"/>
        <v>0</v>
      </c>
      <c r="AB53" s="866">
        <f t="shared" si="7"/>
        <v>0</v>
      </c>
      <c r="AC53" s="866">
        <f t="shared" si="7"/>
        <v>0</v>
      </c>
      <c r="AD53" s="866">
        <f t="shared" si="7"/>
        <v>0</v>
      </c>
      <c r="AE53" s="866">
        <f t="shared" si="7"/>
        <v>0</v>
      </c>
      <c r="AF53" s="866">
        <f t="shared" si="7"/>
        <v>0</v>
      </c>
      <c r="AG53" s="866">
        <f t="shared" si="7"/>
        <v>0</v>
      </c>
      <c r="AH53" s="866">
        <f t="shared" si="7"/>
        <v>0</v>
      </c>
      <c r="AI53" s="866">
        <f t="shared" si="7"/>
        <v>0</v>
      </c>
      <c r="AJ53" s="866">
        <f t="shared" si="7"/>
        <v>0</v>
      </c>
      <c r="AK53" s="866">
        <f t="shared" si="7"/>
        <v>0</v>
      </c>
      <c r="AL53" s="866">
        <f t="shared" si="7"/>
        <v>0</v>
      </c>
      <c r="AM53" s="866">
        <f t="shared" si="7"/>
        <v>0</v>
      </c>
      <c r="AN53" s="872">
        <f t="shared" si="7"/>
        <v>0</v>
      </c>
    </row>
    <row r="54" spans="1:40" ht="24.95" customHeight="1" thickBot="1">
      <c r="L54" s="417">
        <v>50</v>
      </c>
      <c r="M54" s="417"/>
      <c r="N54" s="417">
        <f t="shared" si="6"/>
        <v>0</v>
      </c>
      <c r="R54" s="19"/>
      <c r="S54" s="854" t="s">
        <v>168</v>
      </c>
      <c r="T54" s="852">
        <f>'CUSTOMERS REPORT'!B9+'CUSTOMERS REPORT'!B55+'CUSTOMERS REPORT'!B93+'CUSTOMERS REPORT'!B132+'CUSTOMERS REPORT'!B170+'CUSTOMERS REPORT'!B210+'CUSTOMERS REPORT'!B247+'CUSTOMERS REPORT'!B287+'CUSTOMERS REPORT'!B328+'CUSTOMERS REPORT'!B370+'CUSTOMERS REPORT'!B409+'CUSTOMERS REPORT'!B447+'CUSTOMERS REPORT'!B483+'CUSTOMERS REPORT'!B520+'CUSTOMERS REPORT'!B558+'CUSTOMERS REPORT'!B594+'CUSTOMERS REPORT'!B632+'CUSTOMERS REPORT'!B670+'CUSTOMERS REPORT'!B708+'CUSTOMERS REPORT'!B746+'CUSTOMERS REPORT'!B784+'CUSTOMERS REPORT'!B822+'CUSTOMERS REPORT'!B860+'CUSTOMERS REPORT'!B899+'CUSTOMERS REPORT'!B938+'CUSTOMERS REPORT'!B976+'CUSTOMERS REPORT'!B1014+'CUSTOMERS REPORT'!B1052+'CUSTOMERS REPORT'!B1090+'CUSTOMERS REPORT'!B1128+'CUSTOMERS REPORT'!B1165+'CUSTOMERS REPORT'!B1202+'CUSTOMERS REPORT'!B1239+'CUSTOMERS REPORT'!B1276+'CUSTOMERS REPORT'!B1313+'CUSTOMERS REPORT'!B1350+'CUSTOMERS REPORT'!B1387+'CUSTOMERS REPORT'!B1423</f>
        <v>0</v>
      </c>
      <c r="U54" s="852">
        <f>'CUSTOMERS REPORT'!C9+'CUSTOMERS REPORT'!C55+'CUSTOMERS REPORT'!C93+'CUSTOMERS REPORT'!C132+'CUSTOMERS REPORT'!C170+'CUSTOMERS REPORT'!C210+'CUSTOMERS REPORT'!C247+'CUSTOMERS REPORT'!C287+'CUSTOMERS REPORT'!C328+'CUSTOMERS REPORT'!C370+'CUSTOMERS REPORT'!C409+'CUSTOMERS REPORT'!C447+'CUSTOMERS REPORT'!C483+'CUSTOMERS REPORT'!C520+'CUSTOMERS REPORT'!C558+'CUSTOMERS REPORT'!C594+'CUSTOMERS REPORT'!C632+'CUSTOMERS REPORT'!C670+'CUSTOMERS REPORT'!C708+'CUSTOMERS REPORT'!C746+'CUSTOMERS REPORT'!C784+'CUSTOMERS REPORT'!C822+'CUSTOMERS REPORT'!C860+'CUSTOMERS REPORT'!C899+'CUSTOMERS REPORT'!C938+'CUSTOMERS REPORT'!C976+'CUSTOMERS REPORT'!C1014+'CUSTOMERS REPORT'!C1052+'CUSTOMERS REPORT'!C1090+'CUSTOMERS REPORT'!C1128+'CUSTOMERS REPORT'!C1165+'CUSTOMERS REPORT'!C1202+'CUSTOMERS REPORT'!C1239+'CUSTOMERS REPORT'!C1276+'CUSTOMERS REPORT'!C1313+'CUSTOMERS REPORT'!C1350+'CUSTOMERS REPORT'!C1387+'CUSTOMERS REPORT'!C1423</f>
        <v>0</v>
      </c>
      <c r="V54" s="852">
        <f>'CUSTOMERS REPORT'!D9+'CUSTOMERS REPORT'!D55+'CUSTOMERS REPORT'!D93+'CUSTOMERS REPORT'!D132+'CUSTOMERS REPORT'!D170+'CUSTOMERS REPORT'!D210+'CUSTOMERS REPORT'!D247+'CUSTOMERS REPORT'!D287+'CUSTOMERS REPORT'!D328+'CUSTOMERS REPORT'!D370+'CUSTOMERS REPORT'!D409+'CUSTOMERS REPORT'!D447+'CUSTOMERS REPORT'!D483+'CUSTOMERS REPORT'!D520+'CUSTOMERS REPORT'!D558+'CUSTOMERS REPORT'!D594+'CUSTOMERS REPORT'!D632+'CUSTOMERS REPORT'!D670+'CUSTOMERS REPORT'!D708+'CUSTOMERS REPORT'!D746+'CUSTOMERS REPORT'!D784+'CUSTOMERS REPORT'!D822+'CUSTOMERS REPORT'!D860+'CUSTOMERS REPORT'!D899+'CUSTOMERS REPORT'!D938+'CUSTOMERS REPORT'!D976+'CUSTOMERS REPORT'!D1014+'CUSTOMERS REPORT'!D1052+'CUSTOMERS REPORT'!D1090+'CUSTOMERS REPORT'!D1128+'CUSTOMERS REPORT'!D1165+'CUSTOMERS REPORT'!D1202+'CUSTOMERS REPORT'!D1239+'CUSTOMERS REPORT'!D1276+'CUSTOMERS REPORT'!D1313+'CUSTOMERS REPORT'!D1350+'CUSTOMERS REPORT'!D1387+'CUSTOMERS REPORT'!D1423</f>
        <v>0</v>
      </c>
      <c r="W54" s="852">
        <f>'CUSTOMERS REPORT'!E9+'CUSTOMERS REPORT'!E55+'CUSTOMERS REPORT'!E93+'CUSTOMERS REPORT'!E132+'CUSTOMERS REPORT'!E170+'CUSTOMERS REPORT'!E210+'CUSTOMERS REPORT'!E247+'CUSTOMERS REPORT'!E287+'CUSTOMERS REPORT'!E328+'CUSTOMERS REPORT'!E370+'CUSTOMERS REPORT'!E409+'CUSTOMERS REPORT'!E447+'CUSTOMERS REPORT'!E483+'CUSTOMERS REPORT'!E520+'CUSTOMERS REPORT'!E558+'CUSTOMERS REPORT'!E594+'CUSTOMERS REPORT'!E632+'CUSTOMERS REPORT'!E670+'CUSTOMERS REPORT'!E708+'CUSTOMERS REPORT'!E746+'CUSTOMERS REPORT'!E784+'CUSTOMERS REPORT'!E822+'CUSTOMERS REPORT'!E860+'CUSTOMERS REPORT'!E899+'CUSTOMERS REPORT'!E938+'CUSTOMERS REPORT'!E976+'CUSTOMERS REPORT'!E1014+'CUSTOMERS REPORT'!E1052+'CUSTOMERS REPORT'!E1090+'CUSTOMERS REPORT'!E1128+'CUSTOMERS REPORT'!E1165+'CUSTOMERS REPORT'!E1202+'CUSTOMERS REPORT'!E1239+'CUSTOMERS REPORT'!E1276+'CUSTOMERS REPORT'!E1313+'CUSTOMERS REPORT'!E1350+'CUSTOMERS REPORT'!E1387+'CUSTOMERS REPORT'!E1423</f>
        <v>0</v>
      </c>
      <c r="X54" s="852">
        <f>'CUSTOMERS REPORT'!F9+'CUSTOMERS REPORT'!F55+'CUSTOMERS REPORT'!F93+'CUSTOMERS REPORT'!F132+'CUSTOMERS REPORT'!F170+'CUSTOMERS REPORT'!F210+'CUSTOMERS REPORT'!F247+'CUSTOMERS REPORT'!F287+'CUSTOMERS REPORT'!F328+'CUSTOMERS REPORT'!F370+'CUSTOMERS REPORT'!F409+'CUSTOMERS REPORT'!F447+'CUSTOMERS REPORT'!F483+'CUSTOMERS REPORT'!F520+'CUSTOMERS REPORT'!F558+'CUSTOMERS REPORT'!F594+'CUSTOMERS REPORT'!F632+'CUSTOMERS REPORT'!F670+'CUSTOMERS REPORT'!F708+'CUSTOMERS REPORT'!F746+'CUSTOMERS REPORT'!F784+'CUSTOMERS REPORT'!F822+'CUSTOMERS REPORT'!F860+'CUSTOMERS REPORT'!F899+'CUSTOMERS REPORT'!F938+'CUSTOMERS REPORT'!F976+'CUSTOMERS REPORT'!F1014+'CUSTOMERS REPORT'!F1052+'CUSTOMERS REPORT'!F1090+'CUSTOMERS REPORT'!F1128+'CUSTOMERS REPORT'!F1165+'CUSTOMERS REPORT'!F1202+'CUSTOMERS REPORT'!F1239+'CUSTOMERS REPORT'!F1276+'CUSTOMERS REPORT'!F1313+'CUSTOMERS REPORT'!F1350+'CUSTOMERS REPORT'!F1387+'CUSTOMERS REPORT'!F1423</f>
        <v>0</v>
      </c>
      <c r="Y54" s="852">
        <f>'CUSTOMERS REPORT'!G9+'CUSTOMERS REPORT'!G55+'CUSTOMERS REPORT'!G93+'CUSTOMERS REPORT'!G132+'CUSTOMERS REPORT'!G170+'CUSTOMERS REPORT'!G210+'CUSTOMERS REPORT'!G247+'CUSTOMERS REPORT'!G287+'CUSTOMERS REPORT'!G328+'CUSTOMERS REPORT'!G370+'CUSTOMERS REPORT'!G409+'CUSTOMERS REPORT'!G447+'CUSTOMERS REPORT'!G483+'CUSTOMERS REPORT'!G520+'CUSTOMERS REPORT'!G558+'CUSTOMERS REPORT'!G594+'CUSTOMERS REPORT'!G632+'CUSTOMERS REPORT'!G670+'CUSTOMERS REPORT'!G708+'CUSTOMERS REPORT'!G746+'CUSTOMERS REPORT'!G784+'CUSTOMERS REPORT'!G822+'CUSTOMERS REPORT'!G860+'CUSTOMERS REPORT'!G899+'CUSTOMERS REPORT'!G938+'CUSTOMERS REPORT'!G976+'CUSTOMERS REPORT'!G1014+'CUSTOMERS REPORT'!G1052+'CUSTOMERS REPORT'!G1090+'CUSTOMERS REPORT'!G1128+'CUSTOMERS REPORT'!G1165+'CUSTOMERS REPORT'!G1202+'CUSTOMERS REPORT'!G1239+'CUSTOMERS REPORT'!G1276+'CUSTOMERS REPORT'!G1313+'CUSTOMERS REPORT'!G1350+'CUSTOMERS REPORT'!G1387+'CUSTOMERS REPORT'!G1423</f>
        <v>0</v>
      </c>
      <c r="Z54" s="852">
        <f>'CUSTOMERS REPORT'!H9+'CUSTOMERS REPORT'!H55+'CUSTOMERS REPORT'!H93+'CUSTOMERS REPORT'!H132+'CUSTOMERS REPORT'!H170+'CUSTOMERS REPORT'!H210+'CUSTOMERS REPORT'!H247+'CUSTOMERS REPORT'!H287+'CUSTOMERS REPORT'!H328+'CUSTOMERS REPORT'!H370+'CUSTOMERS REPORT'!H409+'CUSTOMERS REPORT'!H447+'CUSTOMERS REPORT'!H483+'CUSTOMERS REPORT'!H520+'CUSTOMERS REPORT'!H558+'CUSTOMERS REPORT'!H594+'CUSTOMERS REPORT'!H632+'CUSTOMERS REPORT'!H670+'CUSTOMERS REPORT'!H708+'CUSTOMERS REPORT'!H746+'CUSTOMERS REPORT'!H784+'CUSTOMERS REPORT'!H822+'CUSTOMERS REPORT'!H860+'CUSTOMERS REPORT'!H899+'CUSTOMERS REPORT'!H938+'CUSTOMERS REPORT'!H976+'CUSTOMERS REPORT'!H1014+'CUSTOMERS REPORT'!H1052+'CUSTOMERS REPORT'!H1090+'CUSTOMERS REPORT'!H1128+'CUSTOMERS REPORT'!H1165+'CUSTOMERS REPORT'!H1202+'CUSTOMERS REPORT'!H1239+'CUSTOMERS REPORT'!H1276+'CUSTOMERS REPORT'!H1313+'CUSTOMERS REPORT'!H1350+'CUSTOMERS REPORT'!H1387+'CUSTOMERS REPORT'!H1423</f>
        <v>0</v>
      </c>
      <c r="AA54" s="852">
        <f>'CUSTOMERS REPORT'!I9+'CUSTOMERS REPORT'!I55+'CUSTOMERS REPORT'!I93+'CUSTOMERS REPORT'!I132+'CUSTOMERS REPORT'!I170+'CUSTOMERS REPORT'!I210+'CUSTOMERS REPORT'!I247+'CUSTOMERS REPORT'!I287+'CUSTOMERS REPORT'!I328+'CUSTOMERS REPORT'!I370+'CUSTOMERS REPORT'!I409+'CUSTOMERS REPORT'!I447+'CUSTOMERS REPORT'!I483+'CUSTOMERS REPORT'!I520+'CUSTOMERS REPORT'!I558+'CUSTOMERS REPORT'!I594+'CUSTOMERS REPORT'!I632+'CUSTOMERS REPORT'!I670+'CUSTOMERS REPORT'!I708+'CUSTOMERS REPORT'!I746+'CUSTOMERS REPORT'!I784+'CUSTOMERS REPORT'!I822+'CUSTOMERS REPORT'!I860+'CUSTOMERS REPORT'!I899+'CUSTOMERS REPORT'!I938+'CUSTOMERS REPORT'!I976+'CUSTOMERS REPORT'!I1014+'CUSTOMERS REPORT'!I1052+'CUSTOMERS REPORT'!I1090+'CUSTOMERS REPORT'!I1128+'CUSTOMERS REPORT'!I1165+'CUSTOMERS REPORT'!I1202+'CUSTOMERS REPORT'!I1239+'CUSTOMERS REPORT'!I1276+'CUSTOMERS REPORT'!I1313+'CUSTOMERS REPORT'!I1350+'CUSTOMERS REPORT'!I1387+'CUSTOMERS REPORT'!I1423</f>
        <v>0</v>
      </c>
      <c r="AB54" s="852">
        <f>'CUSTOMERS REPORT'!J9+'CUSTOMERS REPORT'!J55+'CUSTOMERS REPORT'!J93+'CUSTOMERS REPORT'!J132+'CUSTOMERS REPORT'!J170+'CUSTOMERS REPORT'!J210+'CUSTOMERS REPORT'!J247+'CUSTOMERS REPORT'!J287+'CUSTOMERS REPORT'!J328+'CUSTOMERS REPORT'!J370+'CUSTOMERS REPORT'!J409+'CUSTOMERS REPORT'!J447+'CUSTOMERS REPORT'!J483+'CUSTOMERS REPORT'!J520+'CUSTOMERS REPORT'!J558+'CUSTOMERS REPORT'!J594+'CUSTOMERS REPORT'!J632+'CUSTOMERS REPORT'!J670+'CUSTOMERS REPORT'!J708+'CUSTOMERS REPORT'!J746+'CUSTOMERS REPORT'!J784+'CUSTOMERS REPORT'!J822+'CUSTOMERS REPORT'!J860+'CUSTOMERS REPORT'!J899+'CUSTOMERS REPORT'!J938+'CUSTOMERS REPORT'!J976+'CUSTOMERS REPORT'!J1014+'CUSTOMERS REPORT'!J1052+'CUSTOMERS REPORT'!J1090+'CUSTOMERS REPORT'!J1128+'CUSTOMERS REPORT'!J1165+'CUSTOMERS REPORT'!J1202+'CUSTOMERS REPORT'!J1239+'CUSTOMERS REPORT'!J1276+'CUSTOMERS REPORT'!J1313+'CUSTOMERS REPORT'!J1350+'CUSTOMERS REPORT'!J1387+'CUSTOMERS REPORT'!J1423</f>
        <v>0</v>
      </c>
      <c r="AC54" s="852">
        <f>'CUSTOMERS REPORT'!K9+'CUSTOMERS REPORT'!K55+'CUSTOMERS REPORT'!K93+'CUSTOMERS REPORT'!K132+'CUSTOMERS REPORT'!K170+'CUSTOMERS REPORT'!K210+'CUSTOMERS REPORT'!K247+'CUSTOMERS REPORT'!K287+'CUSTOMERS REPORT'!K328+'CUSTOMERS REPORT'!K370+'CUSTOMERS REPORT'!K409+'CUSTOMERS REPORT'!K447+'CUSTOMERS REPORT'!K483+'CUSTOMERS REPORT'!K520+'CUSTOMERS REPORT'!K558+'CUSTOMERS REPORT'!K594+'CUSTOMERS REPORT'!K632+'CUSTOMERS REPORT'!K670+'CUSTOMERS REPORT'!K708+'CUSTOMERS REPORT'!K746+'CUSTOMERS REPORT'!K784+'CUSTOMERS REPORT'!K822+'CUSTOMERS REPORT'!K860+'CUSTOMERS REPORT'!K899+'CUSTOMERS REPORT'!K938+'CUSTOMERS REPORT'!K976+'CUSTOMERS REPORT'!K1014+'CUSTOMERS REPORT'!K1052+'CUSTOMERS REPORT'!K1090+'CUSTOMERS REPORT'!K1128+'CUSTOMERS REPORT'!K1165+'CUSTOMERS REPORT'!K1202+'CUSTOMERS REPORT'!K1239+'CUSTOMERS REPORT'!K1276+'CUSTOMERS REPORT'!K1313+'CUSTOMERS REPORT'!K1350+'CUSTOMERS REPORT'!K1387+'CUSTOMERS REPORT'!K1423</f>
        <v>0</v>
      </c>
      <c r="AD54" s="852">
        <f>'CUSTOMERS REPORT'!L9+'CUSTOMERS REPORT'!L55+'CUSTOMERS REPORT'!L93+'CUSTOMERS REPORT'!L132+'CUSTOMERS REPORT'!L170+'CUSTOMERS REPORT'!L210+'CUSTOMERS REPORT'!L247+'CUSTOMERS REPORT'!L287+'CUSTOMERS REPORT'!L328+'CUSTOMERS REPORT'!L370+'CUSTOMERS REPORT'!L409+'CUSTOMERS REPORT'!L447+'CUSTOMERS REPORT'!L483+'CUSTOMERS REPORT'!L520+'CUSTOMERS REPORT'!L558+'CUSTOMERS REPORT'!L594+'CUSTOMERS REPORT'!L632+'CUSTOMERS REPORT'!L670+'CUSTOMERS REPORT'!L708+'CUSTOMERS REPORT'!L746+'CUSTOMERS REPORT'!L784+'CUSTOMERS REPORT'!L822+'CUSTOMERS REPORT'!L860+'CUSTOMERS REPORT'!L899+'CUSTOMERS REPORT'!L938+'CUSTOMERS REPORT'!L976+'CUSTOMERS REPORT'!L1014+'CUSTOMERS REPORT'!L1052+'CUSTOMERS REPORT'!L1090+'CUSTOMERS REPORT'!L1128+'CUSTOMERS REPORT'!L1165+'CUSTOMERS REPORT'!L1202+'CUSTOMERS REPORT'!L1239+'CUSTOMERS REPORT'!L1276+'CUSTOMERS REPORT'!L1313+'CUSTOMERS REPORT'!L1350+'CUSTOMERS REPORT'!L1387+'CUSTOMERS REPORT'!L1423</f>
        <v>0</v>
      </c>
      <c r="AE54" s="852">
        <f>'CUSTOMERS REPORT'!M9+'CUSTOMERS REPORT'!M55+'CUSTOMERS REPORT'!M93+'CUSTOMERS REPORT'!M132+'CUSTOMERS REPORT'!M170+'CUSTOMERS REPORT'!M210+'CUSTOMERS REPORT'!M247+'CUSTOMERS REPORT'!M287+'CUSTOMERS REPORT'!M328+'CUSTOMERS REPORT'!M370+'CUSTOMERS REPORT'!M409+'CUSTOMERS REPORT'!M447+'CUSTOMERS REPORT'!M483+'CUSTOMERS REPORT'!M520+'CUSTOMERS REPORT'!M558+'CUSTOMERS REPORT'!M594+'CUSTOMERS REPORT'!M632+'CUSTOMERS REPORT'!M670+'CUSTOMERS REPORT'!M708+'CUSTOMERS REPORT'!M746+'CUSTOMERS REPORT'!M784+'CUSTOMERS REPORT'!M822+'CUSTOMERS REPORT'!M860+'CUSTOMERS REPORT'!M899+'CUSTOMERS REPORT'!M938+'CUSTOMERS REPORT'!M976+'CUSTOMERS REPORT'!M1014+'CUSTOMERS REPORT'!M1052+'CUSTOMERS REPORT'!M1090+'CUSTOMERS REPORT'!M1128+'CUSTOMERS REPORT'!M1165+'CUSTOMERS REPORT'!M1202+'CUSTOMERS REPORT'!M1239+'CUSTOMERS REPORT'!M1276+'CUSTOMERS REPORT'!M1313+'CUSTOMERS REPORT'!M1350+'CUSTOMERS REPORT'!M1387+'CUSTOMERS REPORT'!M1423</f>
        <v>0</v>
      </c>
      <c r="AF54" s="852">
        <f>'CUSTOMERS REPORT'!N9+'CUSTOMERS REPORT'!N55+'CUSTOMERS REPORT'!N93+'CUSTOMERS REPORT'!N132+'CUSTOMERS REPORT'!N170+'CUSTOMERS REPORT'!N210+'CUSTOMERS REPORT'!N247+'CUSTOMERS REPORT'!N287+'CUSTOMERS REPORT'!N328+'CUSTOMERS REPORT'!N370+'CUSTOMERS REPORT'!N409+'CUSTOMERS REPORT'!N447+'CUSTOMERS REPORT'!N483+'CUSTOMERS REPORT'!N520+'CUSTOMERS REPORT'!N558+'CUSTOMERS REPORT'!N594+'CUSTOMERS REPORT'!N632+'CUSTOMERS REPORT'!N670+'CUSTOMERS REPORT'!N708+'CUSTOMERS REPORT'!N746+'CUSTOMERS REPORT'!N784+'CUSTOMERS REPORT'!N822+'CUSTOMERS REPORT'!N860+'CUSTOMERS REPORT'!N899+'CUSTOMERS REPORT'!N938+'CUSTOMERS REPORT'!N976+'CUSTOMERS REPORT'!N1014+'CUSTOMERS REPORT'!N1052+'CUSTOMERS REPORT'!N1090+'CUSTOMERS REPORT'!N1128+'CUSTOMERS REPORT'!N1165+'CUSTOMERS REPORT'!N1202+'CUSTOMERS REPORT'!N1239+'CUSTOMERS REPORT'!N1276+'CUSTOMERS REPORT'!N1313+'CUSTOMERS REPORT'!N1350+'CUSTOMERS REPORT'!N1387+'CUSTOMERS REPORT'!N1423</f>
        <v>0</v>
      </c>
      <c r="AG54" s="852">
        <f>'CUSTOMERS REPORT'!O9+'CUSTOMERS REPORT'!O55+'CUSTOMERS REPORT'!O93+'CUSTOMERS REPORT'!O132+'CUSTOMERS REPORT'!O170+'CUSTOMERS REPORT'!O210+'CUSTOMERS REPORT'!O247+'CUSTOMERS REPORT'!O287+'CUSTOMERS REPORT'!O328+'CUSTOMERS REPORT'!O370+'CUSTOMERS REPORT'!O409+'CUSTOMERS REPORT'!O447+'CUSTOMERS REPORT'!O483+'CUSTOMERS REPORT'!O520+'CUSTOMERS REPORT'!O558+'CUSTOMERS REPORT'!O594+'CUSTOMERS REPORT'!O632+'CUSTOMERS REPORT'!O670+'CUSTOMERS REPORT'!O708+'CUSTOMERS REPORT'!O746+'CUSTOMERS REPORT'!O784+'CUSTOMERS REPORT'!O822+'CUSTOMERS REPORT'!O860+'CUSTOMERS REPORT'!O899+'CUSTOMERS REPORT'!O938+'CUSTOMERS REPORT'!O976+'CUSTOMERS REPORT'!O1014+'CUSTOMERS REPORT'!O1052+'CUSTOMERS REPORT'!O1090+'CUSTOMERS REPORT'!O1128+'CUSTOMERS REPORT'!O1165+'CUSTOMERS REPORT'!O1202+'CUSTOMERS REPORT'!O1239+'CUSTOMERS REPORT'!O1276+'CUSTOMERS REPORT'!O1313+'CUSTOMERS REPORT'!O1350+'CUSTOMERS REPORT'!O1387+'CUSTOMERS REPORT'!O1423</f>
        <v>0</v>
      </c>
      <c r="AH54" s="852">
        <f>'CUSTOMERS REPORT'!P9+'CUSTOMERS REPORT'!P55+'CUSTOMERS REPORT'!P93+'CUSTOMERS REPORT'!P132+'CUSTOMERS REPORT'!P170+'CUSTOMERS REPORT'!P210+'CUSTOMERS REPORT'!P247+'CUSTOMERS REPORT'!P287+'CUSTOMERS REPORT'!P328+'CUSTOMERS REPORT'!P370+'CUSTOMERS REPORT'!P409+'CUSTOMERS REPORT'!P447+'CUSTOMERS REPORT'!P483+'CUSTOMERS REPORT'!P520+'CUSTOMERS REPORT'!P558+'CUSTOMERS REPORT'!P594+'CUSTOMERS REPORT'!P632+'CUSTOMERS REPORT'!P670+'CUSTOMERS REPORT'!P708+'CUSTOMERS REPORT'!P746+'CUSTOMERS REPORT'!P784+'CUSTOMERS REPORT'!P822+'CUSTOMERS REPORT'!P860+'CUSTOMERS REPORT'!P899+'CUSTOMERS REPORT'!P938+'CUSTOMERS REPORT'!P976+'CUSTOMERS REPORT'!P1014+'CUSTOMERS REPORT'!P1052+'CUSTOMERS REPORT'!P1090+'CUSTOMERS REPORT'!P1128+'CUSTOMERS REPORT'!P1165+'CUSTOMERS REPORT'!P1202+'CUSTOMERS REPORT'!P1239+'CUSTOMERS REPORT'!P1276+'CUSTOMERS REPORT'!P1313+'CUSTOMERS REPORT'!P1350+'CUSTOMERS REPORT'!P1387+'CUSTOMERS REPORT'!P1423</f>
        <v>0</v>
      </c>
      <c r="AI54" s="852">
        <f>'CUSTOMERS REPORT'!Q9+'CUSTOMERS REPORT'!Q55+'CUSTOMERS REPORT'!Q93+'CUSTOMERS REPORT'!Q132+'CUSTOMERS REPORT'!Q170+'CUSTOMERS REPORT'!Q210+'CUSTOMERS REPORT'!Q247+'CUSTOMERS REPORT'!Q287+'CUSTOMERS REPORT'!Q328+'CUSTOMERS REPORT'!Q370+'CUSTOMERS REPORT'!Q409+'CUSTOMERS REPORT'!Q447+'CUSTOMERS REPORT'!Q483+'CUSTOMERS REPORT'!Q520+'CUSTOMERS REPORT'!Q558+'CUSTOMERS REPORT'!Q594+'CUSTOMERS REPORT'!Q632+'CUSTOMERS REPORT'!Q670+'CUSTOMERS REPORT'!Q708+'CUSTOMERS REPORT'!Q746+'CUSTOMERS REPORT'!Q784+'CUSTOMERS REPORT'!Q822+'CUSTOMERS REPORT'!Q860+'CUSTOMERS REPORT'!Q899+'CUSTOMERS REPORT'!Q938+'CUSTOMERS REPORT'!Q976+'CUSTOMERS REPORT'!Q1014+'CUSTOMERS REPORT'!Q1052+'CUSTOMERS REPORT'!Q1090+'CUSTOMERS REPORT'!Q1128+'CUSTOMERS REPORT'!Q1165+'CUSTOMERS REPORT'!Q1202+'CUSTOMERS REPORT'!Q1239+'CUSTOMERS REPORT'!Q1276+'CUSTOMERS REPORT'!Q1313+'CUSTOMERS REPORT'!Q1350+'CUSTOMERS REPORT'!Q1387+'CUSTOMERS REPORT'!Q1423</f>
        <v>0</v>
      </c>
      <c r="AJ54" s="852">
        <f>'CUSTOMERS REPORT'!R9+'CUSTOMERS REPORT'!R55+'CUSTOMERS REPORT'!R93+'CUSTOMERS REPORT'!R132+'CUSTOMERS REPORT'!R170+'CUSTOMERS REPORT'!R210+'CUSTOMERS REPORT'!R247+'CUSTOMERS REPORT'!R287+'CUSTOMERS REPORT'!R328+'CUSTOMERS REPORT'!R370+'CUSTOMERS REPORT'!R409+'CUSTOMERS REPORT'!R447+'CUSTOMERS REPORT'!R483+'CUSTOMERS REPORT'!R520+'CUSTOMERS REPORT'!R558+'CUSTOMERS REPORT'!R594+'CUSTOMERS REPORT'!R632+'CUSTOMERS REPORT'!R670+'CUSTOMERS REPORT'!R708+'CUSTOMERS REPORT'!R746+'CUSTOMERS REPORT'!R784+'CUSTOMERS REPORT'!R822+'CUSTOMERS REPORT'!R860+'CUSTOMERS REPORT'!R899+'CUSTOMERS REPORT'!R938+'CUSTOMERS REPORT'!R976+'CUSTOMERS REPORT'!R1014+'CUSTOMERS REPORT'!R1052+'CUSTOMERS REPORT'!R1090+'CUSTOMERS REPORT'!R1128+'CUSTOMERS REPORT'!R1165+'CUSTOMERS REPORT'!R1202+'CUSTOMERS REPORT'!R1239+'CUSTOMERS REPORT'!R1276+'CUSTOMERS REPORT'!R1313+'CUSTOMERS REPORT'!R1350+'CUSTOMERS REPORT'!R1387+'CUSTOMERS REPORT'!R1423</f>
        <v>0</v>
      </c>
      <c r="AK54" s="852">
        <f>'CUSTOMERS REPORT'!S9+'CUSTOMERS REPORT'!S55+'CUSTOMERS REPORT'!S93+'CUSTOMERS REPORT'!S132+'CUSTOMERS REPORT'!S170+'CUSTOMERS REPORT'!S210+'CUSTOMERS REPORT'!S247+'CUSTOMERS REPORT'!S287+'CUSTOMERS REPORT'!S328+'CUSTOMERS REPORT'!S370+'CUSTOMERS REPORT'!S409+'CUSTOMERS REPORT'!S447+'CUSTOMERS REPORT'!S483+'CUSTOMERS REPORT'!S520+'CUSTOMERS REPORT'!S558+'CUSTOMERS REPORT'!S594+'CUSTOMERS REPORT'!S632+'CUSTOMERS REPORT'!S670+'CUSTOMERS REPORT'!S708+'CUSTOMERS REPORT'!S746+'CUSTOMERS REPORT'!S784+'CUSTOMERS REPORT'!S822+'CUSTOMERS REPORT'!S860+'CUSTOMERS REPORT'!S899+'CUSTOMERS REPORT'!S938+'CUSTOMERS REPORT'!S976+'CUSTOMERS REPORT'!S1014+'CUSTOMERS REPORT'!S1052+'CUSTOMERS REPORT'!S1090+'CUSTOMERS REPORT'!S1128+'CUSTOMERS REPORT'!S1165+'CUSTOMERS REPORT'!S1202+'CUSTOMERS REPORT'!S1239+'CUSTOMERS REPORT'!S1276+'CUSTOMERS REPORT'!S1313+'CUSTOMERS REPORT'!S1350+'CUSTOMERS REPORT'!S1387+'CUSTOMERS REPORT'!S1423</f>
        <v>0</v>
      </c>
      <c r="AL54" s="852" t="e">
        <f>'CUSTOMERS REPORT'!T9+'CUSTOMERS REPORT'!T55+'CUSTOMERS REPORT'!T93+'CUSTOMERS REPORT'!T132+'CUSTOMERS REPORT'!T170+'CUSTOMERS REPORT'!T210+'CUSTOMERS REPORT'!T247+'CUSTOMERS REPORT'!T287+'CUSTOMERS REPORT'!T328+'CUSTOMERS REPORT'!T370+'CUSTOMERS REPORT'!T409+'CUSTOMERS REPORT'!T447+'CUSTOMERS REPORT'!T483+'CUSTOMERS REPORT'!T520+'CUSTOMERS REPORT'!T558+'CUSTOMERS REPORT'!T594+'CUSTOMERS REPORT'!T632+'CUSTOMERS REPORT'!T670+'CUSTOMERS REPORT'!T708+'CUSTOMERS REPORT'!T746+'CUSTOMERS REPORT'!T784+'CUSTOMERS REPORT'!T822+'CUSTOMERS REPORT'!T860+'CUSTOMERS REPORT'!T899+'CUSTOMERS REPORT'!T938+'CUSTOMERS REPORT'!T976+'CUSTOMERS REPORT'!T1014+'CUSTOMERS REPORT'!T1052+'CUSTOMERS REPORT'!T1090+'CUSTOMERS REPORT'!T1128+'CUSTOMERS REPORT'!T1165+'CUSTOMERS REPORT'!T1202+'CUSTOMERS REPORT'!T1239+'CUSTOMERS REPORT'!T1276+'CUSTOMERS REPORT'!T1313+'CUSTOMERS REPORT'!T1350+'CUSTOMERS REPORT'!T1387+'CUSTOMERS REPORT'!T1423</f>
        <v>#VALUE!</v>
      </c>
      <c r="AM54" s="852" t="e">
        <f>'CUSTOMERS REPORT'!U9+'CUSTOMERS REPORT'!U55+'CUSTOMERS REPORT'!U93+'CUSTOMERS REPORT'!U132+'CUSTOMERS REPORT'!U170+'CUSTOMERS REPORT'!U210+'CUSTOMERS REPORT'!U247+'CUSTOMERS REPORT'!U287+'CUSTOMERS REPORT'!U328+'CUSTOMERS REPORT'!U370+'CUSTOMERS REPORT'!U409+'CUSTOMERS REPORT'!U447+'CUSTOMERS REPORT'!U483+'CUSTOMERS REPORT'!U520+'CUSTOMERS REPORT'!U558+'CUSTOMERS REPORT'!U594+'CUSTOMERS REPORT'!U632+'CUSTOMERS REPORT'!U670+'CUSTOMERS REPORT'!U708+'CUSTOMERS REPORT'!U746+'CUSTOMERS REPORT'!U784+'CUSTOMERS REPORT'!U822+'CUSTOMERS REPORT'!U860+'CUSTOMERS REPORT'!U899+'CUSTOMERS REPORT'!U938+'CUSTOMERS REPORT'!U976+'CUSTOMERS REPORT'!U1014+'CUSTOMERS REPORT'!U1052+'CUSTOMERS REPORT'!U1090+'CUSTOMERS REPORT'!U1128+'CUSTOMERS REPORT'!U1165+'CUSTOMERS REPORT'!U1202+'CUSTOMERS REPORT'!U1239+'CUSTOMERS REPORT'!U1276+'CUSTOMERS REPORT'!U1313+'CUSTOMERS REPORT'!U1350+'CUSTOMERS REPORT'!U1387+'CUSTOMERS REPORT'!U1423</f>
        <v>#VALUE!</v>
      </c>
      <c r="AN54" s="852" t="e">
        <f>'CUSTOMERS REPORT'!V9+'CUSTOMERS REPORT'!V55+'CUSTOMERS REPORT'!V93+'CUSTOMERS REPORT'!V132+'CUSTOMERS REPORT'!V170+'CUSTOMERS REPORT'!V210+'CUSTOMERS REPORT'!V247+'CUSTOMERS REPORT'!V287+'CUSTOMERS REPORT'!V328+'CUSTOMERS REPORT'!V370+'CUSTOMERS REPORT'!V409+'CUSTOMERS REPORT'!V447+'CUSTOMERS REPORT'!V483+'CUSTOMERS REPORT'!V520+'CUSTOMERS REPORT'!V558+'CUSTOMERS REPORT'!V594+'CUSTOMERS REPORT'!V632+'CUSTOMERS REPORT'!V670+'CUSTOMERS REPORT'!V708+'CUSTOMERS REPORT'!V746+'CUSTOMERS REPORT'!V784+'CUSTOMERS REPORT'!V822+'CUSTOMERS REPORT'!V860+'CUSTOMERS REPORT'!V899+'CUSTOMERS REPORT'!V938+'CUSTOMERS REPORT'!V976+'CUSTOMERS REPORT'!V1014+'CUSTOMERS REPORT'!V1052+'CUSTOMERS REPORT'!V1090+'CUSTOMERS REPORT'!V1128+'CUSTOMERS REPORT'!V1165+'CUSTOMERS REPORT'!V1202+'CUSTOMERS REPORT'!V1239+'CUSTOMERS REPORT'!V1276+'CUSTOMERS REPORT'!V1313+'CUSTOMERS REPORT'!V1350+'CUSTOMERS REPORT'!V1387+'CUSTOMERS REPORT'!V1423</f>
        <v>#VALUE!</v>
      </c>
    </row>
    <row r="55" spans="1:40" ht="24.95" customHeight="1" thickBot="1">
      <c r="L55" s="417">
        <v>20</v>
      </c>
      <c r="M55" s="417"/>
      <c r="N55" s="417">
        <f t="shared" si="6"/>
        <v>0</v>
      </c>
      <c r="R55" s="123">
        <f>'1'!R56</f>
        <v>0</v>
      </c>
      <c r="S55" s="865" t="s">
        <v>169</v>
      </c>
      <c r="T55" s="866">
        <f t="shared" ref="T55:AN55" si="8">T53-T54-T51</f>
        <v>0</v>
      </c>
      <c r="U55" s="866">
        <f t="shared" si="8"/>
        <v>0</v>
      </c>
      <c r="V55" s="866">
        <f t="shared" si="8"/>
        <v>0</v>
      </c>
      <c r="W55" s="866">
        <f t="shared" si="8"/>
        <v>0</v>
      </c>
      <c r="X55" s="866">
        <f t="shared" si="8"/>
        <v>0</v>
      </c>
      <c r="Y55" s="866">
        <f t="shared" si="8"/>
        <v>0</v>
      </c>
      <c r="Z55" s="866">
        <f t="shared" si="8"/>
        <v>0</v>
      </c>
      <c r="AA55" s="866">
        <f t="shared" si="8"/>
        <v>0</v>
      </c>
      <c r="AB55" s="866">
        <f t="shared" si="8"/>
        <v>0</v>
      </c>
      <c r="AC55" s="866">
        <f t="shared" si="8"/>
        <v>0</v>
      </c>
      <c r="AD55" s="866">
        <f t="shared" si="8"/>
        <v>0</v>
      </c>
      <c r="AE55" s="866">
        <f t="shared" si="8"/>
        <v>0</v>
      </c>
      <c r="AF55" s="866">
        <f>AF53-AF54-AF51</f>
        <v>0</v>
      </c>
      <c r="AG55" s="866">
        <f t="shared" si="8"/>
        <v>0</v>
      </c>
      <c r="AH55" s="866">
        <f t="shared" si="8"/>
        <v>0</v>
      </c>
      <c r="AI55" s="866">
        <f t="shared" si="8"/>
        <v>0</v>
      </c>
      <c r="AJ55" s="866">
        <f t="shared" si="8"/>
        <v>0</v>
      </c>
      <c r="AK55" s="866">
        <f t="shared" si="8"/>
        <v>0</v>
      </c>
      <c r="AL55" s="866" t="e">
        <f t="shared" si="8"/>
        <v>#VALUE!</v>
      </c>
      <c r="AM55" s="866" t="e">
        <f t="shared" si="8"/>
        <v>#VALUE!</v>
      </c>
      <c r="AN55" s="872" t="e">
        <f t="shared" si="8"/>
        <v>#VALUE!</v>
      </c>
    </row>
    <row r="56" spans="1:40" ht="28.5" thickBot="1">
      <c r="A56" s="114"/>
      <c r="B56" s="120"/>
      <c r="C56" s="115"/>
      <c r="L56" s="417">
        <v>10</v>
      </c>
      <c r="M56" s="417"/>
      <c r="N56" s="417">
        <f t="shared" si="6"/>
        <v>0</v>
      </c>
      <c r="R56" s="123">
        <f>T56+U56+V56+W56+X56+Y56+Z56+AA56+AB56+AC56+AD56+AE56+AF56+AG56+AH56+AI56+AJ56+AK56+AL56+AM56+AN56</f>
        <v>0</v>
      </c>
      <c r="S56" s="874" t="s">
        <v>170</v>
      </c>
      <c r="T56" s="875"/>
      <c r="U56" s="875"/>
      <c r="V56" s="875"/>
      <c r="W56" s="875"/>
      <c r="X56" s="875"/>
      <c r="Y56" s="875"/>
      <c r="Z56" s="876"/>
      <c r="AA56" s="875"/>
      <c r="AB56" s="875"/>
      <c r="AC56" s="875"/>
      <c r="AD56" s="875"/>
      <c r="AE56" s="875"/>
      <c r="AF56" s="875"/>
      <c r="AG56" s="875"/>
      <c r="AH56" s="875"/>
      <c r="AI56" s="875"/>
      <c r="AJ56" s="877"/>
      <c r="AK56" s="877"/>
      <c r="AL56" s="877"/>
      <c r="AM56" s="52"/>
      <c r="AN56" s="928"/>
    </row>
    <row r="57" spans="1:40" ht="27" customHeight="1" thickBot="1">
      <c r="A57" s="114"/>
      <c r="B57" s="131"/>
      <c r="C57" s="115"/>
      <c r="D57" s="115"/>
      <c r="E57" s="19"/>
      <c r="F57" s="19"/>
      <c r="G57" s="19"/>
      <c r="H57" s="19"/>
      <c r="I57" s="19"/>
      <c r="J57" s="19"/>
      <c r="K57" s="19"/>
      <c r="L57" s="418">
        <v>1</v>
      </c>
      <c r="M57" s="418"/>
      <c r="N57" s="417">
        <f t="shared" si="6"/>
        <v>0</v>
      </c>
      <c r="O57" s="19"/>
      <c r="P57">
        <v>326190</v>
      </c>
      <c r="R57" s="123">
        <f>SUM(R55:R56)</f>
        <v>0</v>
      </c>
      <c r="S57" s="882" t="s">
        <v>23</v>
      </c>
      <c r="T57" s="883" t="e">
        <f t="shared" ref="T57:AI57" si="9">T50/T56</f>
        <v>#DIV/0!</v>
      </c>
      <c r="U57" s="883" t="e">
        <f t="shared" si="9"/>
        <v>#DIV/0!</v>
      </c>
      <c r="V57" s="883" t="e">
        <f t="shared" si="9"/>
        <v>#DIV/0!</v>
      </c>
      <c r="W57" s="883" t="e">
        <f t="shared" si="9"/>
        <v>#DIV/0!</v>
      </c>
      <c r="X57" s="883" t="e">
        <f t="shared" si="9"/>
        <v>#DIV/0!</v>
      </c>
      <c r="Y57" s="883" t="e">
        <f t="shared" si="9"/>
        <v>#DIV/0!</v>
      </c>
      <c r="Z57" s="883" t="e">
        <f t="shared" si="9"/>
        <v>#DIV/0!</v>
      </c>
      <c r="AA57" s="883" t="e">
        <f t="shared" si="9"/>
        <v>#DIV/0!</v>
      </c>
      <c r="AB57" s="883" t="e">
        <f t="shared" si="9"/>
        <v>#DIV/0!</v>
      </c>
      <c r="AC57" s="883" t="e">
        <f t="shared" si="9"/>
        <v>#DIV/0!</v>
      </c>
      <c r="AD57" s="883" t="e">
        <f t="shared" si="9"/>
        <v>#DIV/0!</v>
      </c>
      <c r="AE57" s="883" t="e">
        <f t="shared" si="9"/>
        <v>#DIV/0!</v>
      </c>
      <c r="AF57" s="883" t="e">
        <f t="shared" si="9"/>
        <v>#DIV/0!</v>
      </c>
      <c r="AG57" s="883" t="e">
        <f t="shared" si="9"/>
        <v>#DIV/0!</v>
      </c>
      <c r="AH57" s="883" t="e">
        <f t="shared" si="9"/>
        <v>#DIV/0!</v>
      </c>
      <c r="AI57" s="883" t="e">
        <f t="shared" si="9"/>
        <v>#DIV/0!</v>
      </c>
      <c r="AJ57" s="883" t="e">
        <f>AJ50/AJ56</f>
        <v>#DIV/0!</v>
      </c>
      <c r="AK57" s="883" t="e">
        <f>AK50/AK56</f>
        <v>#DIV/0!</v>
      </c>
      <c r="AL57" s="883" t="e">
        <f t="shared" ref="AL57:AN57" si="10">AL50/AL56</f>
        <v>#DIV/0!</v>
      </c>
      <c r="AM57" s="883" t="e">
        <f t="shared" si="10"/>
        <v>#DIV/0!</v>
      </c>
      <c r="AN57" s="884" t="e">
        <f t="shared" si="10"/>
        <v>#DIV/0!</v>
      </c>
    </row>
    <row r="58" spans="1:40" ht="27" customHeight="1" thickBot="1">
      <c r="A58" s="114"/>
      <c r="B58" s="131"/>
      <c r="C58" s="115"/>
      <c r="D58" s="115" t="s">
        <v>1</v>
      </c>
      <c r="L58" s="1501" t="s">
        <v>171</v>
      </c>
      <c r="M58" s="1501"/>
      <c r="N58" s="419">
        <f>SUM(N50:N57)</f>
        <v>0</v>
      </c>
      <c r="P58">
        <v>30799</v>
      </c>
      <c r="R58" s="19"/>
      <c r="S58" s="878" t="s">
        <v>172</v>
      </c>
      <c r="T58" s="879">
        <f>T54</f>
        <v>0</v>
      </c>
      <c r="U58" s="879">
        <f t="shared" ref="U58:AI58" si="11">U54</f>
        <v>0</v>
      </c>
      <c r="V58" s="879">
        <f t="shared" si="11"/>
        <v>0</v>
      </c>
      <c r="W58" s="879">
        <f t="shared" si="11"/>
        <v>0</v>
      </c>
      <c r="X58" s="879">
        <f t="shared" si="11"/>
        <v>0</v>
      </c>
      <c r="Y58" s="879">
        <f t="shared" si="11"/>
        <v>0</v>
      </c>
      <c r="Z58" s="879">
        <f t="shared" si="11"/>
        <v>0</v>
      </c>
      <c r="AA58" s="879">
        <f t="shared" si="11"/>
        <v>0</v>
      </c>
      <c r="AB58" s="879">
        <f t="shared" si="11"/>
        <v>0</v>
      </c>
      <c r="AC58" s="879">
        <f t="shared" si="11"/>
        <v>0</v>
      </c>
      <c r="AD58" s="879">
        <f t="shared" si="11"/>
        <v>0</v>
      </c>
      <c r="AE58" s="879">
        <f t="shared" si="11"/>
        <v>0</v>
      </c>
      <c r="AF58" s="879">
        <f t="shared" si="11"/>
        <v>0</v>
      </c>
      <c r="AG58" s="879">
        <f t="shared" si="11"/>
        <v>0</v>
      </c>
      <c r="AH58" s="879">
        <f t="shared" si="11"/>
        <v>0</v>
      </c>
      <c r="AI58" s="879">
        <f t="shared" si="11"/>
        <v>0</v>
      </c>
      <c r="AJ58" s="879">
        <f>AJ54</f>
        <v>0</v>
      </c>
      <c r="AK58" s="879">
        <f>AK54</f>
        <v>0</v>
      </c>
      <c r="AL58" s="880"/>
      <c r="AM58" s="880"/>
      <c r="AN58" s="881"/>
    </row>
    <row r="59" spans="1:40" ht="27" customHeight="1">
      <c r="A59" s="114"/>
      <c r="B59" s="132"/>
      <c r="C59" s="115"/>
      <c r="D59" s="115" t="s">
        <v>1</v>
      </c>
      <c r="K59" t="s">
        <v>1</v>
      </c>
      <c r="L59" s="1486" t="s">
        <v>173</v>
      </c>
      <c r="M59" s="1486"/>
      <c r="N59" s="420">
        <f>N58-Q48</f>
        <v>0</v>
      </c>
      <c r="P59">
        <f>SUM(P57:P58)</f>
        <v>356989</v>
      </c>
      <c r="R59" s="19"/>
      <c r="S59" s="114"/>
      <c r="T59" s="121" t="s">
        <v>1</v>
      </c>
      <c r="U59" s="121" t="s">
        <v>1</v>
      </c>
      <c r="V59" s="121"/>
      <c r="W59" s="121"/>
      <c r="X59" s="121"/>
      <c r="Y59" s="121"/>
      <c r="Z59" s="122"/>
      <c r="AA59" s="121"/>
      <c r="AB59" s="121"/>
      <c r="AC59" s="121"/>
      <c r="AD59" s="121"/>
      <c r="AE59" s="121"/>
      <c r="AF59" s="121"/>
      <c r="AG59" s="121"/>
      <c r="AH59" s="119"/>
      <c r="AI59" s="119"/>
    </row>
    <row r="60" spans="1:40" ht="23.25">
      <c r="A60" s="114"/>
      <c r="B60" s="132"/>
      <c r="C60" s="115"/>
      <c r="D60" s="115"/>
      <c r="N60">
        <v>48634</v>
      </c>
      <c r="P60" s="19"/>
      <c r="Q60" s="19"/>
      <c r="R60" s="19"/>
      <c r="S60" s="19"/>
      <c r="AB60" t="s">
        <v>1</v>
      </c>
    </row>
    <row r="61" spans="1:40" ht="23.25">
      <c r="A61" s="114"/>
      <c r="B61" s="132"/>
      <c r="C61" s="115"/>
      <c r="D61" s="116"/>
      <c r="M61" t="s">
        <v>1</v>
      </c>
      <c r="N61" s="616">
        <v>47445</v>
      </c>
      <c r="P61" s="185" t="s">
        <v>1</v>
      </c>
      <c r="Q61" s="186"/>
      <c r="R61" s="19"/>
      <c r="S61" s="19"/>
      <c r="U61" t="s">
        <v>1</v>
      </c>
    </row>
    <row r="62" spans="1:40" ht="20.25">
      <c r="C62" s="116"/>
      <c r="M62" t="s">
        <v>1</v>
      </c>
      <c r="N62" s="616">
        <f>N60-N61</f>
        <v>1189</v>
      </c>
      <c r="P62" s="19"/>
      <c r="Q62" s="19"/>
      <c r="R62" s="19"/>
      <c r="S62" s="19" t="s">
        <v>1</v>
      </c>
    </row>
    <row r="63" spans="1:40">
      <c r="E63" s="19"/>
      <c r="AL63" t="s">
        <v>1</v>
      </c>
    </row>
    <row r="64" spans="1:40">
      <c r="E64" s="19"/>
      <c r="J64" t="s">
        <v>3</v>
      </c>
    </row>
    <row r="65" spans="3:5" ht="21">
      <c r="C65" s="251"/>
      <c r="E65" s="19"/>
    </row>
    <row r="66" spans="3:5">
      <c r="E66" s="49"/>
    </row>
    <row r="67" spans="3:5" ht="23.25">
      <c r="E67" s="113"/>
    </row>
  </sheetData>
  <mergeCells count="22">
    <mergeCell ref="AI12:AJ13"/>
    <mergeCell ref="L59:M59"/>
    <mergeCell ref="T47:W47"/>
    <mergeCell ref="X47:Z47"/>
    <mergeCell ref="S47:S48"/>
    <mergeCell ref="AJ47:AK47"/>
    <mergeCell ref="AL47:AM47"/>
    <mergeCell ref="AI7:AJ7"/>
    <mergeCell ref="AI20:AJ20"/>
    <mergeCell ref="L58:M58"/>
    <mergeCell ref="A6:Q6"/>
    <mergeCell ref="S6:AE6"/>
    <mergeCell ref="A7:B7"/>
    <mergeCell ref="P7:Q7"/>
    <mergeCell ref="H48:I48"/>
    <mergeCell ref="P24:Q24"/>
    <mergeCell ref="P33:Q33"/>
    <mergeCell ref="P42:Q42"/>
    <mergeCell ref="H46:I46"/>
    <mergeCell ref="H47:I47"/>
    <mergeCell ref="AA47:AB47"/>
    <mergeCell ref="AC47:AI47"/>
  </mergeCells>
  <conditionalFormatting sqref="M48:N48">
    <cfRule type="duplicateValues" dxfId="624" priority="34"/>
    <cfRule type="duplicateValues" dxfId="623" priority="35"/>
    <cfRule type="duplicateValues" dxfId="622" priority="36"/>
    <cfRule type="duplicateValues" dxfId="621" priority="37"/>
  </conditionalFormatting>
  <conditionalFormatting sqref="L48 N48">
    <cfRule type="cellIs" dxfId="620" priority="33" operator="equal">
      <formula>66890</formula>
    </cfRule>
  </conditionalFormatting>
  <conditionalFormatting sqref="N48">
    <cfRule type="cellIs" dxfId="619" priority="32" operator="lessThan">
      <formula>1</formula>
    </cfRule>
  </conditionalFormatting>
  <conditionalFormatting sqref="T57">
    <cfRule type="cellIs" dxfId="618" priority="16" operator="lessThan">
      <formula>63</formula>
    </cfRule>
  </conditionalFormatting>
  <conditionalFormatting sqref="U57">
    <cfRule type="cellIs" dxfId="617" priority="14" operator="lessThan">
      <formula>63</formula>
    </cfRule>
    <cfRule type="cellIs" dxfId="616" priority="15" operator="lessThan">
      <formula>63</formula>
    </cfRule>
  </conditionalFormatting>
  <conditionalFormatting sqref="W57">
    <cfRule type="cellIs" dxfId="615" priority="13" operator="lessThan">
      <formula>140</formula>
    </cfRule>
  </conditionalFormatting>
  <conditionalFormatting sqref="X57">
    <cfRule type="cellIs" dxfId="614" priority="12" operator="lessThan">
      <formula>125</formula>
    </cfRule>
  </conditionalFormatting>
  <conditionalFormatting sqref="Y57">
    <cfRule type="cellIs" dxfId="613" priority="11" operator="lessThan">
      <formula>150</formula>
    </cfRule>
  </conditionalFormatting>
  <conditionalFormatting sqref="Z57">
    <cfRule type="cellIs" dxfId="612" priority="10" operator="lessThan">
      <formula>590</formula>
    </cfRule>
  </conditionalFormatting>
  <conditionalFormatting sqref="AA57">
    <cfRule type="cellIs" dxfId="611" priority="9" operator="lessThan">
      <formula>704</formula>
    </cfRule>
  </conditionalFormatting>
  <conditionalFormatting sqref="AC57">
    <cfRule type="cellIs" dxfId="610" priority="8" operator="lessThan">
      <formula>52</formula>
    </cfRule>
  </conditionalFormatting>
  <conditionalFormatting sqref="AD57">
    <cfRule type="cellIs" dxfId="609" priority="7" operator="lessThan">
      <formula>52</formula>
    </cfRule>
  </conditionalFormatting>
  <conditionalFormatting sqref="AH57">
    <cfRule type="cellIs" dxfId="608" priority="6" operator="lessThan">
      <formula>63</formula>
    </cfRule>
  </conditionalFormatting>
  <conditionalFormatting sqref="AI57">
    <cfRule type="cellIs" dxfId="607" priority="5" operator="lessThan">
      <formula>63</formula>
    </cfRule>
  </conditionalFormatting>
  <conditionalFormatting sqref="AK57">
    <cfRule type="cellIs" dxfId="606" priority="4" operator="lessThan">
      <formula>270</formula>
    </cfRule>
  </conditionalFormatting>
  <conditionalFormatting sqref="AJ57">
    <cfRule type="cellIs" dxfId="605" priority="3" operator="lessThan">
      <formula>270</formula>
    </cfRule>
  </conditionalFormatting>
  <conditionalFormatting sqref="AL57:AN57">
    <cfRule type="cellIs" dxfId="604" priority="1" operator="lessThan">
      <formula>270</formula>
    </cfRule>
  </conditionalFormatting>
  <printOptions horizontalCentered="1" verticalCentered="1"/>
  <pageMargins left="0" right="0" top="0" bottom="0" header="0" footer="0"/>
  <pageSetup paperSize="5" scale="47" orientation="landscape" cellComments="asDisplayed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AP67"/>
  <sheetViews>
    <sheetView zoomScale="90" zoomScaleNormal="90" workbookViewId="0"/>
  </sheetViews>
  <sheetFormatPr defaultRowHeight="15"/>
  <cols>
    <col min="1" max="1" width="32.7109375" bestFit="1" customWidth="1"/>
    <col min="2" max="2" width="17" bestFit="1" customWidth="1"/>
    <col min="3" max="4" width="20.7109375" customWidth="1"/>
    <col min="5" max="5" width="4.7109375" customWidth="1"/>
    <col min="6" max="6" width="29.140625" bestFit="1" customWidth="1"/>
    <col min="7" max="7" width="17.7109375" customWidth="1"/>
    <col min="8" max="9" width="19.140625" bestFit="1" customWidth="1"/>
    <col min="10" max="11" width="17.7109375" customWidth="1"/>
    <col min="12" max="12" width="19.140625" bestFit="1" customWidth="1"/>
    <col min="13" max="14" width="17.7109375" customWidth="1"/>
    <col min="15" max="15" width="7.7109375" customWidth="1"/>
    <col min="16" max="16" width="28.7109375" customWidth="1"/>
    <col min="17" max="17" width="20" customWidth="1"/>
    <col min="18" max="18" width="5.5703125" bestFit="1" customWidth="1"/>
    <col min="19" max="19" width="32.7109375" customWidth="1"/>
    <col min="20" max="21" width="17.7109375" customWidth="1"/>
    <col min="22" max="22" width="20.28515625" bestFit="1" customWidth="1"/>
    <col min="23" max="23" width="17.7109375" customWidth="1"/>
    <col min="24" max="24" width="20.28515625" bestFit="1" customWidth="1"/>
    <col min="25" max="25" width="14.7109375" customWidth="1"/>
    <col min="26" max="26" width="23.28515625" bestFit="1" customWidth="1"/>
    <col min="27" max="27" width="20.140625" bestFit="1" customWidth="1"/>
    <col min="28" max="28" width="17.7109375" customWidth="1"/>
    <col min="29" max="29" width="20.140625" bestFit="1" customWidth="1"/>
    <col min="30" max="30" width="17.7109375" customWidth="1"/>
    <col min="31" max="31" width="20.140625" bestFit="1" customWidth="1"/>
    <col min="32" max="33" width="20.7109375" customWidth="1"/>
    <col min="34" max="34" width="13" bestFit="1" customWidth="1"/>
    <col min="35" max="35" width="16" bestFit="1" customWidth="1"/>
    <col min="36" max="36" width="14.85546875" bestFit="1" customWidth="1"/>
    <col min="37" max="37" width="13" bestFit="1" customWidth="1"/>
    <col min="38" max="40" width="13" hidden="1" customWidth="1"/>
  </cols>
  <sheetData>
    <row r="1" spans="1:36">
      <c r="E1" s="5"/>
    </row>
    <row r="2" spans="1:36">
      <c r="E2" s="5"/>
    </row>
    <row r="3" spans="1:36" ht="15.75" thickBot="1">
      <c r="C3" t="s">
        <v>1</v>
      </c>
      <c r="E3" s="5" t="s">
        <v>1</v>
      </c>
      <c r="F3" t="s">
        <v>1</v>
      </c>
      <c r="N3" t="s">
        <v>1</v>
      </c>
      <c r="S3" t="s">
        <v>1</v>
      </c>
      <c r="U3" t="s">
        <v>1</v>
      </c>
    </row>
    <row r="4" spans="1:36" ht="20.100000000000001" customHeight="1" thickTop="1">
      <c r="B4" t="s">
        <v>1</v>
      </c>
      <c r="D4" t="s">
        <v>1</v>
      </c>
      <c r="E4" t="s">
        <v>1</v>
      </c>
      <c r="P4" s="617" t="s">
        <v>108</v>
      </c>
      <c r="Q4" s="618">
        <f>'2'!Q4+'3'!Q9+'3'!Q10+'3'!Q19+'3'!Q20+'3'!Q21+'3'!Q22</f>
        <v>0</v>
      </c>
    </row>
    <row r="5" spans="1:36" ht="20.100000000000001" customHeight="1" thickBot="1">
      <c r="P5" s="619" t="s">
        <v>109</v>
      </c>
      <c r="Q5" s="620">
        <f>'2'!Q5+'3'!Q25+'3'!Q26+'3'!Q27+'3'!Q28+'3'!Q29+'3'!Q30+'3'!Q31</f>
        <v>0</v>
      </c>
    </row>
    <row r="6" spans="1:36" ht="48" thickTop="1" thickBot="1">
      <c r="A6" s="1502">
        <f>'Main Page'!E19</f>
        <v>44868</v>
      </c>
      <c r="B6" s="1507"/>
      <c r="C6" s="1507"/>
      <c r="D6" s="1507"/>
      <c r="E6" s="1507"/>
      <c r="F6" s="1507"/>
      <c r="G6" s="1507"/>
      <c r="H6" s="1507"/>
      <c r="I6" s="1507"/>
      <c r="J6" s="1507"/>
      <c r="K6" s="1507"/>
      <c r="L6" s="1507"/>
      <c r="M6" s="1507"/>
      <c r="N6" s="1507"/>
      <c r="O6" s="1507"/>
      <c r="P6" s="1507"/>
      <c r="Q6" s="1515"/>
      <c r="R6" t="s">
        <v>1</v>
      </c>
      <c r="S6" s="1502">
        <f>A6</f>
        <v>44868</v>
      </c>
      <c r="T6" s="1503"/>
      <c r="U6" s="1503"/>
      <c r="V6" s="1503"/>
      <c r="W6" s="1503"/>
      <c r="X6" s="1503"/>
      <c r="Y6" s="1503"/>
      <c r="Z6" s="1503"/>
      <c r="AA6" s="1503"/>
      <c r="AB6" s="1503"/>
      <c r="AC6" s="1503"/>
      <c r="AD6" s="1503"/>
      <c r="AE6" s="1504"/>
    </row>
    <row r="7" spans="1:36" ht="39.950000000000003" customHeight="1" thickTop="1" thickBot="1">
      <c r="A7" s="1505" t="s">
        <v>110</v>
      </c>
      <c r="B7" s="1506"/>
      <c r="C7" s="367" t="s">
        <v>97</v>
      </c>
      <c r="D7" s="368" t="s">
        <v>74</v>
      </c>
      <c r="F7" s="363" t="s">
        <v>111</v>
      </c>
      <c r="G7" s="364" t="s">
        <v>112</v>
      </c>
      <c r="H7" s="365" t="s">
        <v>113</v>
      </c>
      <c r="I7" s="365" t="s">
        <v>26</v>
      </c>
      <c r="J7" s="365" t="s">
        <v>114</v>
      </c>
      <c r="K7" s="366" t="s">
        <v>115</v>
      </c>
      <c r="L7" s="365" t="s">
        <v>116</v>
      </c>
      <c r="M7" s="365" t="s">
        <v>117</v>
      </c>
      <c r="N7" s="365" t="s">
        <v>118</v>
      </c>
      <c r="P7" s="1510" t="s">
        <v>69</v>
      </c>
      <c r="Q7" s="1511"/>
      <c r="S7" s="380" t="s">
        <v>58</v>
      </c>
      <c r="T7" s="380" t="s">
        <v>59</v>
      </c>
      <c r="U7" s="380" t="s">
        <v>119</v>
      </c>
      <c r="V7" s="380" t="s">
        <v>74</v>
      </c>
      <c r="W7" s="380" t="s">
        <v>120</v>
      </c>
      <c r="X7" s="380" t="s">
        <v>59</v>
      </c>
      <c r="Z7" s="367" t="s">
        <v>121</v>
      </c>
      <c r="AA7" s="367" t="s">
        <v>97</v>
      </c>
      <c r="AB7" s="415" t="s">
        <v>122</v>
      </c>
      <c r="AC7" s="416" t="s">
        <v>90</v>
      </c>
      <c r="AD7" s="367" t="s">
        <v>56</v>
      </c>
      <c r="AE7" s="381" t="s">
        <v>100</v>
      </c>
      <c r="AF7" s="560" t="s">
        <v>122</v>
      </c>
      <c r="AG7" s="570" t="s">
        <v>56</v>
      </c>
      <c r="AI7" s="1487" t="s">
        <v>123</v>
      </c>
      <c r="AJ7" s="1488"/>
    </row>
    <row r="8" spans="1:36" ht="27" customHeight="1" thickTop="1" thickBot="1">
      <c r="A8" s="719"/>
      <c r="B8" s="529"/>
      <c r="C8" s="463"/>
      <c r="D8" s="233"/>
      <c r="F8" s="478" t="str">
        <f>'2'!F8</f>
        <v>ISHAQ ANSARI</v>
      </c>
      <c r="G8" s="405">
        <f>'CUSTOMERS REPORT'!Y10</f>
        <v>0</v>
      </c>
      <c r="H8" s="503">
        <f>'CUSTOMERS REPORT'!Z10</f>
        <v>0</v>
      </c>
      <c r="I8" s="405">
        <f>'CUSTOMERS REPORT'!AA10</f>
        <v>0</v>
      </c>
      <c r="J8" s="497">
        <f>'CUSTOMERS REPORT'!AB10</f>
        <v>0</v>
      </c>
      <c r="K8" s="497">
        <f>'CUSTOMERS REPORT'!AC10</f>
        <v>0</v>
      </c>
      <c r="L8" s="508">
        <f>'CUSTOMERS REPORT'!AD10</f>
        <v>0</v>
      </c>
      <c r="M8" s="413">
        <f>'2'!M8+'3'!G8</f>
        <v>0</v>
      </c>
      <c r="N8" s="411">
        <f>'2'!N8+'3'!J8</f>
        <v>0</v>
      </c>
      <c r="P8" s="191" t="s">
        <v>124</v>
      </c>
      <c r="Q8" s="223">
        <f>'2'!Q32</f>
        <v>0</v>
      </c>
      <c r="S8" s="1036" t="str">
        <f>'2'!S8</f>
        <v>FLOUR</v>
      </c>
      <c r="T8" s="446">
        <f>'2'!X8</f>
        <v>0</v>
      </c>
      <c r="U8" s="455"/>
      <c r="V8" s="450">
        <f t="shared" ref="V8:V43" si="0">SUM(T8:U8)</f>
        <v>0</v>
      </c>
      <c r="W8" s="450"/>
      <c r="X8" s="446">
        <f t="shared" ref="X8:X43" si="1">V8-W8</f>
        <v>0</v>
      </c>
      <c r="Z8" s="382" t="str">
        <f>'2'!Z8</f>
        <v>GHAZI</v>
      </c>
      <c r="AA8" s="464">
        <f>'2'!AE8</f>
        <v>0</v>
      </c>
      <c r="AB8" s="459"/>
      <c r="AC8" s="233">
        <f t="shared" ref="AC8:AC41" si="2">AA8+AB8</f>
        <v>0</v>
      </c>
      <c r="AD8" s="468"/>
      <c r="AE8" s="463">
        <f t="shared" ref="AE8:AE42" si="3">AC8-AD8</f>
        <v>0</v>
      </c>
      <c r="AF8" s="563">
        <f>'2'!AF8+'3'!AB8</f>
        <v>0</v>
      </c>
      <c r="AG8" s="233">
        <f>'2'!AG8+'3'!AD8</f>
        <v>0</v>
      </c>
      <c r="AI8" s="391" t="s">
        <v>126</v>
      </c>
      <c r="AJ8" s="392">
        <f>'2'!AJ10</f>
        <v>0</v>
      </c>
    </row>
    <row r="9" spans="1:36" ht="27" customHeight="1" thickTop="1">
      <c r="A9" s="719"/>
      <c r="B9" s="732"/>
      <c r="C9" s="348"/>
      <c r="D9" s="550"/>
      <c r="F9" s="479" t="str">
        <f>'2'!F9</f>
        <v>MAKKI BAKERY</v>
      </c>
      <c r="G9" s="406">
        <f>'CUSTOMERS REPORT'!Y56</f>
        <v>0</v>
      </c>
      <c r="H9" s="504">
        <f>'CUSTOMERS REPORT'!Z56</f>
        <v>0</v>
      </c>
      <c r="I9" s="406">
        <f>'CUSTOMERS REPORT'!AA56</f>
        <v>0</v>
      </c>
      <c r="J9" s="498">
        <f>'CUSTOMERS REPORT'!AB56</f>
        <v>0</v>
      </c>
      <c r="K9" s="498">
        <f>'CUSTOMERS REPORT'!AC56</f>
        <v>0</v>
      </c>
      <c r="L9" s="509">
        <f>'CUSTOMERS REPORT'!AD56</f>
        <v>0</v>
      </c>
      <c r="M9" s="414">
        <f>'2'!M9+'3'!G9</f>
        <v>0</v>
      </c>
      <c r="N9" s="412">
        <f>'2'!N9+'3'!J9</f>
        <v>0</v>
      </c>
      <c r="P9" s="432"/>
      <c r="Q9" s="436"/>
      <c r="S9" s="1037" t="str">
        <f>'2'!S9</f>
        <v>SUGAR</v>
      </c>
      <c r="T9" s="446">
        <f>'2'!X9</f>
        <v>0</v>
      </c>
      <c r="U9" s="456"/>
      <c r="V9" s="451">
        <f t="shared" si="0"/>
        <v>0</v>
      </c>
      <c r="W9" s="451"/>
      <c r="X9" s="447">
        <f t="shared" si="1"/>
        <v>0</v>
      </c>
      <c r="Z9" s="375" t="str">
        <f>'2'!Z9</f>
        <v>SOHNI</v>
      </c>
      <c r="AA9" s="464">
        <f>'2'!AE9</f>
        <v>0</v>
      </c>
      <c r="AB9" s="460"/>
      <c r="AC9" s="462">
        <f t="shared" si="2"/>
        <v>0</v>
      </c>
      <c r="AD9" s="469"/>
      <c r="AE9" s="348">
        <f t="shared" si="3"/>
        <v>0</v>
      </c>
      <c r="AF9" s="563">
        <f>'2'!AF9+'3'!AB9</f>
        <v>0</v>
      </c>
      <c r="AG9" s="234">
        <f>'2'!AG9+'3'!AD9</f>
        <v>0</v>
      </c>
      <c r="AI9" s="393" t="s">
        <v>128</v>
      </c>
      <c r="AJ9" s="394">
        <f>B26</f>
        <v>0</v>
      </c>
    </row>
    <row r="10" spans="1:36" ht="27" customHeight="1" thickBot="1">
      <c r="A10" s="719"/>
      <c r="B10" s="545"/>
      <c r="C10" s="350"/>
      <c r="D10" s="550"/>
      <c r="F10" s="479" t="str">
        <f>'2'!F10</f>
        <v>ABID HUSSAIN</v>
      </c>
      <c r="G10" s="406">
        <f>'CUSTOMERS REPORT'!Y94</f>
        <v>0</v>
      </c>
      <c r="H10" s="504">
        <f>'CUSTOMERS REPORT'!Z94</f>
        <v>0</v>
      </c>
      <c r="I10" s="406">
        <f>'CUSTOMERS REPORT'!AA94</f>
        <v>0</v>
      </c>
      <c r="J10" s="498">
        <f>'CUSTOMERS REPORT'!AB94</f>
        <v>0</v>
      </c>
      <c r="K10" s="498">
        <f>'CUSTOMERS REPORT'!AC94</f>
        <v>0</v>
      </c>
      <c r="L10" s="509">
        <f>'CUSTOMERS REPORT'!AD94</f>
        <v>0</v>
      </c>
      <c r="M10" s="414">
        <f>'2'!M10+'3'!G10</f>
        <v>0</v>
      </c>
      <c r="N10" s="412">
        <f>'2'!N10+'3'!J10</f>
        <v>0</v>
      </c>
      <c r="P10" s="433"/>
      <c r="Q10" s="437"/>
      <c r="S10" s="1037" t="str">
        <f>'2'!S10</f>
        <v>GHEE</v>
      </c>
      <c r="T10" s="446">
        <f>'2'!X10</f>
        <v>0</v>
      </c>
      <c r="U10" s="456"/>
      <c r="V10" s="451">
        <f t="shared" si="0"/>
        <v>0</v>
      </c>
      <c r="W10" s="451"/>
      <c r="X10" s="447">
        <f t="shared" si="1"/>
        <v>0</v>
      </c>
      <c r="Z10" s="375" t="str">
        <f>'2'!Z10</f>
        <v>HUSSAINI</v>
      </c>
      <c r="AA10" s="464">
        <f>'2'!AE10</f>
        <v>0</v>
      </c>
      <c r="AB10" s="460"/>
      <c r="AC10" s="462">
        <f t="shared" si="2"/>
        <v>0</v>
      </c>
      <c r="AD10" s="469"/>
      <c r="AE10" s="348">
        <f t="shared" si="3"/>
        <v>0</v>
      </c>
      <c r="AF10" s="563">
        <f>'2'!AF10+'3'!AB10</f>
        <v>0</v>
      </c>
      <c r="AG10" s="234">
        <f>'2'!AG10+'3'!AD10</f>
        <v>0</v>
      </c>
      <c r="AI10" s="395" t="s">
        <v>74</v>
      </c>
      <c r="AJ10" s="396">
        <f>AJ8+AJ9</f>
        <v>0</v>
      </c>
    </row>
    <row r="11" spans="1:36" ht="27" customHeight="1" thickTop="1">
      <c r="A11" s="719"/>
      <c r="B11" s="545"/>
      <c r="C11" s="350"/>
      <c r="D11" s="550"/>
      <c r="F11" s="479" t="str">
        <f>'2'!F11</f>
        <v>SHAHID 5 #</v>
      </c>
      <c r="G11" s="406">
        <f>'CUSTOMERS REPORT'!Y133</f>
        <v>0</v>
      </c>
      <c r="H11" s="504">
        <f>'CUSTOMERS REPORT'!Z133</f>
        <v>0</v>
      </c>
      <c r="I11" s="406">
        <f>'CUSTOMERS REPORT'!AA133</f>
        <v>0</v>
      </c>
      <c r="J11" s="498">
        <f>'CUSTOMERS REPORT'!AB133</f>
        <v>0</v>
      </c>
      <c r="K11" s="498">
        <f>'CUSTOMERS REPORT'!AC133</f>
        <v>0</v>
      </c>
      <c r="L11" s="509">
        <f>'CUSTOMERS REPORT'!AD133</f>
        <v>0</v>
      </c>
      <c r="M11" s="414">
        <f>'2'!M11+'3'!G11</f>
        <v>0</v>
      </c>
      <c r="N11" s="412">
        <f>'2'!N11+'3'!J11</f>
        <v>0</v>
      </c>
      <c r="P11" s="433"/>
      <c r="Q11" s="437"/>
      <c r="S11" s="1037" t="str">
        <f>'2'!S11</f>
        <v>YEAST</v>
      </c>
      <c r="T11" s="446">
        <f>'2'!X11</f>
        <v>0</v>
      </c>
      <c r="U11" s="456"/>
      <c r="V11" s="451">
        <f t="shared" si="0"/>
        <v>0</v>
      </c>
      <c r="W11" s="451"/>
      <c r="X11" s="447">
        <f t="shared" si="1"/>
        <v>0</v>
      </c>
      <c r="Z11" s="375" t="str">
        <f>'2'!Z11</f>
        <v>IMRAN ALAM</v>
      </c>
      <c r="AA11" s="464">
        <f>'2'!AE11</f>
        <v>0</v>
      </c>
      <c r="AB11" s="460"/>
      <c r="AC11" s="462">
        <f t="shared" si="2"/>
        <v>0</v>
      </c>
      <c r="AD11" s="469"/>
      <c r="AE11" s="348">
        <f t="shared" si="3"/>
        <v>0</v>
      </c>
      <c r="AF11" s="563">
        <f>'2'!AF11+'3'!AB11</f>
        <v>0</v>
      </c>
      <c r="AG11" s="234">
        <f>'2'!AG11+'3'!AD11</f>
        <v>0</v>
      </c>
      <c r="AI11" s="1031"/>
      <c r="AJ11" s="1032"/>
    </row>
    <row r="12" spans="1:36" ht="27" customHeight="1">
      <c r="A12" s="718"/>
      <c r="B12" s="545"/>
      <c r="C12" s="350"/>
      <c r="D12" s="550"/>
      <c r="F12" s="479" t="str">
        <f>'2'!F12</f>
        <v>ZULFIQAR</v>
      </c>
      <c r="G12" s="406">
        <f>'CUSTOMERS REPORT'!Y171</f>
        <v>0</v>
      </c>
      <c r="H12" s="504">
        <f>'CUSTOMERS REPORT'!Z171</f>
        <v>0</v>
      </c>
      <c r="I12" s="406">
        <f>'CUSTOMERS REPORT'!AA171</f>
        <v>0</v>
      </c>
      <c r="J12" s="498">
        <f>'CUSTOMERS REPORT'!AB171</f>
        <v>0</v>
      </c>
      <c r="K12" s="498">
        <f>'CUSTOMERS REPORT'!AC171</f>
        <v>0</v>
      </c>
      <c r="L12" s="509">
        <f>'CUSTOMERS REPORT'!AD171</f>
        <v>0</v>
      </c>
      <c r="M12" s="414">
        <f>'2'!M12+'3'!G12</f>
        <v>0</v>
      </c>
      <c r="N12" s="412">
        <f>'2'!N12+'3'!J12</f>
        <v>0</v>
      </c>
      <c r="P12" s="433"/>
      <c r="Q12" s="437"/>
      <c r="S12" s="1037" t="str">
        <f>'2'!S12</f>
        <v xml:space="preserve">EKKA </v>
      </c>
      <c r="T12" s="446">
        <f>'2'!X12</f>
        <v>0</v>
      </c>
      <c r="U12" s="456"/>
      <c r="V12" s="451">
        <f t="shared" si="0"/>
        <v>0</v>
      </c>
      <c r="W12" s="451"/>
      <c r="X12" s="447">
        <f t="shared" si="1"/>
        <v>0</v>
      </c>
      <c r="Z12" s="375" t="str">
        <f>'2'!Z12</f>
        <v>ZAHEER</v>
      </c>
      <c r="AA12" s="464">
        <f>'2'!AE12</f>
        <v>0</v>
      </c>
      <c r="AB12" s="460"/>
      <c r="AC12" s="462">
        <f t="shared" si="2"/>
        <v>0</v>
      </c>
      <c r="AD12" s="469"/>
      <c r="AE12" s="348">
        <f t="shared" si="3"/>
        <v>0</v>
      </c>
      <c r="AF12" s="563">
        <f>'2'!AF12+'3'!AB12</f>
        <v>0</v>
      </c>
      <c r="AG12" s="234">
        <f>'2'!AG12+'3'!AD12</f>
        <v>0</v>
      </c>
      <c r="AI12" s="1031"/>
      <c r="AJ12" s="1032"/>
    </row>
    <row r="13" spans="1:36" ht="27" customHeight="1">
      <c r="A13" s="718"/>
      <c r="B13" s="545"/>
      <c r="C13" s="350"/>
      <c r="D13" s="550"/>
      <c r="F13" s="479" t="str">
        <f>'2'!F13</f>
        <v>QASIM ORANGI</v>
      </c>
      <c r="G13" s="406">
        <f>'CUSTOMERS REPORT'!Y211</f>
        <v>0</v>
      </c>
      <c r="H13" s="504">
        <f>'CUSTOMERS REPORT'!Z211</f>
        <v>0</v>
      </c>
      <c r="I13" s="406">
        <f>'CUSTOMERS REPORT'!AA211</f>
        <v>0</v>
      </c>
      <c r="J13" s="498">
        <f>'CUSTOMERS REPORT'!AB211</f>
        <v>0</v>
      </c>
      <c r="K13" s="498">
        <f>'CUSTOMERS REPORT'!AC211</f>
        <v>0</v>
      </c>
      <c r="L13" s="509">
        <f>'CUSTOMERS REPORT'!AD211</f>
        <v>0</v>
      </c>
      <c r="M13" s="414">
        <f>'2'!M13+'3'!G13</f>
        <v>0</v>
      </c>
      <c r="N13" s="412">
        <f>'2'!N13+'3'!J13</f>
        <v>0</v>
      </c>
      <c r="P13" s="433"/>
      <c r="Q13" s="437"/>
      <c r="S13" s="1037" t="str">
        <f>'2'!S13</f>
        <v>VANILLA</v>
      </c>
      <c r="T13" s="446">
        <f>'2'!X13</f>
        <v>0</v>
      </c>
      <c r="U13" s="456"/>
      <c r="V13" s="451">
        <f t="shared" si="0"/>
        <v>0</v>
      </c>
      <c r="W13" s="451"/>
      <c r="X13" s="447">
        <f t="shared" si="1"/>
        <v>0</v>
      </c>
      <c r="Z13" s="375" t="str">
        <f>'2'!Z13</f>
        <v>FAISAL</v>
      </c>
      <c r="AA13" s="464">
        <f>'2'!AE13</f>
        <v>0</v>
      </c>
      <c r="AB13" s="460"/>
      <c r="AC13" s="462">
        <f t="shared" si="2"/>
        <v>0</v>
      </c>
      <c r="AD13" s="469"/>
      <c r="AE13" s="348">
        <f t="shared" si="3"/>
        <v>0</v>
      </c>
      <c r="AF13" s="563">
        <f>'2'!AF13+'3'!AB13</f>
        <v>0</v>
      </c>
      <c r="AG13" s="234">
        <f>'2'!AG13+'3'!AD13</f>
        <v>0</v>
      </c>
      <c r="AI13" s="1031"/>
      <c r="AJ13" s="1032"/>
    </row>
    <row r="14" spans="1:36" ht="27" customHeight="1">
      <c r="A14" s="718"/>
      <c r="B14" s="545"/>
      <c r="C14" s="350"/>
      <c r="D14" s="550"/>
      <c r="F14" s="479" t="str">
        <f>'2'!F14</f>
        <v>BADSHAH KHAN HYD</v>
      </c>
      <c r="G14" s="406">
        <f>'CUSTOMERS REPORT'!Y248</f>
        <v>0</v>
      </c>
      <c r="H14" s="504">
        <f>'CUSTOMERS REPORT'!Z248</f>
        <v>0</v>
      </c>
      <c r="I14" s="406">
        <f>'CUSTOMERS REPORT'!AA248</f>
        <v>0</v>
      </c>
      <c r="J14" s="498">
        <f>'CUSTOMERS REPORT'!AB248</f>
        <v>0</v>
      </c>
      <c r="K14" s="498">
        <f>'CUSTOMERS REPORT'!AC248</f>
        <v>0</v>
      </c>
      <c r="L14" s="509">
        <f>'CUSTOMERS REPORT'!AD248</f>
        <v>0</v>
      </c>
      <c r="M14" s="414">
        <f>'2'!M14+'3'!G14</f>
        <v>0</v>
      </c>
      <c r="N14" s="412">
        <f>'2'!N14+'3'!J14</f>
        <v>0</v>
      </c>
      <c r="P14" s="433"/>
      <c r="Q14" s="437"/>
      <c r="S14" s="1037" t="str">
        <f>'2'!S14</f>
        <v>COLOUR</v>
      </c>
      <c r="T14" s="446">
        <f>'2'!X14</f>
        <v>0</v>
      </c>
      <c r="U14" s="456"/>
      <c r="V14" s="451">
        <f t="shared" si="0"/>
        <v>0</v>
      </c>
      <c r="W14" s="451"/>
      <c r="X14" s="447">
        <f t="shared" si="1"/>
        <v>0</v>
      </c>
      <c r="Z14" s="375" t="str">
        <f>'2'!Z14</f>
        <v>RANA EKKA</v>
      </c>
      <c r="AA14" s="464">
        <f>'2'!AE14</f>
        <v>0</v>
      </c>
      <c r="AB14" s="460"/>
      <c r="AC14" s="462">
        <f t="shared" si="2"/>
        <v>0</v>
      </c>
      <c r="AD14" s="469"/>
      <c r="AE14" s="348">
        <f t="shared" si="3"/>
        <v>0</v>
      </c>
      <c r="AF14" s="563">
        <f>'2'!AF14+'3'!AB14</f>
        <v>0</v>
      </c>
      <c r="AG14" s="234">
        <f>'2'!AG14+'3'!AD14</f>
        <v>0</v>
      </c>
      <c r="AI14" s="1031"/>
      <c r="AJ14" s="1032"/>
    </row>
    <row r="15" spans="1:36" ht="27" customHeight="1">
      <c r="A15" s="718"/>
      <c r="B15" s="545"/>
      <c r="C15" s="350"/>
      <c r="D15" s="550"/>
      <c r="F15" s="479" t="str">
        <f>'2'!F15</f>
        <v>SHAMOON</v>
      </c>
      <c r="G15" s="406">
        <f>'CUSTOMERS REPORT'!Y288</f>
        <v>0</v>
      </c>
      <c r="H15" s="504">
        <f>'CUSTOMERS REPORT'!Z288</f>
        <v>0</v>
      </c>
      <c r="I15" s="406">
        <f>'CUSTOMERS REPORT'!AA288</f>
        <v>0</v>
      </c>
      <c r="J15" s="498">
        <f>'CUSTOMERS REPORT'!AB288</f>
        <v>0</v>
      </c>
      <c r="K15" s="498">
        <f>'CUSTOMERS REPORT'!AC288</f>
        <v>0</v>
      </c>
      <c r="L15" s="509">
        <f>'CUSTOMERS REPORT'!AD288</f>
        <v>0</v>
      </c>
      <c r="M15" s="414">
        <f>'2'!M15+'3'!G15</f>
        <v>0</v>
      </c>
      <c r="N15" s="412">
        <f>'2'!N15+'3'!J15</f>
        <v>0</v>
      </c>
      <c r="P15" s="433"/>
      <c r="Q15" s="437"/>
      <c r="S15" s="1037" t="str">
        <f>'2'!S15</f>
        <v>TILL</v>
      </c>
      <c r="T15" s="446">
        <f>'2'!X15</f>
        <v>0</v>
      </c>
      <c r="U15" s="456"/>
      <c r="V15" s="451">
        <f t="shared" si="0"/>
        <v>0</v>
      </c>
      <c r="W15" s="451"/>
      <c r="X15" s="447">
        <f t="shared" si="1"/>
        <v>0</v>
      </c>
      <c r="Z15" s="375" t="str">
        <f>'2'!Z15</f>
        <v>sheeba</v>
      </c>
      <c r="AA15" s="464">
        <f>'2'!AE15</f>
        <v>0</v>
      </c>
      <c r="AB15" s="460"/>
      <c r="AC15" s="462">
        <f t="shared" si="2"/>
        <v>0</v>
      </c>
      <c r="AD15" s="469"/>
      <c r="AE15" s="348">
        <f t="shared" si="3"/>
        <v>0</v>
      </c>
      <c r="AF15" s="563">
        <f>'2'!AF15+'3'!AB15</f>
        <v>0</v>
      </c>
      <c r="AG15" s="234">
        <f>'2'!AG15+'3'!AD15</f>
        <v>0</v>
      </c>
      <c r="AI15" s="1031"/>
      <c r="AJ15" s="1032"/>
    </row>
    <row r="16" spans="1:36" ht="27" customHeight="1">
      <c r="A16" s="718"/>
      <c r="B16" s="545"/>
      <c r="C16" s="350"/>
      <c r="D16" s="550"/>
      <c r="F16" s="479" t="str">
        <f>'2'!F16</f>
        <v>MATEEN</v>
      </c>
      <c r="G16" s="406">
        <f>'CUSTOMERS REPORT'!Y329</f>
        <v>0</v>
      </c>
      <c r="H16" s="504">
        <f>'CUSTOMERS REPORT'!Z329</f>
        <v>0</v>
      </c>
      <c r="I16" s="406">
        <f>'CUSTOMERS REPORT'!AA329</f>
        <v>0</v>
      </c>
      <c r="J16" s="498">
        <f>'CUSTOMERS REPORT'!AB329</f>
        <v>0</v>
      </c>
      <c r="K16" s="498">
        <f>'CUSTOMERS REPORT'!AC329</f>
        <v>0</v>
      </c>
      <c r="L16" s="509">
        <f>'CUSTOMERS REPORT'!AD329</f>
        <v>0</v>
      </c>
      <c r="M16" s="414">
        <f>'2'!M16+'3'!G16</f>
        <v>0</v>
      </c>
      <c r="N16" s="412">
        <f>'2'!N16+'3'!J16</f>
        <v>0</v>
      </c>
      <c r="P16" s="433"/>
      <c r="Q16" s="437"/>
      <c r="S16" s="1037" t="str">
        <f>'2'!S16</f>
        <v>ILLAICHI</v>
      </c>
      <c r="T16" s="446">
        <f>'2'!X16</f>
        <v>0</v>
      </c>
      <c r="U16" s="456"/>
      <c r="V16" s="451">
        <f t="shared" si="0"/>
        <v>0</v>
      </c>
      <c r="W16" s="451"/>
      <c r="X16" s="447">
        <f t="shared" si="1"/>
        <v>0</v>
      </c>
      <c r="Z16" s="375" t="str">
        <f>'2'!Z16</f>
        <v>COTTON</v>
      </c>
      <c r="AA16" s="464">
        <f>'2'!AE16</f>
        <v>0</v>
      </c>
      <c r="AB16" s="460"/>
      <c r="AC16" s="462">
        <f t="shared" si="2"/>
        <v>0</v>
      </c>
      <c r="AD16" s="469"/>
      <c r="AE16" s="348">
        <f t="shared" si="3"/>
        <v>0</v>
      </c>
      <c r="AF16" s="563">
        <f>'2'!AF16+'3'!AB16</f>
        <v>0</v>
      </c>
      <c r="AG16" s="234">
        <f>'2'!AG16+'3'!AD16</f>
        <v>0</v>
      </c>
      <c r="AI16" s="1031"/>
      <c r="AJ16" s="1032"/>
    </row>
    <row r="17" spans="1:36" ht="27" customHeight="1">
      <c r="A17" s="718"/>
      <c r="B17" s="545"/>
      <c r="C17" s="350"/>
      <c r="D17" s="550"/>
      <c r="F17" s="479" t="str">
        <f>'2'!F17</f>
        <v>AMJAD ORANGI</v>
      </c>
      <c r="G17" s="406">
        <f>'CUSTOMERS REPORT'!Y371</f>
        <v>0</v>
      </c>
      <c r="H17" s="504">
        <f>'CUSTOMERS REPORT'!Z371</f>
        <v>0</v>
      </c>
      <c r="I17" s="406">
        <f>'CUSTOMERS REPORT'!AA371</f>
        <v>0</v>
      </c>
      <c r="J17" s="498">
        <f>'CUSTOMERS REPORT'!AB371</f>
        <v>0</v>
      </c>
      <c r="K17" s="498">
        <f>'CUSTOMERS REPORT'!AC371</f>
        <v>0</v>
      </c>
      <c r="L17" s="509">
        <f>'CUSTOMERS REPORT'!AD371</f>
        <v>0</v>
      </c>
      <c r="M17" s="414">
        <f>'2'!M17+'3'!G17</f>
        <v>0</v>
      </c>
      <c r="N17" s="412">
        <f>'2'!N17+'3'!J17</f>
        <v>0</v>
      </c>
      <c r="P17" s="433"/>
      <c r="Q17" s="437"/>
      <c r="S17" s="1037" t="str">
        <f>'2'!S17</f>
        <v>S-THELLI</v>
      </c>
      <c r="T17" s="446">
        <f>'2'!X17</f>
        <v>0</v>
      </c>
      <c r="U17" s="456"/>
      <c r="V17" s="451">
        <f t="shared" si="0"/>
        <v>0</v>
      </c>
      <c r="W17" s="451"/>
      <c r="X17" s="447">
        <f t="shared" si="1"/>
        <v>0</v>
      </c>
      <c r="Z17" s="375" t="str">
        <f>'2'!Z17</f>
        <v>SHAHID UP</v>
      </c>
      <c r="AA17" s="464">
        <f>'2'!AE17</f>
        <v>0</v>
      </c>
      <c r="AB17" s="460"/>
      <c r="AC17" s="462">
        <f t="shared" si="2"/>
        <v>0</v>
      </c>
      <c r="AD17" s="469"/>
      <c r="AE17" s="348">
        <f t="shared" si="3"/>
        <v>0</v>
      </c>
      <c r="AF17" s="563">
        <f>'2'!AF17+'3'!AB17</f>
        <v>0</v>
      </c>
      <c r="AG17" s="234">
        <f>'2'!AG17+'3'!AD17</f>
        <v>0</v>
      </c>
      <c r="AI17" s="1031"/>
      <c r="AJ17" s="1032"/>
    </row>
    <row r="18" spans="1:36" ht="27" customHeight="1">
      <c r="A18" s="718"/>
      <c r="B18" s="545"/>
      <c r="C18" s="350"/>
      <c r="D18" s="550"/>
      <c r="F18" s="479" t="str">
        <f>'2'!F18</f>
        <v>HAFIZ DRIVER</v>
      </c>
      <c r="G18" s="406">
        <f>'CUSTOMERS REPORT'!Y410</f>
        <v>0</v>
      </c>
      <c r="H18" s="504">
        <f>'CUSTOMERS REPORT'!Z410</f>
        <v>0</v>
      </c>
      <c r="I18" s="406">
        <f>'CUSTOMERS REPORT'!AA410</f>
        <v>0</v>
      </c>
      <c r="J18" s="498">
        <f>'CUSTOMERS REPORT'!AB410</f>
        <v>0</v>
      </c>
      <c r="K18" s="498">
        <f>'CUSTOMERS REPORT'!AC410</f>
        <v>0</v>
      </c>
      <c r="L18" s="509">
        <f>'CUSTOMERS REPORT'!AD410</f>
        <v>0</v>
      </c>
      <c r="M18" s="414">
        <f>'2'!M18+'3'!G18</f>
        <v>0</v>
      </c>
      <c r="N18" s="412">
        <f>'2'!N18+'3'!J18</f>
        <v>0</v>
      </c>
      <c r="P18" s="433"/>
      <c r="Q18" s="437"/>
      <c r="S18" s="1037" t="str">
        <f>'2'!S18</f>
        <v>P-THELLI</v>
      </c>
      <c r="T18" s="446">
        <f>'2'!X18</f>
        <v>0</v>
      </c>
      <c r="U18" s="456"/>
      <c r="V18" s="451">
        <f t="shared" si="0"/>
        <v>0</v>
      </c>
      <c r="W18" s="451"/>
      <c r="X18" s="447">
        <f t="shared" si="1"/>
        <v>0</v>
      </c>
      <c r="Z18" s="375" t="str">
        <f>'2'!Z18</f>
        <v>SALT</v>
      </c>
      <c r="AA18" s="464">
        <f>'2'!AE18</f>
        <v>0</v>
      </c>
      <c r="AB18" s="460"/>
      <c r="AC18" s="462">
        <f t="shared" si="2"/>
        <v>0</v>
      </c>
      <c r="AD18" s="469"/>
      <c r="AE18" s="348">
        <f t="shared" si="3"/>
        <v>0</v>
      </c>
      <c r="AF18" s="563">
        <f>'2'!AF18+'3'!AB18</f>
        <v>0</v>
      </c>
      <c r="AG18" s="234">
        <f>'2'!AG18+'3'!AD18</f>
        <v>0</v>
      </c>
      <c r="AI18" s="1031"/>
      <c r="AJ18" s="1032"/>
    </row>
    <row r="19" spans="1:36" ht="27" customHeight="1" thickBot="1">
      <c r="A19" s="719"/>
      <c r="B19" s="546"/>
      <c r="C19" s="350"/>
      <c r="D19" s="550"/>
      <c r="F19" s="479" t="str">
        <f>'2'!F19</f>
        <v>GHULAM QUETTA</v>
      </c>
      <c r="G19" s="406">
        <f>'CUSTOMERS REPORT'!Y448</f>
        <v>0</v>
      </c>
      <c r="H19" s="504">
        <f>'CUSTOMERS REPORT'!Z448</f>
        <v>0</v>
      </c>
      <c r="I19" s="406">
        <f>'CUSTOMERS REPORT'!AA448</f>
        <v>0</v>
      </c>
      <c r="J19" s="498">
        <f>'CUSTOMERS REPORT'!AB448</f>
        <v>0</v>
      </c>
      <c r="K19" s="498">
        <f>'CUSTOMERS REPORT'!AC448</f>
        <v>0</v>
      </c>
      <c r="L19" s="509">
        <f>'CUSTOMERS REPORT'!AD448</f>
        <v>0</v>
      </c>
      <c r="M19" s="414">
        <f>'2'!M19+'3'!G19</f>
        <v>0</v>
      </c>
      <c r="N19" s="412">
        <f>'2'!N19+'3'!J19</f>
        <v>0</v>
      </c>
      <c r="P19" s="433"/>
      <c r="Q19" s="437"/>
      <c r="S19" s="1037" t="str">
        <f>'2'!S19</f>
        <v>RUBBER</v>
      </c>
      <c r="T19" s="446">
        <f>'2'!X19</f>
        <v>0</v>
      </c>
      <c r="U19" s="456"/>
      <c r="V19" s="451">
        <f t="shared" si="0"/>
        <v>0</v>
      </c>
      <c r="W19" s="451"/>
      <c r="X19" s="447">
        <f t="shared" si="1"/>
        <v>0</v>
      </c>
      <c r="Z19" s="375" t="str">
        <f>'2'!Z19</f>
        <v>NAVEED</v>
      </c>
      <c r="AA19" s="464">
        <f>'2'!AE19</f>
        <v>0</v>
      </c>
      <c r="AB19" s="460"/>
      <c r="AC19" s="462">
        <f t="shared" si="2"/>
        <v>0</v>
      </c>
      <c r="AD19" s="469"/>
      <c r="AE19" s="348">
        <f t="shared" si="3"/>
        <v>0</v>
      </c>
      <c r="AF19" s="563">
        <f>'2'!AF19+'3'!AB19</f>
        <v>0</v>
      </c>
      <c r="AG19" s="234">
        <f>'2'!AG19+'3'!AD19</f>
        <v>0</v>
      </c>
    </row>
    <row r="20" spans="1:36" ht="27" customHeight="1" thickTop="1" thickBot="1">
      <c r="A20" s="719"/>
      <c r="B20" s="546"/>
      <c r="C20" s="350"/>
      <c r="D20" s="550"/>
      <c r="F20" s="479" t="str">
        <f>'2'!F20</f>
        <v>HUSSAN GWADAR</v>
      </c>
      <c r="G20" s="406">
        <f>'CUSTOMERS REPORT'!Y484</f>
        <v>0</v>
      </c>
      <c r="H20" s="504">
        <f>'CUSTOMERS REPORT'!Z484</f>
        <v>0</v>
      </c>
      <c r="I20" s="406">
        <f>'CUSTOMERS REPORT'!AA484</f>
        <v>0</v>
      </c>
      <c r="J20" s="498">
        <f>'CUSTOMERS REPORT'!AB484</f>
        <v>0</v>
      </c>
      <c r="K20" s="498">
        <f>'CUSTOMERS REPORT'!AC484</f>
        <v>0</v>
      </c>
      <c r="L20" s="509">
        <f>'CUSTOMERS REPORT'!AD484</f>
        <v>0</v>
      </c>
      <c r="M20" s="414">
        <f>'2'!M20+'3'!G20</f>
        <v>0</v>
      </c>
      <c r="N20" s="412">
        <f>'2'!N20+'3'!J20</f>
        <v>0</v>
      </c>
      <c r="P20" s="433"/>
      <c r="Q20" s="437"/>
      <c r="S20" s="1037" t="str">
        <f>'2'!S20</f>
        <v>SALT</v>
      </c>
      <c r="T20" s="446">
        <f>'2'!X20</f>
        <v>0</v>
      </c>
      <c r="U20" s="456"/>
      <c r="V20" s="451">
        <f t="shared" si="0"/>
        <v>0</v>
      </c>
      <c r="W20" s="451"/>
      <c r="X20" s="447">
        <f t="shared" si="1"/>
        <v>0</v>
      </c>
      <c r="Z20" s="375" t="str">
        <f>'2'!Z20</f>
        <v>YOUSUF BHAI</v>
      </c>
      <c r="AA20" s="464">
        <f>'2'!AE20</f>
        <v>0</v>
      </c>
      <c r="AB20" s="460"/>
      <c r="AC20" s="462">
        <f t="shared" si="2"/>
        <v>0</v>
      </c>
      <c r="AD20" s="469"/>
      <c r="AE20" s="348">
        <f t="shared" si="3"/>
        <v>0</v>
      </c>
      <c r="AF20" s="563">
        <f>'2'!AF20+'3'!AB20</f>
        <v>0</v>
      </c>
      <c r="AG20" s="234">
        <f>'2'!AG20+'3'!AD20</f>
        <v>0</v>
      </c>
      <c r="AI20" s="1487" t="s">
        <v>132</v>
      </c>
      <c r="AJ20" s="1488"/>
    </row>
    <row r="21" spans="1:36" ht="27" customHeight="1" thickTop="1" thickBot="1">
      <c r="A21" s="720"/>
      <c r="B21" s="547"/>
      <c r="C21" s="531"/>
      <c r="D21" s="553"/>
      <c r="F21" s="479" t="str">
        <f>'2'!F21</f>
        <v>AQASH S KOT</v>
      </c>
      <c r="G21" s="406">
        <f>'CUSTOMERS REPORT'!Y521</f>
        <v>0</v>
      </c>
      <c r="H21" s="504">
        <f>'CUSTOMERS REPORT'!Z521</f>
        <v>0</v>
      </c>
      <c r="I21" s="406">
        <f>'CUSTOMERS REPORT'!AA521</f>
        <v>0</v>
      </c>
      <c r="J21" s="498">
        <f>'CUSTOMERS REPORT'!AB521</f>
        <v>0</v>
      </c>
      <c r="K21" s="498">
        <f>'CUSTOMERS REPORT'!AC521</f>
        <v>0</v>
      </c>
      <c r="L21" s="509">
        <f>'CUSTOMERS REPORT'!AD521</f>
        <v>0</v>
      </c>
      <c r="M21" s="414">
        <f>'2'!M21+'3'!G21</f>
        <v>0</v>
      </c>
      <c r="N21" s="412">
        <f>'2'!N21+'3'!J21</f>
        <v>0</v>
      </c>
      <c r="P21" s="433"/>
      <c r="Q21" s="435"/>
      <c r="S21" s="1037" t="str">
        <f>'2'!S21</f>
        <v>TAPE</v>
      </c>
      <c r="T21" s="446">
        <f>'2'!X21</f>
        <v>0</v>
      </c>
      <c r="U21" s="456"/>
      <c r="V21" s="451">
        <f t="shared" si="0"/>
        <v>0</v>
      </c>
      <c r="W21" s="451"/>
      <c r="X21" s="447">
        <f t="shared" si="1"/>
        <v>0</v>
      </c>
      <c r="Z21" s="375" t="str">
        <f>'2'!Z21</f>
        <v>SULEMAN  PRINT</v>
      </c>
      <c r="AA21" s="464">
        <f>'2'!AE21</f>
        <v>0</v>
      </c>
      <c r="AB21" s="460"/>
      <c r="AC21" s="462">
        <f t="shared" si="2"/>
        <v>0</v>
      </c>
      <c r="AD21" s="469"/>
      <c r="AE21" s="348">
        <f t="shared" si="3"/>
        <v>0</v>
      </c>
      <c r="AF21" s="563">
        <f>'2'!AF21+'3'!AB21</f>
        <v>0</v>
      </c>
      <c r="AG21" s="234">
        <f>'2'!AG21+'3'!AD21</f>
        <v>0</v>
      </c>
      <c r="AI21" s="391" t="s">
        <v>126</v>
      </c>
      <c r="AJ21" s="392">
        <f>'2'!AJ23</f>
        <v>0</v>
      </c>
    </row>
    <row r="22" spans="1:36" ht="27" customHeight="1" thickTop="1" thickBot="1">
      <c r="A22" s="486" t="s">
        <v>74</v>
      </c>
      <c r="B22" s="533">
        <f>SUM(B8:B21)</f>
        <v>0</v>
      </c>
      <c r="C22" s="534">
        <f>'2'!D22</f>
        <v>0</v>
      </c>
      <c r="D22" s="535">
        <f t="shared" ref="D22" si="4">B22+C22</f>
        <v>0</v>
      </c>
      <c r="F22" s="479" t="str">
        <f>'2'!F22</f>
        <v>SALEEM T JAM</v>
      </c>
      <c r="G22" s="406">
        <f>'CUSTOMERS REPORT'!Y559</f>
        <v>0</v>
      </c>
      <c r="H22" s="504">
        <f>'CUSTOMERS REPORT'!Z559</f>
        <v>0</v>
      </c>
      <c r="I22" s="406">
        <f>'CUSTOMERS REPORT'!AA559</f>
        <v>0</v>
      </c>
      <c r="J22" s="498">
        <f>'CUSTOMERS REPORT'!AB559</f>
        <v>0</v>
      </c>
      <c r="K22" s="498">
        <f>'CUSTOMERS REPORT'!AC559</f>
        <v>0</v>
      </c>
      <c r="L22" s="509">
        <f>'CUSTOMERS REPORT'!AD559</f>
        <v>0</v>
      </c>
      <c r="M22" s="414">
        <f>'2'!M22+'3'!G22</f>
        <v>0</v>
      </c>
      <c r="N22" s="412">
        <f>'2'!N22+'3'!J22</f>
        <v>0</v>
      </c>
      <c r="P22" s="433"/>
      <c r="Q22" s="438"/>
      <c r="S22" s="1037" t="str">
        <f>'2'!S22</f>
        <v>COTTON</v>
      </c>
      <c r="T22" s="446">
        <f>'2'!X22</f>
        <v>0</v>
      </c>
      <c r="U22" s="456"/>
      <c r="V22" s="451">
        <f t="shared" si="0"/>
        <v>0</v>
      </c>
      <c r="W22" s="451"/>
      <c r="X22" s="447">
        <f t="shared" si="1"/>
        <v>0</v>
      </c>
      <c r="Z22" s="375" t="str">
        <f>'2'!Z22</f>
        <v>IRFAN VANILA</v>
      </c>
      <c r="AA22" s="464">
        <f>'2'!AE22</f>
        <v>0</v>
      </c>
      <c r="AB22" s="460"/>
      <c r="AC22" s="462">
        <f t="shared" si="2"/>
        <v>0</v>
      </c>
      <c r="AD22" s="469"/>
      <c r="AE22" s="348">
        <f t="shared" si="3"/>
        <v>0</v>
      </c>
      <c r="AF22" s="563">
        <f>'2'!AF22+'3'!AB22</f>
        <v>0</v>
      </c>
      <c r="AG22" s="234">
        <f>'2'!AG22+'3'!AD22</f>
        <v>0</v>
      </c>
      <c r="AI22" s="393">
        <f>R56</f>
        <v>0</v>
      </c>
      <c r="AJ22" s="394">
        <f>R56*1800</f>
        <v>0</v>
      </c>
    </row>
    <row r="23" spans="1:36" ht="27" customHeight="1" thickTop="1" thickBot="1">
      <c r="A23" s="715" t="str">
        <f>'2'!A23</f>
        <v>OFFICE FOOD</v>
      </c>
      <c r="B23" s="462"/>
      <c r="C23" s="536">
        <f>'2'!D23</f>
        <v>0</v>
      </c>
      <c r="D23" s="537">
        <f t="shared" ref="D23:D48" si="5">B23+C23</f>
        <v>0</v>
      </c>
      <c r="F23" s="479" t="str">
        <f>'2'!F23</f>
        <v>JAMSHAD BADEEN</v>
      </c>
      <c r="G23" s="406">
        <f>'CUSTOMERS REPORT'!Y595</f>
        <v>0</v>
      </c>
      <c r="H23" s="504">
        <f>'CUSTOMERS REPORT'!Z595</f>
        <v>0</v>
      </c>
      <c r="I23" s="406">
        <f>'CUSTOMERS REPORT'!AA595</f>
        <v>0</v>
      </c>
      <c r="J23" s="498">
        <f>'CUSTOMERS REPORT'!AB595</f>
        <v>0</v>
      </c>
      <c r="K23" s="498">
        <f>'CUSTOMERS REPORT'!AC595</f>
        <v>0</v>
      </c>
      <c r="L23" s="509">
        <f>'CUSTOMERS REPORT'!AD595</f>
        <v>0</v>
      </c>
      <c r="M23" s="414">
        <f>'2'!M23+'3'!G23</f>
        <v>0</v>
      </c>
      <c r="N23" s="412">
        <f>'2'!N23+'3'!J23</f>
        <v>0</v>
      </c>
      <c r="P23" s="190" t="s">
        <v>48</v>
      </c>
      <c r="Q23" s="439">
        <f>SUM(Q8:Q22)</f>
        <v>0</v>
      </c>
      <c r="S23" s="1037" t="str">
        <f>'2'!S23</f>
        <v>WHITE 6</v>
      </c>
      <c r="T23" s="446">
        <f>'2'!X23</f>
        <v>0</v>
      </c>
      <c r="U23" s="456"/>
      <c r="V23" s="451">
        <f t="shared" si="0"/>
        <v>0</v>
      </c>
      <c r="W23" s="451"/>
      <c r="X23" s="447">
        <f t="shared" si="1"/>
        <v>0</v>
      </c>
      <c r="Z23" s="375" t="str">
        <f>'2'!Z23</f>
        <v>IRANI GHEE</v>
      </c>
      <c r="AA23" s="464">
        <f>'2'!AE23</f>
        <v>0</v>
      </c>
      <c r="AB23" s="460"/>
      <c r="AC23" s="462">
        <f t="shared" si="2"/>
        <v>0</v>
      </c>
      <c r="AD23" s="469"/>
      <c r="AE23" s="348">
        <f t="shared" si="3"/>
        <v>0</v>
      </c>
      <c r="AF23" s="563">
        <f>'2'!AF23+'3'!AB23</f>
        <v>0</v>
      </c>
      <c r="AG23" s="234">
        <f>'2'!AG23+'3'!AD23</f>
        <v>0</v>
      </c>
      <c r="AI23" s="395" t="s">
        <v>74</v>
      </c>
      <c r="AJ23" s="396">
        <f>AJ21+AJ22</f>
        <v>0</v>
      </c>
    </row>
    <row r="24" spans="1:36" ht="27" customHeight="1" thickTop="1" thickBot="1">
      <c r="A24" s="715" t="str">
        <f>'2'!A24</f>
        <v>LABOUR FOOD EXP</v>
      </c>
      <c r="B24" s="234"/>
      <c r="C24" s="348">
        <f>'2'!D24</f>
        <v>0</v>
      </c>
      <c r="D24" s="234">
        <f t="shared" si="5"/>
        <v>0</v>
      </c>
      <c r="F24" s="479" t="str">
        <f>'2'!F24</f>
        <v>SARFAZ MP</v>
      </c>
      <c r="G24" s="406">
        <f>'CUSTOMERS REPORT'!Y633</f>
        <v>0</v>
      </c>
      <c r="H24" s="504">
        <f>'CUSTOMERS REPORT'!Z633</f>
        <v>0</v>
      </c>
      <c r="I24" s="406">
        <f>'CUSTOMERS REPORT'!AA633</f>
        <v>0</v>
      </c>
      <c r="J24" s="498">
        <f>'CUSTOMERS REPORT'!AB633</f>
        <v>0</v>
      </c>
      <c r="K24" s="498">
        <f>'CUSTOMERS REPORT'!AC633</f>
        <v>0</v>
      </c>
      <c r="L24" s="509">
        <f>'CUSTOMERS REPORT'!AD633</f>
        <v>0</v>
      </c>
      <c r="M24" s="414">
        <f>'2'!M24+'3'!G24</f>
        <v>0</v>
      </c>
      <c r="N24" s="412">
        <f>'2'!N24+'3'!J24</f>
        <v>0</v>
      </c>
      <c r="P24" s="1514" t="s">
        <v>137</v>
      </c>
      <c r="Q24" s="1514"/>
      <c r="R24" t="s">
        <v>1</v>
      </c>
      <c r="S24" s="1037" t="str">
        <f>'2'!S24</f>
        <v>ORANGE</v>
      </c>
      <c r="T24" s="446">
        <f>'2'!X24</f>
        <v>0</v>
      </c>
      <c r="U24" s="456"/>
      <c r="V24" s="451">
        <f t="shared" si="0"/>
        <v>0</v>
      </c>
      <c r="W24" s="451"/>
      <c r="X24" s="447">
        <f t="shared" si="1"/>
        <v>0</v>
      </c>
      <c r="Z24" s="375">
        <f>'2'!Z24</f>
        <v>0</v>
      </c>
      <c r="AA24" s="464">
        <f>'2'!AE24</f>
        <v>0</v>
      </c>
      <c r="AB24" s="460"/>
      <c r="AC24" s="462">
        <f t="shared" si="2"/>
        <v>0</v>
      </c>
      <c r="AD24" s="469"/>
      <c r="AE24" s="348">
        <f t="shared" si="3"/>
        <v>0</v>
      </c>
      <c r="AF24" s="563">
        <f>'2'!AF24+'3'!AB24</f>
        <v>0</v>
      </c>
      <c r="AG24" s="234">
        <f>'2'!AG24+'3'!AD24</f>
        <v>0</v>
      </c>
    </row>
    <row r="25" spans="1:36" ht="27" customHeight="1" thickTop="1" thickBot="1">
      <c r="A25" s="715" t="str">
        <f>'2'!A25</f>
        <v>OFFICE SALARY</v>
      </c>
      <c r="B25" s="234"/>
      <c r="C25" s="348">
        <f>'2'!D25</f>
        <v>0</v>
      </c>
      <c r="D25" s="234">
        <f t="shared" si="5"/>
        <v>0</v>
      </c>
      <c r="F25" s="479" t="str">
        <f>'2'!F25</f>
        <v>AFZAL MATLI</v>
      </c>
      <c r="G25" s="406">
        <f>'CUSTOMERS REPORT'!Y671</f>
        <v>0</v>
      </c>
      <c r="H25" s="504">
        <f>'CUSTOMERS REPORT'!Z671</f>
        <v>0</v>
      </c>
      <c r="I25" s="406">
        <f>'CUSTOMERS REPORT'!AA671</f>
        <v>0</v>
      </c>
      <c r="J25" s="498">
        <f>'CUSTOMERS REPORT'!AB671</f>
        <v>0</v>
      </c>
      <c r="K25" s="498">
        <f>'CUSTOMERS REPORT'!AC671</f>
        <v>0</v>
      </c>
      <c r="L25" s="509">
        <f>'CUSTOMERS REPORT'!AD671</f>
        <v>0</v>
      </c>
      <c r="M25" s="414">
        <f>'2'!M25+'3'!G25</f>
        <v>0</v>
      </c>
      <c r="N25" s="412">
        <f>'2'!N25+'3'!J25</f>
        <v>0</v>
      </c>
      <c r="P25" s="434"/>
      <c r="Q25" s="440"/>
      <c r="S25" s="1037" t="str">
        <f>'2'!S25</f>
        <v>MAKKI 7</v>
      </c>
      <c r="T25" s="446">
        <f>'2'!X25</f>
        <v>0</v>
      </c>
      <c r="U25" s="888"/>
      <c r="V25" s="451">
        <f t="shared" si="0"/>
        <v>0</v>
      </c>
      <c r="W25" s="451"/>
      <c r="X25" s="447">
        <f t="shared" si="1"/>
        <v>0</v>
      </c>
      <c r="Z25" s="375">
        <f>'2'!Z25</f>
        <v>0</v>
      </c>
      <c r="AA25" s="464">
        <f>'2'!AE25</f>
        <v>0</v>
      </c>
      <c r="AB25" s="460"/>
      <c r="AC25" s="462">
        <f t="shared" si="2"/>
        <v>0</v>
      </c>
      <c r="AD25" s="469"/>
      <c r="AE25" s="348">
        <f t="shared" si="3"/>
        <v>0</v>
      </c>
      <c r="AF25" s="563">
        <f>'2'!AF25+'3'!AB25</f>
        <v>0</v>
      </c>
      <c r="AG25" s="234">
        <f>'2'!AG25+'3'!AD25</f>
        <v>0</v>
      </c>
      <c r="AI25" s="397" t="s">
        <v>59</v>
      </c>
      <c r="AJ25" s="398">
        <f>AJ23-AJ10</f>
        <v>0</v>
      </c>
    </row>
    <row r="26" spans="1:36" ht="27" customHeight="1" thickTop="1">
      <c r="A26" s="715" t="str">
        <f>'2'!A26</f>
        <v>LABOUR SALARY</v>
      </c>
      <c r="B26" s="234"/>
      <c r="C26" s="348">
        <f>'2'!D26</f>
        <v>0</v>
      </c>
      <c r="D26" s="234">
        <f t="shared" si="5"/>
        <v>0</v>
      </c>
      <c r="F26" s="479" t="str">
        <f>'2'!F26</f>
        <v xml:space="preserve">ABDUL RASHEED </v>
      </c>
      <c r="G26" s="406">
        <f>'CUSTOMERS REPORT'!Y709</f>
        <v>0</v>
      </c>
      <c r="H26" s="504">
        <f>'CUSTOMERS REPORT'!Z709</f>
        <v>0</v>
      </c>
      <c r="I26" s="406">
        <f>'CUSTOMERS REPORT'!AA709</f>
        <v>0</v>
      </c>
      <c r="J26" s="498">
        <f>'CUSTOMERS REPORT'!AB709</f>
        <v>0</v>
      </c>
      <c r="K26" s="498">
        <f>'CUSTOMERS REPORT'!AC709</f>
        <v>0</v>
      </c>
      <c r="L26" s="509">
        <f>'CUSTOMERS REPORT'!AD709</f>
        <v>0</v>
      </c>
      <c r="M26" s="414">
        <f>'2'!M26+'3'!G26</f>
        <v>0</v>
      </c>
      <c r="N26" s="412">
        <f>'2'!N26+'3'!J26</f>
        <v>0</v>
      </c>
      <c r="P26" s="433"/>
      <c r="Q26" s="438"/>
      <c r="R26" t="s">
        <v>1</v>
      </c>
      <c r="S26" s="1037" t="str">
        <f>'2'!S26</f>
        <v>BLUE 125 GM</v>
      </c>
      <c r="T26" s="446">
        <f>'2'!X26</f>
        <v>0</v>
      </c>
      <c r="U26" s="456"/>
      <c r="V26" s="451">
        <f t="shared" si="0"/>
        <v>0</v>
      </c>
      <c r="W26" s="451"/>
      <c r="X26" s="447">
        <f t="shared" si="1"/>
        <v>0</v>
      </c>
      <c r="Z26" s="375">
        <f>'2'!Z26</f>
        <v>0</v>
      </c>
      <c r="AA26" s="464">
        <f>'2'!AE26</f>
        <v>0</v>
      </c>
      <c r="AB26" s="460"/>
      <c r="AC26" s="462">
        <f t="shared" si="2"/>
        <v>0</v>
      </c>
      <c r="AD26" s="469"/>
      <c r="AE26" s="348">
        <f t="shared" si="3"/>
        <v>0</v>
      </c>
      <c r="AF26" s="563">
        <f>'2'!AF26+'3'!AB26</f>
        <v>0</v>
      </c>
      <c r="AG26" s="234">
        <f>'2'!AG26+'3'!AD26</f>
        <v>0</v>
      </c>
    </row>
    <row r="27" spans="1:36" ht="27" customHeight="1">
      <c r="A27" s="715" t="str">
        <f>'2'!A27</f>
        <v>SHAHZORE</v>
      </c>
      <c r="B27" s="234"/>
      <c r="C27" s="348">
        <f>'2'!D27</f>
        <v>0</v>
      </c>
      <c r="D27" s="234">
        <f t="shared" si="5"/>
        <v>0</v>
      </c>
      <c r="F27" s="479" t="str">
        <f>'2'!F27</f>
        <v>SALEEM ORANGI</v>
      </c>
      <c r="G27" s="406">
        <f>'CUSTOMERS REPORT'!Y747</f>
        <v>0</v>
      </c>
      <c r="H27" s="504">
        <f>'CUSTOMERS REPORT'!Z747</f>
        <v>0</v>
      </c>
      <c r="I27" s="406">
        <f>'CUSTOMERS REPORT'!AA747</f>
        <v>0</v>
      </c>
      <c r="J27" s="498">
        <f>'CUSTOMERS REPORT'!AB747</f>
        <v>0</v>
      </c>
      <c r="K27" s="498">
        <f>'CUSTOMERS REPORT'!AC747</f>
        <v>0</v>
      </c>
      <c r="L27" s="509">
        <f>'CUSTOMERS REPORT'!AD747</f>
        <v>0</v>
      </c>
      <c r="M27" s="414">
        <f>'2'!M27+'3'!G27</f>
        <v>0</v>
      </c>
      <c r="N27" s="412">
        <f>'2'!N27+'3'!J27</f>
        <v>0</v>
      </c>
      <c r="P27" s="433"/>
      <c r="Q27" s="435"/>
      <c r="R27" t="s">
        <v>1</v>
      </c>
      <c r="S27" s="1037" t="str">
        <f>'2'!S27</f>
        <v>MAKKI 5</v>
      </c>
      <c r="T27" s="446">
        <f>'2'!X27</f>
        <v>0</v>
      </c>
      <c r="U27" s="456"/>
      <c r="V27" s="451">
        <f t="shared" si="0"/>
        <v>0</v>
      </c>
      <c r="W27" s="451"/>
      <c r="X27" s="447">
        <f t="shared" si="1"/>
        <v>0</v>
      </c>
      <c r="Z27" s="375">
        <f>'2'!Z27</f>
        <v>0</v>
      </c>
      <c r="AA27" s="464">
        <f>'2'!AE27</f>
        <v>0</v>
      </c>
      <c r="AB27" s="460"/>
      <c r="AC27" s="462">
        <f t="shared" si="2"/>
        <v>0</v>
      </c>
      <c r="AD27" s="469"/>
      <c r="AE27" s="348">
        <f t="shared" si="3"/>
        <v>0</v>
      </c>
      <c r="AF27" s="563">
        <f>'2'!AF27+'3'!AB27</f>
        <v>0</v>
      </c>
      <c r="AG27" s="234">
        <f>'2'!AG27+'3'!AD27</f>
        <v>0</v>
      </c>
    </row>
    <row r="28" spans="1:36" ht="27" customHeight="1">
      <c r="A28" s="715" t="str">
        <f>'2'!A28</f>
        <v>GENERATOR</v>
      </c>
      <c r="B28" s="234"/>
      <c r="C28" s="348">
        <f>'2'!D28</f>
        <v>0</v>
      </c>
      <c r="D28" s="234">
        <f t="shared" si="5"/>
        <v>0</v>
      </c>
      <c r="F28" s="479" t="str">
        <f>'2'!F28</f>
        <v>AYAZ OUSTA</v>
      </c>
      <c r="G28" s="406">
        <f>'CUSTOMERS REPORT'!Y785</f>
        <v>0</v>
      </c>
      <c r="H28" s="504">
        <f>'CUSTOMERS REPORT'!Z785</f>
        <v>0</v>
      </c>
      <c r="I28" s="406">
        <f>'CUSTOMERS REPORT'!AA785</f>
        <v>0</v>
      </c>
      <c r="J28" s="498">
        <f>'CUSTOMERS REPORT'!AB785</f>
        <v>0</v>
      </c>
      <c r="K28" s="498">
        <f>'CUSTOMERS REPORT'!AC785</f>
        <v>0</v>
      </c>
      <c r="L28" s="509">
        <f>'CUSTOMERS REPORT'!AD785</f>
        <v>0</v>
      </c>
      <c r="M28" s="414">
        <f>'2'!M28+'3'!G28</f>
        <v>0</v>
      </c>
      <c r="N28" s="412">
        <f>'2'!N28+'3'!J28</f>
        <v>0</v>
      </c>
      <c r="P28" s="433"/>
      <c r="Q28" s="438"/>
      <c r="S28" s="1037" t="str">
        <f>'2'!S28</f>
        <v>MAKKI 2 PES</v>
      </c>
      <c r="T28" s="446">
        <f>'2'!X28</f>
        <v>0</v>
      </c>
      <c r="U28" s="456"/>
      <c r="V28" s="451">
        <f t="shared" si="0"/>
        <v>0</v>
      </c>
      <c r="W28" s="451"/>
      <c r="X28" s="447">
        <f t="shared" si="1"/>
        <v>0</v>
      </c>
      <c r="Z28" s="375">
        <f>'2'!Z28</f>
        <v>0</v>
      </c>
      <c r="AA28" s="464">
        <f>'2'!AE28</f>
        <v>0</v>
      </c>
      <c r="AB28" s="460"/>
      <c r="AC28" s="462">
        <f t="shared" si="2"/>
        <v>0</v>
      </c>
      <c r="AD28" s="469"/>
      <c r="AE28" s="348">
        <f t="shared" si="3"/>
        <v>0</v>
      </c>
      <c r="AF28" s="563">
        <f>'2'!AF28+'3'!AB28</f>
        <v>0</v>
      </c>
      <c r="AG28" s="234">
        <f>'2'!AG28+'3'!AD28</f>
        <v>0</v>
      </c>
    </row>
    <row r="29" spans="1:36" ht="27" customHeight="1">
      <c r="A29" s="715" t="str">
        <f>'2'!A29</f>
        <v>PATROL FAW</v>
      </c>
      <c r="B29" s="234"/>
      <c r="C29" s="348">
        <f>'2'!D29</f>
        <v>0</v>
      </c>
      <c r="D29" s="234">
        <f t="shared" si="5"/>
        <v>0</v>
      </c>
      <c r="F29" s="479" t="str">
        <f>'2'!F29</f>
        <v>AZHAR BADEEN</v>
      </c>
      <c r="G29" s="406">
        <f>'CUSTOMERS REPORT'!Y823</f>
        <v>0</v>
      </c>
      <c r="H29" s="504">
        <f>'CUSTOMERS REPORT'!Z823</f>
        <v>0</v>
      </c>
      <c r="I29" s="406">
        <f>'CUSTOMERS REPORT'!AA823</f>
        <v>0</v>
      </c>
      <c r="J29" s="498">
        <f>'CUSTOMERS REPORT'!AB823</f>
        <v>0</v>
      </c>
      <c r="K29" s="498">
        <f>'CUSTOMERS REPORT'!AC823</f>
        <v>0</v>
      </c>
      <c r="L29" s="509">
        <f>'CUSTOMERS REPORT'!AD823</f>
        <v>0</v>
      </c>
      <c r="M29" s="414">
        <f>'2'!M29+'3'!G29</f>
        <v>0</v>
      </c>
      <c r="N29" s="412">
        <f>'2'!N29+'3'!J29</f>
        <v>0</v>
      </c>
      <c r="P29" s="433"/>
      <c r="Q29" s="441"/>
      <c r="S29" s="1037" t="str">
        <f>'2'!S29</f>
        <v xml:space="preserve">PRIME </v>
      </c>
      <c r="T29" s="446">
        <f>'2'!X29</f>
        <v>0</v>
      </c>
      <c r="U29" s="456"/>
      <c r="V29" s="451">
        <f t="shared" si="0"/>
        <v>0</v>
      </c>
      <c r="W29" s="451"/>
      <c r="X29" s="447">
        <f t="shared" si="1"/>
        <v>0</v>
      </c>
      <c r="Z29" s="375">
        <f>'2'!Z29</f>
        <v>0</v>
      </c>
      <c r="AA29" s="464">
        <f>'2'!AE29</f>
        <v>0</v>
      </c>
      <c r="AB29" s="460"/>
      <c r="AC29" s="462">
        <f t="shared" si="2"/>
        <v>0</v>
      </c>
      <c r="AD29" s="469"/>
      <c r="AE29" s="348">
        <f t="shared" si="3"/>
        <v>0</v>
      </c>
      <c r="AF29" s="563">
        <f>'2'!AF29+'3'!AB29</f>
        <v>0</v>
      </c>
      <c r="AG29" s="234">
        <f>'2'!AG29+'3'!AD29</f>
        <v>0</v>
      </c>
    </row>
    <row r="30" spans="1:36" ht="27" customHeight="1">
      <c r="A30" s="715" t="str">
        <f>'2'!A30</f>
        <v>FOTON DIESEL</v>
      </c>
      <c r="B30" s="234"/>
      <c r="C30" s="348">
        <f>'2'!D30</f>
        <v>0</v>
      </c>
      <c r="D30" s="234">
        <f t="shared" si="5"/>
        <v>0</v>
      </c>
      <c r="F30" s="479" t="str">
        <f>'2'!F30</f>
        <v>FAISAL HUB</v>
      </c>
      <c r="G30" s="406">
        <f>'CUSTOMERS REPORT'!Y861</f>
        <v>0</v>
      </c>
      <c r="H30" s="504">
        <f>'CUSTOMERS REPORT'!Z861</f>
        <v>0</v>
      </c>
      <c r="I30" s="406">
        <f>'CUSTOMERS REPORT'!AA861</f>
        <v>0</v>
      </c>
      <c r="J30" s="498">
        <f>'CUSTOMERS REPORT'!AB861</f>
        <v>0</v>
      </c>
      <c r="K30" s="498">
        <f>'CUSTOMERS REPORT'!AC861</f>
        <v>0</v>
      </c>
      <c r="L30" s="509">
        <f>'CUSTOMERS REPORT'!AD861</f>
        <v>0</v>
      </c>
      <c r="M30" s="414">
        <f>'2'!M30+'3'!G30</f>
        <v>0</v>
      </c>
      <c r="N30" s="412">
        <f>'2'!N30+'3'!J30</f>
        <v>0</v>
      </c>
      <c r="P30" s="433"/>
      <c r="Q30" s="442"/>
      <c r="S30" s="1037" t="str">
        <f>'2'!S30</f>
        <v>PRIMR 15</v>
      </c>
      <c r="T30" s="446">
        <f>'2'!X30</f>
        <v>0</v>
      </c>
      <c r="U30" s="456"/>
      <c r="V30" s="451">
        <f t="shared" si="0"/>
        <v>0</v>
      </c>
      <c r="W30" s="451"/>
      <c r="X30" s="447">
        <f t="shared" si="1"/>
        <v>0</v>
      </c>
      <c r="Z30" s="375">
        <f>'2'!Z30</f>
        <v>0</v>
      </c>
      <c r="AA30" s="464">
        <f>'2'!AE30</f>
        <v>0</v>
      </c>
      <c r="AB30" s="460"/>
      <c r="AC30" s="462">
        <f t="shared" si="2"/>
        <v>0</v>
      </c>
      <c r="AD30" s="469"/>
      <c r="AE30" s="348">
        <f t="shared" si="3"/>
        <v>0</v>
      </c>
      <c r="AF30" s="563">
        <f>'2'!AF30+'3'!AB30</f>
        <v>0</v>
      </c>
      <c r="AG30" s="234">
        <f>'2'!AG30+'3'!AD30</f>
        <v>0</v>
      </c>
    </row>
    <row r="31" spans="1:36" ht="27" customHeight="1" thickBot="1">
      <c r="A31" s="715" t="str">
        <f>'2'!A31</f>
        <v>UTILITY BILLS</v>
      </c>
      <c r="B31" s="234"/>
      <c r="C31" s="348">
        <f>'2'!D31</f>
        <v>0</v>
      </c>
      <c r="D31" s="234">
        <f t="shared" si="5"/>
        <v>0</v>
      </c>
      <c r="F31" s="479" t="str">
        <f>'2'!F31</f>
        <v>ABDUL RAHMAN</v>
      </c>
      <c r="G31" s="406">
        <f>'CUSTOMERS REPORT'!Y900</f>
        <v>0</v>
      </c>
      <c r="H31" s="504">
        <f>'CUSTOMERS REPORT'!Z900</f>
        <v>0</v>
      </c>
      <c r="I31" s="406">
        <f>'CUSTOMERS REPORT'!AA900</f>
        <v>0</v>
      </c>
      <c r="J31" s="498">
        <f>'CUSTOMERS REPORT'!AB900</f>
        <v>0</v>
      </c>
      <c r="K31" s="498">
        <f>'CUSTOMERS REPORT'!AC900</f>
        <v>0</v>
      </c>
      <c r="L31" s="509">
        <f>'CUSTOMERS REPORT'!AD900</f>
        <v>0</v>
      </c>
      <c r="M31" s="414">
        <f>'2'!M31+'3'!G31</f>
        <v>0</v>
      </c>
      <c r="N31" s="412">
        <f>'2'!N31+'3'!J31</f>
        <v>0</v>
      </c>
      <c r="P31" s="433"/>
      <c r="Q31" s="435"/>
      <c r="S31" s="1037" t="str">
        <f>'2'!S31</f>
        <v>KARACHI</v>
      </c>
      <c r="T31" s="446">
        <f>'2'!X31</f>
        <v>0</v>
      </c>
      <c r="U31" s="888"/>
      <c r="V31" s="451">
        <f t="shared" si="0"/>
        <v>0</v>
      </c>
      <c r="W31" s="451"/>
      <c r="X31" s="447">
        <f t="shared" si="1"/>
        <v>0</v>
      </c>
      <c r="Z31" s="375">
        <f>'2'!Z31</f>
        <v>0</v>
      </c>
      <c r="AA31" s="464">
        <f>'2'!AE31</f>
        <v>0</v>
      </c>
      <c r="AB31" s="460"/>
      <c r="AC31" s="462">
        <f t="shared" si="2"/>
        <v>0</v>
      </c>
      <c r="AD31" s="469"/>
      <c r="AE31" s="348">
        <f t="shared" si="3"/>
        <v>0</v>
      </c>
      <c r="AF31" s="563">
        <f>'2'!AF31+'3'!AB31</f>
        <v>0</v>
      </c>
      <c r="AG31" s="234">
        <f>'2'!AG31+'3'!AD31</f>
        <v>0</v>
      </c>
      <c r="AI31" t="s">
        <v>1</v>
      </c>
    </row>
    <row r="32" spans="1:36" ht="27" customHeight="1" thickTop="1" thickBot="1">
      <c r="A32" s="715" t="str">
        <f>'2'!A32</f>
        <v>WOOD</v>
      </c>
      <c r="B32" s="234"/>
      <c r="C32" s="348">
        <f>'2'!D32</f>
        <v>0</v>
      </c>
      <c r="D32" s="234">
        <f t="shared" si="5"/>
        <v>0</v>
      </c>
      <c r="F32" s="479" t="str">
        <f>'2'!F32</f>
        <v>HAJI JAN GIWANI</v>
      </c>
      <c r="G32" s="406">
        <f>'CUSTOMERS REPORT'!Y939</f>
        <v>0</v>
      </c>
      <c r="H32" s="504">
        <f>'CUSTOMERS REPORT'!Z939</f>
        <v>0</v>
      </c>
      <c r="I32" s="406">
        <f>'CUSTOMERS REPORT'!AA939</f>
        <v>0</v>
      </c>
      <c r="J32" s="498">
        <f>'CUSTOMERS REPORT'!AB939</f>
        <v>0</v>
      </c>
      <c r="K32" s="498">
        <f>'CUSTOMERS REPORT'!AC939</f>
        <v>0</v>
      </c>
      <c r="L32" s="509">
        <f>'CUSTOMERS REPORT'!AD939</f>
        <v>0</v>
      </c>
      <c r="M32" s="414">
        <f>'2'!M32+'3'!G32</f>
        <v>0</v>
      </c>
      <c r="N32" s="412">
        <f>'2'!N32+'3'!J32</f>
        <v>0</v>
      </c>
      <c r="P32" s="190" t="s">
        <v>51</v>
      </c>
      <c r="Q32" s="439">
        <f>Q23-Q25-Q26-Q27-Q28-Q29-Q30-Q31</f>
        <v>0</v>
      </c>
      <c r="R32" t="s">
        <v>1</v>
      </c>
      <c r="S32" s="1037" t="str">
        <f>'2'!S32</f>
        <v>MARVI</v>
      </c>
      <c r="T32" s="446">
        <f>'2'!X32</f>
        <v>0</v>
      </c>
      <c r="U32" s="888"/>
      <c r="V32" s="451">
        <f t="shared" si="0"/>
        <v>0</v>
      </c>
      <c r="W32" s="451"/>
      <c r="X32" s="447">
        <f t="shared" si="1"/>
        <v>0</v>
      </c>
      <c r="Z32" s="375">
        <f>'2'!Z32</f>
        <v>0</v>
      </c>
      <c r="AA32" s="464">
        <f>'2'!AE32</f>
        <v>0</v>
      </c>
      <c r="AB32" s="460"/>
      <c r="AC32" s="462">
        <f t="shared" si="2"/>
        <v>0</v>
      </c>
      <c r="AD32" s="469"/>
      <c r="AE32" s="348">
        <f t="shared" si="3"/>
        <v>0</v>
      </c>
      <c r="AF32" s="563">
        <f>'2'!AF32+'3'!AB32</f>
        <v>0</v>
      </c>
      <c r="AG32" s="234">
        <f>'2'!AG32+'3'!AD32</f>
        <v>0</v>
      </c>
    </row>
    <row r="33" spans="1:40" ht="27" customHeight="1" thickTop="1" thickBot="1">
      <c r="A33" s="725" t="str">
        <f>'2'!A33</f>
        <v>TOLL</v>
      </c>
      <c r="B33" s="538"/>
      <c r="C33" s="549">
        <f>'2'!D33</f>
        <v>0</v>
      </c>
      <c r="D33" s="234">
        <f t="shared" si="5"/>
        <v>0</v>
      </c>
      <c r="F33" s="479" t="str">
        <f>'2'!F33</f>
        <v>ALI QURESHI HYD</v>
      </c>
      <c r="G33" s="406">
        <f>'CUSTOMERS REPORT'!Y977</f>
        <v>0</v>
      </c>
      <c r="H33" s="504">
        <f>'CUSTOMERS REPORT'!Z977</f>
        <v>0</v>
      </c>
      <c r="I33" s="406">
        <f>'CUSTOMERS REPORT'!AA977</f>
        <v>0</v>
      </c>
      <c r="J33" s="498">
        <f>'CUSTOMERS REPORT'!AB977</f>
        <v>0</v>
      </c>
      <c r="K33" s="498">
        <f>'CUSTOMERS REPORT'!AC977</f>
        <v>0</v>
      </c>
      <c r="L33" s="509">
        <f>'CUSTOMERS REPORT'!AD977</f>
        <v>0</v>
      </c>
      <c r="M33" s="414">
        <f>'2'!M33+'3'!G33</f>
        <v>0</v>
      </c>
      <c r="N33" s="412">
        <f>'2'!N33+'3'!J33</f>
        <v>0</v>
      </c>
      <c r="P33" s="1499" t="s">
        <v>149</v>
      </c>
      <c r="Q33" s="1500"/>
      <c r="S33" s="1037" t="str">
        <f>'2'!S33</f>
        <v>TS</v>
      </c>
      <c r="T33" s="446">
        <f>'2'!X33</f>
        <v>0</v>
      </c>
      <c r="U33" s="456"/>
      <c r="V33" s="451">
        <f t="shared" si="0"/>
        <v>0</v>
      </c>
      <c r="W33" s="451"/>
      <c r="X33" s="447">
        <f t="shared" si="1"/>
        <v>0</v>
      </c>
      <c r="Z33" s="375">
        <f>'2'!Z33</f>
        <v>0</v>
      </c>
      <c r="AA33" s="464">
        <f>'2'!AE33</f>
        <v>0</v>
      </c>
      <c r="AB33" s="460">
        <f>'SHAKEEL RUSK'!D10+'SHAKEEL RUSK'!G10</f>
        <v>0</v>
      </c>
      <c r="AC33" s="462">
        <f t="shared" si="2"/>
        <v>0</v>
      </c>
      <c r="AD33" s="469"/>
      <c r="AE33" s="348">
        <f t="shared" si="3"/>
        <v>0</v>
      </c>
      <c r="AF33" s="563">
        <f>'2'!AF33+'3'!AB33</f>
        <v>0</v>
      </c>
      <c r="AG33" s="234">
        <f>'2'!AG33+'3'!AD33</f>
        <v>0</v>
      </c>
    </row>
    <row r="34" spans="1:40" ht="27" customHeight="1" thickTop="1" thickBot="1">
      <c r="A34" s="716" t="str">
        <f>'2'!A34</f>
        <v>FLOUR / SHGER</v>
      </c>
      <c r="B34" s="538"/>
      <c r="C34" s="348">
        <f>'2'!D34</f>
        <v>0</v>
      </c>
      <c r="D34" s="234">
        <f t="shared" si="5"/>
        <v>0</v>
      </c>
      <c r="F34" s="479" t="str">
        <f>'2'!F34</f>
        <v>ALI RAZA KAND KOT</v>
      </c>
      <c r="G34" s="406">
        <f>'CUSTOMERS REPORT'!Y1015</f>
        <v>0</v>
      </c>
      <c r="H34" s="504">
        <f>'CUSTOMERS REPORT'!Z1015</f>
        <v>0</v>
      </c>
      <c r="I34" s="406">
        <f>'CUSTOMERS REPORT'!AA1015</f>
        <v>0</v>
      </c>
      <c r="J34" s="498">
        <f>'CUSTOMERS REPORT'!AB1015</f>
        <v>0</v>
      </c>
      <c r="K34" s="498">
        <f>'CUSTOMERS REPORT'!AC1015</f>
        <v>0</v>
      </c>
      <c r="L34" s="509">
        <f>'CUSTOMERS REPORT'!AD1015</f>
        <v>0</v>
      </c>
      <c r="M34" s="414">
        <f>'2'!M34+'3'!G34</f>
        <v>0</v>
      </c>
      <c r="N34" s="412">
        <f>'2'!N34+'3'!J34</f>
        <v>0</v>
      </c>
      <c r="P34" s="220" t="s">
        <v>150</v>
      </c>
      <c r="Q34" s="223">
        <f>'1'!Q34</f>
        <v>0</v>
      </c>
      <c r="S34" s="1037" t="str">
        <f>'2'!S34</f>
        <v>MAXI</v>
      </c>
      <c r="T34" s="446">
        <f>'2'!X34</f>
        <v>0</v>
      </c>
      <c r="U34" s="457"/>
      <c r="V34" s="452">
        <f t="shared" si="0"/>
        <v>0</v>
      </c>
      <c r="W34" s="452"/>
      <c r="X34" s="448">
        <f t="shared" si="1"/>
        <v>0</v>
      </c>
      <c r="Z34" s="375">
        <f>'2'!Z34</f>
        <v>0</v>
      </c>
      <c r="AA34" s="464">
        <f>'2'!AE34</f>
        <v>0</v>
      </c>
      <c r="AB34" s="460"/>
      <c r="AC34" s="462">
        <f t="shared" si="2"/>
        <v>0</v>
      </c>
      <c r="AD34" s="469"/>
      <c r="AE34" s="348">
        <f t="shared" si="3"/>
        <v>0</v>
      </c>
      <c r="AF34" s="563">
        <f>'2'!AF34+'3'!AB34</f>
        <v>0</v>
      </c>
      <c r="AG34" s="234">
        <f>'2'!AG34+'3'!AD34</f>
        <v>0</v>
      </c>
    </row>
    <row r="35" spans="1:40" ht="27" customHeight="1" thickTop="1">
      <c r="A35" s="716" t="str">
        <f>'2'!A35</f>
        <v>OVEN &amp; PP MACHINE</v>
      </c>
      <c r="B35" s="529"/>
      <c r="C35" s="348">
        <f>'2'!D35</f>
        <v>0</v>
      </c>
      <c r="D35" s="529">
        <f t="shared" si="5"/>
        <v>0</v>
      </c>
      <c r="F35" s="479" t="str">
        <f>'2'!F35</f>
        <v>IQBAL MORO</v>
      </c>
      <c r="G35" s="407">
        <f>'CUSTOMERS REPORT'!Y1053</f>
        <v>0</v>
      </c>
      <c r="H35" s="505">
        <f>'CUSTOMERS REPORT'!Z1053</f>
        <v>0</v>
      </c>
      <c r="I35" s="407">
        <f>'CUSTOMERS REPORT'!AA1053</f>
        <v>0</v>
      </c>
      <c r="J35" s="499">
        <f>'CUSTOMERS REPORT'!AB1053</f>
        <v>0</v>
      </c>
      <c r="K35" s="499">
        <f>'CUSTOMERS REPORT'!AC1053</f>
        <v>0</v>
      </c>
      <c r="L35" s="510">
        <f>'CUSTOMERS REPORT'!AD1053</f>
        <v>0</v>
      </c>
      <c r="M35" s="414">
        <f>'2'!M35+'3'!G35</f>
        <v>0</v>
      </c>
      <c r="N35" s="412">
        <f>'2'!N35+'3'!J35</f>
        <v>0</v>
      </c>
      <c r="P35" s="252" t="s">
        <v>151</v>
      </c>
      <c r="Q35" s="443">
        <f>'1'!Q35</f>
        <v>0</v>
      </c>
      <c r="R35" t="s">
        <v>1</v>
      </c>
      <c r="S35" s="1037" t="str">
        <f>'2'!S35</f>
        <v>M A WHITE</v>
      </c>
      <c r="T35" s="446">
        <f>'2'!X35</f>
        <v>0</v>
      </c>
      <c r="U35" s="457"/>
      <c r="V35" s="452">
        <f t="shared" si="0"/>
        <v>0</v>
      </c>
      <c r="W35" s="452"/>
      <c r="X35" s="448">
        <f t="shared" si="1"/>
        <v>0</v>
      </c>
      <c r="Z35" s="375">
        <f>'2'!Z35</f>
        <v>0</v>
      </c>
      <c r="AA35" s="464">
        <f>'2'!AE35</f>
        <v>0</v>
      </c>
      <c r="AB35" s="460"/>
      <c r="AC35" s="462">
        <f t="shared" si="2"/>
        <v>0</v>
      </c>
      <c r="AD35" s="469"/>
      <c r="AE35" s="348">
        <f t="shared" si="3"/>
        <v>0</v>
      </c>
      <c r="AF35" s="563">
        <f>'2'!AF35+'3'!AB35</f>
        <v>0</v>
      </c>
      <c r="AG35" s="234">
        <f>'2'!AG35+'3'!AD35</f>
        <v>0</v>
      </c>
    </row>
    <row r="36" spans="1:40" ht="27" customHeight="1">
      <c r="A36" s="716" t="str">
        <f>'2'!A36</f>
        <v>zakat</v>
      </c>
      <c r="B36" s="539"/>
      <c r="C36" s="348">
        <f>'2'!D36</f>
        <v>0</v>
      </c>
      <c r="D36" s="529">
        <f t="shared" si="5"/>
        <v>0</v>
      </c>
      <c r="F36" s="479" t="str">
        <f>'2'!F36</f>
        <v>SARFARAZ T ADAM</v>
      </c>
      <c r="G36" s="407">
        <f>'CUSTOMERS REPORT'!Y1091</f>
        <v>0</v>
      </c>
      <c r="H36" s="505">
        <f>'CUSTOMERS REPORT'!Z1091</f>
        <v>0</v>
      </c>
      <c r="I36" s="407">
        <f>'CUSTOMERS REPORT'!AA1091</f>
        <v>0</v>
      </c>
      <c r="J36" s="499">
        <f>'CUSTOMERS REPORT'!AB1091</f>
        <v>0</v>
      </c>
      <c r="K36" s="499">
        <f>'CUSTOMERS REPORT'!AC1091</f>
        <v>0</v>
      </c>
      <c r="L36" s="510">
        <f>'CUSTOMERS REPORT'!AD1091</f>
        <v>0</v>
      </c>
      <c r="M36" s="414">
        <f>'2'!M36+'3'!G36</f>
        <v>0</v>
      </c>
      <c r="N36" s="412">
        <f>'2'!N36+'3'!J36</f>
        <v>0</v>
      </c>
      <c r="P36" s="372" t="s">
        <v>152</v>
      </c>
      <c r="Q36" s="444">
        <f>J48</f>
        <v>0</v>
      </c>
      <c r="R36" t="s">
        <v>1</v>
      </c>
      <c r="S36" s="1037" t="str">
        <f>'2'!S36</f>
        <v>M A ORING</v>
      </c>
      <c r="T36" s="446">
        <f>'2'!X36</f>
        <v>0</v>
      </c>
      <c r="U36" s="456"/>
      <c r="V36" s="451">
        <f t="shared" si="0"/>
        <v>0</v>
      </c>
      <c r="W36" s="452"/>
      <c r="X36" s="448">
        <f t="shared" si="1"/>
        <v>0</v>
      </c>
      <c r="Z36" s="375">
        <f>'2'!Z36</f>
        <v>0</v>
      </c>
      <c r="AA36" s="464">
        <f>'2'!AE36</f>
        <v>0</v>
      </c>
      <c r="AB36" s="460"/>
      <c r="AC36" s="462">
        <f t="shared" si="2"/>
        <v>0</v>
      </c>
      <c r="AD36" s="469"/>
      <c r="AE36" s="348">
        <f t="shared" si="3"/>
        <v>0</v>
      </c>
      <c r="AF36" s="563">
        <f>'2'!AF36+'3'!AB36</f>
        <v>0</v>
      </c>
      <c r="AG36" s="234">
        <f>'2'!AG36+'3'!AD36</f>
        <v>0</v>
      </c>
    </row>
    <row r="37" spans="1:40" ht="27" customHeight="1">
      <c r="A37" s="716" t="str">
        <f>'2'!A37</f>
        <v>javeed manghopir</v>
      </c>
      <c r="B37" s="234"/>
      <c r="C37" s="348">
        <f>'2'!D37</f>
        <v>0</v>
      </c>
      <c r="D37" s="234">
        <f t="shared" si="5"/>
        <v>0</v>
      </c>
      <c r="F37" s="814" t="str">
        <f>'2'!F37</f>
        <v>MUMTAZ K N SHAH</v>
      </c>
      <c r="G37" s="406">
        <f>'CUSTOMERS REPORT'!Y1129</f>
        <v>0</v>
      </c>
      <c r="H37" s="504">
        <f>'CUSTOMERS REPORT'!Z1129</f>
        <v>0</v>
      </c>
      <c r="I37" s="406">
        <f>'CUSTOMERS REPORT'!AA1129</f>
        <v>0</v>
      </c>
      <c r="J37" s="498">
        <f>'CUSTOMERS REPORT'!AB1129</f>
        <v>0</v>
      </c>
      <c r="K37" s="498">
        <f>'CUSTOMERS REPORT'!AC1129</f>
        <v>0</v>
      </c>
      <c r="L37" s="509">
        <f>'CUSTOMERS REPORT'!AD1129</f>
        <v>0</v>
      </c>
      <c r="M37" s="414">
        <f>'2'!M37+'3'!G37</f>
        <v>0</v>
      </c>
      <c r="N37" s="412">
        <f>'2'!N37+'3'!J37</f>
        <v>0</v>
      </c>
      <c r="P37" s="373" t="s">
        <v>153</v>
      </c>
      <c r="Q37" s="445">
        <f>Q34+Q35+Q36</f>
        <v>0</v>
      </c>
      <c r="R37" t="s">
        <v>1</v>
      </c>
      <c r="S37" s="1037">
        <f>'2'!S37</f>
        <v>0</v>
      </c>
      <c r="T37" s="446">
        <f>'2'!X37</f>
        <v>0</v>
      </c>
      <c r="U37" s="456"/>
      <c r="V37" s="451">
        <f t="shared" si="0"/>
        <v>0</v>
      </c>
      <c r="W37" s="452"/>
      <c r="X37" s="448">
        <f t="shared" si="1"/>
        <v>0</v>
      </c>
      <c r="Z37" s="375">
        <f>'2'!Z37</f>
        <v>0</v>
      </c>
      <c r="AA37" s="464">
        <f>'2'!AE37</f>
        <v>0</v>
      </c>
      <c r="AB37" s="460"/>
      <c r="AC37" s="462">
        <f t="shared" si="2"/>
        <v>0</v>
      </c>
      <c r="AD37" s="469"/>
      <c r="AE37" s="348">
        <f t="shared" si="3"/>
        <v>0</v>
      </c>
      <c r="AF37" s="563">
        <f>'2'!AF37+'3'!AB37</f>
        <v>0</v>
      </c>
      <c r="AG37" s="234">
        <f>'2'!AG37+'3'!AD37</f>
        <v>0</v>
      </c>
    </row>
    <row r="38" spans="1:40" ht="27" customHeight="1">
      <c r="A38" s="725" t="str">
        <f>'2'!A38</f>
        <v>EXSIS CASH</v>
      </c>
      <c r="B38" s="234"/>
      <c r="C38" s="348">
        <f>'2'!D38</f>
        <v>0</v>
      </c>
      <c r="D38" s="234">
        <f t="shared" si="5"/>
        <v>0</v>
      </c>
      <c r="F38" s="479" t="str">
        <f>'2'!F38</f>
        <v>GHULAM RASOOL QU</v>
      </c>
      <c r="G38" s="408">
        <f>'CUSTOMERS REPORT'!Y1166</f>
        <v>0</v>
      </c>
      <c r="H38" s="506">
        <f>'CUSTOMERS REPORT'!Z1166</f>
        <v>0</v>
      </c>
      <c r="I38" s="408">
        <f>'CUSTOMERS REPORT'!AA1166</f>
        <v>0</v>
      </c>
      <c r="J38" s="500">
        <f>'CUSTOMERS REPORT'!AB1166</f>
        <v>0</v>
      </c>
      <c r="K38" s="500">
        <f>'CUSTOMERS REPORT'!AC1166</f>
        <v>0</v>
      </c>
      <c r="L38" s="511">
        <f>'CUSTOMERS REPORT'!AD1166</f>
        <v>0</v>
      </c>
      <c r="M38" s="414">
        <f>'2'!M38+'3'!G38</f>
        <v>0</v>
      </c>
      <c r="N38" s="412">
        <f>'2'!N38+'3'!J38</f>
        <v>0</v>
      </c>
      <c r="P38" s="373" t="s">
        <v>154</v>
      </c>
      <c r="Q38" s="445">
        <f>D48</f>
        <v>0</v>
      </c>
      <c r="S38" s="1037">
        <f>'2'!S38</f>
        <v>0</v>
      </c>
      <c r="T38" s="446">
        <f>'2'!X38</f>
        <v>0</v>
      </c>
      <c r="U38" s="456"/>
      <c r="V38" s="451">
        <f t="shared" si="0"/>
        <v>0</v>
      </c>
      <c r="W38" s="452"/>
      <c r="X38" s="448">
        <f t="shared" si="1"/>
        <v>0</v>
      </c>
      <c r="Z38" s="375">
        <f>'2'!Z38</f>
        <v>0</v>
      </c>
      <c r="AA38" s="464">
        <f>'2'!AE38</f>
        <v>0</v>
      </c>
      <c r="AB38" s="460"/>
      <c r="AC38" s="462">
        <f t="shared" si="2"/>
        <v>0</v>
      </c>
      <c r="AD38" s="469"/>
      <c r="AE38" s="348">
        <f t="shared" si="3"/>
        <v>0</v>
      </c>
      <c r="AF38" s="563">
        <f>'2'!AF38+'3'!AB38</f>
        <v>0</v>
      </c>
      <c r="AG38" s="234">
        <f>'2'!AG38+'3'!AD38</f>
        <v>0</v>
      </c>
    </row>
    <row r="39" spans="1:40" ht="27" customHeight="1">
      <c r="A39" s="715" t="str">
        <f>'2'!A39</f>
        <v>SHORT CASH</v>
      </c>
      <c r="B39" s="234"/>
      <c r="C39" s="465">
        <f>'2'!D39</f>
        <v>0</v>
      </c>
      <c r="D39" s="234">
        <f t="shared" si="5"/>
        <v>0</v>
      </c>
      <c r="F39" s="479" t="str">
        <f>'2'!F39</f>
        <v>SHAMSHAD UNCLE</v>
      </c>
      <c r="G39" s="406">
        <f>'CUSTOMERS REPORT'!Y1203</f>
        <v>0</v>
      </c>
      <c r="H39" s="504">
        <f>'CUSTOMERS REPORT'!Z1203</f>
        <v>0</v>
      </c>
      <c r="I39" s="406">
        <f>'CUSTOMERS REPORT'!AA1203</f>
        <v>0</v>
      </c>
      <c r="J39" s="498">
        <f>'CUSTOMERS REPORT'!AB1203</f>
        <v>0</v>
      </c>
      <c r="K39" s="498">
        <f>'CUSTOMERS REPORT'!AC1203</f>
        <v>0</v>
      </c>
      <c r="L39" s="509">
        <f>'CUSTOMERS REPORT'!AD1203</f>
        <v>0</v>
      </c>
      <c r="M39" s="414">
        <f>'2'!M39+'3'!G39</f>
        <v>0</v>
      </c>
      <c r="N39" s="412">
        <f>'2'!N39+'3'!J39</f>
        <v>0</v>
      </c>
      <c r="P39" s="373" t="s">
        <v>109</v>
      </c>
      <c r="Q39" s="445">
        <f>'2'!Q39+'3'!Q25+'3'!Q26+'3'!Q27+'3'!Q28+'3'!Q29+'3'!Q30+'3'!Q31</f>
        <v>0</v>
      </c>
      <c r="R39" t="s">
        <v>1</v>
      </c>
      <c r="S39" s="1037">
        <f>'2'!S39</f>
        <v>0</v>
      </c>
      <c r="T39" s="446">
        <f>'2'!X39</f>
        <v>0</v>
      </c>
      <c r="U39" s="456"/>
      <c r="V39" s="451">
        <f t="shared" si="0"/>
        <v>0</v>
      </c>
      <c r="W39" s="452"/>
      <c r="X39" s="448">
        <f t="shared" si="1"/>
        <v>0</v>
      </c>
      <c r="Z39" s="375">
        <f>'2'!Z39</f>
        <v>0</v>
      </c>
      <c r="AA39" s="464">
        <f>'2'!AE39</f>
        <v>0</v>
      </c>
      <c r="AB39" s="460"/>
      <c r="AC39" s="462">
        <f t="shared" si="2"/>
        <v>0</v>
      </c>
      <c r="AD39" s="469"/>
      <c r="AE39" s="348">
        <f t="shared" si="3"/>
        <v>0</v>
      </c>
      <c r="AF39" s="563">
        <f>'2'!AF39+'3'!AB39</f>
        <v>0</v>
      </c>
      <c r="AG39" s="234">
        <f>'2'!AG39+'3'!AD39</f>
        <v>0</v>
      </c>
    </row>
    <row r="40" spans="1:40" ht="27" customHeight="1" thickBot="1">
      <c r="A40" s="715" t="str">
        <f>'2'!A40</f>
        <v>ASSETS</v>
      </c>
      <c r="B40" s="234"/>
      <c r="C40" s="348">
        <f>'2'!D40</f>
        <v>0</v>
      </c>
      <c r="D40" s="234">
        <f t="shared" si="5"/>
        <v>0</v>
      </c>
      <c r="F40" s="479" t="str">
        <f>'2'!F40</f>
        <v>IBRAHEEM D.G KHAN</v>
      </c>
      <c r="G40" s="406">
        <f>'CUSTOMERS REPORT'!Y1240</f>
        <v>0</v>
      </c>
      <c r="H40" s="504">
        <f>'CUSTOMERS REPORT'!Z1240</f>
        <v>0</v>
      </c>
      <c r="I40" s="406">
        <f>'CUSTOMERS REPORT'!AA1240</f>
        <v>0</v>
      </c>
      <c r="J40" s="498">
        <f>'CUSTOMERS REPORT'!AB1240</f>
        <v>0</v>
      </c>
      <c r="K40" s="498">
        <f>'CUSTOMERS REPORT'!AC1240</f>
        <v>0</v>
      </c>
      <c r="L40" s="509">
        <f>'CUSTOMERS REPORT'!AD1240</f>
        <v>0</v>
      </c>
      <c r="M40" s="414">
        <f>'2'!M40+'3'!G40</f>
        <v>0</v>
      </c>
      <c r="N40" s="412">
        <f>'2'!N40+'3'!J40</f>
        <v>0</v>
      </c>
      <c r="P40" s="374" t="s">
        <v>155</v>
      </c>
      <c r="Q40" s="445">
        <f>Q48</f>
        <v>0</v>
      </c>
      <c r="S40" s="1037">
        <f>'2'!S40</f>
        <v>0</v>
      </c>
      <c r="T40" s="446">
        <f>'2'!X40</f>
        <v>0</v>
      </c>
      <c r="U40" s="456"/>
      <c r="V40" s="451">
        <f t="shared" si="0"/>
        <v>0</v>
      </c>
      <c r="W40" s="452"/>
      <c r="X40" s="448">
        <f t="shared" si="1"/>
        <v>0</v>
      </c>
      <c r="Z40" s="375">
        <f>'2'!Z40</f>
        <v>0</v>
      </c>
      <c r="AA40" s="464">
        <f>'2'!AE40</f>
        <v>0</v>
      </c>
      <c r="AB40" s="460"/>
      <c r="AC40" s="462">
        <f t="shared" si="2"/>
        <v>0</v>
      </c>
      <c r="AD40" s="469"/>
      <c r="AE40" s="348">
        <f t="shared" si="3"/>
        <v>0</v>
      </c>
      <c r="AF40" s="563">
        <f>'2'!AF40+'3'!AB40</f>
        <v>0</v>
      </c>
      <c r="AG40" s="234">
        <f>'2'!AG40+'3'!AD40</f>
        <v>0</v>
      </c>
    </row>
    <row r="41" spans="1:40" ht="27" customHeight="1" thickTop="1" thickBot="1">
      <c r="A41" s="715" t="str">
        <f>'2'!A41</f>
        <v>BIKE.INSTALMINT</v>
      </c>
      <c r="B41" s="234"/>
      <c r="C41" s="348">
        <f>'2'!D41</f>
        <v>0</v>
      </c>
      <c r="D41" s="234">
        <f t="shared" si="5"/>
        <v>0</v>
      </c>
      <c r="E41" t="s">
        <v>1</v>
      </c>
      <c r="F41" s="479" t="str">
        <f>'2'!F41</f>
        <v>PISHAWAR</v>
      </c>
      <c r="G41" s="409">
        <f>'CUSTOMERS REPORT'!Y1277</f>
        <v>0</v>
      </c>
      <c r="H41" s="507">
        <f>'CUSTOMERS REPORT'!Z1277</f>
        <v>0</v>
      </c>
      <c r="I41" s="409">
        <f>'CUSTOMERS REPORT'!AA1277</f>
        <v>0</v>
      </c>
      <c r="J41" s="501">
        <f>'CUSTOMERS REPORT'!AB1277</f>
        <v>0</v>
      </c>
      <c r="K41" s="501">
        <f>'CUSTOMERS REPORT'!AC1277</f>
        <v>0</v>
      </c>
      <c r="L41" s="512">
        <f>'CUSTOMERS REPORT'!AD1277</f>
        <v>0</v>
      </c>
      <c r="M41" s="414">
        <f>'2'!M41+'3'!G41</f>
        <v>0</v>
      </c>
      <c r="N41" s="412">
        <f>'2'!N41+'3'!J41</f>
        <v>0</v>
      </c>
      <c r="P41" s="221" t="s">
        <v>51</v>
      </c>
      <c r="Q41" s="223">
        <f>Q37-Q38-Q39-Q40</f>
        <v>0</v>
      </c>
      <c r="S41" s="1037">
        <f>'2'!S41</f>
        <v>0</v>
      </c>
      <c r="T41" s="446">
        <f>'2'!X41</f>
        <v>0</v>
      </c>
      <c r="U41" s="456"/>
      <c r="V41" s="451">
        <f t="shared" si="0"/>
        <v>0</v>
      </c>
      <c r="W41" s="452"/>
      <c r="X41" s="448">
        <f t="shared" si="1"/>
        <v>0</v>
      </c>
      <c r="Z41" s="375">
        <f>'2'!Z41</f>
        <v>0</v>
      </c>
      <c r="AA41" s="464">
        <f>'2'!AE41</f>
        <v>0</v>
      </c>
      <c r="AB41" s="460"/>
      <c r="AC41" s="462">
        <f t="shared" si="2"/>
        <v>0</v>
      </c>
      <c r="AD41" s="469"/>
      <c r="AE41" s="348">
        <f t="shared" si="3"/>
        <v>0</v>
      </c>
      <c r="AF41" s="563">
        <f>'2'!AF41+'3'!AB41</f>
        <v>0</v>
      </c>
      <c r="AG41" s="234">
        <f>'2'!AG41+'3'!AD41</f>
        <v>0</v>
      </c>
    </row>
    <row r="42" spans="1:40" ht="27" customHeight="1" thickTop="1" thickBot="1">
      <c r="A42" s="715" t="str">
        <f>'2'!A42</f>
        <v>B.C</v>
      </c>
      <c r="B42" s="529"/>
      <c r="C42" s="348">
        <f>'2'!D42</f>
        <v>0</v>
      </c>
      <c r="D42" s="529">
        <f t="shared" si="5"/>
        <v>0</v>
      </c>
      <c r="F42" s="479" t="str">
        <f>'2'!F42</f>
        <v>HUZAFA KOTRI</v>
      </c>
      <c r="G42" s="409">
        <f>'CUSTOMERS REPORT'!Y1314</f>
        <v>0</v>
      </c>
      <c r="H42" s="507">
        <f>'CUSTOMERS REPORT'!Z1314</f>
        <v>0</v>
      </c>
      <c r="I42" s="409">
        <f>'CUSTOMERS REPORT'!AA1314</f>
        <v>0</v>
      </c>
      <c r="J42" s="501">
        <f>'CUSTOMERS REPORT'!AB1314</f>
        <v>0</v>
      </c>
      <c r="K42" s="501">
        <f>'CUSTOMERS REPORT'!AC1314</f>
        <v>0</v>
      </c>
      <c r="L42" s="512">
        <f>'CUSTOMERS REPORT'!AD1314</f>
        <v>0</v>
      </c>
      <c r="M42" s="414">
        <f>'2'!M42+'3'!G42</f>
        <v>0</v>
      </c>
      <c r="N42" s="412">
        <f>'2'!N42+'3'!J42</f>
        <v>0</v>
      </c>
      <c r="P42" s="1499" t="s">
        <v>157</v>
      </c>
      <c r="Q42" s="1500"/>
      <c r="S42" s="1037">
        <f>'2'!S42</f>
        <v>0</v>
      </c>
      <c r="T42" s="446">
        <f>'2'!X42</f>
        <v>0</v>
      </c>
      <c r="U42" s="458"/>
      <c r="V42" s="453">
        <f t="shared" si="0"/>
        <v>0</v>
      </c>
      <c r="W42" s="454"/>
      <c r="X42" s="449">
        <f t="shared" si="1"/>
        <v>0</v>
      </c>
      <c r="Z42" s="375">
        <f>'2'!Z42</f>
        <v>0</v>
      </c>
      <c r="AA42" s="464">
        <f>'2'!AE42</f>
        <v>0</v>
      </c>
      <c r="AB42" s="461"/>
      <c r="AC42" s="462">
        <f>AA42+AB42</f>
        <v>0</v>
      </c>
      <c r="AD42" s="470"/>
      <c r="AE42" s="348">
        <f t="shared" si="3"/>
        <v>0</v>
      </c>
      <c r="AF42" s="563">
        <f>'2'!AF42+'3'!AB42</f>
        <v>0</v>
      </c>
      <c r="AG42" s="234">
        <f>'2'!AG42+'3'!AD42</f>
        <v>0</v>
      </c>
    </row>
    <row r="43" spans="1:40" ht="27" customHeight="1" thickTop="1" thickBot="1">
      <c r="A43" s="715" t="str">
        <f>'2'!A43</f>
        <v>AQEEL</v>
      </c>
      <c r="B43" s="539"/>
      <c r="C43" s="348">
        <f>'2'!D43</f>
        <v>0</v>
      </c>
      <c r="D43" s="529">
        <f t="shared" si="5"/>
        <v>0</v>
      </c>
      <c r="F43" s="479" t="str">
        <f>'2'!F43</f>
        <v>ZAHID LAHORE</v>
      </c>
      <c r="G43" s="409">
        <f>'CUSTOMERS REPORT'!Y1351</f>
        <v>0</v>
      </c>
      <c r="H43" s="507">
        <f>'CUSTOMERS REPORT'!Z1351</f>
        <v>0</v>
      </c>
      <c r="I43" s="409">
        <f>'CUSTOMERS REPORT'!AA1351</f>
        <v>0</v>
      </c>
      <c r="J43" s="501">
        <f>'CUSTOMERS REPORT'!AB1351</f>
        <v>0</v>
      </c>
      <c r="K43" s="501">
        <f>'CUSTOMERS REPORT'!AC1351</f>
        <v>0</v>
      </c>
      <c r="L43" s="512">
        <f>'CUSTOMERS REPORT'!AD1351</f>
        <v>0</v>
      </c>
      <c r="M43" s="414">
        <f>'2'!M43+'3'!G43</f>
        <v>0</v>
      </c>
      <c r="N43" s="412">
        <f>'2'!N43+'3'!J43</f>
        <v>0</v>
      </c>
      <c r="P43" s="220" t="s">
        <v>124</v>
      </c>
      <c r="Q43" s="223">
        <f>'2'!Q48</f>
        <v>0</v>
      </c>
      <c r="R43" t="s">
        <v>1</v>
      </c>
      <c r="S43" s="1037">
        <f>'2'!S43</f>
        <v>0</v>
      </c>
      <c r="T43" s="446">
        <f>'2'!X43</f>
        <v>0</v>
      </c>
      <c r="U43" s="358"/>
      <c r="V43" s="453">
        <f t="shared" si="0"/>
        <v>0</v>
      </c>
      <c r="W43" s="403"/>
      <c r="X43" s="449">
        <f t="shared" si="1"/>
        <v>0</v>
      </c>
      <c r="Z43" s="383"/>
      <c r="AA43" s="356">
        <f>SUM(AA8:AA42)</f>
        <v>0</v>
      </c>
      <c r="AB43" s="385">
        <f>SUM(AB8:AB42)</f>
        <v>0</v>
      </c>
      <c r="AC43" s="357" t="s">
        <v>74</v>
      </c>
      <c r="AD43" s="387">
        <f>SUM(AD8:AD42)</f>
        <v>0</v>
      </c>
      <c r="AE43" s="358">
        <f>SUM(AE8:AE42)</f>
        <v>0</v>
      </c>
      <c r="AF43" s="565">
        <f>SUM(AF8:AF42)</f>
        <v>0</v>
      </c>
      <c r="AG43" s="571">
        <f>SUM(AG8:AG42)</f>
        <v>0</v>
      </c>
    </row>
    <row r="44" spans="1:40" ht="27" customHeight="1" thickTop="1">
      <c r="A44" s="715" t="str">
        <f>'2'!A44</f>
        <v>M.YOUSUF</v>
      </c>
      <c r="B44" s="234"/>
      <c r="C44" s="348">
        <f>'2'!D44</f>
        <v>0</v>
      </c>
      <c r="D44" s="234">
        <f t="shared" si="5"/>
        <v>0</v>
      </c>
      <c r="F44" s="479" t="str">
        <f>'2'!F44</f>
        <v>CASH SALE</v>
      </c>
      <c r="G44" s="409">
        <f>'CUSTOMERS REPORT'!Y1388</f>
        <v>0</v>
      </c>
      <c r="H44" s="507">
        <f>'CUSTOMERS REPORT'!Z1388</f>
        <v>0</v>
      </c>
      <c r="I44" s="409">
        <f>'CUSTOMERS REPORT'!AA1388</f>
        <v>0</v>
      </c>
      <c r="J44" s="501">
        <f>'CUSTOMERS REPORT'!AB1388</f>
        <v>0</v>
      </c>
      <c r="K44" s="501">
        <f>'CUSTOMERS REPORT'!AC1388</f>
        <v>0</v>
      </c>
      <c r="L44" s="512">
        <f>'CUSTOMERS REPORT'!AD1388</f>
        <v>0</v>
      </c>
      <c r="M44" s="414">
        <f>'2'!M44+'3'!G44</f>
        <v>0</v>
      </c>
      <c r="N44" s="412">
        <f>'2'!N44+'3'!J44</f>
        <v>0</v>
      </c>
      <c r="P44" s="222" t="s">
        <v>114</v>
      </c>
      <c r="Q44" s="377">
        <f>J46</f>
        <v>0</v>
      </c>
      <c r="S44" s="1037"/>
      <c r="T44" s="348"/>
      <c r="U44" s="306"/>
      <c r="V44" s="349"/>
      <c r="W44" s="351"/>
      <c r="X44" s="350"/>
      <c r="Z44" s="375"/>
      <c r="AA44" s="339"/>
      <c r="AB44" s="386">
        <f>'2'!AB45</f>
        <v>0</v>
      </c>
      <c r="AC44" s="340" t="s">
        <v>126</v>
      </c>
      <c r="AD44" s="388">
        <f>'2'!AD45</f>
        <v>0</v>
      </c>
      <c r="AE44" s="341"/>
      <c r="AF44" s="561"/>
      <c r="AG44" s="83" t="s">
        <v>1</v>
      </c>
    </row>
    <row r="45" spans="1:40" ht="27" customHeight="1" thickBot="1">
      <c r="A45" s="715" t="str">
        <f>'2'!A45</f>
        <v>SHAKEEL</v>
      </c>
      <c r="B45" s="234"/>
      <c r="C45" s="348">
        <f>'2'!D45</f>
        <v>0</v>
      </c>
      <c r="D45" s="234">
        <f t="shared" si="5"/>
        <v>0</v>
      </c>
      <c r="F45" s="479" t="str">
        <f>'2'!F45</f>
        <v xml:space="preserve">FREE </v>
      </c>
      <c r="G45" s="410">
        <f>'CUSTOMERS REPORT'!Y1424</f>
        <v>0</v>
      </c>
      <c r="H45" s="362">
        <f>'CUSTOMERS REPORT'!Z1424</f>
        <v>0</v>
      </c>
      <c r="I45" s="410">
        <f>'CUSTOMERS REPORT'!AA1424</f>
        <v>0</v>
      </c>
      <c r="J45" s="502">
        <f>'CUSTOMERS REPORT'!AB1424</f>
        <v>0</v>
      </c>
      <c r="K45" s="502">
        <f>'CUSTOMERS REPORT'!AC1424</f>
        <v>0</v>
      </c>
      <c r="L45" s="513">
        <f>'CUSTOMERS REPORT'!AD1424</f>
        <v>0</v>
      </c>
      <c r="M45" s="414">
        <f>'2'!M45+'3'!G45</f>
        <v>0</v>
      </c>
      <c r="N45" s="412">
        <f>'2'!N45+'3'!J45</f>
        <v>0</v>
      </c>
      <c r="P45" s="222" t="s">
        <v>153</v>
      </c>
      <c r="Q45" s="378">
        <f>Q43+Q44</f>
        <v>0</v>
      </c>
      <c r="S45" s="1039"/>
      <c r="T45" s="352"/>
      <c r="U45" s="307"/>
      <c r="V45" s="353"/>
      <c r="W45" s="354"/>
      <c r="X45" s="355"/>
      <c r="Z45" s="384"/>
      <c r="AA45" s="359"/>
      <c r="AB45" s="390">
        <f>SUM(AB43:AB44)</f>
        <v>0</v>
      </c>
      <c r="AC45" s="360" t="s">
        <v>74</v>
      </c>
      <c r="AD45" s="389">
        <f>SUM(AD43:AD44)</f>
        <v>0</v>
      </c>
      <c r="AE45" s="361"/>
      <c r="AF45" s="562"/>
      <c r="AG45" s="573"/>
    </row>
    <row r="46" spans="1:40" ht="27" customHeight="1" thickTop="1" thickBot="1">
      <c r="A46" s="715" t="str">
        <f>'2'!A46</f>
        <v>ZAHID HUSSAN</v>
      </c>
      <c r="B46" s="234"/>
      <c r="C46" s="348">
        <f>'2'!D46</f>
        <v>0</v>
      </c>
      <c r="D46" s="234">
        <f t="shared" si="5"/>
        <v>0</v>
      </c>
      <c r="F46" s="369"/>
      <c r="G46" s="424">
        <f>SUM(G8:G45)</f>
        <v>0</v>
      </c>
      <c r="H46" s="1497" t="s">
        <v>160</v>
      </c>
      <c r="I46" s="1498"/>
      <c r="J46" s="421">
        <f>SUM(J8:J45)</f>
        <v>0</v>
      </c>
      <c r="K46" s="427">
        <f>SUM(K8:K45)</f>
        <v>0</v>
      </c>
      <c r="L46" s="431">
        <f>SUM(L8:L45)</f>
        <v>0</v>
      </c>
      <c r="M46" s="429">
        <f>SUM(M8:M45)</f>
        <v>0</v>
      </c>
      <c r="N46" s="430">
        <f>SUM(N8:N45)</f>
        <v>0</v>
      </c>
      <c r="P46" s="222" t="s">
        <v>154</v>
      </c>
      <c r="Q46" s="378">
        <f>B48</f>
        <v>0</v>
      </c>
    </row>
    <row r="47" spans="1:40" ht="27" customHeight="1" thickTop="1" thickBot="1">
      <c r="A47" s="715" t="str">
        <f>'2'!A47</f>
        <v xml:space="preserve">INVESTOR </v>
      </c>
      <c r="B47" s="540"/>
      <c r="C47" s="348">
        <f>'2'!D47</f>
        <v>0</v>
      </c>
      <c r="D47" s="542">
        <f t="shared" si="5"/>
        <v>0</v>
      </c>
      <c r="F47" s="370"/>
      <c r="G47" s="425">
        <f>'2'!G48</f>
        <v>0</v>
      </c>
      <c r="H47" s="1512" t="s">
        <v>162</v>
      </c>
      <c r="I47" s="1513"/>
      <c r="J47" s="423">
        <f>'2'!J48</f>
        <v>0</v>
      </c>
      <c r="K47" s="423">
        <f>'2'!K48</f>
        <v>0</v>
      </c>
      <c r="L47" s="343"/>
      <c r="M47" s="344"/>
      <c r="N47" s="345"/>
      <c r="P47" s="375" t="s">
        <v>163</v>
      </c>
      <c r="Q47" s="378">
        <f>Q9+Q10+Q19+Q20+Q21+Q22</f>
        <v>0</v>
      </c>
      <c r="R47" s="19"/>
      <c r="S47" s="1489" t="s">
        <v>92</v>
      </c>
      <c r="T47" s="1402" t="s">
        <v>95</v>
      </c>
      <c r="U47" s="1403"/>
      <c r="V47" s="1403"/>
      <c r="W47" s="1404"/>
      <c r="X47" s="1402" t="s">
        <v>7</v>
      </c>
      <c r="Y47" s="1403"/>
      <c r="Z47" s="1404"/>
      <c r="AA47" s="1402" t="s">
        <v>8</v>
      </c>
      <c r="AB47" s="1404"/>
      <c r="AC47" s="1402" t="s">
        <v>9</v>
      </c>
      <c r="AD47" s="1403"/>
      <c r="AE47" s="1403"/>
      <c r="AF47" s="1403"/>
      <c r="AG47" s="1403"/>
      <c r="AH47" s="1403"/>
      <c r="AI47" s="1403"/>
      <c r="AJ47" s="1405" t="s">
        <v>10</v>
      </c>
      <c r="AK47" s="1406"/>
      <c r="AL47" s="1400" t="s">
        <v>289</v>
      </c>
      <c r="AM47" s="1401"/>
      <c r="AN47" s="842" t="s">
        <v>290</v>
      </c>
    </row>
    <row r="48" spans="1:40" ht="27" customHeight="1" thickTop="1" thickBot="1">
      <c r="A48" s="192" t="s">
        <v>74</v>
      </c>
      <c r="B48" s="544">
        <f>SUM(B22:B47)</f>
        <v>0</v>
      </c>
      <c r="C48" s="543">
        <f>'2'!D48</f>
        <v>0</v>
      </c>
      <c r="D48" s="544">
        <f t="shared" si="5"/>
        <v>0</v>
      </c>
      <c r="F48" s="371"/>
      <c r="G48" s="426">
        <f>G46+G47</f>
        <v>0</v>
      </c>
      <c r="H48" s="1495" t="s">
        <v>164</v>
      </c>
      <c r="I48" s="1496"/>
      <c r="J48" s="422">
        <f>J46+J47</f>
        <v>0</v>
      </c>
      <c r="K48" s="428">
        <f>K46+K47</f>
        <v>0</v>
      </c>
      <c r="L48" s="346"/>
      <c r="M48" s="347"/>
      <c r="N48" s="622">
        <f>G48-J48</f>
        <v>0</v>
      </c>
      <c r="P48" s="376" t="s">
        <v>155</v>
      </c>
      <c r="Q48" s="379">
        <f>Q45-Q46-Q47</f>
        <v>0</v>
      </c>
      <c r="R48" s="19"/>
      <c r="S48" s="1490"/>
      <c r="T48" s="482" t="s">
        <v>12</v>
      </c>
      <c r="U48" s="482" t="s">
        <v>13</v>
      </c>
      <c r="V48" s="482" t="s">
        <v>14</v>
      </c>
      <c r="W48" s="958" t="s">
        <v>263</v>
      </c>
      <c r="X48" s="482" t="s">
        <v>12</v>
      </c>
      <c r="Y48" s="482" t="s">
        <v>13</v>
      </c>
      <c r="Z48" s="482" t="s">
        <v>282</v>
      </c>
      <c r="AA48" s="482" t="s">
        <v>12</v>
      </c>
      <c r="AB48" s="482" t="s">
        <v>16</v>
      </c>
      <c r="AC48" s="482" t="s">
        <v>17</v>
      </c>
      <c r="AD48" s="482" t="s">
        <v>18</v>
      </c>
      <c r="AE48" s="482" t="s">
        <v>19</v>
      </c>
      <c r="AF48" s="484" t="s">
        <v>96</v>
      </c>
      <c r="AG48" s="484" t="s">
        <v>257</v>
      </c>
      <c r="AH48" s="482" t="s">
        <v>254</v>
      </c>
      <c r="AI48" s="482" t="s">
        <v>20</v>
      </c>
      <c r="AJ48" s="483" t="s">
        <v>14</v>
      </c>
      <c r="AK48" s="482" t="s">
        <v>13</v>
      </c>
      <c r="AL48" s="846" t="s">
        <v>284</v>
      </c>
      <c r="AM48" s="846" t="s">
        <v>288</v>
      </c>
      <c r="AN48" s="484" t="s">
        <v>291</v>
      </c>
    </row>
    <row r="49" spans="1:42" ht="24.95" customHeight="1" thickTop="1" thickBot="1">
      <c r="Q49" s="111">
        <f>Q48+Q41</f>
        <v>0</v>
      </c>
      <c r="R49" s="19"/>
      <c r="S49" s="865" t="s">
        <v>165</v>
      </c>
      <c r="T49" s="866">
        <f>'2'!T55</f>
        <v>0</v>
      </c>
      <c r="U49" s="866">
        <f>'2'!U55</f>
        <v>0</v>
      </c>
      <c r="V49" s="866">
        <f>'2'!V55</f>
        <v>0</v>
      </c>
      <c r="W49" s="866">
        <f>'2'!W55</f>
        <v>0</v>
      </c>
      <c r="X49" s="866">
        <f>'2'!X55</f>
        <v>0</v>
      </c>
      <c r="Y49" s="866">
        <f>'2'!Y55</f>
        <v>0</v>
      </c>
      <c r="Z49" s="866">
        <f>'2'!Z55</f>
        <v>0</v>
      </c>
      <c r="AA49" s="866">
        <f>'2'!AA55</f>
        <v>0</v>
      </c>
      <c r="AB49" s="866">
        <f>'2'!AB55</f>
        <v>0</v>
      </c>
      <c r="AC49" s="866">
        <f>'2'!AC55</f>
        <v>0</v>
      </c>
      <c r="AD49" s="866">
        <f>'2'!AD55</f>
        <v>0</v>
      </c>
      <c r="AE49" s="866">
        <f>'2'!AE55</f>
        <v>0</v>
      </c>
      <c r="AF49" s="866">
        <f>'2'!AF55</f>
        <v>0</v>
      </c>
      <c r="AG49" s="866">
        <f>'2'!AG55</f>
        <v>0</v>
      </c>
      <c r="AH49" s="866">
        <f>'2'!AH55</f>
        <v>0</v>
      </c>
      <c r="AI49" s="866">
        <f>'2'!AI55</f>
        <v>0</v>
      </c>
      <c r="AJ49" s="866">
        <f>'2'!AJ55</f>
        <v>0</v>
      </c>
      <c r="AK49" s="866">
        <f>'2'!AK55</f>
        <v>0</v>
      </c>
      <c r="AL49" s="866" t="e">
        <f>'2'!AL55</f>
        <v>#VALUE!</v>
      </c>
      <c r="AM49" s="866" t="e">
        <f>'2'!AM55</f>
        <v>#VALUE!</v>
      </c>
      <c r="AN49" s="866" t="e">
        <f>'2'!AN55</f>
        <v>#VALUE!</v>
      </c>
    </row>
    <row r="50" spans="1:42" ht="24.95" customHeight="1" thickBot="1">
      <c r="C50" t="s">
        <v>1</v>
      </c>
      <c r="L50" s="417">
        <v>5000</v>
      </c>
      <c r="M50" s="417"/>
      <c r="N50" s="417">
        <f t="shared" ref="N50:N57" si="6">L50*M50</f>
        <v>0</v>
      </c>
      <c r="R50" s="19"/>
      <c r="S50" s="854" t="s">
        <v>166</v>
      </c>
      <c r="T50" s="852"/>
      <c r="U50" s="852"/>
      <c r="V50" s="852"/>
      <c r="W50" s="852"/>
      <c r="X50" s="852"/>
      <c r="Y50" s="852"/>
      <c r="Z50" s="852"/>
      <c r="AA50" s="852"/>
      <c r="AB50" s="852"/>
      <c r="AC50" s="852"/>
      <c r="AD50" s="852"/>
      <c r="AE50" s="852"/>
      <c r="AF50" s="852"/>
      <c r="AG50" s="855"/>
      <c r="AH50" s="852"/>
      <c r="AI50" s="852"/>
      <c r="AJ50" s="848"/>
      <c r="AK50" s="848"/>
      <c r="AL50" s="849"/>
      <c r="AM50" s="849"/>
      <c r="AN50" s="930"/>
    </row>
    <row r="51" spans="1:42" ht="24.95" customHeight="1" thickBot="1">
      <c r="L51" s="417">
        <v>1000</v>
      </c>
      <c r="M51" s="417"/>
      <c r="N51" s="417">
        <f t="shared" si="6"/>
        <v>0</v>
      </c>
      <c r="R51" s="19"/>
      <c r="S51" s="867" t="s">
        <v>91</v>
      </c>
      <c r="T51" s="868"/>
      <c r="U51" s="868"/>
      <c r="V51" s="868"/>
      <c r="W51" s="868"/>
      <c r="X51" s="868"/>
      <c r="Y51" s="868"/>
      <c r="Z51" s="868"/>
      <c r="AA51" s="868"/>
      <c r="AB51" s="868"/>
      <c r="AC51" s="868"/>
      <c r="AD51" s="868"/>
      <c r="AE51" s="868"/>
      <c r="AF51" s="868"/>
      <c r="AG51" s="869"/>
      <c r="AH51" s="868"/>
      <c r="AI51" s="870"/>
      <c r="AJ51" s="868"/>
      <c r="AK51" s="868"/>
      <c r="AL51" s="849"/>
      <c r="AM51" s="849"/>
      <c r="AN51" s="850"/>
    </row>
    <row r="52" spans="1:42" ht="24.95" customHeight="1" thickBot="1">
      <c r="L52" s="417">
        <v>500</v>
      </c>
      <c r="M52" s="417"/>
      <c r="N52" s="417">
        <f t="shared" si="6"/>
        <v>0</v>
      </c>
      <c r="O52" t="s">
        <v>1</v>
      </c>
      <c r="R52" s="19"/>
      <c r="S52" s="856" t="s">
        <v>167</v>
      </c>
      <c r="T52" s="857"/>
      <c r="U52" s="857"/>
      <c r="V52" s="857"/>
      <c r="W52" s="857"/>
      <c r="X52" s="857"/>
      <c r="Y52" s="857"/>
      <c r="Z52" s="857"/>
      <c r="AA52" s="857"/>
      <c r="AB52" s="857"/>
      <c r="AC52" s="857"/>
      <c r="AD52" s="857"/>
      <c r="AE52" s="857"/>
      <c r="AF52" s="857"/>
      <c r="AG52" s="858"/>
      <c r="AH52" s="859"/>
      <c r="AI52" s="860"/>
      <c r="AJ52" s="851"/>
      <c r="AK52" s="851"/>
      <c r="AL52" s="849"/>
      <c r="AM52" s="849"/>
      <c r="AN52" s="850"/>
    </row>
    <row r="53" spans="1:42" ht="24.95" customHeight="1" thickBot="1">
      <c r="L53" s="417">
        <v>100</v>
      </c>
      <c r="M53" s="417"/>
      <c r="N53" s="417">
        <f t="shared" si="6"/>
        <v>0</v>
      </c>
      <c r="R53" s="19"/>
      <c r="S53" s="871" t="s">
        <v>81</v>
      </c>
      <c r="T53" s="866">
        <f t="shared" ref="T53:AN53" si="7">SUM(T49+T50+T52)</f>
        <v>0</v>
      </c>
      <c r="U53" s="866">
        <f t="shared" si="7"/>
        <v>0</v>
      </c>
      <c r="V53" s="866">
        <f t="shared" si="7"/>
        <v>0</v>
      </c>
      <c r="W53" s="866">
        <f t="shared" si="7"/>
        <v>0</v>
      </c>
      <c r="X53" s="866">
        <f t="shared" si="7"/>
        <v>0</v>
      </c>
      <c r="Y53" s="866">
        <f t="shared" si="7"/>
        <v>0</v>
      </c>
      <c r="Z53" s="866">
        <f t="shared" si="7"/>
        <v>0</v>
      </c>
      <c r="AA53" s="866">
        <f t="shared" si="7"/>
        <v>0</v>
      </c>
      <c r="AB53" s="866">
        <f t="shared" si="7"/>
        <v>0</v>
      </c>
      <c r="AC53" s="866">
        <f t="shared" si="7"/>
        <v>0</v>
      </c>
      <c r="AD53" s="866">
        <f t="shared" si="7"/>
        <v>0</v>
      </c>
      <c r="AE53" s="866">
        <f t="shared" si="7"/>
        <v>0</v>
      </c>
      <c r="AF53" s="866">
        <f t="shared" si="7"/>
        <v>0</v>
      </c>
      <c r="AG53" s="866">
        <f t="shared" si="7"/>
        <v>0</v>
      </c>
      <c r="AH53" s="866">
        <f t="shared" si="7"/>
        <v>0</v>
      </c>
      <c r="AI53" s="866">
        <f t="shared" si="7"/>
        <v>0</v>
      </c>
      <c r="AJ53" s="866">
        <f t="shared" si="7"/>
        <v>0</v>
      </c>
      <c r="AK53" s="866">
        <f t="shared" si="7"/>
        <v>0</v>
      </c>
      <c r="AL53" s="866" t="e">
        <f t="shared" si="7"/>
        <v>#VALUE!</v>
      </c>
      <c r="AM53" s="866" t="e">
        <f t="shared" si="7"/>
        <v>#VALUE!</v>
      </c>
      <c r="AN53" s="872" t="e">
        <f t="shared" si="7"/>
        <v>#VALUE!</v>
      </c>
    </row>
    <row r="54" spans="1:42" ht="24.95" customHeight="1" thickBot="1">
      <c r="L54" s="417">
        <v>50</v>
      </c>
      <c r="M54" s="417"/>
      <c r="N54" s="417">
        <f t="shared" si="6"/>
        <v>0</v>
      </c>
      <c r="R54" s="19"/>
      <c r="S54" s="854" t="s">
        <v>168</v>
      </c>
      <c r="T54" s="852">
        <f>'CUSTOMERS REPORT'!B10+'CUSTOMERS REPORT'!B56+'CUSTOMERS REPORT'!B94+'CUSTOMERS REPORT'!B133+'CUSTOMERS REPORT'!B171+'CUSTOMERS REPORT'!B211+'CUSTOMERS REPORT'!B248+'CUSTOMERS REPORT'!B288+'CUSTOMERS REPORT'!B329+'CUSTOMERS REPORT'!B371+'CUSTOMERS REPORT'!B410+'CUSTOMERS REPORT'!B448+'CUSTOMERS REPORT'!B484+'CUSTOMERS REPORT'!B521+'CUSTOMERS REPORT'!B559+'CUSTOMERS REPORT'!B595+'CUSTOMERS REPORT'!B633+'CUSTOMERS REPORT'!B671+'CUSTOMERS REPORT'!B709+'CUSTOMERS REPORT'!B747+'CUSTOMERS REPORT'!B785+'CUSTOMERS REPORT'!B823+'CUSTOMERS REPORT'!B861+'CUSTOMERS REPORT'!B900+'CUSTOMERS REPORT'!B939+'CUSTOMERS REPORT'!B977+'CUSTOMERS REPORT'!B1015+'CUSTOMERS REPORT'!B1053+'CUSTOMERS REPORT'!B1091+'CUSTOMERS REPORT'!B1129+'CUSTOMERS REPORT'!B1166+'CUSTOMERS REPORT'!B1203+'CUSTOMERS REPORT'!B1240+'CUSTOMERS REPORT'!B1277+'CUSTOMERS REPORT'!B1314+'CUSTOMERS REPORT'!B1351+'CUSTOMERS REPORT'!B1388+'CUSTOMERS REPORT'!B1424</f>
        <v>0</v>
      </c>
      <c r="U54" s="852">
        <f>'CUSTOMERS REPORT'!C10+'CUSTOMERS REPORT'!C56+'CUSTOMERS REPORT'!C94+'CUSTOMERS REPORT'!C133+'CUSTOMERS REPORT'!C171+'CUSTOMERS REPORT'!C211+'CUSTOMERS REPORT'!C248+'CUSTOMERS REPORT'!C288+'CUSTOMERS REPORT'!C329+'CUSTOMERS REPORT'!C371+'CUSTOMERS REPORT'!C410+'CUSTOMERS REPORT'!C448+'CUSTOMERS REPORT'!C484+'CUSTOMERS REPORT'!C521+'CUSTOMERS REPORT'!C559+'CUSTOMERS REPORT'!C595+'CUSTOMERS REPORT'!C633+'CUSTOMERS REPORT'!C671+'CUSTOMERS REPORT'!C709+'CUSTOMERS REPORT'!C747+'CUSTOMERS REPORT'!C785+'CUSTOMERS REPORT'!C823+'CUSTOMERS REPORT'!C861+'CUSTOMERS REPORT'!C900+'CUSTOMERS REPORT'!C939+'CUSTOMERS REPORT'!C977+'CUSTOMERS REPORT'!C1015+'CUSTOMERS REPORT'!C1053+'CUSTOMERS REPORT'!C1091+'CUSTOMERS REPORT'!C1129+'CUSTOMERS REPORT'!C1166+'CUSTOMERS REPORT'!C1203+'CUSTOMERS REPORT'!C1240+'CUSTOMERS REPORT'!C1277+'CUSTOMERS REPORT'!C1314+'CUSTOMERS REPORT'!C1351+'CUSTOMERS REPORT'!C1388+'CUSTOMERS REPORT'!C1424</f>
        <v>0</v>
      </c>
      <c r="V54" s="852">
        <f>'CUSTOMERS REPORT'!D10+'CUSTOMERS REPORT'!D56+'CUSTOMERS REPORT'!D94+'CUSTOMERS REPORT'!D133+'CUSTOMERS REPORT'!D171+'CUSTOMERS REPORT'!D211+'CUSTOMERS REPORT'!D248+'CUSTOMERS REPORT'!D288+'CUSTOMERS REPORT'!D329+'CUSTOMERS REPORT'!D371+'CUSTOMERS REPORT'!D410+'CUSTOMERS REPORT'!D448+'CUSTOMERS REPORT'!D484+'CUSTOMERS REPORT'!D521+'CUSTOMERS REPORT'!D559+'CUSTOMERS REPORT'!D595+'CUSTOMERS REPORT'!D633+'CUSTOMERS REPORT'!D671+'CUSTOMERS REPORT'!D709+'CUSTOMERS REPORT'!D747+'CUSTOMERS REPORT'!D785+'CUSTOMERS REPORT'!D823+'CUSTOMERS REPORT'!D861+'CUSTOMERS REPORT'!D900+'CUSTOMERS REPORT'!D939+'CUSTOMERS REPORT'!D977+'CUSTOMERS REPORT'!D1015+'CUSTOMERS REPORT'!D1053+'CUSTOMERS REPORT'!D1091+'CUSTOMERS REPORT'!D1129+'CUSTOMERS REPORT'!D1166+'CUSTOMERS REPORT'!D1203+'CUSTOMERS REPORT'!D1240+'CUSTOMERS REPORT'!D1277+'CUSTOMERS REPORT'!D1314+'CUSTOMERS REPORT'!D1351+'CUSTOMERS REPORT'!D1388+'CUSTOMERS REPORT'!D1424</f>
        <v>0</v>
      </c>
      <c r="W54" s="852">
        <f>'CUSTOMERS REPORT'!E10+'CUSTOMERS REPORT'!E56+'CUSTOMERS REPORT'!E94+'CUSTOMERS REPORT'!E133+'CUSTOMERS REPORT'!E171+'CUSTOMERS REPORT'!E211+'CUSTOMERS REPORT'!E248+'CUSTOMERS REPORT'!E288+'CUSTOMERS REPORT'!E329+'CUSTOMERS REPORT'!E371+'CUSTOMERS REPORT'!E410+'CUSTOMERS REPORT'!E448+'CUSTOMERS REPORT'!E484+'CUSTOMERS REPORT'!E521+'CUSTOMERS REPORT'!E559+'CUSTOMERS REPORT'!E595+'CUSTOMERS REPORT'!E633+'CUSTOMERS REPORT'!E671+'CUSTOMERS REPORT'!E709+'CUSTOMERS REPORT'!E747+'CUSTOMERS REPORT'!E785+'CUSTOMERS REPORT'!E823+'CUSTOMERS REPORT'!E861+'CUSTOMERS REPORT'!E900+'CUSTOMERS REPORT'!E939+'CUSTOMERS REPORT'!E977+'CUSTOMERS REPORT'!E1015+'CUSTOMERS REPORT'!E1053+'CUSTOMERS REPORT'!E1091+'CUSTOMERS REPORT'!E1129+'CUSTOMERS REPORT'!E1166+'CUSTOMERS REPORT'!E1203+'CUSTOMERS REPORT'!E1240+'CUSTOMERS REPORT'!E1277+'CUSTOMERS REPORT'!E1314+'CUSTOMERS REPORT'!E1351+'CUSTOMERS REPORT'!E1388+'CUSTOMERS REPORT'!E1424</f>
        <v>0</v>
      </c>
      <c r="X54" s="852">
        <f>'CUSTOMERS REPORT'!F10+'CUSTOMERS REPORT'!F56+'CUSTOMERS REPORT'!F94+'CUSTOMERS REPORT'!F133+'CUSTOMERS REPORT'!F171+'CUSTOMERS REPORT'!F211+'CUSTOMERS REPORT'!F248+'CUSTOMERS REPORT'!F288+'CUSTOMERS REPORT'!F329+'CUSTOMERS REPORT'!F371+'CUSTOMERS REPORT'!F410+'CUSTOMERS REPORT'!F448+'CUSTOMERS REPORT'!F484+'CUSTOMERS REPORT'!F521+'CUSTOMERS REPORT'!F559+'CUSTOMERS REPORT'!F595+'CUSTOMERS REPORT'!F633+'CUSTOMERS REPORT'!F671+'CUSTOMERS REPORT'!F709+'CUSTOMERS REPORT'!F747+'CUSTOMERS REPORT'!F785+'CUSTOMERS REPORT'!F823+'CUSTOMERS REPORT'!F861+'CUSTOMERS REPORT'!F900+'CUSTOMERS REPORT'!F939+'CUSTOMERS REPORT'!F977+'CUSTOMERS REPORT'!F1015+'CUSTOMERS REPORT'!F1053+'CUSTOMERS REPORT'!F1091+'CUSTOMERS REPORT'!F1129+'CUSTOMERS REPORT'!F1166+'CUSTOMERS REPORT'!F1203+'CUSTOMERS REPORT'!F1240+'CUSTOMERS REPORT'!F1277+'CUSTOMERS REPORT'!F1314+'CUSTOMERS REPORT'!F1351+'CUSTOMERS REPORT'!F1388+'CUSTOMERS REPORT'!F1424</f>
        <v>0</v>
      </c>
      <c r="Y54" s="852">
        <f>'CUSTOMERS REPORT'!G10+'CUSTOMERS REPORT'!G56+'CUSTOMERS REPORT'!G94+'CUSTOMERS REPORT'!G133+'CUSTOMERS REPORT'!G171+'CUSTOMERS REPORT'!G211+'CUSTOMERS REPORT'!G248+'CUSTOMERS REPORT'!G288+'CUSTOMERS REPORT'!G329+'CUSTOMERS REPORT'!G371+'CUSTOMERS REPORT'!G410+'CUSTOMERS REPORT'!G448+'CUSTOMERS REPORT'!G484+'CUSTOMERS REPORT'!G521+'CUSTOMERS REPORT'!G559+'CUSTOMERS REPORT'!G595+'CUSTOMERS REPORT'!G633+'CUSTOMERS REPORT'!G671+'CUSTOMERS REPORT'!G709+'CUSTOMERS REPORT'!G747+'CUSTOMERS REPORT'!G785+'CUSTOMERS REPORT'!G823+'CUSTOMERS REPORT'!G861+'CUSTOMERS REPORT'!G900+'CUSTOMERS REPORT'!G939+'CUSTOMERS REPORT'!G977+'CUSTOMERS REPORT'!G1015+'CUSTOMERS REPORT'!G1053+'CUSTOMERS REPORT'!G1091+'CUSTOMERS REPORT'!G1129+'CUSTOMERS REPORT'!G1166+'CUSTOMERS REPORT'!G1203+'CUSTOMERS REPORT'!G1240+'CUSTOMERS REPORT'!G1277+'CUSTOMERS REPORT'!G1314+'CUSTOMERS REPORT'!G1351+'CUSTOMERS REPORT'!G1388+'CUSTOMERS REPORT'!G1424</f>
        <v>0</v>
      </c>
      <c r="Z54" s="852">
        <f>'CUSTOMERS REPORT'!H10+'CUSTOMERS REPORT'!H56+'CUSTOMERS REPORT'!H94+'CUSTOMERS REPORT'!H133+'CUSTOMERS REPORT'!H171+'CUSTOMERS REPORT'!H211+'CUSTOMERS REPORT'!H248+'CUSTOMERS REPORT'!H288+'CUSTOMERS REPORT'!H329+'CUSTOMERS REPORT'!H371+'CUSTOMERS REPORT'!H410+'CUSTOMERS REPORT'!H448+'CUSTOMERS REPORT'!H484+'CUSTOMERS REPORT'!H521+'CUSTOMERS REPORT'!H559+'CUSTOMERS REPORT'!H595+'CUSTOMERS REPORT'!H633+'CUSTOMERS REPORT'!H671+'CUSTOMERS REPORT'!H709+'CUSTOMERS REPORT'!H747+'CUSTOMERS REPORT'!H785+'CUSTOMERS REPORT'!H823+'CUSTOMERS REPORT'!H861+'CUSTOMERS REPORT'!H900+'CUSTOMERS REPORT'!H939+'CUSTOMERS REPORT'!H977+'CUSTOMERS REPORT'!H1015+'CUSTOMERS REPORT'!H1053+'CUSTOMERS REPORT'!H1091+'CUSTOMERS REPORT'!H1129+'CUSTOMERS REPORT'!H1166+'CUSTOMERS REPORT'!H1203+'CUSTOMERS REPORT'!H1240+'CUSTOMERS REPORT'!H1277+'CUSTOMERS REPORT'!H1314+'CUSTOMERS REPORT'!H1351+'CUSTOMERS REPORT'!H1388+'CUSTOMERS REPORT'!H1424</f>
        <v>0</v>
      </c>
      <c r="AA54" s="852">
        <f>'CUSTOMERS REPORT'!I10+'CUSTOMERS REPORT'!I56+'CUSTOMERS REPORT'!I94+'CUSTOMERS REPORT'!I133+'CUSTOMERS REPORT'!I171+'CUSTOMERS REPORT'!I211+'CUSTOMERS REPORT'!I248+'CUSTOMERS REPORT'!I288+'CUSTOMERS REPORT'!I329+'CUSTOMERS REPORT'!I371+'CUSTOMERS REPORT'!I410+'CUSTOMERS REPORT'!I448+'CUSTOMERS REPORT'!I484+'CUSTOMERS REPORT'!I521+'CUSTOMERS REPORT'!I559+'CUSTOMERS REPORT'!I595+'CUSTOMERS REPORT'!I633+'CUSTOMERS REPORT'!I671+'CUSTOMERS REPORT'!I709+'CUSTOMERS REPORT'!I747+'CUSTOMERS REPORT'!I785+'CUSTOMERS REPORT'!I823+'CUSTOMERS REPORT'!I861+'CUSTOMERS REPORT'!I900+'CUSTOMERS REPORT'!I939+'CUSTOMERS REPORT'!I977+'CUSTOMERS REPORT'!I1015+'CUSTOMERS REPORT'!I1053+'CUSTOMERS REPORT'!I1091+'CUSTOMERS REPORT'!I1129+'CUSTOMERS REPORT'!I1166+'CUSTOMERS REPORT'!I1203+'CUSTOMERS REPORT'!I1240+'CUSTOMERS REPORT'!I1277+'CUSTOMERS REPORT'!I1314+'CUSTOMERS REPORT'!I1351+'CUSTOMERS REPORT'!I1388+'CUSTOMERS REPORT'!I1424</f>
        <v>0</v>
      </c>
      <c r="AB54" s="852">
        <f>'CUSTOMERS REPORT'!J10+'CUSTOMERS REPORT'!J56+'CUSTOMERS REPORT'!J94+'CUSTOMERS REPORT'!J133+'CUSTOMERS REPORT'!J171+'CUSTOMERS REPORT'!J211+'CUSTOMERS REPORT'!J248+'CUSTOMERS REPORT'!J288+'CUSTOMERS REPORT'!J329+'CUSTOMERS REPORT'!J371+'CUSTOMERS REPORT'!J410+'CUSTOMERS REPORT'!J448+'CUSTOMERS REPORT'!J484+'CUSTOMERS REPORT'!J521+'CUSTOMERS REPORT'!J559+'CUSTOMERS REPORT'!J595+'CUSTOMERS REPORT'!J633+'CUSTOMERS REPORT'!J671+'CUSTOMERS REPORT'!J709+'CUSTOMERS REPORT'!J747+'CUSTOMERS REPORT'!J785+'CUSTOMERS REPORT'!J823+'CUSTOMERS REPORT'!J861+'CUSTOMERS REPORT'!J900+'CUSTOMERS REPORT'!J939+'CUSTOMERS REPORT'!J977+'CUSTOMERS REPORT'!J1015+'CUSTOMERS REPORT'!J1053+'CUSTOMERS REPORT'!J1091+'CUSTOMERS REPORT'!J1129+'CUSTOMERS REPORT'!J1166+'CUSTOMERS REPORT'!J1203+'CUSTOMERS REPORT'!J1240+'CUSTOMERS REPORT'!J1277+'CUSTOMERS REPORT'!J1314+'CUSTOMERS REPORT'!J1351+'CUSTOMERS REPORT'!J1388+'CUSTOMERS REPORT'!J1424</f>
        <v>0</v>
      </c>
      <c r="AC54" s="852">
        <f>'CUSTOMERS REPORT'!K10+'CUSTOMERS REPORT'!K56+'CUSTOMERS REPORT'!K94+'CUSTOMERS REPORT'!K133+'CUSTOMERS REPORT'!K171+'CUSTOMERS REPORT'!K211+'CUSTOMERS REPORT'!K248+'CUSTOMERS REPORT'!K288+'CUSTOMERS REPORT'!K329+'CUSTOMERS REPORT'!K371+'CUSTOMERS REPORT'!K410+'CUSTOMERS REPORT'!K448+'CUSTOMERS REPORT'!K484+'CUSTOMERS REPORT'!K521+'CUSTOMERS REPORT'!K559+'CUSTOMERS REPORT'!K595+'CUSTOMERS REPORT'!K633+'CUSTOMERS REPORT'!K671+'CUSTOMERS REPORT'!K709+'CUSTOMERS REPORT'!K747+'CUSTOMERS REPORT'!K785+'CUSTOMERS REPORT'!K823+'CUSTOMERS REPORT'!K861+'CUSTOMERS REPORT'!K900+'CUSTOMERS REPORT'!K939+'CUSTOMERS REPORT'!K977+'CUSTOMERS REPORT'!K1015+'CUSTOMERS REPORT'!K1053+'CUSTOMERS REPORT'!K1091+'CUSTOMERS REPORT'!K1129+'CUSTOMERS REPORT'!K1166+'CUSTOMERS REPORT'!K1203+'CUSTOMERS REPORT'!K1240+'CUSTOMERS REPORT'!K1277+'CUSTOMERS REPORT'!K1314+'CUSTOMERS REPORT'!K1351+'CUSTOMERS REPORT'!K1388+'CUSTOMERS REPORT'!K1424</f>
        <v>0</v>
      </c>
      <c r="AD54" s="852">
        <f>'CUSTOMERS REPORT'!L10+'CUSTOMERS REPORT'!L56+'CUSTOMERS REPORT'!L94+'CUSTOMERS REPORT'!L133+'CUSTOMERS REPORT'!L171+'CUSTOMERS REPORT'!L211+'CUSTOMERS REPORT'!L248+'CUSTOMERS REPORT'!L288+'CUSTOMERS REPORT'!L329+'CUSTOMERS REPORT'!L371+'CUSTOMERS REPORT'!L410+'CUSTOMERS REPORT'!L448+'CUSTOMERS REPORT'!L484+'CUSTOMERS REPORT'!L521+'CUSTOMERS REPORT'!L559+'CUSTOMERS REPORT'!L595+'CUSTOMERS REPORT'!L633+'CUSTOMERS REPORT'!L671+'CUSTOMERS REPORT'!L709+'CUSTOMERS REPORT'!L747+'CUSTOMERS REPORT'!L785+'CUSTOMERS REPORT'!L823+'CUSTOMERS REPORT'!L861+'CUSTOMERS REPORT'!L900+'CUSTOMERS REPORT'!L939+'CUSTOMERS REPORT'!L977+'CUSTOMERS REPORT'!L1015+'CUSTOMERS REPORT'!L1053+'CUSTOMERS REPORT'!L1091+'CUSTOMERS REPORT'!L1129+'CUSTOMERS REPORT'!L1166+'CUSTOMERS REPORT'!L1203+'CUSTOMERS REPORT'!L1240+'CUSTOMERS REPORT'!L1277+'CUSTOMERS REPORT'!L1314+'CUSTOMERS REPORT'!L1351+'CUSTOMERS REPORT'!L1388+'CUSTOMERS REPORT'!L1424</f>
        <v>0</v>
      </c>
      <c r="AE54" s="852">
        <f>'CUSTOMERS REPORT'!M10+'CUSTOMERS REPORT'!M56+'CUSTOMERS REPORT'!M94+'CUSTOMERS REPORT'!M133+'CUSTOMERS REPORT'!M171+'CUSTOMERS REPORT'!M211+'CUSTOMERS REPORT'!M248+'CUSTOMERS REPORT'!M288+'CUSTOMERS REPORT'!M329+'CUSTOMERS REPORT'!M371+'CUSTOMERS REPORT'!M410+'CUSTOMERS REPORT'!M448+'CUSTOMERS REPORT'!M484+'CUSTOMERS REPORT'!M521+'CUSTOMERS REPORT'!M559+'CUSTOMERS REPORT'!M595+'CUSTOMERS REPORT'!M633+'CUSTOMERS REPORT'!M671+'CUSTOMERS REPORT'!M709+'CUSTOMERS REPORT'!M747+'CUSTOMERS REPORT'!M785+'CUSTOMERS REPORT'!M823+'CUSTOMERS REPORT'!M861+'CUSTOMERS REPORT'!M900+'CUSTOMERS REPORT'!M939+'CUSTOMERS REPORT'!M977+'CUSTOMERS REPORT'!M1015+'CUSTOMERS REPORT'!M1053+'CUSTOMERS REPORT'!M1091+'CUSTOMERS REPORT'!M1129+'CUSTOMERS REPORT'!M1166+'CUSTOMERS REPORT'!M1203+'CUSTOMERS REPORT'!M1240+'CUSTOMERS REPORT'!M1277+'CUSTOMERS REPORT'!M1314+'CUSTOMERS REPORT'!M1351+'CUSTOMERS REPORT'!M1388+'CUSTOMERS REPORT'!M1424</f>
        <v>0</v>
      </c>
      <c r="AF54" s="852">
        <f>'CUSTOMERS REPORT'!N10+'CUSTOMERS REPORT'!N56+'CUSTOMERS REPORT'!N94+'CUSTOMERS REPORT'!N133+'CUSTOMERS REPORT'!N171+'CUSTOMERS REPORT'!N211+'CUSTOMERS REPORT'!N248+'CUSTOMERS REPORT'!N288+'CUSTOMERS REPORT'!N329+'CUSTOMERS REPORT'!N371+'CUSTOMERS REPORT'!N410+'CUSTOMERS REPORT'!N448+'CUSTOMERS REPORT'!N484+'CUSTOMERS REPORT'!N521+'CUSTOMERS REPORT'!N559+'CUSTOMERS REPORT'!N595+'CUSTOMERS REPORT'!N633+'CUSTOMERS REPORT'!N671+'CUSTOMERS REPORT'!N709+'CUSTOMERS REPORT'!N747+'CUSTOMERS REPORT'!N785+'CUSTOMERS REPORT'!N823+'CUSTOMERS REPORT'!N861+'CUSTOMERS REPORT'!N900+'CUSTOMERS REPORT'!N939+'CUSTOMERS REPORT'!N977+'CUSTOMERS REPORT'!N1015+'CUSTOMERS REPORT'!N1053+'CUSTOMERS REPORT'!N1091+'CUSTOMERS REPORT'!N1129+'CUSTOMERS REPORT'!N1166+'CUSTOMERS REPORT'!N1203+'CUSTOMERS REPORT'!N1240+'CUSTOMERS REPORT'!N1277+'CUSTOMERS REPORT'!N1314+'CUSTOMERS REPORT'!N1351+'CUSTOMERS REPORT'!N1388+'CUSTOMERS REPORT'!N1424</f>
        <v>0</v>
      </c>
      <c r="AG54" s="852">
        <f>'CUSTOMERS REPORT'!O10+'CUSTOMERS REPORT'!O56+'CUSTOMERS REPORT'!O94+'CUSTOMERS REPORT'!O133+'CUSTOMERS REPORT'!O171+'CUSTOMERS REPORT'!O211+'CUSTOMERS REPORT'!O248+'CUSTOMERS REPORT'!O288+'CUSTOMERS REPORT'!O329+'CUSTOMERS REPORT'!O371+'CUSTOMERS REPORT'!O410+'CUSTOMERS REPORT'!O448+'CUSTOMERS REPORT'!O484+'CUSTOMERS REPORT'!O521+'CUSTOMERS REPORT'!O559+'CUSTOMERS REPORT'!O595+'CUSTOMERS REPORT'!O633+'CUSTOMERS REPORT'!O671+'CUSTOMERS REPORT'!O709+'CUSTOMERS REPORT'!O747+'CUSTOMERS REPORT'!O785+'CUSTOMERS REPORT'!O823+'CUSTOMERS REPORT'!O861+'CUSTOMERS REPORT'!O900+'CUSTOMERS REPORT'!O939+'CUSTOMERS REPORT'!O977+'CUSTOMERS REPORT'!O1015+'CUSTOMERS REPORT'!O1053+'CUSTOMERS REPORT'!O1091+'CUSTOMERS REPORT'!O1129+'CUSTOMERS REPORT'!O1166+'CUSTOMERS REPORT'!O1203+'CUSTOMERS REPORT'!O1240+'CUSTOMERS REPORT'!O1277+'CUSTOMERS REPORT'!O1314+'CUSTOMERS REPORT'!O1351+'CUSTOMERS REPORT'!O1388+'CUSTOMERS REPORT'!O1424</f>
        <v>0</v>
      </c>
      <c r="AH54" s="852">
        <f>'CUSTOMERS REPORT'!P10+'CUSTOMERS REPORT'!P56+'CUSTOMERS REPORT'!P94+'CUSTOMERS REPORT'!P133+'CUSTOMERS REPORT'!P171+'CUSTOMERS REPORT'!P211+'CUSTOMERS REPORT'!P248+'CUSTOMERS REPORT'!P288+'CUSTOMERS REPORT'!P329+'CUSTOMERS REPORT'!P371+'CUSTOMERS REPORT'!P410+'CUSTOMERS REPORT'!P448+'CUSTOMERS REPORT'!P484+'CUSTOMERS REPORT'!P521+'CUSTOMERS REPORT'!P559+'CUSTOMERS REPORT'!P595+'CUSTOMERS REPORT'!P633+'CUSTOMERS REPORT'!P671+'CUSTOMERS REPORT'!P709+'CUSTOMERS REPORT'!P747+'CUSTOMERS REPORT'!P785+'CUSTOMERS REPORT'!P823+'CUSTOMERS REPORT'!P861+'CUSTOMERS REPORT'!P900+'CUSTOMERS REPORT'!P939+'CUSTOMERS REPORT'!P977+'CUSTOMERS REPORT'!P1015+'CUSTOMERS REPORT'!P1053+'CUSTOMERS REPORT'!P1091+'CUSTOMERS REPORT'!P1129+'CUSTOMERS REPORT'!P1166+'CUSTOMERS REPORT'!P1203+'CUSTOMERS REPORT'!P1240+'CUSTOMERS REPORT'!P1277+'CUSTOMERS REPORT'!P1314+'CUSTOMERS REPORT'!P1351+'CUSTOMERS REPORT'!P1388+'CUSTOMERS REPORT'!P1424</f>
        <v>0</v>
      </c>
      <c r="AI54" s="852">
        <f>'CUSTOMERS REPORT'!Q10+'CUSTOMERS REPORT'!Q56+'CUSTOMERS REPORT'!Q94+'CUSTOMERS REPORT'!Q133+'CUSTOMERS REPORT'!Q171+'CUSTOMERS REPORT'!Q211+'CUSTOMERS REPORT'!Q248+'CUSTOMERS REPORT'!Q288+'CUSTOMERS REPORT'!Q329+'CUSTOMERS REPORT'!Q371+'CUSTOMERS REPORT'!Q410+'CUSTOMERS REPORT'!Q448+'CUSTOMERS REPORT'!Q484+'CUSTOMERS REPORT'!Q521+'CUSTOMERS REPORT'!Q559+'CUSTOMERS REPORT'!Q595+'CUSTOMERS REPORT'!Q633+'CUSTOMERS REPORT'!Q671+'CUSTOMERS REPORT'!Q709+'CUSTOMERS REPORT'!Q747+'CUSTOMERS REPORT'!Q785+'CUSTOMERS REPORT'!Q823+'CUSTOMERS REPORT'!Q861+'CUSTOMERS REPORT'!Q900+'CUSTOMERS REPORT'!Q939+'CUSTOMERS REPORT'!Q977+'CUSTOMERS REPORT'!Q1015+'CUSTOMERS REPORT'!Q1053+'CUSTOMERS REPORT'!Q1091+'CUSTOMERS REPORT'!Q1129+'CUSTOMERS REPORT'!Q1166+'CUSTOMERS REPORT'!Q1203+'CUSTOMERS REPORT'!Q1240+'CUSTOMERS REPORT'!Q1277+'CUSTOMERS REPORT'!Q1314+'CUSTOMERS REPORT'!Q1351+'CUSTOMERS REPORT'!Q1388+'CUSTOMERS REPORT'!Q1424</f>
        <v>0</v>
      </c>
      <c r="AJ54" s="852">
        <f>'CUSTOMERS REPORT'!R10+'CUSTOMERS REPORT'!R56+'CUSTOMERS REPORT'!R94+'CUSTOMERS REPORT'!R133+'CUSTOMERS REPORT'!R171+'CUSTOMERS REPORT'!R211+'CUSTOMERS REPORT'!R248+'CUSTOMERS REPORT'!R288+'CUSTOMERS REPORT'!R329+'CUSTOMERS REPORT'!R371+'CUSTOMERS REPORT'!R410+'CUSTOMERS REPORT'!R448+'CUSTOMERS REPORT'!R484+'CUSTOMERS REPORT'!R521+'CUSTOMERS REPORT'!R559+'CUSTOMERS REPORT'!R595+'CUSTOMERS REPORT'!R633+'CUSTOMERS REPORT'!R671+'CUSTOMERS REPORT'!R709+'CUSTOMERS REPORT'!R747+'CUSTOMERS REPORT'!R785+'CUSTOMERS REPORT'!R823+'CUSTOMERS REPORT'!R861+'CUSTOMERS REPORT'!R900+'CUSTOMERS REPORT'!R939+'CUSTOMERS REPORT'!R977+'CUSTOMERS REPORT'!R1015+'CUSTOMERS REPORT'!R1053+'CUSTOMERS REPORT'!R1091+'CUSTOMERS REPORT'!R1129+'CUSTOMERS REPORT'!R1166+'CUSTOMERS REPORT'!R1203+'CUSTOMERS REPORT'!R1240+'CUSTOMERS REPORT'!R1277+'CUSTOMERS REPORT'!R1314+'CUSTOMERS REPORT'!R1351+'CUSTOMERS REPORT'!R1388+'CUSTOMERS REPORT'!R1424</f>
        <v>0</v>
      </c>
      <c r="AK54" s="852">
        <f>'CUSTOMERS REPORT'!S10+'CUSTOMERS REPORT'!S56+'CUSTOMERS REPORT'!S94+'CUSTOMERS REPORT'!S133+'CUSTOMERS REPORT'!S171+'CUSTOMERS REPORT'!S211+'CUSTOMERS REPORT'!S248+'CUSTOMERS REPORT'!S288+'CUSTOMERS REPORT'!S329+'CUSTOMERS REPORT'!S371+'CUSTOMERS REPORT'!S410+'CUSTOMERS REPORT'!S448+'CUSTOMERS REPORT'!S484+'CUSTOMERS REPORT'!S521+'CUSTOMERS REPORT'!S559+'CUSTOMERS REPORT'!S595+'CUSTOMERS REPORT'!S633+'CUSTOMERS REPORT'!S671+'CUSTOMERS REPORT'!S709+'CUSTOMERS REPORT'!S747+'CUSTOMERS REPORT'!S785+'CUSTOMERS REPORT'!S823+'CUSTOMERS REPORT'!S861+'CUSTOMERS REPORT'!S900+'CUSTOMERS REPORT'!S939+'CUSTOMERS REPORT'!S977+'CUSTOMERS REPORT'!S1015+'CUSTOMERS REPORT'!S1053+'CUSTOMERS REPORT'!S1091+'CUSTOMERS REPORT'!S1129+'CUSTOMERS REPORT'!S1166+'CUSTOMERS REPORT'!S1203+'CUSTOMERS REPORT'!S1240+'CUSTOMERS REPORT'!S1277+'CUSTOMERS REPORT'!S1314+'CUSTOMERS REPORT'!S1351+'CUSTOMERS REPORT'!S1388+'CUSTOMERS REPORT'!S1424</f>
        <v>0</v>
      </c>
      <c r="AL54" s="852" t="e">
        <f>'CUSTOMERS REPORT'!T10+'CUSTOMERS REPORT'!T56+'CUSTOMERS REPORT'!T94+'CUSTOMERS REPORT'!T133+'CUSTOMERS REPORT'!T171+'CUSTOMERS REPORT'!T211+'CUSTOMERS REPORT'!T248+'CUSTOMERS REPORT'!T288+'CUSTOMERS REPORT'!T329+'CUSTOMERS REPORT'!T371+'CUSTOMERS REPORT'!T410+'CUSTOMERS REPORT'!T448+'CUSTOMERS REPORT'!T484+'CUSTOMERS REPORT'!T521+'CUSTOMERS REPORT'!T559+'CUSTOMERS REPORT'!T595+'CUSTOMERS REPORT'!T633+'CUSTOMERS REPORT'!T671+'CUSTOMERS REPORT'!T709+'CUSTOMERS REPORT'!T747+'CUSTOMERS REPORT'!T785+'CUSTOMERS REPORT'!T823+'CUSTOMERS REPORT'!T861+'CUSTOMERS REPORT'!T900+'CUSTOMERS REPORT'!T939+'CUSTOMERS REPORT'!T977+'CUSTOMERS REPORT'!T1015+'CUSTOMERS REPORT'!T1053+'CUSTOMERS REPORT'!T1091+'CUSTOMERS REPORT'!T1129+'CUSTOMERS REPORT'!T1166+'CUSTOMERS REPORT'!T1203+'CUSTOMERS REPORT'!T1240+'CUSTOMERS REPORT'!T1277+'CUSTOMERS REPORT'!T1314+'CUSTOMERS REPORT'!T1351+'CUSTOMERS REPORT'!T1388+'CUSTOMERS REPORT'!T1424</f>
        <v>#VALUE!</v>
      </c>
      <c r="AM54" s="852" t="e">
        <f>'CUSTOMERS REPORT'!U10+'CUSTOMERS REPORT'!U56+'CUSTOMERS REPORT'!U94+'CUSTOMERS REPORT'!U133+'CUSTOMERS REPORT'!U171+'CUSTOMERS REPORT'!U211+'CUSTOMERS REPORT'!U248+'CUSTOMERS REPORT'!U288+'CUSTOMERS REPORT'!U329+'CUSTOMERS REPORT'!U371+'CUSTOMERS REPORT'!U410+'CUSTOMERS REPORT'!U448+'CUSTOMERS REPORT'!U484+'CUSTOMERS REPORT'!U521+'CUSTOMERS REPORT'!U559+'CUSTOMERS REPORT'!U595+'CUSTOMERS REPORT'!U633+'CUSTOMERS REPORT'!U671+'CUSTOMERS REPORT'!U709+'CUSTOMERS REPORT'!U747+'CUSTOMERS REPORT'!U785+'CUSTOMERS REPORT'!U823+'CUSTOMERS REPORT'!U861+'CUSTOMERS REPORT'!U900+'CUSTOMERS REPORT'!U939+'CUSTOMERS REPORT'!U977+'CUSTOMERS REPORT'!U1015+'CUSTOMERS REPORT'!U1053+'CUSTOMERS REPORT'!U1091+'CUSTOMERS REPORT'!U1129+'CUSTOMERS REPORT'!U1166+'CUSTOMERS REPORT'!U1203+'CUSTOMERS REPORT'!U1240+'CUSTOMERS REPORT'!U1277+'CUSTOMERS REPORT'!U1314+'CUSTOMERS REPORT'!U1351+'CUSTOMERS REPORT'!U1388+'CUSTOMERS REPORT'!U1424</f>
        <v>#VALUE!</v>
      </c>
      <c r="AN54" s="852" t="e">
        <f>'CUSTOMERS REPORT'!V10+'CUSTOMERS REPORT'!V56+'CUSTOMERS REPORT'!V94+'CUSTOMERS REPORT'!V133+'CUSTOMERS REPORT'!V171+'CUSTOMERS REPORT'!V211+'CUSTOMERS REPORT'!V248+'CUSTOMERS REPORT'!V288+'CUSTOMERS REPORT'!V329+'CUSTOMERS REPORT'!V371+'CUSTOMERS REPORT'!V410+'CUSTOMERS REPORT'!V448+'CUSTOMERS REPORT'!V484+'CUSTOMERS REPORT'!V521+'CUSTOMERS REPORT'!V559+'CUSTOMERS REPORT'!V595+'CUSTOMERS REPORT'!V633+'CUSTOMERS REPORT'!V671+'CUSTOMERS REPORT'!V709+'CUSTOMERS REPORT'!V747+'CUSTOMERS REPORT'!V785+'CUSTOMERS REPORT'!V823+'CUSTOMERS REPORT'!V861+'CUSTOMERS REPORT'!V900+'CUSTOMERS REPORT'!V939+'CUSTOMERS REPORT'!V977+'CUSTOMERS REPORT'!V1015+'CUSTOMERS REPORT'!V1053+'CUSTOMERS REPORT'!V1091+'CUSTOMERS REPORT'!V1129+'CUSTOMERS REPORT'!V1166+'CUSTOMERS REPORT'!V1203+'CUSTOMERS REPORT'!V1240+'CUSTOMERS REPORT'!V1277+'CUSTOMERS REPORT'!V1314+'CUSTOMERS REPORT'!V1351+'CUSTOMERS REPORT'!V1388+'CUSTOMERS REPORT'!V1424</f>
        <v>#VALUE!</v>
      </c>
      <c r="AP54" t="s">
        <v>1</v>
      </c>
    </row>
    <row r="55" spans="1:42" ht="24.95" customHeight="1" thickBot="1">
      <c r="L55" s="417">
        <v>20</v>
      </c>
      <c r="M55" s="417"/>
      <c r="N55" s="417">
        <f t="shared" si="6"/>
        <v>0</v>
      </c>
      <c r="R55" s="123">
        <f>'2'!R57</f>
        <v>0</v>
      </c>
      <c r="S55" s="865" t="s">
        <v>169</v>
      </c>
      <c r="T55" s="866">
        <f t="shared" ref="T55:AN55" si="8">T53-T54-T51</f>
        <v>0</v>
      </c>
      <c r="U55" s="866">
        <f t="shared" si="8"/>
        <v>0</v>
      </c>
      <c r="V55" s="866">
        <f t="shared" si="8"/>
        <v>0</v>
      </c>
      <c r="W55" s="866">
        <f t="shared" si="8"/>
        <v>0</v>
      </c>
      <c r="X55" s="866">
        <f t="shared" si="8"/>
        <v>0</v>
      </c>
      <c r="Y55" s="866">
        <f t="shared" si="8"/>
        <v>0</v>
      </c>
      <c r="Z55" s="866">
        <f t="shared" si="8"/>
        <v>0</v>
      </c>
      <c r="AA55" s="866">
        <f t="shared" si="8"/>
        <v>0</v>
      </c>
      <c r="AB55" s="866">
        <f t="shared" ref="AB55" si="9">AB53-AB54-AB51</f>
        <v>0</v>
      </c>
      <c r="AC55" s="866">
        <f t="shared" si="8"/>
        <v>0</v>
      </c>
      <c r="AD55" s="866">
        <f t="shared" si="8"/>
        <v>0</v>
      </c>
      <c r="AE55" s="866">
        <f t="shared" si="8"/>
        <v>0</v>
      </c>
      <c r="AF55" s="866">
        <f>AF53-AF54-AF51</f>
        <v>0</v>
      </c>
      <c r="AG55" s="866">
        <f t="shared" si="8"/>
        <v>0</v>
      </c>
      <c r="AH55" s="866">
        <f t="shared" si="8"/>
        <v>0</v>
      </c>
      <c r="AI55" s="866">
        <f t="shared" si="8"/>
        <v>0</v>
      </c>
      <c r="AJ55" s="866">
        <f t="shared" si="8"/>
        <v>0</v>
      </c>
      <c r="AK55" s="866">
        <f t="shared" si="8"/>
        <v>0</v>
      </c>
      <c r="AL55" s="866" t="e">
        <f t="shared" si="8"/>
        <v>#VALUE!</v>
      </c>
      <c r="AM55" s="866" t="e">
        <f t="shared" si="8"/>
        <v>#VALUE!</v>
      </c>
      <c r="AN55" s="872" t="e">
        <f t="shared" si="8"/>
        <v>#VALUE!</v>
      </c>
    </row>
    <row r="56" spans="1:42" ht="28.5" thickBot="1">
      <c r="A56" s="114"/>
      <c r="B56" s="120"/>
      <c r="C56" s="115"/>
      <c r="L56" s="417">
        <v>10</v>
      </c>
      <c r="M56" s="417"/>
      <c r="N56" s="417">
        <f t="shared" si="6"/>
        <v>0</v>
      </c>
      <c r="R56" s="736">
        <f>SUM(T56:AN56)</f>
        <v>0</v>
      </c>
      <c r="S56" s="874" t="s">
        <v>170</v>
      </c>
      <c r="T56" s="875"/>
      <c r="U56" s="875"/>
      <c r="V56" s="875"/>
      <c r="W56" s="875"/>
      <c r="X56" s="875"/>
      <c r="Y56" s="875"/>
      <c r="Z56" s="876"/>
      <c r="AA56" s="875"/>
      <c r="AB56" s="875"/>
      <c r="AC56" s="875"/>
      <c r="AD56" s="875"/>
      <c r="AE56" s="875"/>
      <c r="AF56" s="875"/>
      <c r="AG56" s="875"/>
      <c r="AH56" s="875"/>
      <c r="AI56" s="875"/>
      <c r="AJ56" s="877"/>
      <c r="AK56" s="877"/>
      <c r="AL56" s="52"/>
      <c r="AM56" s="52"/>
      <c r="AN56" s="928"/>
    </row>
    <row r="57" spans="1:42" ht="27" customHeight="1" thickBot="1">
      <c r="A57" s="114"/>
      <c r="B57" s="131"/>
      <c r="C57" s="115"/>
      <c r="D57" s="115"/>
      <c r="E57" s="19"/>
      <c r="F57" s="19"/>
      <c r="G57" s="19"/>
      <c r="H57" s="19"/>
      <c r="I57" s="19"/>
      <c r="J57" s="19"/>
      <c r="K57" s="19"/>
      <c r="L57" s="418">
        <v>1</v>
      </c>
      <c r="M57" s="418"/>
      <c r="N57" s="417">
        <f t="shared" si="6"/>
        <v>0</v>
      </c>
      <c r="O57" s="19"/>
      <c r="R57" s="123">
        <f>SUM(R55:R56)</f>
        <v>0</v>
      </c>
      <c r="S57" s="882" t="s">
        <v>23</v>
      </c>
      <c r="T57" s="883" t="e">
        <f t="shared" ref="T57:AI57" si="10">T50/T56</f>
        <v>#DIV/0!</v>
      </c>
      <c r="U57" s="883" t="e">
        <f t="shared" si="10"/>
        <v>#DIV/0!</v>
      </c>
      <c r="V57" s="883" t="e">
        <f t="shared" si="10"/>
        <v>#DIV/0!</v>
      </c>
      <c r="W57" s="883" t="e">
        <f t="shared" si="10"/>
        <v>#DIV/0!</v>
      </c>
      <c r="X57" s="883" t="e">
        <f t="shared" si="10"/>
        <v>#DIV/0!</v>
      </c>
      <c r="Y57" s="883" t="e">
        <f t="shared" si="10"/>
        <v>#DIV/0!</v>
      </c>
      <c r="Z57" s="883" t="e">
        <f t="shared" si="10"/>
        <v>#DIV/0!</v>
      </c>
      <c r="AA57" s="883" t="e">
        <f t="shared" si="10"/>
        <v>#DIV/0!</v>
      </c>
      <c r="AB57" s="883" t="e">
        <f t="shared" si="10"/>
        <v>#DIV/0!</v>
      </c>
      <c r="AC57" s="883" t="e">
        <f t="shared" si="10"/>
        <v>#DIV/0!</v>
      </c>
      <c r="AD57" s="883" t="e">
        <f t="shared" si="10"/>
        <v>#DIV/0!</v>
      </c>
      <c r="AE57" s="883" t="e">
        <f t="shared" si="10"/>
        <v>#DIV/0!</v>
      </c>
      <c r="AF57" s="883" t="e">
        <f t="shared" si="10"/>
        <v>#DIV/0!</v>
      </c>
      <c r="AG57" s="883" t="e">
        <f t="shared" si="10"/>
        <v>#DIV/0!</v>
      </c>
      <c r="AH57" s="883" t="e">
        <f t="shared" si="10"/>
        <v>#DIV/0!</v>
      </c>
      <c r="AI57" s="883" t="e">
        <f t="shared" si="10"/>
        <v>#DIV/0!</v>
      </c>
      <c r="AJ57" s="883" t="e">
        <f>AJ50/AJ56</f>
        <v>#DIV/0!</v>
      </c>
      <c r="AK57" s="883" t="e">
        <f>AK50/AK56</f>
        <v>#DIV/0!</v>
      </c>
      <c r="AL57" s="883" t="e">
        <f t="shared" ref="AL57:AN57" si="11">AL50/AL56</f>
        <v>#DIV/0!</v>
      </c>
      <c r="AM57" s="883" t="e">
        <f t="shared" si="11"/>
        <v>#DIV/0!</v>
      </c>
      <c r="AN57" s="884" t="e">
        <f t="shared" si="11"/>
        <v>#DIV/0!</v>
      </c>
    </row>
    <row r="58" spans="1:42" ht="27" customHeight="1" thickBot="1">
      <c r="A58" s="114"/>
      <c r="B58" s="131"/>
      <c r="C58" s="115"/>
      <c r="D58" s="115" t="s">
        <v>1</v>
      </c>
      <c r="L58" s="1501" t="s">
        <v>171</v>
      </c>
      <c r="M58" s="1501"/>
      <c r="N58" s="419">
        <f>SUM(N50:N57)</f>
        <v>0</v>
      </c>
      <c r="R58" s="19"/>
      <c r="S58" s="878" t="s">
        <v>172</v>
      </c>
      <c r="T58" s="879">
        <f>T54</f>
        <v>0</v>
      </c>
      <c r="U58" s="879">
        <f t="shared" ref="U58:AI58" si="12">U54</f>
        <v>0</v>
      </c>
      <c r="V58" s="879">
        <f t="shared" si="12"/>
        <v>0</v>
      </c>
      <c r="W58" s="879">
        <f t="shared" si="12"/>
        <v>0</v>
      </c>
      <c r="X58" s="879">
        <f t="shared" si="12"/>
        <v>0</v>
      </c>
      <c r="Y58" s="879">
        <f t="shared" si="12"/>
        <v>0</v>
      </c>
      <c r="Z58" s="879">
        <f t="shared" si="12"/>
        <v>0</v>
      </c>
      <c r="AA58" s="879">
        <f t="shared" si="12"/>
        <v>0</v>
      </c>
      <c r="AB58" s="879">
        <f t="shared" si="12"/>
        <v>0</v>
      </c>
      <c r="AC58" s="879">
        <f t="shared" si="12"/>
        <v>0</v>
      </c>
      <c r="AD58" s="879">
        <f t="shared" si="12"/>
        <v>0</v>
      </c>
      <c r="AE58" s="879">
        <f t="shared" si="12"/>
        <v>0</v>
      </c>
      <c r="AF58" s="879">
        <f t="shared" si="12"/>
        <v>0</v>
      </c>
      <c r="AG58" s="879">
        <f t="shared" si="12"/>
        <v>0</v>
      </c>
      <c r="AH58" s="879">
        <f t="shared" si="12"/>
        <v>0</v>
      </c>
      <c r="AI58" s="879">
        <f t="shared" si="12"/>
        <v>0</v>
      </c>
      <c r="AJ58" s="879">
        <f>AJ54</f>
        <v>0</v>
      </c>
      <c r="AK58" s="879">
        <f>AK54</f>
        <v>0</v>
      </c>
      <c r="AL58" s="880"/>
      <c r="AM58" s="880"/>
      <c r="AN58" s="881"/>
    </row>
    <row r="59" spans="1:42" ht="27" customHeight="1">
      <c r="A59" s="114"/>
      <c r="B59" s="132"/>
      <c r="C59" s="115"/>
      <c r="D59" s="115" t="s">
        <v>1</v>
      </c>
      <c r="K59" t="s">
        <v>1</v>
      </c>
      <c r="L59" s="1486" t="s">
        <v>173</v>
      </c>
      <c r="M59" s="1486"/>
      <c r="N59" s="420">
        <f>N58-Q48</f>
        <v>0</v>
      </c>
      <c r="R59" s="19"/>
      <c r="S59" s="114"/>
      <c r="T59" s="121"/>
      <c r="U59" s="121"/>
      <c r="V59" s="121"/>
      <c r="W59" s="121"/>
      <c r="X59" s="121"/>
      <c r="Y59" s="121"/>
      <c r="Z59" s="122"/>
      <c r="AA59" s="121"/>
      <c r="AB59" s="121"/>
      <c r="AC59" s="121"/>
      <c r="AD59" s="121"/>
      <c r="AE59" s="121"/>
      <c r="AF59" s="121"/>
      <c r="AG59" s="121"/>
      <c r="AH59" s="119"/>
      <c r="AI59" s="119"/>
    </row>
    <row r="60" spans="1:42" ht="23.25">
      <c r="A60" s="114"/>
      <c r="B60" s="132"/>
      <c r="C60" s="115"/>
      <c r="D60" s="115"/>
      <c r="P60" s="19"/>
      <c r="Q60" s="19"/>
      <c r="R60" s="19"/>
      <c r="S60" s="19"/>
      <c r="U60" t="s">
        <v>1</v>
      </c>
    </row>
    <row r="61" spans="1:42" ht="23.25">
      <c r="A61" s="114"/>
      <c r="B61" s="132"/>
      <c r="C61" s="115"/>
      <c r="D61" s="116"/>
      <c r="M61" t="s">
        <v>1</v>
      </c>
      <c r="P61" s="185"/>
      <c r="Q61" s="186"/>
      <c r="R61" s="19"/>
      <c r="S61" s="19"/>
      <c r="T61" t="s">
        <v>1</v>
      </c>
    </row>
    <row r="62" spans="1:42" ht="20.25">
      <c r="C62" s="116"/>
      <c r="P62" s="19"/>
      <c r="Q62" s="19"/>
      <c r="R62" s="19"/>
      <c r="S62" s="19"/>
    </row>
    <row r="63" spans="1:42">
      <c r="E63" s="19"/>
      <c r="S63" t="s">
        <v>1</v>
      </c>
    </row>
    <row r="64" spans="1:42">
      <c r="E64" s="19"/>
      <c r="J64" t="s">
        <v>3</v>
      </c>
    </row>
    <row r="65" spans="3:37" ht="21">
      <c r="C65" s="251"/>
      <c r="E65" s="19"/>
      <c r="AK65" t="s">
        <v>1</v>
      </c>
    </row>
    <row r="66" spans="3:37">
      <c r="E66" s="49"/>
    </row>
    <row r="67" spans="3:37" ht="23.25">
      <c r="E67" s="113"/>
    </row>
  </sheetData>
  <mergeCells count="21">
    <mergeCell ref="L59:M59"/>
    <mergeCell ref="T47:W47"/>
    <mergeCell ref="X47:Z47"/>
    <mergeCell ref="S47:S48"/>
    <mergeCell ref="AJ47:AK47"/>
    <mergeCell ref="AL47:AM47"/>
    <mergeCell ref="AI7:AJ7"/>
    <mergeCell ref="AI20:AJ20"/>
    <mergeCell ref="L58:M58"/>
    <mergeCell ref="A6:Q6"/>
    <mergeCell ref="S6:AE6"/>
    <mergeCell ref="A7:B7"/>
    <mergeCell ref="P7:Q7"/>
    <mergeCell ref="H48:I48"/>
    <mergeCell ref="P24:Q24"/>
    <mergeCell ref="P33:Q33"/>
    <mergeCell ref="P42:Q42"/>
    <mergeCell ref="H46:I46"/>
    <mergeCell ref="H47:I47"/>
    <mergeCell ref="AA47:AB47"/>
    <mergeCell ref="AC47:AI47"/>
  </mergeCells>
  <conditionalFormatting sqref="M48:N48">
    <cfRule type="duplicateValues" dxfId="603" priority="33"/>
    <cfRule type="duplicateValues" dxfId="602" priority="34"/>
    <cfRule type="duplicateValues" dxfId="601" priority="35"/>
    <cfRule type="duplicateValues" dxfId="600" priority="36"/>
  </conditionalFormatting>
  <conditionalFormatting sqref="L48 N48">
    <cfRule type="cellIs" dxfId="599" priority="32" operator="equal">
      <formula>66890</formula>
    </cfRule>
  </conditionalFormatting>
  <conditionalFormatting sqref="N48">
    <cfRule type="cellIs" dxfId="598" priority="31" operator="lessThan">
      <formula>1</formula>
    </cfRule>
  </conditionalFormatting>
  <conditionalFormatting sqref="T57">
    <cfRule type="cellIs" dxfId="597" priority="16" operator="lessThan">
      <formula>63</formula>
    </cfRule>
  </conditionalFormatting>
  <conditionalFormatting sqref="U57">
    <cfRule type="cellIs" dxfId="596" priority="14" operator="lessThan">
      <formula>63</formula>
    </cfRule>
    <cfRule type="cellIs" dxfId="595" priority="15" operator="lessThan">
      <formula>63</formula>
    </cfRule>
  </conditionalFormatting>
  <conditionalFormatting sqref="W57">
    <cfRule type="cellIs" dxfId="594" priority="13" operator="lessThan">
      <formula>140</formula>
    </cfRule>
  </conditionalFormatting>
  <conditionalFormatting sqref="X57">
    <cfRule type="cellIs" dxfId="593" priority="12" operator="lessThan">
      <formula>125</formula>
    </cfRule>
  </conditionalFormatting>
  <conditionalFormatting sqref="Y57">
    <cfRule type="cellIs" dxfId="592" priority="11" operator="lessThan">
      <formula>150</formula>
    </cfRule>
  </conditionalFormatting>
  <conditionalFormatting sqref="Z57">
    <cfRule type="cellIs" dxfId="591" priority="10" operator="lessThan">
      <formula>590</formula>
    </cfRule>
  </conditionalFormatting>
  <conditionalFormatting sqref="AA57">
    <cfRule type="cellIs" dxfId="590" priority="9" operator="lessThan">
      <formula>704</formula>
    </cfRule>
  </conditionalFormatting>
  <conditionalFormatting sqref="AC57">
    <cfRule type="cellIs" dxfId="589" priority="8" operator="lessThan">
      <formula>52</formula>
    </cfRule>
  </conditionalFormatting>
  <conditionalFormatting sqref="AD57">
    <cfRule type="cellIs" dxfId="588" priority="7" operator="lessThan">
      <formula>52</formula>
    </cfRule>
  </conditionalFormatting>
  <conditionalFormatting sqref="AH57">
    <cfRule type="cellIs" dxfId="587" priority="6" operator="lessThan">
      <formula>63</formula>
    </cfRule>
  </conditionalFormatting>
  <conditionalFormatting sqref="AI57">
    <cfRule type="cellIs" dxfId="586" priority="5" operator="lessThan">
      <formula>63</formula>
    </cfRule>
  </conditionalFormatting>
  <conditionalFormatting sqref="AK57">
    <cfRule type="cellIs" dxfId="585" priority="4" operator="lessThan">
      <formula>270</formula>
    </cfRule>
  </conditionalFormatting>
  <conditionalFormatting sqref="AJ57">
    <cfRule type="cellIs" dxfId="584" priority="3" operator="lessThan">
      <formula>270</formula>
    </cfRule>
  </conditionalFormatting>
  <conditionalFormatting sqref="AL57:AN57">
    <cfRule type="cellIs" dxfId="583" priority="1" operator="lessThan">
      <formula>270</formula>
    </cfRule>
  </conditionalFormatting>
  <printOptions horizontalCentered="1" verticalCentered="1"/>
  <pageMargins left="0" right="0" top="0" bottom="0" header="0" footer="0"/>
  <pageSetup paperSize="5" scale="47" orientation="landscape" cellComments="asDisplayed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  <pageSetUpPr fitToPage="1"/>
  </sheetPr>
  <dimension ref="A1:AP67"/>
  <sheetViews>
    <sheetView topLeftCell="A46" zoomScale="90" zoomScaleNormal="90" workbookViewId="0">
      <selection activeCell="A60" sqref="A60"/>
    </sheetView>
  </sheetViews>
  <sheetFormatPr defaultRowHeight="15"/>
  <cols>
    <col min="1" max="1" width="32.7109375" bestFit="1" customWidth="1"/>
    <col min="2" max="2" width="17.7109375" customWidth="1"/>
    <col min="3" max="4" width="20.7109375" customWidth="1"/>
    <col min="5" max="5" width="4.7109375" customWidth="1"/>
    <col min="6" max="6" width="29.140625" bestFit="1" customWidth="1"/>
    <col min="7" max="7" width="17.7109375" customWidth="1"/>
    <col min="8" max="9" width="19.140625" bestFit="1" customWidth="1"/>
    <col min="10" max="11" width="17.7109375" customWidth="1"/>
    <col min="12" max="12" width="19.140625" bestFit="1" customWidth="1"/>
    <col min="13" max="14" width="17.7109375" customWidth="1"/>
    <col min="15" max="15" width="7.7109375" customWidth="1"/>
    <col min="16" max="16" width="28.7109375" customWidth="1"/>
    <col min="17" max="17" width="20.7109375" customWidth="1"/>
    <col min="18" max="18" width="7.7109375" customWidth="1"/>
    <col min="19" max="19" width="32.7109375" customWidth="1"/>
    <col min="20" max="20" width="20.28515625" bestFit="1" customWidth="1"/>
    <col min="21" max="21" width="17.7109375" customWidth="1"/>
    <col min="22" max="22" width="20.28515625" bestFit="1" customWidth="1"/>
    <col min="23" max="23" width="17.7109375" customWidth="1"/>
    <col min="24" max="24" width="20.28515625" bestFit="1" customWidth="1"/>
    <col min="25" max="25" width="14.7109375" customWidth="1"/>
    <col min="26" max="26" width="16.28515625" bestFit="1" customWidth="1"/>
    <col min="27" max="27" width="20.140625" bestFit="1" customWidth="1"/>
    <col min="28" max="28" width="17.7109375" customWidth="1"/>
    <col min="29" max="29" width="20.140625" bestFit="1" customWidth="1"/>
    <col min="30" max="30" width="17.7109375" customWidth="1"/>
    <col min="31" max="31" width="20.140625" bestFit="1" customWidth="1"/>
    <col min="32" max="33" width="20.7109375" customWidth="1"/>
    <col min="34" max="37" width="17.7109375" customWidth="1"/>
    <col min="38" max="40" width="13" hidden="1" customWidth="1"/>
  </cols>
  <sheetData>
    <row r="1" spans="1:36">
      <c r="E1" s="5"/>
    </row>
    <row r="2" spans="1:36">
      <c r="E2" s="5"/>
    </row>
    <row r="3" spans="1:36" ht="15.75" thickBot="1">
      <c r="C3" t="s">
        <v>1</v>
      </c>
      <c r="E3" s="5" t="s">
        <v>1</v>
      </c>
      <c r="F3" t="s">
        <v>1</v>
      </c>
      <c r="N3" t="s">
        <v>1</v>
      </c>
      <c r="S3" t="s">
        <v>1</v>
      </c>
      <c r="U3" t="s">
        <v>1</v>
      </c>
    </row>
    <row r="4" spans="1:36" ht="21.75" thickTop="1">
      <c r="B4" t="s">
        <v>1</v>
      </c>
      <c r="D4" t="s">
        <v>1</v>
      </c>
      <c r="E4" t="s">
        <v>1</v>
      </c>
      <c r="P4" s="617" t="s">
        <v>108</v>
      </c>
      <c r="Q4" s="618">
        <f>'3'!Q4+'4'!Q9+'4'!Q10+'4'!Q19+'4'!Q20+'4'!Q21+'4'!Q22</f>
        <v>0</v>
      </c>
    </row>
    <row r="5" spans="1:36" ht="21.75" thickBot="1">
      <c r="P5" s="619" t="s">
        <v>109</v>
      </c>
      <c r="Q5" s="620">
        <f>'3'!Q5+'4'!Q25+'4'!Q26+'4'!Q27+'4'!Q28+'4'!Q29+'4'!Q30+'4'!Q31</f>
        <v>0</v>
      </c>
    </row>
    <row r="6" spans="1:36" ht="48" thickTop="1" thickBot="1">
      <c r="A6" s="1502">
        <f>'Main Page'!E20</f>
        <v>44869</v>
      </c>
      <c r="B6" s="1507"/>
      <c r="C6" s="1507"/>
      <c r="D6" s="1507"/>
      <c r="E6" s="1507"/>
      <c r="F6" s="1507"/>
      <c r="G6" s="1507"/>
      <c r="H6" s="1507"/>
      <c r="I6" s="1507"/>
      <c r="J6" s="1507"/>
      <c r="K6" s="1507"/>
      <c r="L6" s="1507"/>
      <c r="M6" s="1507"/>
      <c r="N6" s="1507"/>
      <c r="O6" s="1507"/>
      <c r="P6" s="1507"/>
      <c r="Q6" s="1515"/>
      <c r="R6" t="s">
        <v>1</v>
      </c>
      <c r="S6" s="1502">
        <f>A6</f>
        <v>44869</v>
      </c>
      <c r="T6" s="1503"/>
      <c r="U6" s="1503"/>
      <c r="V6" s="1503"/>
      <c r="W6" s="1503"/>
      <c r="X6" s="1503"/>
      <c r="Y6" s="1503"/>
      <c r="Z6" s="1503"/>
      <c r="AA6" s="1503"/>
      <c r="AB6" s="1503"/>
      <c r="AC6" s="1503"/>
      <c r="AD6" s="1503"/>
      <c r="AE6" s="1504"/>
    </row>
    <row r="7" spans="1:36" ht="39.950000000000003" customHeight="1" thickTop="1" thickBot="1">
      <c r="A7" s="1505" t="s">
        <v>110</v>
      </c>
      <c r="B7" s="1506"/>
      <c r="C7" s="367" t="s">
        <v>97</v>
      </c>
      <c r="D7" s="368" t="s">
        <v>74</v>
      </c>
      <c r="F7" s="363" t="s">
        <v>111</v>
      </c>
      <c r="G7" s="364" t="s">
        <v>112</v>
      </c>
      <c r="H7" s="365" t="s">
        <v>113</v>
      </c>
      <c r="I7" s="365" t="s">
        <v>26</v>
      </c>
      <c r="J7" s="365" t="s">
        <v>114</v>
      </c>
      <c r="K7" s="366" t="s">
        <v>115</v>
      </c>
      <c r="L7" s="365" t="s">
        <v>116</v>
      </c>
      <c r="M7" s="365" t="s">
        <v>117</v>
      </c>
      <c r="N7" s="365" t="s">
        <v>118</v>
      </c>
      <c r="P7" s="1510" t="s">
        <v>69</v>
      </c>
      <c r="Q7" s="1511"/>
      <c r="S7" s="380" t="s">
        <v>58</v>
      </c>
      <c r="T7" s="380" t="s">
        <v>59</v>
      </c>
      <c r="U7" s="380" t="s">
        <v>119</v>
      </c>
      <c r="V7" s="380" t="s">
        <v>74</v>
      </c>
      <c r="W7" s="380" t="s">
        <v>120</v>
      </c>
      <c r="X7" s="380" t="s">
        <v>59</v>
      </c>
      <c r="Z7" s="367" t="s">
        <v>121</v>
      </c>
      <c r="AA7" s="367" t="s">
        <v>97</v>
      </c>
      <c r="AB7" s="415" t="s">
        <v>122</v>
      </c>
      <c r="AC7" s="416" t="s">
        <v>90</v>
      </c>
      <c r="AD7" s="367" t="s">
        <v>56</v>
      </c>
      <c r="AE7" s="381" t="s">
        <v>100</v>
      </c>
      <c r="AF7" s="560" t="s">
        <v>122</v>
      </c>
      <c r="AG7" s="570" t="s">
        <v>56</v>
      </c>
      <c r="AI7" s="1487" t="s">
        <v>123</v>
      </c>
      <c r="AJ7" s="1488"/>
    </row>
    <row r="8" spans="1:36" ht="27" customHeight="1" thickTop="1" thickBot="1">
      <c r="A8" s="717"/>
      <c r="B8" s="233"/>
      <c r="C8" s="463"/>
      <c r="D8" s="233"/>
      <c r="F8" s="478" t="str">
        <f>'3'!F8</f>
        <v>ISHAQ ANSARI</v>
      </c>
      <c r="G8" s="405">
        <f>'CUSTOMERS REPORT'!Y11</f>
        <v>0</v>
      </c>
      <c r="H8" s="503">
        <f>'CUSTOMERS REPORT'!Z11</f>
        <v>0</v>
      </c>
      <c r="I8" s="405">
        <f>'CUSTOMERS REPORT'!AA11</f>
        <v>0</v>
      </c>
      <c r="J8" s="497">
        <f>'CUSTOMERS REPORT'!AB11</f>
        <v>0</v>
      </c>
      <c r="K8" s="497">
        <f>'CUSTOMERS REPORT'!AC11</f>
        <v>0</v>
      </c>
      <c r="L8" s="508">
        <f>'CUSTOMERS REPORT'!AD11</f>
        <v>0</v>
      </c>
      <c r="M8" s="413">
        <f>'3'!M8+'4'!G8</f>
        <v>0</v>
      </c>
      <c r="N8" s="411">
        <f>'3'!N8+'4'!J8</f>
        <v>0</v>
      </c>
      <c r="P8" s="191" t="s">
        <v>124</v>
      </c>
      <c r="Q8" s="223">
        <f>'3'!Q32</f>
        <v>0</v>
      </c>
      <c r="S8" s="399" t="str">
        <f>'3'!S8</f>
        <v>FLOUR</v>
      </c>
      <c r="T8" s="446">
        <f>'3'!X8</f>
        <v>0</v>
      </c>
      <c r="U8" s="455"/>
      <c r="V8" s="450">
        <f t="shared" ref="V8:V43" si="0">SUM(T8:U8)</f>
        <v>0</v>
      </c>
      <c r="W8" s="450"/>
      <c r="X8" s="446">
        <f t="shared" ref="X8:X43" si="1">V8-W8</f>
        <v>0</v>
      </c>
      <c r="Z8" s="382" t="str">
        <f>'3'!Z8</f>
        <v>GHAZI</v>
      </c>
      <c r="AA8" s="464">
        <f>'3'!AE8</f>
        <v>0</v>
      </c>
      <c r="AB8" s="459"/>
      <c r="AC8" s="233">
        <f t="shared" ref="AC8:AC41" si="2">AA8+AB8</f>
        <v>0</v>
      </c>
      <c r="AD8" s="468"/>
      <c r="AE8" s="463">
        <f t="shared" ref="AE8:AE42" si="3">AC8-AD8</f>
        <v>0</v>
      </c>
      <c r="AF8" s="563">
        <f>'3'!AF8+'4'!AB8</f>
        <v>0</v>
      </c>
      <c r="AG8" s="233">
        <f>'3'!AG8+'4'!AD8</f>
        <v>0</v>
      </c>
      <c r="AI8" s="391" t="s">
        <v>126</v>
      </c>
      <c r="AJ8" s="392">
        <f>'3'!AJ10</f>
        <v>0</v>
      </c>
    </row>
    <row r="9" spans="1:36" ht="27" customHeight="1" thickTop="1">
      <c r="A9" s="717"/>
      <c r="B9" s="526"/>
      <c r="C9" s="348"/>
      <c r="D9" s="550"/>
      <c r="F9" s="479" t="str">
        <f>'3'!F9</f>
        <v>MAKKI BAKERY</v>
      </c>
      <c r="G9" s="406">
        <f>'CUSTOMERS REPORT'!Y57</f>
        <v>0</v>
      </c>
      <c r="H9" s="504">
        <f>'CUSTOMERS REPORT'!Z57</f>
        <v>0</v>
      </c>
      <c r="I9" s="406">
        <f>'CUSTOMERS REPORT'!AA57</f>
        <v>0</v>
      </c>
      <c r="J9" s="498">
        <f>'CUSTOMERS REPORT'!AB57</f>
        <v>0</v>
      </c>
      <c r="K9" s="498">
        <f>'CUSTOMERS REPORT'!AC57</f>
        <v>0</v>
      </c>
      <c r="L9" s="509">
        <f>'CUSTOMERS REPORT'!AD57</f>
        <v>0</v>
      </c>
      <c r="M9" s="414">
        <f>'3'!M9+'4'!G9</f>
        <v>0</v>
      </c>
      <c r="N9" s="412">
        <f>'3'!N9+'4'!J9</f>
        <v>0</v>
      </c>
      <c r="P9" s="432"/>
      <c r="Q9" s="436"/>
      <c r="S9" s="400" t="str">
        <f>'3'!S9</f>
        <v>SUGAR</v>
      </c>
      <c r="T9" s="446">
        <f>'3'!X9</f>
        <v>0</v>
      </c>
      <c r="U9" s="456"/>
      <c r="V9" s="451">
        <f t="shared" si="0"/>
        <v>0</v>
      </c>
      <c r="W9" s="451"/>
      <c r="X9" s="447">
        <f t="shared" si="1"/>
        <v>0</v>
      </c>
      <c r="Z9" s="375" t="str">
        <f>'3'!Z9</f>
        <v>SOHNI</v>
      </c>
      <c r="AA9" s="464">
        <f>'3'!AE9</f>
        <v>0</v>
      </c>
      <c r="AB9" s="460"/>
      <c r="AC9" s="462">
        <f t="shared" si="2"/>
        <v>0</v>
      </c>
      <c r="AD9" s="469"/>
      <c r="AE9" s="348">
        <f t="shared" si="3"/>
        <v>0</v>
      </c>
      <c r="AF9" s="563">
        <f>'3'!AF9+'4'!AB9</f>
        <v>0</v>
      </c>
      <c r="AG9" s="234">
        <f>'3'!AG9+'4'!AD9</f>
        <v>0</v>
      </c>
      <c r="AI9" s="393" t="s">
        <v>128</v>
      </c>
      <c r="AJ9" s="394">
        <f>B26</f>
        <v>0</v>
      </c>
    </row>
    <row r="10" spans="1:36" ht="27" customHeight="1" thickBot="1">
      <c r="A10" s="718"/>
      <c r="B10" s="691"/>
      <c r="C10" s="350"/>
      <c r="D10" s="550"/>
      <c r="F10" s="479" t="str">
        <f>'3'!F10</f>
        <v>ABID HUSSAIN</v>
      </c>
      <c r="G10" s="406">
        <f>'CUSTOMERS REPORT'!Y95</f>
        <v>0</v>
      </c>
      <c r="H10" s="504">
        <f>'CUSTOMERS REPORT'!Z95</f>
        <v>0</v>
      </c>
      <c r="I10" s="406">
        <f>'CUSTOMERS REPORT'!AA95</f>
        <v>0</v>
      </c>
      <c r="J10" s="498">
        <f>'CUSTOMERS REPORT'!AB95</f>
        <v>0</v>
      </c>
      <c r="K10" s="498">
        <f>'CUSTOMERS REPORT'!AC95</f>
        <v>0</v>
      </c>
      <c r="L10" s="509">
        <f>'CUSTOMERS REPORT'!AD95</f>
        <v>0</v>
      </c>
      <c r="M10" s="414">
        <f>'3'!M10+'4'!G10</f>
        <v>0</v>
      </c>
      <c r="N10" s="412">
        <f>'3'!N10+'4'!J10</f>
        <v>0</v>
      </c>
      <c r="P10" s="433"/>
      <c r="Q10" s="437"/>
      <c r="S10" s="400" t="str">
        <f>'3'!S10</f>
        <v>GHEE</v>
      </c>
      <c r="T10" s="446">
        <f>'3'!X10</f>
        <v>0</v>
      </c>
      <c r="U10" s="456"/>
      <c r="V10" s="451">
        <f t="shared" si="0"/>
        <v>0</v>
      </c>
      <c r="W10" s="451"/>
      <c r="X10" s="447">
        <f t="shared" si="1"/>
        <v>0</v>
      </c>
      <c r="Z10" s="375" t="str">
        <f>'3'!Z10</f>
        <v>HUSSAINI</v>
      </c>
      <c r="AA10" s="464">
        <f>'3'!AE10</f>
        <v>0</v>
      </c>
      <c r="AB10" s="460"/>
      <c r="AC10" s="462">
        <f t="shared" si="2"/>
        <v>0</v>
      </c>
      <c r="AD10" s="469"/>
      <c r="AE10" s="348">
        <f t="shared" si="3"/>
        <v>0</v>
      </c>
      <c r="AF10" s="563">
        <f>'3'!AF10+'4'!AB10</f>
        <v>0</v>
      </c>
      <c r="AG10" s="234">
        <f>'3'!AG10+'4'!AD10</f>
        <v>0</v>
      </c>
      <c r="AI10" s="395" t="s">
        <v>74</v>
      </c>
      <c r="AJ10" s="396">
        <f>AJ8+AJ9</f>
        <v>0</v>
      </c>
    </row>
    <row r="11" spans="1:36" ht="27" customHeight="1" thickTop="1">
      <c r="A11" s="718"/>
      <c r="B11" s="691"/>
      <c r="C11" s="350"/>
      <c r="D11" s="550"/>
      <c r="F11" s="479" t="str">
        <f>'3'!F11</f>
        <v>SHAHID 5 #</v>
      </c>
      <c r="G11" s="406">
        <f>'CUSTOMERS REPORT'!Y134</f>
        <v>0</v>
      </c>
      <c r="H11" s="1045">
        <f>'CUSTOMERS REPORT'!Z134</f>
        <v>0</v>
      </c>
      <c r="I11" s="406">
        <f>'CUSTOMERS REPORT'!AA134</f>
        <v>0</v>
      </c>
      <c r="J11" s="1040">
        <f>'CUSTOMERS REPORT'!AB134</f>
        <v>0</v>
      </c>
      <c r="K11" s="1040">
        <f>'CUSTOMERS REPORT'!AC134</f>
        <v>0</v>
      </c>
      <c r="L11" s="509">
        <f>'CUSTOMERS REPORT'!AD134</f>
        <v>0</v>
      </c>
      <c r="M11" s="414">
        <f>'3'!M11+'4'!G11</f>
        <v>0</v>
      </c>
      <c r="N11" s="412">
        <f>'3'!N11+'4'!J11</f>
        <v>0</v>
      </c>
      <c r="P11" s="433"/>
      <c r="Q11" s="437"/>
      <c r="S11" s="400" t="str">
        <f>'3'!S11</f>
        <v>YEAST</v>
      </c>
      <c r="T11" s="446">
        <f>'3'!X11</f>
        <v>0</v>
      </c>
      <c r="U11" s="456"/>
      <c r="V11" s="451">
        <f t="shared" si="0"/>
        <v>0</v>
      </c>
      <c r="W11" s="451"/>
      <c r="X11" s="447">
        <f t="shared" si="1"/>
        <v>0</v>
      </c>
      <c r="Z11" s="375" t="str">
        <f>'3'!Z11</f>
        <v>IMRAN ALAM</v>
      </c>
      <c r="AA11" s="464">
        <f>'3'!AE11</f>
        <v>0</v>
      </c>
      <c r="AB11" s="460"/>
      <c r="AC11" s="462">
        <f t="shared" si="2"/>
        <v>0</v>
      </c>
      <c r="AD11" s="469"/>
      <c r="AE11" s="348">
        <f t="shared" si="3"/>
        <v>0</v>
      </c>
      <c r="AF11" s="563">
        <f>'3'!AF11+'4'!AB11</f>
        <v>0</v>
      </c>
      <c r="AG11" s="234">
        <f>'3'!AG11+'4'!AD11</f>
        <v>0</v>
      </c>
      <c r="AI11" s="1031"/>
      <c r="AJ11" s="1032"/>
    </row>
    <row r="12" spans="1:36" ht="27" customHeight="1">
      <c r="A12" s="718"/>
      <c r="B12" s="691"/>
      <c r="C12" s="350"/>
      <c r="D12" s="550"/>
      <c r="F12" s="479" t="str">
        <f>'3'!F12</f>
        <v>ZULFIQAR</v>
      </c>
      <c r="G12" s="406">
        <f>'CUSTOMERS REPORT'!Y172</f>
        <v>0</v>
      </c>
      <c r="H12" s="1045">
        <f>'CUSTOMERS REPORT'!Z172</f>
        <v>0</v>
      </c>
      <c r="I12" s="406">
        <f>'CUSTOMERS REPORT'!AA172</f>
        <v>0</v>
      </c>
      <c r="J12" s="1040">
        <f>'CUSTOMERS REPORT'!AB172</f>
        <v>0</v>
      </c>
      <c r="K12" s="1040">
        <f>'CUSTOMERS REPORT'!AC172</f>
        <v>0</v>
      </c>
      <c r="L12" s="509">
        <f>'CUSTOMERS REPORT'!AD172</f>
        <v>0</v>
      </c>
      <c r="M12" s="414">
        <f>'3'!M12+'4'!G12</f>
        <v>0</v>
      </c>
      <c r="N12" s="412">
        <f>'3'!N12+'4'!J12</f>
        <v>0</v>
      </c>
      <c r="P12" s="433"/>
      <c r="Q12" s="437"/>
      <c r="S12" s="400" t="str">
        <f>'3'!S12</f>
        <v xml:space="preserve">EKKA </v>
      </c>
      <c r="T12" s="446">
        <f>'3'!X12</f>
        <v>0</v>
      </c>
      <c r="U12" s="456"/>
      <c r="V12" s="451">
        <f t="shared" si="0"/>
        <v>0</v>
      </c>
      <c r="W12" s="451"/>
      <c r="X12" s="447">
        <f t="shared" si="1"/>
        <v>0</v>
      </c>
      <c r="Z12" s="375" t="str">
        <f>'3'!Z12</f>
        <v>ZAHEER</v>
      </c>
      <c r="AA12" s="464">
        <f>'3'!AE12</f>
        <v>0</v>
      </c>
      <c r="AB12" s="460"/>
      <c r="AC12" s="462">
        <f t="shared" si="2"/>
        <v>0</v>
      </c>
      <c r="AD12" s="469"/>
      <c r="AE12" s="348">
        <f t="shared" si="3"/>
        <v>0</v>
      </c>
      <c r="AF12" s="563">
        <f>'3'!AF12+'4'!AB12</f>
        <v>0</v>
      </c>
      <c r="AG12" s="234">
        <f>'3'!AG12+'4'!AD12</f>
        <v>0</v>
      </c>
      <c r="AI12" s="1031"/>
      <c r="AJ12" s="1032"/>
    </row>
    <row r="13" spans="1:36" ht="27" customHeight="1">
      <c r="A13" s="718"/>
      <c r="B13" s="691"/>
      <c r="C13" s="350"/>
      <c r="D13" s="550"/>
      <c r="F13" s="479" t="str">
        <f>'3'!F13</f>
        <v>QASIM ORANGI</v>
      </c>
      <c r="G13" s="406">
        <f>'CUSTOMERS REPORT'!Y212</f>
        <v>0</v>
      </c>
      <c r="H13" s="1045">
        <f>'CUSTOMERS REPORT'!Z212</f>
        <v>0</v>
      </c>
      <c r="I13" s="406">
        <f>'CUSTOMERS REPORT'!AA212</f>
        <v>0</v>
      </c>
      <c r="J13" s="1040">
        <f>'CUSTOMERS REPORT'!AB212</f>
        <v>0</v>
      </c>
      <c r="K13" s="1040">
        <f>'CUSTOMERS REPORT'!AC212</f>
        <v>0</v>
      </c>
      <c r="L13" s="509">
        <f>'CUSTOMERS REPORT'!AD212</f>
        <v>0</v>
      </c>
      <c r="M13" s="414">
        <f>'3'!M13+'4'!G13</f>
        <v>0</v>
      </c>
      <c r="N13" s="412">
        <f>'3'!N13+'4'!J13</f>
        <v>0</v>
      </c>
      <c r="P13" s="433"/>
      <c r="Q13" s="437"/>
      <c r="S13" s="400" t="str">
        <f>'3'!S13</f>
        <v>VANILLA</v>
      </c>
      <c r="T13" s="446">
        <f>'3'!X13</f>
        <v>0</v>
      </c>
      <c r="U13" s="456"/>
      <c r="V13" s="451">
        <f t="shared" si="0"/>
        <v>0</v>
      </c>
      <c r="W13" s="451"/>
      <c r="X13" s="447">
        <f t="shared" si="1"/>
        <v>0</v>
      </c>
      <c r="Z13" s="375" t="str">
        <f>'3'!Z13</f>
        <v>FAISAL</v>
      </c>
      <c r="AA13" s="464">
        <f>'3'!AE13</f>
        <v>0</v>
      </c>
      <c r="AB13" s="460"/>
      <c r="AC13" s="462">
        <f t="shared" si="2"/>
        <v>0</v>
      </c>
      <c r="AD13" s="469"/>
      <c r="AE13" s="348">
        <f t="shared" si="3"/>
        <v>0</v>
      </c>
      <c r="AF13" s="563">
        <f>'3'!AF13+'4'!AB13</f>
        <v>0</v>
      </c>
      <c r="AG13" s="234">
        <f>'3'!AG13+'4'!AD13</f>
        <v>0</v>
      </c>
      <c r="AI13" s="1031"/>
      <c r="AJ13" s="1032"/>
    </row>
    <row r="14" spans="1:36" ht="27" customHeight="1">
      <c r="A14" s="718"/>
      <c r="B14" s="691"/>
      <c r="C14" s="350"/>
      <c r="D14" s="550"/>
      <c r="F14" s="479" t="str">
        <f>'3'!F14</f>
        <v>BADSHAH KHAN HYD</v>
      </c>
      <c r="G14" s="406">
        <f>'CUSTOMERS REPORT'!Y249</f>
        <v>0</v>
      </c>
      <c r="H14" s="1045">
        <f>'CUSTOMERS REPORT'!Z249</f>
        <v>0</v>
      </c>
      <c r="I14" s="406">
        <f>'CUSTOMERS REPORT'!AA249</f>
        <v>0</v>
      </c>
      <c r="J14" s="1040">
        <f>'CUSTOMERS REPORT'!AB249</f>
        <v>0</v>
      </c>
      <c r="K14" s="1040">
        <f>'CUSTOMERS REPORT'!AC249</f>
        <v>0</v>
      </c>
      <c r="L14" s="509">
        <f>'CUSTOMERS REPORT'!AD249</f>
        <v>0</v>
      </c>
      <c r="M14" s="414">
        <f>'3'!M14+'4'!G14</f>
        <v>0</v>
      </c>
      <c r="N14" s="412">
        <f>'3'!N14+'4'!J14</f>
        <v>0</v>
      </c>
      <c r="P14" s="433"/>
      <c r="Q14" s="437"/>
      <c r="S14" s="400" t="str">
        <f>'3'!S14</f>
        <v>COLOUR</v>
      </c>
      <c r="T14" s="446">
        <f>'3'!X14</f>
        <v>0</v>
      </c>
      <c r="U14" s="456"/>
      <c r="V14" s="451">
        <f t="shared" si="0"/>
        <v>0</v>
      </c>
      <c r="W14" s="451"/>
      <c r="X14" s="447">
        <f t="shared" si="1"/>
        <v>0</v>
      </c>
      <c r="Z14" s="375" t="str">
        <f>'3'!Z14</f>
        <v>RANA EKKA</v>
      </c>
      <c r="AA14" s="464">
        <f>'3'!AE14</f>
        <v>0</v>
      </c>
      <c r="AB14" s="460"/>
      <c r="AC14" s="462">
        <f t="shared" si="2"/>
        <v>0</v>
      </c>
      <c r="AD14" s="469"/>
      <c r="AE14" s="348">
        <f t="shared" si="3"/>
        <v>0</v>
      </c>
      <c r="AF14" s="563">
        <f>'3'!AF14+'4'!AB14</f>
        <v>0</v>
      </c>
      <c r="AG14" s="234">
        <f>'3'!AG14+'4'!AD14</f>
        <v>0</v>
      </c>
      <c r="AI14" s="1031"/>
      <c r="AJ14" s="1032"/>
    </row>
    <row r="15" spans="1:36" ht="27" customHeight="1">
      <c r="A15" s="718"/>
      <c r="B15" s="691"/>
      <c r="C15" s="350"/>
      <c r="D15" s="550"/>
      <c r="F15" s="479" t="str">
        <f>'3'!F15</f>
        <v>SHAMOON</v>
      </c>
      <c r="G15" s="406">
        <f>'CUSTOMERS REPORT'!Y289</f>
        <v>0</v>
      </c>
      <c r="H15" s="1045">
        <f>'CUSTOMERS REPORT'!Z289</f>
        <v>0</v>
      </c>
      <c r="I15" s="406">
        <f>'CUSTOMERS REPORT'!AA289</f>
        <v>0</v>
      </c>
      <c r="J15" s="1040">
        <f>'CUSTOMERS REPORT'!AB289</f>
        <v>0</v>
      </c>
      <c r="K15" s="1040">
        <f>'CUSTOMERS REPORT'!AC289</f>
        <v>0</v>
      </c>
      <c r="L15" s="509">
        <f>'CUSTOMERS REPORT'!AD289</f>
        <v>0</v>
      </c>
      <c r="M15" s="414">
        <f>'3'!M15+'4'!G15</f>
        <v>0</v>
      </c>
      <c r="N15" s="412">
        <f>'3'!N15+'4'!J15</f>
        <v>0</v>
      </c>
      <c r="P15" s="433"/>
      <c r="Q15" s="437"/>
      <c r="S15" s="400" t="str">
        <f>'3'!S15</f>
        <v>TILL</v>
      </c>
      <c r="T15" s="446">
        <f>'3'!X15</f>
        <v>0</v>
      </c>
      <c r="U15" s="456"/>
      <c r="V15" s="451">
        <f t="shared" si="0"/>
        <v>0</v>
      </c>
      <c r="W15" s="451"/>
      <c r="X15" s="447">
        <f t="shared" si="1"/>
        <v>0</v>
      </c>
      <c r="Z15" s="375" t="str">
        <f>'3'!Z15</f>
        <v>sheeba</v>
      </c>
      <c r="AA15" s="464">
        <f>'3'!AE15</f>
        <v>0</v>
      </c>
      <c r="AB15" s="460"/>
      <c r="AC15" s="462">
        <f t="shared" si="2"/>
        <v>0</v>
      </c>
      <c r="AD15" s="469"/>
      <c r="AE15" s="348">
        <f t="shared" si="3"/>
        <v>0</v>
      </c>
      <c r="AF15" s="563">
        <f>'3'!AF15+'4'!AB15</f>
        <v>0</v>
      </c>
      <c r="AG15" s="234">
        <f>'3'!AG15+'4'!AD15</f>
        <v>0</v>
      </c>
      <c r="AI15" s="1031"/>
      <c r="AJ15" s="1032"/>
    </row>
    <row r="16" spans="1:36" ht="27" customHeight="1">
      <c r="A16" s="718"/>
      <c r="B16" s="691"/>
      <c r="C16" s="350"/>
      <c r="D16" s="550"/>
      <c r="F16" s="479" t="str">
        <f>'3'!F16</f>
        <v>MATEEN</v>
      </c>
      <c r="G16" s="406">
        <f>'CUSTOMERS REPORT'!Y330</f>
        <v>0</v>
      </c>
      <c r="H16" s="1045">
        <f>'CUSTOMERS REPORT'!Z330</f>
        <v>0</v>
      </c>
      <c r="I16" s="406">
        <f>'CUSTOMERS REPORT'!AA330</f>
        <v>0</v>
      </c>
      <c r="J16" s="1040">
        <f>'CUSTOMERS REPORT'!AB330</f>
        <v>0</v>
      </c>
      <c r="K16" s="1040">
        <f>'CUSTOMERS REPORT'!AC330</f>
        <v>0</v>
      </c>
      <c r="L16" s="509">
        <f>'CUSTOMERS REPORT'!AD330</f>
        <v>0</v>
      </c>
      <c r="M16" s="414">
        <f>'3'!M16+'4'!G16</f>
        <v>0</v>
      </c>
      <c r="N16" s="412">
        <f>'3'!N16+'4'!J16</f>
        <v>0</v>
      </c>
      <c r="P16" s="433"/>
      <c r="Q16" s="437"/>
      <c r="S16" s="400" t="str">
        <f>'3'!S16</f>
        <v>ILLAICHI</v>
      </c>
      <c r="T16" s="446">
        <f>'3'!X16</f>
        <v>0</v>
      </c>
      <c r="U16" s="456"/>
      <c r="V16" s="451">
        <f t="shared" si="0"/>
        <v>0</v>
      </c>
      <c r="W16" s="451"/>
      <c r="X16" s="447">
        <f t="shared" si="1"/>
        <v>0</v>
      </c>
      <c r="Z16" s="375" t="str">
        <f>'3'!Z16</f>
        <v>COTTON</v>
      </c>
      <c r="AA16" s="464">
        <f>'3'!AE16</f>
        <v>0</v>
      </c>
      <c r="AB16" s="460"/>
      <c r="AC16" s="462">
        <f t="shared" si="2"/>
        <v>0</v>
      </c>
      <c r="AD16" s="469"/>
      <c r="AE16" s="348">
        <f t="shared" si="3"/>
        <v>0</v>
      </c>
      <c r="AF16" s="563">
        <f>'3'!AF16+'4'!AB16</f>
        <v>0</v>
      </c>
      <c r="AG16" s="234">
        <f>'3'!AG16+'4'!AD16</f>
        <v>0</v>
      </c>
      <c r="AI16" s="1031"/>
      <c r="AJ16" s="1032"/>
    </row>
    <row r="17" spans="1:36" ht="27" customHeight="1">
      <c r="A17" s="718"/>
      <c r="B17" s="691"/>
      <c r="C17" s="350"/>
      <c r="D17" s="550"/>
      <c r="F17" s="479" t="str">
        <f>'3'!F17</f>
        <v>AMJAD ORANGI</v>
      </c>
      <c r="G17" s="406">
        <f>'CUSTOMERS REPORT'!Y372</f>
        <v>0</v>
      </c>
      <c r="H17" s="1045">
        <f>'CUSTOMERS REPORT'!Z372</f>
        <v>0</v>
      </c>
      <c r="I17" s="406">
        <f>'CUSTOMERS REPORT'!AA372</f>
        <v>0</v>
      </c>
      <c r="J17" s="1040">
        <f>'CUSTOMERS REPORT'!AB372</f>
        <v>0</v>
      </c>
      <c r="K17" s="1040">
        <f>'CUSTOMERS REPORT'!AC372</f>
        <v>0</v>
      </c>
      <c r="L17" s="509">
        <f>'CUSTOMERS REPORT'!AD372</f>
        <v>0</v>
      </c>
      <c r="M17" s="414">
        <f>'3'!M17+'4'!G17</f>
        <v>0</v>
      </c>
      <c r="N17" s="412">
        <f>'3'!N17+'4'!J17</f>
        <v>0</v>
      </c>
      <c r="P17" s="433"/>
      <c r="Q17" s="437"/>
      <c r="S17" s="400" t="str">
        <f>'3'!S17</f>
        <v>S-THELLI</v>
      </c>
      <c r="T17" s="446">
        <f>'3'!X17</f>
        <v>0</v>
      </c>
      <c r="U17" s="456"/>
      <c r="V17" s="451">
        <f t="shared" si="0"/>
        <v>0</v>
      </c>
      <c r="W17" s="451"/>
      <c r="X17" s="447">
        <f t="shared" si="1"/>
        <v>0</v>
      </c>
      <c r="Z17" s="375" t="str">
        <f>'3'!Z17</f>
        <v>SHAHID UP</v>
      </c>
      <c r="AA17" s="464">
        <f>'3'!AE17</f>
        <v>0</v>
      </c>
      <c r="AB17" s="460"/>
      <c r="AC17" s="462">
        <f t="shared" si="2"/>
        <v>0</v>
      </c>
      <c r="AD17" s="469"/>
      <c r="AE17" s="348">
        <f t="shared" si="3"/>
        <v>0</v>
      </c>
      <c r="AF17" s="563">
        <f>'3'!AF17+'4'!AB17</f>
        <v>0</v>
      </c>
      <c r="AG17" s="234">
        <f>'3'!AG17+'4'!AD17</f>
        <v>0</v>
      </c>
      <c r="AI17" s="1031"/>
      <c r="AJ17" s="1032"/>
    </row>
    <row r="18" spans="1:36" ht="27" customHeight="1">
      <c r="A18" s="718"/>
      <c r="B18" s="691"/>
      <c r="C18" s="350"/>
      <c r="D18" s="550"/>
      <c r="F18" s="479" t="str">
        <f>'3'!F18</f>
        <v>HAFIZ DRIVER</v>
      </c>
      <c r="G18" s="406">
        <f>'CUSTOMERS REPORT'!Y411</f>
        <v>0</v>
      </c>
      <c r="H18" s="1045">
        <f>'CUSTOMERS REPORT'!Z411</f>
        <v>0</v>
      </c>
      <c r="I18" s="406">
        <f>'CUSTOMERS REPORT'!AA411</f>
        <v>0</v>
      </c>
      <c r="J18" s="1040">
        <f>'CUSTOMERS REPORT'!AB411</f>
        <v>0</v>
      </c>
      <c r="K18" s="1040">
        <f>'CUSTOMERS REPORT'!AC411</f>
        <v>0</v>
      </c>
      <c r="L18" s="509">
        <f>'CUSTOMERS REPORT'!AD411</f>
        <v>0</v>
      </c>
      <c r="M18" s="414">
        <f>'3'!M18+'4'!G18</f>
        <v>0</v>
      </c>
      <c r="N18" s="412">
        <f>'3'!N18+'4'!J18</f>
        <v>0</v>
      </c>
      <c r="P18" s="433"/>
      <c r="Q18" s="437"/>
      <c r="S18" s="400" t="str">
        <f>'3'!S18</f>
        <v>P-THELLI</v>
      </c>
      <c r="T18" s="446">
        <f>'3'!X18</f>
        <v>0</v>
      </c>
      <c r="U18" s="456"/>
      <c r="V18" s="451">
        <f t="shared" si="0"/>
        <v>0</v>
      </c>
      <c r="W18" s="451"/>
      <c r="X18" s="447">
        <f t="shared" si="1"/>
        <v>0</v>
      </c>
      <c r="Z18" s="375" t="str">
        <f>'3'!Z18</f>
        <v>SALT</v>
      </c>
      <c r="AA18" s="464">
        <f>'3'!AE18</f>
        <v>0</v>
      </c>
      <c r="AB18" s="460"/>
      <c r="AC18" s="462">
        <f t="shared" si="2"/>
        <v>0</v>
      </c>
      <c r="AD18" s="469"/>
      <c r="AE18" s="348">
        <f t="shared" si="3"/>
        <v>0</v>
      </c>
      <c r="AF18" s="563">
        <f>'3'!AF18+'4'!AB18</f>
        <v>0</v>
      </c>
      <c r="AG18" s="234">
        <f>'3'!AG18+'4'!AD18</f>
        <v>0</v>
      </c>
      <c r="AI18" s="1031"/>
      <c r="AJ18" s="1032"/>
    </row>
    <row r="19" spans="1:36" ht="27" customHeight="1" thickBot="1">
      <c r="A19" s="719"/>
      <c r="B19" s="692"/>
      <c r="C19" s="350"/>
      <c r="D19" s="550"/>
      <c r="F19" s="479" t="str">
        <f>'3'!F19</f>
        <v>GHULAM QUETTA</v>
      </c>
      <c r="G19" s="406">
        <f>'CUSTOMERS REPORT'!Y449</f>
        <v>0</v>
      </c>
      <c r="H19" s="1045">
        <f>'CUSTOMERS REPORT'!Z449</f>
        <v>0</v>
      </c>
      <c r="I19" s="406">
        <f>'CUSTOMERS REPORT'!AA449</f>
        <v>0</v>
      </c>
      <c r="J19" s="1040">
        <f>'CUSTOMERS REPORT'!AB449</f>
        <v>0</v>
      </c>
      <c r="K19" s="1040">
        <f>'CUSTOMERS REPORT'!AC449</f>
        <v>0</v>
      </c>
      <c r="L19" s="509">
        <f>'CUSTOMERS REPORT'!AD449</f>
        <v>0</v>
      </c>
      <c r="M19" s="414">
        <f>'3'!M19+'4'!G19</f>
        <v>0</v>
      </c>
      <c r="N19" s="412">
        <f>'3'!N19+'4'!J19</f>
        <v>0</v>
      </c>
      <c r="P19" s="433"/>
      <c r="Q19" s="437"/>
      <c r="S19" s="400" t="str">
        <f>'3'!S19</f>
        <v>RUBBER</v>
      </c>
      <c r="T19" s="446">
        <f>'3'!X19</f>
        <v>0</v>
      </c>
      <c r="U19" s="456"/>
      <c r="V19" s="451">
        <f t="shared" si="0"/>
        <v>0</v>
      </c>
      <c r="W19" s="451"/>
      <c r="X19" s="447">
        <f t="shared" si="1"/>
        <v>0</v>
      </c>
      <c r="Z19" s="375" t="str">
        <f>'3'!Z19</f>
        <v>NAVEED</v>
      </c>
      <c r="AA19" s="464">
        <f>'3'!AE19</f>
        <v>0</v>
      </c>
      <c r="AB19" s="460"/>
      <c r="AC19" s="462">
        <f t="shared" si="2"/>
        <v>0</v>
      </c>
      <c r="AD19" s="469"/>
      <c r="AE19" s="348">
        <f t="shared" si="3"/>
        <v>0</v>
      </c>
      <c r="AF19" s="563">
        <f>'3'!AF19+'4'!AB19</f>
        <v>0</v>
      </c>
      <c r="AG19" s="234">
        <f>'3'!AG19+'4'!AD19</f>
        <v>0</v>
      </c>
    </row>
    <row r="20" spans="1:36" ht="27" customHeight="1" thickTop="1" thickBot="1">
      <c r="A20" s="719"/>
      <c r="B20" s="692"/>
      <c r="C20" s="350"/>
      <c r="D20" s="550"/>
      <c r="F20" s="479" t="str">
        <f>'3'!F20</f>
        <v>HUSSAN GWADAR</v>
      </c>
      <c r="G20" s="406">
        <f>'CUSTOMERS REPORT'!Y485</f>
        <v>0</v>
      </c>
      <c r="H20" s="1045">
        <f>'CUSTOMERS REPORT'!Z485</f>
        <v>0</v>
      </c>
      <c r="I20" s="406">
        <f>'CUSTOMERS REPORT'!AA485</f>
        <v>0</v>
      </c>
      <c r="J20" s="1040">
        <f>'CUSTOMERS REPORT'!AB485</f>
        <v>0</v>
      </c>
      <c r="K20" s="1040">
        <f>'CUSTOMERS REPORT'!AC485</f>
        <v>0</v>
      </c>
      <c r="L20" s="509">
        <f>'CUSTOMERS REPORT'!AD485</f>
        <v>0</v>
      </c>
      <c r="M20" s="414">
        <f>'3'!M20+'4'!G20</f>
        <v>0</v>
      </c>
      <c r="N20" s="412">
        <f>'3'!N20+'4'!J20</f>
        <v>0</v>
      </c>
      <c r="P20" s="433"/>
      <c r="Q20" s="437"/>
      <c r="S20" s="400" t="str">
        <f>'3'!S20</f>
        <v>SALT</v>
      </c>
      <c r="T20" s="446">
        <f>'3'!X20</f>
        <v>0</v>
      </c>
      <c r="U20" s="456"/>
      <c r="V20" s="451">
        <f t="shared" si="0"/>
        <v>0</v>
      </c>
      <c r="W20" s="451"/>
      <c r="X20" s="447">
        <f t="shared" si="1"/>
        <v>0</v>
      </c>
      <c r="Z20" s="375" t="str">
        <f>'3'!Z20</f>
        <v>YOUSUF BHAI</v>
      </c>
      <c r="AA20" s="464">
        <f>'3'!AE20</f>
        <v>0</v>
      </c>
      <c r="AB20" s="460"/>
      <c r="AC20" s="462">
        <f t="shared" si="2"/>
        <v>0</v>
      </c>
      <c r="AD20" s="469"/>
      <c r="AE20" s="348">
        <f t="shared" si="3"/>
        <v>0</v>
      </c>
      <c r="AF20" s="563">
        <f>'3'!AF20+'4'!AB20</f>
        <v>0</v>
      </c>
      <c r="AG20" s="234">
        <f>'3'!AG20+'4'!AD20</f>
        <v>0</v>
      </c>
      <c r="AI20" s="1487" t="s">
        <v>132</v>
      </c>
      <c r="AJ20" s="1488"/>
    </row>
    <row r="21" spans="1:36" ht="27" customHeight="1" thickTop="1" thickBot="1">
      <c r="A21" s="720"/>
      <c r="B21" s="693"/>
      <c r="C21" s="531"/>
      <c r="D21" s="553"/>
      <c r="F21" s="479" t="str">
        <f>'3'!F21</f>
        <v>AQASH S KOT</v>
      </c>
      <c r="G21" s="406">
        <f>'CUSTOMERS REPORT'!Y522</f>
        <v>0</v>
      </c>
      <c r="H21" s="1045">
        <f>'CUSTOMERS REPORT'!Z522</f>
        <v>0</v>
      </c>
      <c r="I21" s="406">
        <f>'CUSTOMERS REPORT'!AA522</f>
        <v>0</v>
      </c>
      <c r="J21" s="1040">
        <f>'CUSTOMERS REPORT'!AB522</f>
        <v>0</v>
      </c>
      <c r="K21" s="1040">
        <f>'CUSTOMERS REPORT'!AC522</f>
        <v>0</v>
      </c>
      <c r="L21" s="509">
        <f>'CUSTOMERS REPORT'!AD522</f>
        <v>0</v>
      </c>
      <c r="M21" s="414">
        <f>'3'!M21+'4'!G21</f>
        <v>0</v>
      </c>
      <c r="N21" s="412">
        <f>'3'!N21+'4'!J21</f>
        <v>0</v>
      </c>
      <c r="P21" s="433"/>
      <c r="Q21" s="435"/>
      <c r="S21" s="400" t="str">
        <f>'3'!S21</f>
        <v>TAPE</v>
      </c>
      <c r="T21" s="446">
        <f>'3'!X21</f>
        <v>0</v>
      </c>
      <c r="U21" s="456"/>
      <c r="V21" s="451">
        <f t="shared" si="0"/>
        <v>0</v>
      </c>
      <c r="W21" s="451"/>
      <c r="X21" s="447">
        <f t="shared" si="1"/>
        <v>0</v>
      </c>
      <c r="Z21" s="375" t="str">
        <f>'3'!Z21</f>
        <v>SULEMAN  PRINT</v>
      </c>
      <c r="AA21" s="464">
        <f>'3'!AE21</f>
        <v>0</v>
      </c>
      <c r="AB21" s="460"/>
      <c r="AC21" s="462">
        <f t="shared" si="2"/>
        <v>0</v>
      </c>
      <c r="AD21" s="469"/>
      <c r="AE21" s="348">
        <f t="shared" si="3"/>
        <v>0</v>
      </c>
      <c r="AF21" s="563">
        <f>'3'!AF21+'4'!AB21</f>
        <v>0</v>
      </c>
      <c r="AG21" s="234">
        <f>'3'!AG21+'4'!AD21</f>
        <v>0</v>
      </c>
      <c r="AI21" s="391" t="s">
        <v>126</v>
      </c>
      <c r="AJ21" s="392">
        <f>'3'!AJ23</f>
        <v>0</v>
      </c>
    </row>
    <row r="22" spans="1:36" ht="27" customHeight="1" thickTop="1" thickBot="1">
      <c r="A22" s="486" t="s">
        <v>74</v>
      </c>
      <c r="B22" s="533">
        <f>SUM(B8:B21)</f>
        <v>0</v>
      </c>
      <c r="C22" s="534">
        <f>'3'!D22</f>
        <v>0</v>
      </c>
      <c r="D22" s="535">
        <f t="shared" ref="D22" si="4">B22+C22</f>
        <v>0</v>
      </c>
      <c r="F22" s="479" t="str">
        <f>'3'!F22</f>
        <v>SALEEM T JAM</v>
      </c>
      <c r="G22" s="406">
        <f>'CUSTOMERS REPORT'!Y560</f>
        <v>0</v>
      </c>
      <c r="H22" s="1045">
        <f>'CUSTOMERS REPORT'!Z560</f>
        <v>0</v>
      </c>
      <c r="I22" s="406">
        <f>'CUSTOMERS REPORT'!AA560</f>
        <v>0</v>
      </c>
      <c r="J22" s="1040">
        <f>'CUSTOMERS REPORT'!AB560</f>
        <v>0</v>
      </c>
      <c r="K22" s="1040">
        <f>'CUSTOMERS REPORT'!AC560</f>
        <v>0</v>
      </c>
      <c r="L22" s="509">
        <f>'CUSTOMERS REPORT'!AD560</f>
        <v>0</v>
      </c>
      <c r="M22" s="414">
        <f>'3'!M22+'4'!G22</f>
        <v>0</v>
      </c>
      <c r="N22" s="412">
        <f>'3'!N22+'4'!J22</f>
        <v>0</v>
      </c>
      <c r="P22" s="433"/>
      <c r="Q22" s="438"/>
      <c r="S22" s="400" t="str">
        <f>'3'!S22</f>
        <v>COTTON</v>
      </c>
      <c r="T22" s="446">
        <f>'3'!X22</f>
        <v>0</v>
      </c>
      <c r="U22" s="456"/>
      <c r="V22" s="451">
        <f t="shared" si="0"/>
        <v>0</v>
      </c>
      <c r="W22" s="451"/>
      <c r="X22" s="447">
        <f t="shared" si="1"/>
        <v>0</v>
      </c>
      <c r="Z22" s="375" t="str">
        <f>'3'!Z22</f>
        <v>IRFAN VANILA</v>
      </c>
      <c r="AA22" s="464">
        <f>'3'!AE22</f>
        <v>0</v>
      </c>
      <c r="AB22" s="460"/>
      <c r="AC22" s="462">
        <f t="shared" si="2"/>
        <v>0</v>
      </c>
      <c r="AD22" s="469"/>
      <c r="AE22" s="348">
        <f t="shared" si="3"/>
        <v>0</v>
      </c>
      <c r="AF22" s="563">
        <f>'3'!AF22+'4'!AB22</f>
        <v>0</v>
      </c>
      <c r="AG22" s="234">
        <f>'3'!AG22+'4'!AD22</f>
        <v>0</v>
      </c>
      <c r="AI22" s="393">
        <f>R56</f>
        <v>0</v>
      </c>
      <c r="AJ22" s="394">
        <f>R56*1800</f>
        <v>0</v>
      </c>
    </row>
    <row r="23" spans="1:36" ht="27" customHeight="1" thickTop="1" thickBot="1">
      <c r="A23" s="715" t="str">
        <f>'3'!A23</f>
        <v>OFFICE FOOD</v>
      </c>
      <c r="B23" s="462"/>
      <c r="C23" s="536">
        <f>'3'!D23</f>
        <v>0</v>
      </c>
      <c r="D23" s="537">
        <f t="shared" ref="D23:D48" si="5">B23+C23</f>
        <v>0</v>
      </c>
      <c r="F23" s="479" t="str">
        <f>'3'!F23</f>
        <v>JAMSHAD BADEEN</v>
      </c>
      <c r="G23" s="406">
        <f>'CUSTOMERS REPORT'!Y596</f>
        <v>0</v>
      </c>
      <c r="H23" s="1045">
        <f>'CUSTOMERS REPORT'!Z596</f>
        <v>0</v>
      </c>
      <c r="I23" s="406">
        <f>'CUSTOMERS REPORT'!AA596</f>
        <v>0</v>
      </c>
      <c r="J23" s="1040">
        <f>'CUSTOMERS REPORT'!AB596</f>
        <v>0</v>
      </c>
      <c r="K23" s="1040">
        <f>'CUSTOMERS REPORT'!AC596</f>
        <v>0</v>
      </c>
      <c r="L23" s="509">
        <f>'CUSTOMERS REPORT'!AD596</f>
        <v>0</v>
      </c>
      <c r="M23" s="414">
        <f>'3'!M23+'4'!G23</f>
        <v>0</v>
      </c>
      <c r="N23" s="412">
        <f>'3'!N23+'4'!J23</f>
        <v>0</v>
      </c>
      <c r="P23" s="190" t="s">
        <v>48</v>
      </c>
      <c r="Q23" s="439">
        <f>SUM(Q8:Q22)</f>
        <v>0</v>
      </c>
      <c r="S23" s="400" t="str">
        <f>'3'!S23</f>
        <v>WHITE 6</v>
      </c>
      <c r="T23" s="446">
        <f>'3'!X23</f>
        <v>0</v>
      </c>
      <c r="U23" s="456"/>
      <c r="V23" s="451">
        <f t="shared" si="0"/>
        <v>0</v>
      </c>
      <c r="W23" s="451"/>
      <c r="X23" s="447">
        <f t="shared" si="1"/>
        <v>0</v>
      </c>
      <c r="Z23" s="375" t="str">
        <f>'3'!Z23</f>
        <v>IRANI GHEE</v>
      </c>
      <c r="AA23" s="464">
        <f>'3'!AE23</f>
        <v>0</v>
      </c>
      <c r="AB23" s="460"/>
      <c r="AC23" s="462">
        <f t="shared" si="2"/>
        <v>0</v>
      </c>
      <c r="AD23" s="469"/>
      <c r="AE23" s="348">
        <f t="shared" si="3"/>
        <v>0</v>
      </c>
      <c r="AF23" s="563">
        <f>'3'!AF23+'4'!AB23</f>
        <v>0</v>
      </c>
      <c r="AG23" s="234">
        <f>'3'!AG23+'4'!AD23</f>
        <v>0</v>
      </c>
      <c r="AI23" s="395" t="s">
        <v>74</v>
      </c>
      <c r="AJ23" s="396">
        <f>AJ21+AJ22</f>
        <v>0</v>
      </c>
    </row>
    <row r="24" spans="1:36" ht="27" customHeight="1" thickTop="1" thickBot="1">
      <c r="A24" s="715" t="str">
        <f>'3'!A24</f>
        <v>LABOUR FOOD EXP</v>
      </c>
      <c r="B24" s="234"/>
      <c r="C24" s="348">
        <f>'3'!D24</f>
        <v>0</v>
      </c>
      <c r="D24" s="234">
        <f t="shared" si="5"/>
        <v>0</v>
      </c>
      <c r="F24" s="479" t="str">
        <f>'3'!F24</f>
        <v>SARFAZ MP</v>
      </c>
      <c r="G24" s="406">
        <f>'CUSTOMERS REPORT'!Y634</f>
        <v>0</v>
      </c>
      <c r="H24" s="1045">
        <f>'CUSTOMERS REPORT'!Z634</f>
        <v>0</v>
      </c>
      <c r="I24" s="406">
        <f>'CUSTOMERS REPORT'!AA634</f>
        <v>0</v>
      </c>
      <c r="J24" s="1040">
        <f>'CUSTOMERS REPORT'!AB634</f>
        <v>0</v>
      </c>
      <c r="K24" s="1040">
        <f>'CUSTOMERS REPORT'!AC634</f>
        <v>0</v>
      </c>
      <c r="L24" s="509">
        <f>'CUSTOMERS REPORT'!AD634</f>
        <v>0</v>
      </c>
      <c r="M24" s="414">
        <f>'3'!M24+'4'!G24</f>
        <v>0</v>
      </c>
      <c r="N24" s="412">
        <f>'3'!N24+'4'!J24</f>
        <v>0</v>
      </c>
      <c r="P24" s="1514" t="s">
        <v>137</v>
      </c>
      <c r="Q24" s="1514"/>
      <c r="R24" t="s">
        <v>1</v>
      </c>
      <c r="S24" s="400" t="str">
        <f>'3'!S24</f>
        <v>ORANGE</v>
      </c>
      <c r="T24" s="446">
        <f>'3'!X24</f>
        <v>0</v>
      </c>
      <c r="U24" s="456"/>
      <c r="V24" s="451">
        <f t="shared" si="0"/>
        <v>0</v>
      </c>
      <c r="W24" s="451"/>
      <c r="X24" s="447">
        <f t="shared" si="1"/>
        <v>0</v>
      </c>
      <c r="Z24" s="375">
        <f>'3'!Z24</f>
        <v>0</v>
      </c>
      <c r="AA24" s="464">
        <f>'3'!AE24</f>
        <v>0</v>
      </c>
      <c r="AB24" s="745"/>
      <c r="AC24" s="462">
        <f t="shared" si="2"/>
        <v>0</v>
      </c>
      <c r="AD24" s="469"/>
      <c r="AE24" s="348">
        <f t="shared" si="3"/>
        <v>0</v>
      </c>
      <c r="AF24" s="563">
        <f>'3'!AF24+'4'!AB24</f>
        <v>0</v>
      </c>
      <c r="AG24" s="234">
        <f>'3'!AG24+'4'!AD24</f>
        <v>0</v>
      </c>
    </row>
    <row r="25" spans="1:36" ht="27" customHeight="1" thickTop="1" thickBot="1">
      <c r="A25" s="715" t="str">
        <f>'3'!A25</f>
        <v>OFFICE SALARY</v>
      </c>
      <c r="B25" s="234">
        <f>ATTENDANCE!I28</f>
        <v>0</v>
      </c>
      <c r="C25" s="348">
        <f>'3'!D25</f>
        <v>0</v>
      </c>
      <c r="D25" s="234">
        <f t="shared" si="5"/>
        <v>0</v>
      </c>
      <c r="F25" s="479" t="str">
        <f>'3'!F25</f>
        <v>AFZAL MATLI</v>
      </c>
      <c r="G25" s="406">
        <f>'CUSTOMERS REPORT'!Y672</f>
        <v>0</v>
      </c>
      <c r="H25" s="1045">
        <f>'CUSTOMERS REPORT'!Z672</f>
        <v>0</v>
      </c>
      <c r="I25" s="406">
        <f>'CUSTOMERS REPORT'!AA672</f>
        <v>0</v>
      </c>
      <c r="J25" s="1040">
        <f>'CUSTOMERS REPORT'!AB672</f>
        <v>0</v>
      </c>
      <c r="K25" s="1040">
        <f>'CUSTOMERS REPORT'!AC672</f>
        <v>0</v>
      </c>
      <c r="L25" s="509">
        <f>'CUSTOMERS REPORT'!AD672</f>
        <v>0</v>
      </c>
      <c r="M25" s="414">
        <f>'3'!M25+'4'!G25</f>
        <v>0</v>
      </c>
      <c r="N25" s="412">
        <f>'3'!N25+'4'!J25</f>
        <v>0</v>
      </c>
      <c r="P25" s="434"/>
      <c r="Q25" s="440"/>
      <c r="S25" s="400" t="str">
        <f>'3'!S25</f>
        <v>MAKKI 7</v>
      </c>
      <c r="T25" s="446">
        <f>'3'!X25</f>
        <v>0</v>
      </c>
      <c r="U25" s="456"/>
      <c r="V25" s="451">
        <f t="shared" si="0"/>
        <v>0</v>
      </c>
      <c r="W25" s="451"/>
      <c r="X25" s="447">
        <f t="shared" si="1"/>
        <v>0</v>
      </c>
      <c r="Z25" s="375">
        <f>'3'!Z25</f>
        <v>0</v>
      </c>
      <c r="AA25" s="464">
        <f>'3'!AE25</f>
        <v>0</v>
      </c>
      <c r="AB25" s="460"/>
      <c r="AC25" s="462">
        <f t="shared" si="2"/>
        <v>0</v>
      </c>
      <c r="AD25" s="469"/>
      <c r="AE25" s="348">
        <f t="shared" si="3"/>
        <v>0</v>
      </c>
      <c r="AF25" s="563">
        <f>'3'!AF25+'4'!AB25</f>
        <v>0</v>
      </c>
      <c r="AG25" s="234">
        <f>'3'!AG25+'4'!AD25</f>
        <v>0</v>
      </c>
      <c r="AI25" s="397" t="s">
        <v>59</v>
      </c>
      <c r="AJ25" s="398">
        <f>AJ23-AJ10</f>
        <v>0</v>
      </c>
    </row>
    <row r="26" spans="1:36" ht="27" customHeight="1" thickTop="1">
      <c r="A26" s="715" t="str">
        <f>'3'!A26</f>
        <v>LABOUR SALARY</v>
      </c>
      <c r="B26" s="234">
        <f>SUM('SALERY SHEET'!J97:K97)</f>
        <v>0</v>
      </c>
      <c r="C26" s="348">
        <f>'3'!D26</f>
        <v>0</v>
      </c>
      <c r="D26" s="234">
        <f t="shared" si="5"/>
        <v>0</v>
      </c>
      <c r="F26" s="479" t="str">
        <f>'3'!F26</f>
        <v xml:space="preserve">ABDUL RASHEED </v>
      </c>
      <c r="G26" s="406">
        <f>'CUSTOMERS REPORT'!Y710</f>
        <v>0</v>
      </c>
      <c r="H26" s="1045">
        <f>'CUSTOMERS REPORT'!Z710</f>
        <v>0</v>
      </c>
      <c r="I26" s="406">
        <f>'CUSTOMERS REPORT'!AA710</f>
        <v>0</v>
      </c>
      <c r="J26" s="1040">
        <f>'CUSTOMERS REPORT'!AB710</f>
        <v>0</v>
      </c>
      <c r="K26" s="1040">
        <f>'CUSTOMERS REPORT'!AC710</f>
        <v>0</v>
      </c>
      <c r="L26" s="509">
        <f>'CUSTOMERS REPORT'!AD710</f>
        <v>0</v>
      </c>
      <c r="M26" s="414">
        <f>'3'!M26+'4'!G26</f>
        <v>0</v>
      </c>
      <c r="N26" s="412">
        <f>'3'!N26+'4'!J26</f>
        <v>0</v>
      </c>
      <c r="P26" s="433"/>
      <c r="Q26" s="438"/>
      <c r="R26" t="s">
        <v>1</v>
      </c>
      <c r="S26" s="400" t="str">
        <f>'3'!S26</f>
        <v>BLUE 125 GM</v>
      </c>
      <c r="T26" s="446">
        <f>'3'!X26</f>
        <v>0</v>
      </c>
      <c r="U26" s="456"/>
      <c r="V26" s="451">
        <f t="shared" si="0"/>
        <v>0</v>
      </c>
      <c r="W26" s="451"/>
      <c r="X26" s="447">
        <f t="shared" si="1"/>
        <v>0</v>
      </c>
      <c r="Z26" s="375">
        <f>'3'!Z26</f>
        <v>0</v>
      </c>
      <c r="AA26" s="464">
        <f>'3'!AE26</f>
        <v>0</v>
      </c>
      <c r="AB26" s="460"/>
      <c r="AC26" s="462">
        <f t="shared" si="2"/>
        <v>0</v>
      </c>
      <c r="AD26" s="469"/>
      <c r="AE26" s="348">
        <f t="shared" si="3"/>
        <v>0</v>
      </c>
      <c r="AF26" s="563">
        <f>'3'!AF26+'4'!AB26</f>
        <v>0</v>
      </c>
      <c r="AG26" s="234">
        <f>'3'!AG26+'4'!AD26</f>
        <v>0</v>
      </c>
    </row>
    <row r="27" spans="1:36" ht="27" customHeight="1">
      <c r="A27" s="715" t="str">
        <f>'3'!A27</f>
        <v>SHAHZORE</v>
      </c>
      <c r="B27" s="234"/>
      <c r="C27" s="348">
        <f>'3'!D27</f>
        <v>0</v>
      </c>
      <c r="D27" s="234">
        <f t="shared" si="5"/>
        <v>0</v>
      </c>
      <c r="F27" s="479" t="str">
        <f>'3'!F27</f>
        <v>SALEEM ORANGI</v>
      </c>
      <c r="G27" s="406">
        <f>'CUSTOMERS REPORT'!Y748</f>
        <v>0</v>
      </c>
      <c r="H27" s="1045">
        <f>'CUSTOMERS REPORT'!Z748</f>
        <v>0</v>
      </c>
      <c r="I27" s="406">
        <f>'CUSTOMERS REPORT'!AA748</f>
        <v>0</v>
      </c>
      <c r="J27" s="1040">
        <f>'CUSTOMERS REPORT'!AB748</f>
        <v>0</v>
      </c>
      <c r="K27" s="1040">
        <f>'CUSTOMERS REPORT'!AC748</f>
        <v>0</v>
      </c>
      <c r="L27" s="509">
        <f>'CUSTOMERS REPORT'!AD748</f>
        <v>0</v>
      </c>
      <c r="M27" s="414">
        <f>'3'!M27+'4'!G27</f>
        <v>0</v>
      </c>
      <c r="N27" s="412">
        <f>'3'!N27+'4'!J27</f>
        <v>0</v>
      </c>
      <c r="P27" s="433"/>
      <c r="Q27" s="435"/>
      <c r="R27" t="s">
        <v>1</v>
      </c>
      <c r="S27" s="400" t="str">
        <f>'3'!S27</f>
        <v>MAKKI 5</v>
      </c>
      <c r="T27" s="446">
        <f>'3'!X27</f>
        <v>0</v>
      </c>
      <c r="U27" s="456"/>
      <c r="V27" s="451">
        <f t="shared" si="0"/>
        <v>0</v>
      </c>
      <c r="W27" s="451"/>
      <c r="X27" s="447">
        <f t="shared" si="1"/>
        <v>0</v>
      </c>
      <c r="Z27" s="375">
        <f>'3'!Z27</f>
        <v>0</v>
      </c>
      <c r="AA27" s="464">
        <f>'3'!AE27</f>
        <v>0</v>
      </c>
      <c r="AB27" s="460"/>
      <c r="AC27" s="462">
        <f t="shared" si="2"/>
        <v>0</v>
      </c>
      <c r="AD27" s="469"/>
      <c r="AE27" s="348">
        <f t="shared" si="3"/>
        <v>0</v>
      </c>
      <c r="AF27" s="563">
        <f>'3'!AF27+'4'!AB27</f>
        <v>0</v>
      </c>
      <c r="AG27" s="234">
        <f>'3'!AG27+'4'!AD27</f>
        <v>0</v>
      </c>
    </row>
    <row r="28" spans="1:36" ht="27" customHeight="1">
      <c r="A28" s="715" t="str">
        <f>'3'!A28</f>
        <v>GENERATOR</v>
      </c>
      <c r="B28" s="234"/>
      <c r="C28" s="348">
        <f>'3'!D28</f>
        <v>0</v>
      </c>
      <c r="D28" s="234">
        <f t="shared" si="5"/>
        <v>0</v>
      </c>
      <c r="F28" s="479" t="str">
        <f>'3'!F28</f>
        <v>AYAZ OUSTA</v>
      </c>
      <c r="G28" s="406">
        <f>'CUSTOMERS REPORT'!Y786</f>
        <v>0</v>
      </c>
      <c r="H28" s="1045">
        <f>'CUSTOMERS REPORT'!Z786</f>
        <v>0</v>
      </c>
      <c r="I28" s="406">
        <f>'CUSTOMERS REPORT'!AA786</f>
        <v>0</v>
      </c>
      <c r="J28" s="1040">
        <f>'CUSTOMERS REPORT'!AB786</f>
        <v>0</v>
      </c>
      <c r="K28" s="1040">
        <f>'CUSTOMERS REPORT'!AC786</f>
        <v>0</v>
      </c>
      <c r="L28" s="509">
        <f>'CUSTOMERS REPORT'!AD786</f>
        <v>0</v>
      </c>
      <c r="M28" s="414">
        <f>'3'!M28+'4'!G28</f>
        <v>0</v>
      </c>
      <c r="N28" s="412">
        <f>'3'!N28+'4'!J28</f>
        <v>0</v>
      </c>
      <c r="P28" s="433"/>
      <c r="Q28" s="438"/>
      <c r="S28" s="400" t="str">
        <f>'3'!S28</f>
        <v>MAKKI 2 PES</v>
      </c>
      <c r="T28" s="446">
        <f>'3'!X28</f>
        <v>0</v>
      </c>
      <c r="U28" s="456"/>
      <c r="V28" s="451">
        <f t="shared" si="0"/>
        <v>0</v>
      </c>
      <c r="W28" s="451"/>
      <c r="X28" s="447">
        <f t="shared" si="1"/>
        <v>0</v>
      </c>
      <c r="Z28" s="375">
        <f>'3'!Z28</f>
        <v>0</v>
      </c>
      <c r="AA28" s="464">
        <f>'3'!AE28</f>
        <v>0</v>
      </c>
      <c r="AB28" s="460"/>
      <c r="AC28" s="462">
        <f t="shared" si="2"/>
        <v>0</v>
      </c>
      <c r="AD28" s="469"/>
      <c r="AE28" s="348">
        <f t="shared" si="3"/>
        <v>0</v>
      </c>
      <c r="AF28" s="563">
        <f>'3'!AF28+'4'!AB28</f>
        <v>0</v>
      </c>
      <c r="AG28" s="234">
        <f>'3'!AG28+'4'!AD28</f>
        <v>0</v>
      </c>
    </row>
    <row r="29" spans="1:36" ht="27" customHeight="1">
      <c r="A29" s="715" t="str">
        <f>'3'!A29</f>
        <v>PATROL FAW</v>
      </c>
      <c r="B29" s="234"/>
      <c r="C29" s="348">
        <f>'3'!D29</f>
        <v>0</v>
      </c>
      <c r="D29" s="234">
        <f t="shared" si="5"/>
        <v>0</v>
      </c>
      <c r="F29" s="479" t="str">
        <f>'3'!F29</f>
        <v>AZHAR BADEEN</v>
      </c>
      <c r="G29" s="406">
        <f>'CUSTOMERS REPORT'!Y824</f>
        <v>0</v>
      </c>
      <c r="H29" s="1045">
        <f>'CUSTOMERS REPORT'!Z824</f>
        <v>0</v>
      </c>
      <c r="I29" s="406">
        <f>'CUSTOMERS REPORT'!AA824</f>
        <v>0</v>
      </c>
      <c r="J29" s="1040">
        <f>'CUSTOMERS REPORT'!AB824</f>
        <v>0</v>
      </c>
      <c r="K29" s="1040">
        <f>'CUSTOMERS REPORT'!AC824</f>
        <v>0</v>
      </c>
      <c r="L29" s="509">
        <f>'CUSTOMERS REPORT'!AD824</f>
        <v>0</v>
      </c>
      <c r="M29" s="414">
        <f>'3'!M29+'4'!G29</f>
        <v>0</v>
      </c>
      <c r="N29" s="412">
        <f>'3'!N29+'4'!J29</f>
        <v>0</v>
      </c>
      <c r="P29" s="433"/>
      <c r="Q29" s="441"/>
      <c r="S29" s="400" t="str">
        <f>'3'!S29</f>
        <v xml:space="preserve">PRIME </v>
      </c>
      <c r="T29" s="446">
        <f>'3'!X29</f>
        <v>0</v>
      </c>
      <c r="U29" s="456"/>
      <c r="V29" s="451">
        <f t="shared" si="0"/>
        <v>0</v>
      </c>
      <c r="W29" s="451"/>
      <c r="X29" s="447">
        <f t="shared" si="1"/>
        <v>0</v>
      </c>
      <c r="Z29" s="375">
        <f>'3'!Z29</f>
        <v>0</v>
      </c>
      <c r="AA29" s="464">
        <f>'3'!AE29</f>
        <v>0</v>
      </c>
      <c r="AB29" s="460"/>
      <c r="AC29" s="462">
        <f t="shared" si="2"/>
        <v>0</v>
      </c>
      <c r="AD29" s="469"/>
      <c r="AE29" s="348">
        <f t="shared" si="3"/>
        <v>0</v>
      </c>
      <c r="AF29" s="563">
        <f>'3'!AF29+'4'!AB29</f>
        <v>0</v>
      </c>
      <c r="AG29" s="234">
        <f>'3'!AG29+'4'!AD29</f>
        <v>0</v>
      </c>
    </row>
    <row r="30" spans="1:36" ht="27" customHeight="1">
      <c r="A30" s="715" t="str">
        <f>'3'!A30</f>
        <v>FOTON DIESEL</v>
      </c>
      <c r="B30" s="234"/>
      <c r="C30" s="348">
        <f>'3'!D30</f>
        <v>0</v>
      </c>
      <c r="D30" s="234">
        <f t="shared" si="5"/>
        <v>0</v>
      </c>
      <c r="F30" s="479" t="str">
        <f>'3'!F30</f>
        <v>FAISAL HUB</v>
      </c>
      <c r="G30" s="406">
        <f>'CUSTOMERS REPORT'!Y862</f>
        <v>0</v>
      </c>
      <c r="H30" s="1045">
        <f>'CUSTOMERS REPORT'!Z862</f>
        <v>0</v>
      </c>
      <c r="I30" s="406">
        <f>'CUSTOMERS REPORT'!AA862</f>
        <v>0</v>
      </c>
      <c r="J30" s="1040">
        <f>'CUSTOMERS REPORT'!AB862</f>
        <v>0</v>
      </c>
      <c r="K30" s="1040">
        <f>'CUSTOMERS REPORT'!AC862</f>
        <v>0</v>
      </c>
      <c r="L30" s="509">
        <f>'CUSTOMERS REPORT'!AD862</f>
        <v>0</v>
      </c>
      <c r="M30" s="414">
        <f>'3'!M30+'4'!G30</f>
        <v>0</v>
      </c>
      <c r="N30" s="412">
        <f>'3'!N30+'4'!J30</f>
        <v>0</v>
      </c>
      <c r="P30" s="433"/>
      <c r="Q30" s="442"/>
      <c r="S30" s="400" t="str">
        <f>'3'!S30</f>
        <v>PRIMR 15</v>
      </c>
      <c r="T30" s="446">
        <f>'3'!X30</f>
        <v>0</v>
      </c>
      <c r="U30" s="456"/>
      <c r="V30" s="451">
        <f t="shared" si="0"/>
        <v>0</v>
      </c>
      <c r="W30" s="451"/>
      <c r="X30" s="447">
        <f t="shared" si="1"/>
        <v>0</v>
      </c>
      <c r="Z30" s="375">
        <f>'3'!Z30</f>
        <v>0</v>
      </c>
      <c r="AA30" s="464">
        <f>'3'!AE30</f>
        <v>0</v>
      </c>
      <c r="AB30" s="460"/>
      <c r="AC30" s="462">
        <f t="shared" si="2"/>
        <v>0</v>
      </c>
      <c r="AD30" s="469"/>
      <c r="AE30" s="348">
        <f t="shared" si="3"/>
        <v>0</v>
      </c>
      <c r="AF30" s="563">
        <f>'3'!AF30+'4'!AB30</f>
        <v>0</v>
      </c>
      <c r="AG30" s="234">
        <f>'3'!AG30+'4'!AD30</f>
        <v>0</v>
      </c>
    </row>
    <row r="31" spans="1:36" ht="27" customHeight="1" thickBot="1">
      <c r="A31" s="715" t="str">
        <f>'3'!A31</f>
        <v>UTILITY BILLS</v>
      </c>
      <c r="B31" s="234"/>
      <c r="C31" s="348">
        <f>'3'!D31</f>
        <v>0</v>
      </c>
      <c r="D31" s="234">
        <f t="shared" si="5"/>
        <v>0</v>
      </c>
      <c r="F31" s="479" t="str">
        <f>'3'!F31</f>
        <v>ABDUL RAHMAN</v>
      </c>
      <c r="G31" s="406">
        <f>'CUSTOMERS REPORT'!Y901</f>
        <v>0</v>
      </c>
      <c r="H31" s="1045">
        <f>'CUSTOMERS REPORT'!Z901</f>
        <v>0</v>
      </c>
      <c r="I31" s="406">
        <f>'CUSTOMERS REPORT'!AA901</f>
        <v>0</v>
      </c>
      <c r="J31" s="1040">
        <f>'CUSTOMERS REPORT'!AB901</f>
        <v>0</v>
      </c>
      <c r="K31" s="1040">
        <f>'CUSTOMERS REPORT'!AC901</f>
        <v>0</v>
      </c>
      <c r="L31" s="509">
        <f>'CUSTOMERS REPORT'!AD901</f>
        <v>0</v>
      </c>
      <c r="M31" s="414">
        <f>'3'!M31+'4'!G31</f>
        <v>0</v>
      </c>
      <c r="N31" s="412">
        <f>'3'!N31+'4'!J31</f>
        <v>0</v>
      </c>
      <c r="P31" s="433"/>
      <c r="Q31" s="435"/>
      <c r="S31" s="400" t="str">
        <f>'3'!S31</f>
        <v>KARACHI</v>
      </c>
      <c r="T31" s="446">
        <f>'3'!X31</f>
        <v>0</v>
      </c>
      <c r="U31" s="456"/>
      <c r="V31" s="451">
        <f t="shared" si="0"/>
        <v>0</v>
      </c>
      <c r="W31" s="451"/>
      <c r="X31" s="447">
        <f t="shared" si="1"/>
        <v>0</v>
      </c>
      <c r="Z31" s="375">
        <f>'3'!Z31</f>
        <v>0</v>
      </c>
      <c r="AA31" s="464">
        <f>'3'!AE31</f>
        <v>0</v>
      </c>
      <c r="AB31" s="460"/>
      <c r="AC31" s="462">
        <f t="shared" si="2"/>
        <v>0</v>
      </c>
      <c r="AD31" s="469"/>
      <c r="AE31" s="348">
        <f t="shared" si="3"/>
        <v>0</v>
      </c>
      <c r="AF31" s="563">
        <f>'3'!AF31+'4'!AB31</f>
        <v>0</v>
      </c>
      <c r="AG31" s="234">
        <f>'3'!AG31+'4'!AD31</f>
        <v>0</v>
      </c>
      <c r="AI31" t="s">
        <v>1</v>
      </c>
    </row>
    <row r="32" spans="1:36" ht="27" customHeight="1" thickTop="1" thickBot="1">
      <c r="A32" s="715" t="str">
        <f>'3'!A32</f>
        <v>WOOD</v>
      </c>
      <c r="B32" s="234"/>
      <c r="C32" s="348">
        <f>'3'!D32</f>
        <v>0</v>
      </c>
      <c r="D32" s="234">
        <f t="shared" si="5"/>
        <v>0</v>
      </c>
      <c r="F32" s="479" t="str">
        <f>'3'!F32</f>
        <v>HAJI JAN GIWANI</v>
      </c>
      <c r="G32" s="406">
        <f>'CUSTOMERS REPORT'!Y940</f>
        <v>0</v>
      </c>
      <c r="H32" s="1045">
        <f>'CUSTOMERS REPORT'!Z940</f>
        <v>0</v>
      </c>
      <c r="I32" s="406">
        <f>'CUSTOMERS REPORT'!AA940</f>
        <v>0</v>
      </c>
      <c r="J32" s="1040">
        <f>'CUSTOMERS REPORT'!AB940</f>
        <v>0</v>
      </c>
      <c r="K32" s="1040">
        <f>'CUSTOMERS REPORT'!AC940</f>
        <v>0</v>
      </c>
      <c r="L32" s="509">
        <f>'CUSTOMERS REPORT'!AD940</f>
        <v>0</v>
      </c>
      <c r="M32" s="414">
        <f>'3'!M32+'4'!G32</f>
        <v>0</v>
      </c>
      <c r="N32" s="412">
        <f>'3'!N32+'4'!J32</f>
        <v>0</v>
      </c>
      <c r="P32" s="190" t="s">
        <v>51</v>
      </c>
      <c r="Q32" s="439">
        <f>Q23-Q25-Q26-Q27-Q28-Q29-Q30-Q31</f>
        <v>0</v>
      </c>
      <c r="R32" t="s">
        <v>1</v>
      </c>
      <c r="S32" s="400" t="str">
        <f>'3'!S32</f>
        <v>MARVI</v>
      </c>
      <c r="T32" s="446">
        <f>'3'!X32</f>
        <v>0</v>
      </c>
      <c r="U32" s="456"/>
      <c r="V32" s="451">
        <f t="shared" si="0"/>
        <v>0</v>
      </c>
      <c r="W32" s="451"/>
      <c r="X32" s="447">
        <f t="shared" si="1"/>
        <v>0</v>
      </c>
      <c r="Z32" s="375">
        <f>'3'!Z32</f>
        <v>0</v>
      </c>
      <c r="AA32" s="464">
        <f>'3'!AE32</f>
        <v>0</v>
      </c>
      <c r="AB32" s="460"/>
      <c r="AC32" s="462">
        <f t="shared" si="2"/>
        <v>0</v>
      </c>
      <c r="AD32" s="469"/>
      <c r="AE32" s="348">
        <f t="shared" si="3"/>
        <v>0</v>
      </c>
      <c r="AF32" s="563">
        <f>'3'!AF32+'4'!AB32</f>
        <v>0</v>
      </c>
      <c r="AG32" s="234">
        <f>'3'!AG32+'4'!AD32</f>
        <v>0</v>
      </c>
    </row>
    <row r="33" spans="1:40" ht="27" customHeight="1" thickTop="1" thickBot="1">
      <c r="A33" s="715" t="str">
        <f>'3'!A33</f>
        <v>TOLL</v>
      </c>
      <c r="B33" s="538"/>
      <c r="C33" s="348">
        <f>'3'!D33</f>
        <v>0</v>
      </c>
      <c r="D33" s="234">
        <f t="shared" si="5"/>
        <v>0</v>
      </c>
      <c r="F33" s="479" t="str">
        <f>'3'!F33</f>
        <v>ALI QURESHI HYD</v>
      </c>
      <c r="G33" s="406">
        <f>'CUSTOMERS REPORT'!Y978</f>
        <v>0</v>
      </c>
      <c r="H33" s="1045">
        <f>'CUSTOMERS REPORT'!Z978</f>
        <v>0</v>
      </c>
      <c r="I33" s="406">
        <f>'CUSTOMERS REPORT'!AA978</f>
        <v>0</v>
      </c>
      <c r="J33" s="1040">
        <f>'CUSTOMERS REPORT'!AB978</f>
        <v>0</v>
      </c>
      <c r="K33" s="1040">
        <f>'CUSTOMERS REPORT'!AC978</f>
        <v>0</v>
      </c>
      <c r="L33" s="509">
        <f>'CUSTOMERS REPORT'!AD978</f>
        <v>0</v>
      </c>
      <c r="M33" s="414">
        <f>'3'!M33+'4'!G33</f>
        <v>0</v>
      </c>
      <c r="N33" s="412">
        <f>'3'!N33+'4'!J33</f>
        <v>0</v>
      </c>
      <c r="P33" s="1499" t="s">
        <v>149</v>
      </c>
      <c r="Q33" s="1500"/>
      <c r="S33" s="400" t="str">
        <f>'3'!S33</f>
        <v>TS</v>
      </c>
      <c r="T33" s="446">
        <f>'3'!X33</f>
        <v>0</v>
      </c>
      <c r="U33" s="456"/>
      <c r="V33" s="451">
        <f t="shared" si="0"/>
        <v>0</v>
      </c>
      <c r="W33" s="451"/>
      <c r="X33" s="447">
        <f t="shared" si="1"/>
        <v>0</v>
      </c>
      <c r="Z33" s="375">
        <f>'3'!Z33</f>
        <v>0</v>
      </c>
      <c r="AA33" s="464">
        <f>'3'!AE33</f>
        <v>0</v>
      </c>
      <c r="AB33" s="460"/>
      <c r="AC33" s="462">
        <f t="shared" si="2"/>
        <v>0</v>
      </c>
      <c r="AD33" s="469"/>
      <c r="AE33" s="348">
        <f t="shared" si="3"/>
        <v>0</v>
      </c>
      <c r="AF33" s="563">
        <f>'3'!AF33+'4'!AB33</f>
        <v>0</v>
      </c>
      <c r="AG33" s="234">
        <f>'3'!AG33+'4'!AD33</f>
        <v>0</v>
      </c>
    </row>
    <row r="34" spans="1:40" ht="27" customHeight="1" thickTop="1" thickBot="1">
      <c r="A34" s="716" t="str">
        <f>'3'!A34</f>
        <v>FLOUR / SHGER</v>
      </c>
      <c r="B34" s="538"/>
      <c r="C34" s="348">
        <f>'3'!D34</f>
        <v>0</v>
      </c>
      <c r="D34" s="234">
        <f t="shared" si="5"/>
        <v>0</v>
      </c>
      <c r="F34" s="479" t="str">
        <f>'3'!F34</f>
        <v>ALI RAZA KAND KOT</v>
      </c>
      <c r="G34" s="406">
        <f>'CUSTOMERS REPORT'!Y1016</f>
        <v>0</v>
      </c>
      <c r="H34" s="1045">
        <f>'CUSTOMERS REPORT'!Z1016</f>
        <v>0</v>
      </c>
      <c r="I34" s="406">
        <f>'CUSTOMERS REPORT'!AA1016</f>
        <v>0</v>
      </c>
      <c r="J34" s="1040">
        <f>'CUSTOMERS REPORT'!AB1016</f>
        <v>0</v>
      </c>
      <c r="K34" s="1040">
        <f>'CUSTOMERS REPORT'!AC1016</f>
        <v>0</v>
      </c>
      <c r="L34" s="509">
        <f>'CUSTOMERS REPORT'!AD1016</f>
        <v>0</v>
      </c>
      <c r="M34" s="414">
        <f>'3'!M34+'4'!G34</f>
        <v>0</v>
      </c>
      <c r="N34" s="412">
        <f>'3'!N34+'4'!J34</f>
        <v>0</v>
      </c>
      <c r="P34" s="220" t="s">
        <v>150</v>
      </c>
      <c r="Q34" s="223">
        <f>'3'!Q34</f>
        <v>0</v>
      </c>
      <c r="S34" s="400" t="str">
        <f>'3'!S34</f>
        <v>MAXI</v>
      </c>
      <c r="T34" s="446">
        <f>'3'!X34</f>
        <v>0</v>
      </c>
      <c r="U34" s="457"/>
      <c r="V34" s="452">
        <f t="shared" si="0"/>
        <v>0</v>
      </c>
      <c r="W34" s="452"/>
      <c r="X34" s="448">
        <f t="shared" si="1"/>
        <v>0</v>
      </c>
      <c r="Z34" s="375">
        <f>'3'!Z34</f>
        <v>0</v>
      </c>
      <c r="AA34" s="464">
        <f>'3'!AE34</f>
        <v>0</v>
      </c>
      <c r="AB34" s="460"/>
      <c r="AC34" s="462">
        <f t="shared" si="2"/>
        <v>0</v>
      </c>
      <c r="AD34" s="469"/>
      <c r="AE34" s="348">
        <f t="shared" si="3"/>
        <v>0</v>
      </c>
      <c r="AF34" s="563">
        <f>'3'!AF34+'4'!AB34</f>
        <v>0</v>
      </c>
      <c r="AG34" s="234">
        <f>'3'!AG34+'4'!AD34</f>
        <v>0</v>
      </c>
    </row>
    <row r="35" spans="1:40" ht="27" customHeight="1" thickTop="1">
      <c r="A35" s="716" t="str">
        <f>'3'!A35</f>
        <v>OVEN &amp; PP MACHINE</v>
      </c>
      <c r="B35" s="529"/>
      <c r="C35" s="348">
        <f>'3'!D35</f>
        <v>0</v>
      </c>
      <c r="D35" s="529">
        <f t="shared" si="5"/>
        <v>0</v>
      </c>
      <c r="F35" s="479" t="str">
        <f>'3'!F35</f>
        <v>IQBAL MORO</v>
      </c>
      <c r="G35" s="407">
        <f>'CUSTOMERS REPORT'!Y1054</f>
        <v>0</v>
      </c>
      <c r="H35" s="1046">
        <f>'CUSTOMERS REPORT'!Z1054</f>
        <v>0</v>
      </c>
      <c r="I35" s="407">
        <f>'CUSTOMERS REPORT'!AA1054</f>
        <v>0</v>
      </c>
      <c r="J35" s="1041">
        <f>'CUSTOMERS REPORT'!AB1054</f>
        <v>0</v>
      </c>
      <c r="K35" s="1041">
        <f>'CUSTOMERS REPORT'!AC1054</f>
        <v>0</v>
      </c>
      <c r="L35" s="510">
        <f>'CUSTOMERS REPORT'!AD1054</f>
        <v>0</v>
      </c>
      <c r="M35" s="414">
        <f>'3'!M35+'4'!G35</f>
        <v>0</v>
      </c>
      <c r="N35" s="412">
        <f>'3'!N35+'4'!J35</f>
        <v>0</v>
      </c>
      <c r="P35" s="252" t="s">
        <v>151</v>
      </c>
      <c r="Q35" s="443">
        <f>'3'!Q35</f>
        <v>0</v>
      </c>
      <c r="R35" t="s">
        <v>1</v>
      </c>
      <c r="S35" s="400" t="str">
        <f>'3'!S35</f>
        <v>M A WHITE</v>
      </c>
      <c r="T35" s="446">
        <f>'3'!X35</f>
        <v>0</v>
      </c>
      <c r="U35" s="457"/>
      <c r="V35" s="452">
        <f t="shared" si="0"/>
        <v>0</v>
      </c>
      <c r="W35" s="452"/>
      <c r="X35" s="448">
        <f t="shared" si="1"/>
        <v>0</v>
      </c>
      <c r="Z35" s="375">
        <f>'3'!Z35</f>
        <v>0</v>
      </c>
      <c r="AA35" s="464">
        <f>'3'!AE35</f>
        <v>0</v>
      </c>
      <c r="AB35" s="460"/>
      <c r="AC35" s="462">
        <f t="shared" si="2"/>
        <v>0</v>
      </c>
      <c r="AD35" s="469"/>
      <c r="AE35" s="348">
        <f t="shared" si="3"/>
        <v>0</v>
      </c>
      <c r="AF35" s="563">
        <f>'3'!AF35+'4'!AB35</f>
        <v>0</v>
      </c>
      <c r="AG35" s="234">
        <f>'3'!AG35+'4'!AD35</f>
        <v>0</v>
      </c>
    </row>
    <row r="36" spans="1:40" ht="27" customHeight="1">
      <c r="A36" s="716" t="str">
        <f>'3'!A36</f>
        <v>zakat</v>
      </c>
      <c r="B36" s="539"/>
      <c r="C36" s="348">
        <f>'3'!D36</f>
        <v>0</v>
      </c>
      <c r="D36" s="529">
        <f t="shared" si="5"/>
        <v>0</v>
      </c>
      <c r="F36" s="479" t="str">
        <f>'3'!F36</f>
        <v>SARFARAZ T ADAM</v>
      </c>
      <c r="G36" s="407">
        <f>'CUSTOMERS REPORT'!Y1092</f>
        <v>0</v>
      </c>
      <c r="H36" s="1046">
        <f>'CUSTOMERS REPORT'!Z1092</f>
        <v>0</v>
      </c>
      <c r="I36" s="407">
        <f>'CUSTOMERS REPORT'!AA1092</f>
        <v>0</v>
      </c>
      <c r="J36" s="1041">
        <f>'CUSTOMERS REPORT'!AB1092</f>
        <v>0</v>
      </c>
      <c r="K36" s="1041">
        <f>'CUSTOMERS REPORT'!AC1092</f>
        <v>0</v>
      </c>
      <c r="L36" s="510">
        <f>'CUSTOMERS REPORT'!AD1092</f>
        <v>0</v>
      </c>
      <c r="M36" s="414">
        <f>'3'!M36+'4'!G36</f>
        <v>0</v>
      </c>
      <c r="N36" s="412">
        <f>'3'!N36+'4'!J36</f>
        <v>0</v>
      </c>
      <c r="P36" s="372" t="s">
        <v>152</v>
      </c>
      <c r="Q36" s="444">
        <f>J48</f>
        <v>0</v>
      </c>
      <c r="R36" t="s">
        <v>1</v>
      </c>
      <c r="S36" s="400" t="str">
        <f>'3'!S36</f>
        <v>M A ORING</v>
      </c>
      <c r="T36" s="446">
        <f>'3'!X36</f>
        <v>0</v>
      </c>
      <c r="U36" s="456"/>
      <c r="V36" s="451">
        <f t="shared" si="0"/>
        <v>0</v>
      </c>
      <c r="W36" s="452"/>
      <c r="X36" s="448">
        <f t="shared" si="1"/>
        <v>0</v>
      </c>
      <c r="Z36" s="375">
        <f>'3'!Z36</f>
        <v>0</v>
      </c>
      <c r="AA36" s="464">
        <f>'3'!AE36</f>
        <v>0</v>
      </c>
      <c r="AB36" s="460"/>
      <c r="AC36" s="462">
        <f t="shared" si="2"/>
        <v>0</v>
      </c>
      <c r="AD36" s="469"/>
      <c r="AE36" s="348">
        <f t="shared" si="3"/>
        <v>0</v>
      </c>
      <c r="AF36" s="563">
        <f>'3'!AF36+'4'!AB36</f>
        <v>0</v>
      </c>
      <c r="AG36" s="234">
        <f>'3'!AG36+'4'!AD36</f>
        <v>0</v>
      </c>
    </row>
    <row r="37" spans="1:40" ht="27" customHeight="1">
      <c r="A37" s="715" t="str">
        <f>'3'!A37</f>
        <v>javeed manghopir</v>
      </c>
      <c r="B37" s="234"/>
      <c r="C37" s="348">
        <f>'3'!D37</f>
        <v>0</v>
      </c>
      <c r="D37" s="234">
        <f t="shared" si="5"/>
        <v>0</v>
      </c>
      <c r="F37" s="479" t="str">
        <f>'3'!F37</f>
        <v>MUMTAZ K N SHAH</v>
      </c>
      <c r="G37" s="406">
        <f>'CUSTOMERS REPORT'!Y1130</f>
        <v>0</v>
      </c>
      <c r="H37" s="1045">
        <f>'CUSTOMERS REPORT'!Z1130</f>
        <v>0</v>
      </c>
      <c r="I37" s="406">
        <f>'CUSTOMERS REPORT'!AA1130</f>
        <v>0</v>
      </c>
      <c r="J37" s="1040">
        <f>'CUSTOMERS REPORT'!AB1130</f>
        <v>0</v>
      </c>
      <c r="K37" s="1040">
        <f>'CUSTOMERS REPORT'!AC1130</f>
        <v>0</v>
      </c>
      <c r="L37" s="509">
        <f>'CUSTOMERS REPORT'!AD1130</f>
        <v>0</v>
      </c>
      <c r="M37" s="414">
        <f>'3'!M37+'4'!G37</f>
        <v>0</v>
      </c>
      <c r="N37" s="412">
        <f>'3'!N37+'4'!J37</f>
        <v>0</v>
      </c>
      <c r="P37" s="373" t="s">
        <v>153</v>
      </c>
      <c r="Q37" s="445">
        <f>Q34+Q35+Q36</f>
        <v>0</v>
      </c>
      <c r="R37" t="s">
        <v>1</v>
      </c>
      <c r="S37" s="400">
        <f>'3'!S37</f>
        <v>0</v>
      </c>
      <c r="T37" s="446">
        <f>'3'!X37</f>
        <v>0</v>
      </c>
      <c r="U37" s="456"/>
      <c r="V37" s="451">
        <f t="shared" si="0"/>
        <v>0</v>
      </c>
      <c r="W37" s="452"/>
      <c r="X37" s="448">
        <f t="shared" si="1"/>
        <v>0</v>
      </c>
      <c r="Z37" s="375">
        <f>'3'!Z37</f>
        <v>0</v>
      </c>
      <c r="AA37" s="464">
        <f>'3'!AE37</f>
        <v>0</v>
      </c>
      <c r="AB37" s="460"/>
      <c r="AC37" s="462">
        <f t="shared" si="2"/>
        <v>0</v>
      </c>
      <c r="AD37" s="469"/>
      <c r="AE37" s="348">
        <f t="shared" si="3"/>
        <v>0</v>
      </c>
      <c r="AF37" s="563">
        <f>'3'!AF37+'4'!AB37</f>
        <v>0</v>
      </c>
      <c r="AG37" s="234">
        <f>'3'!AG37+'4'!AD37</f>
        <v>0</v>
      </c>
    </row>
    <row r="38" spans="1:40" ht="27" customHeight="1">
      <c r="A38" s="715" t="str">
        <f>'3'!A38</f>
        <v>EXSIS CASH</v>
      </c>
      <c r="B38" s="234"/>
      <c r="C38" s="348">
        <f>'3'!D38</f>
        <v>0</v>
      </c>
      <c r="D38" s="234">
        <f t="shared" si="5"/>
        <v>0</v>
      </c>
      <c r="F38" s="479" t="str">
        <f>'3'!F38</f>
        <v>GHULAM RASOOL QU</v>
      </c>
      <c r="G38" s="408">
        <f>'CUSTOMERS REPORT'!Y1167</f>
        <v>0</v>
      </c>
      <c r="H38" s="1047">
        <f>'CUSTOMERS REPORT'!Z1167</f>
        <v>0</v>
      </c>
      <c r="I38" s="408">
        <f>'CUSTOMERS REPORT'!AA1167</f>
        <v>0</v>
      </c>
      <c r="J38" s="1042">
        <f>'CUSTOMERS REPORT'!AB1167</f>
        <v>0</v>
      </c>
      <c r="K38" s="1042">
        <f>'CUSTOMERS REPORT'!AC1167</f>
        <v>0</v>
      </c>
      <c r="L38" s="511">
        <f>'CUSTOMERS REPORT'!AD1167</f>
        <v>0</v>
      </c>
      <c r="M38" s="414">
        <f>'3'!M38+'4'!G38</f>
        <v>0</v>
      </c>
      <c r="N38" s="412">
        <f>'3'!N38+'4'!J38</f>
        <v>0</v>
      </c>
      <c r="P38" s="373" t="s">
        <v>154</v>
      </c>
      <c r="Q38" s="445">
        <f>D48</f>
        <v>0</v>
      </c>
      <c r="S38" s="400">
        <f>'3'!S38</f>
        <v>0</v>
      </c>
      <c r="T38" s="446">
        <f>'3'!X38</f>
        <v>0</v>
      </c>
      <c r="U38" s="456"/>
      <c r="V38" s="451">
        <f t="shared" si="0"/>
        <v>0</v>
      </c>
      <c r="W38" s="452"/>
      <c r="X38" s="448">
        <f t="shared" si="1"/>
        <v>0</v>
      </c>
      <c r="Z38" s="375">
        <f>'3'!Z38</f>
        <v>0</v>
      </c>
      <c r="AA38" s="464">
        <f>'3'!AE38</f>
        <v>0</v>
      </c>
      <c r="AB38" s="460"/>
      <c r="AC38" s="462">
        <f t="shared" si="2"/>
        <v>0</v>
      </c>
      <c r="AD38" s="469"/>
      <c r="AE38" s="348">
        <f t="shared" si="3"/>
        <v>0</v>
      </c>
      <c r="AF38" s="563">
        <f>'3'!AF38+'4'!AB38</f>
        <v>0</v>
      </c>
      <c r="AG38" s="234">
        <f>'3'!AG38+'4'!AD38</f>
        <v>0</v>
      </c>
    </row>
    <row r="39" spans="1:40" ht="27" customHeight="1">
      <c r="A39" s="715" t="str">
        <f>'3'!A39</f>
        <v>SHORT CASH</v>
      </c>
      <c r="B39" s="234"/>
      <c r="C39" s="348">
        <f>'3'!D39</f>
        <v>0</v>
      </c>
      <c r="D39" s="234">
        <f t="shared" si="5"/>
        <v>0</v>
      </c>
      <c r="F39" s="479" t="str">
        <f>'3'!F39</f>
        <v>SHAMSHAD UNCLE</v>
      </c>
      <c r="G39" s="406">
        <f>'CUSTOMERS REPORT'!Y1204</f>
        <v>0</v>
      </c>
      <c r="H39" s="1045">
        <f>'CUSTOMERS REPORT'!Z1204</f>
        <v>0</v>
      </c>
      <c r="I39" s="406">
        <f>'CUSTOMERS REPORT'!AA1204</f>
        <v>0</v>
      </c>
      <c r="J39" s="1040">
        <f>'CUSTOMERS REPORT'!AB1204</f>
        <v>0</v>
      </c>
      <c r="K39" s="1040">
        <f>'CUSTOMERS REPORT'!AC1204</f>
        <v>0</v>
      </c>
      <c r="L39" s="509">
        <f>'CUSTOMERS REPORT'!AD1204</f>
        <v>0</v>
      </c>
      <c r="M39" s="414">
        <f>'3'!M39+'4'!G39</f>
        <v>0</v>
      </c>
      <c r="N39" s="412">
        <f>'3'!N39+'4'!J39</f>
        <v>0</v>
      </c>
      <c r="P39" s="373" t="s">
        <v>109</v>
      </c>
      <c r="Q39" s="445">
        <f>'3'!Q39+'4'!Q25+'4'!Q26+'4'!Q27+'4'!Q28+'4'!Q29+'4'!Q30+'4'!Q31</f>
        <v>0</v>
      </c>
      <c r="R39" t="s">
        <v>1</v>
      </c>
      <c r="S39" s="400">
        <f>'3'!S39</f>
        <v>0</v>
      </c>
      <c r="T39" s="446">
        <f>'3'!X39</f>
        <v>0</v>
      </c>
      <c r="U39" s="456"/>
      <c r="V39" s="451">
        <f t="shared" si="0"/>
        <v>0</v>
      </c>
      <c r="W39" s="452"/>
      <c r="X39" s="448">
        <f t="shared" si="1"/>
        <v>0</v>
      </c>
      <c r="Z39" s="375">
        <f>'3'!Z39</f>
        <v>0</v>
      </c>
      <c r="AA39" s="464">
        <f>'3'!AE39</f>
        <v>0</v>
      </c>
      <c r="AB39" s="460"/>
      <c r="AC39" s="462">
        <f t="shared" si="2"/>
        <v>0</v>
      </c>
      <c r="AD39" s="469"/>
      <c r="AE39" s="348">
        <f t="shared" si="3"/>
        <v>0</v>
      </c>
      <c r="AF39" s="563">
        <f>'3'!AF39+'4'!AB39</f>
        <v>0</v>
      </c>
      <c r="AG39" s="234">
        <f>'3'!AG39+'4'!AD39</f>
        <v>0</v>
      </c>
    </row>
    <row r="40" spans="1:40" ht="27" customHeight="1" thickBot="1">
      <c r="A40" s="715" t="str">
        <f>'3'!A40</f>
        <v>ASSETS</v>
      </c>
      <c r="B40" s="234"/>
      <c r="C40" s="348">
        <f>'3'!D40</f>
        <v>0</v>
      </c>
      <c r="D40" s="234">
        <f t="shared" si="5"/>
        <v>0</v>
      </c>
      <c r="F40" s="479" t="str">
        <f>'3'!F40</f>
        <v>IBRAHEEM D.G KHAN</v>
      </c>
      <c r="G40" s="406">
        <f>'CUSTOMERS REPORT'!Y1241</f>
        <v>0</v>
      </c>
      <c r="H40" s="1045">
        <f>'CUSTOMERS REPORT'!Z1241</f>
        <v>0</v>
      </c>
      <c r="I40" s="406">
        <f>'CUSTOMERS REPORT'!AA1241</f>
        <v>0</v>
      </c>
      <c r="J40" s="1040">
        <f>'CUSTOMERS REPORT'!AB1241</f>
        <v>0</v>
      </c>
      <c r="K40" s="1040">
        <f>'CUSTOMERS REPORT'!AC1241</f>
        <v>0</v>
      </c>
      <c r="L40" s="509">
        <f>'CUSTOMERS REPORT'!AD1241</f>
        <v>0</v>
      </c>
      <c r="M40" s="414">
        <f>'3'!M40+'4'!G40</f>
        <v>0</v>
      </c>
      <c r="N40" s="412">
        <f>'3'!N40+'4'!J40</f>
        <v>0</v>
      </c>
      <c r="P40" s="374" t="s">
        <v>155</v>
      </c>
      <c r="Q40" s="445">
        <f>Q48</f>
        <v>0</v>
      </c>
      <c r="S40" s="400">
        <f>'3'!S40</f>
        <v>0</v>
      </c>
      <c r="T40" s="446">
        <f>'3'!X40</f>
        <v>0</v>
      </c>
      <c r="U40" s="456"/>
      <c r="V40" s="451">
        <f t="shared" si="0"/>
        <v>0</v>
      </c>
      <c r="W40" s="452"/>
      <c r="X40" s="448">
        <f t="shared" si="1"/>
        <v>0</v>
      </c>
      <c r="Z40" s="375">
        <f>'3'!Z40</f>
        <v>0</v>
      </c>
      <c r="AA40" s="464">
        <f>'3'!AE40</f>
        <v>0</v>
      </c>
      <c r="AB40" s="460"/>
      <c r="AC40" s="462">
        <f t="shared" si="2"/>
        <v>0</v>
      </c>
      <c r="AD40" s="469"/>
      <c r="AE40" s="348">
        <f t="shared" si="3"/>
        <v>0</v>
      </c>
      <c r="AF40" s="563">
        <f>'3'!AF40+'4'!AB40</f>
        <v>0</v>
      </c>
      <c r="AG40" s="234">
        <f>'3'!AG40+'4'!AD40</f>
        <v>0</v>
      </c>
    </row>
    <row r="41" spans="1:40" ht="27" customHeight="1" thickTop="1" thickBot="1">
      <c r="A41" s="715" t="str">
        <f>'3'!A41</f>
        <v>BIKE.INSTALMINT</v>
      </c>
      <c r="B41" s="234"/>
      <c r="C41" s="348">
        <f>'3'!D41</f>
        <v>0</v>
      </c>
      <c r="D41" s="234">
        <f t="shared" si="5"/>
        <v>0</v>
      </c>
      <c r="E41" t="s">
        <v>1</v>
      </c>
      <c r="F41" s="479" t="str">
        <f>'3'!F41</f>
        <v>PISHAWAR</v>
      </c>
      <c r="G41" s="409">
        <f>'CUSTOMERS REPORT'!Y1278</f>
        <v>0</v>
      </c>
      <c r="H41" s="1048">
        <f>'CUSTOMERS REPORT'!Z1278</f>
        <v>0</v>
      </c>
      <c r="I41" s="409">
        <f>'CUSTOMERS REPORT'!AA1278</f>
        <v>0</v>
      </c>
      <c r="J41" s="1043">
        <f>'CUSTOMERS REPORT'!AB1278</f>
        <v>0</v>
      </c>
      <c r="K41" s="1043">
        <f>'CUSTOMERS REPORT'!AC1278</f>
        <v>0</v>
      </c>
      <c r="L41" s="512">
        <f>'CUSTOMERS REPORT'!AD1278</f>
        <v>0</v>
      </c>
      <c r="M41" s="414">
        <f>'3'!M41+'4'!G41</f>
        <v>0</v>
      </c>
      <c r="N41" s="412">
        <f>'3'!N41+'4'!J41</f>
        <v>0</v>
      </c>
      <c r="P41" s="221" t="s">
        <v>51</v>
      </c>
      <c r="Q41" s="223">
        <f>Q37-Q38-Q39-Q40</f>
        <v>0</v>
      </c>
      <c r="S41" s="400">
        <f>'3'!S41</f>
        <v>0</v>
      </c>
      <c r="T41" s="446">
        <f>'3'!X41</f>
        <v>0</v>
      </c>
      <c r="U41" s="456"/>
      <c r="V41" s="451">
        <f t="shared" si="0"/>
        <v>0</v>
      </c>
      <c r="W41" s="452"/>
      <c r="X41" s="448">
        <f t="shared" si="1"/>
        <v>0</v>
      </c>
      <c r="Z41" s="375">
        <f>'3'!Z41</f>
        <v>0</v>
      </c>
      <c r="AA41" s="464">
        <f>'3'!AE41</f>
        <v>0</v>
      </c>
      <c r="AB41" s="460"/>
      <c r="AC41" s="462">
        <f t="shared" si="2"/>
        <v>0</v>
      </c>
      <c r="AD41" s="469"/>
      <c r="AE41" s="348">
        <f t="shared" si="3"/>
        <v>0</v>
      </c>
      <c r="AF41" s="563">
        <f>'3'!AF41+'4'!AB41</f>
        <v>0</v>
      </c>
      <c r="AG41" s="234">
        <f>'3'!AG41+'4'!AD41</f>
        <v>0</v>
      </c>
    </row>
    <row r="42" spans="1:40" ht="27" customHeight="1" thickTop="1" thickBot="1">
      <c r="A42" s="715" t="str">
        <f>'3'!A42</f>
        <v>B.C</v>
      </c>
      <c r="B42" s="529"/>
      <c r="C42" s="348">
        <f>'3'!D42</f>
        <v>0</v>
      </c>
      <c r="D42" s="529">
        <f t="shared" si="5"/>
        <v>0</v>
      </c>
      <c r="F42" s="479" t="str">
        <f>'3'!F42</f>
        <v>HUZAFA KOTRI</v>
      </c>
      <c r="G42" s="409">
        <f>'CUSTOMERS REPORT'!Y1315</f>
        <v>0</v>
      </c>
      <c r="H42" s="1048">
        <f>'CUSTOMERS REPORT'!Z1315</f>
        <v>0</v>
      </c>
      <c r="I42" s="409">
        <f>'CUSTOMERS REPORT'!AA1315</f>
        <v>0</v>
      </c>
      <c r="J42" s="1043">
        <f>'CUSTOMERS REPORT'!AB1315</f>
        <v>0</v>
      </c>
      <c r="K42" s="1043">
        <f>'CUSTOMERS REPORT'!AC1315</f>
        <v>0</v>
      </c>
      <c r="L42" s="512">
        <f>'CUSTOMERS REPORT'!AD1315</f>
        <v>0</v>
      </c>
      <c r="M42" s="414">
        <f>'3'!M42+'4'!G42</f>
        <v>0</v>
      </c>
      <c r="N42" s="412">
        <f>'3'!N42+'4'!J42</f>
        <v>0</v>
      </c>
      <c r="P42" s="1499" t="s">
        <v>157</v>
      </c>
      <c r="Q42" s="1500"/>
      <c r="S42" s="400">
        <f>'3'!S42</f>
        <v>0</v>
      </c>
      <c r="T42" s="446">
        <f>'3'!X42</f>
        <v>0</v>
      </c>
      <c r="U42" s="458"/>
      <c r="V42" s="453">
        <f t="shared" si="0"/>
        <v>0</v>
      </c>
      <c r="W42" s="454"/>
      <c r="X42" s="449">
        <f t="shared" si="1"/>
        <v>0</v>
      </c>
      <c r="Z42" s="375">
        <f>'3'!Z42</f>
        <v>0</v>
      </c>
      <c r="AA42" s="464">
        <f>'3'!AE42</f>
        <v>0</v>
      </c>
      <c r="AB42" s="461"/>
      <c r="AC42" s="462">
        <f>AA42+AB42</f>
        <v>0</v>
      </c>
      <c r="AD42" s="470"/>
      <c r="AE42" s="348">
        <f t="shared" si="3"/>
        <v>0</v>
      </c>
      <c r="AF42" s="564">
        <f>'3'!AF42+'4'!AB42</f>
        <v>0</v>
      </c>
      <c r="AG42" s="572">
        <f>'3'!AG42+'4'!AD42</f>
        <v>0</v>
      </c>
    </row>
    <row r="43" spans="1:40" ht="27" customHeight="1" thickTop="1" thickBot="1">
      <c r="A43" s="715" t="str">
        <f>'3'!A43</f>
        <v>AQEEL</v>
      </c>
      <c r="B43" s="539"/>
      <c r="C43" s="348">
        <f>'3'!D43</f>
        <v>0</v>
      </c>
      <c r="D43" s="529">
        <f t="shared" si="5"/>
        <v>0</v>
      </c>
      <c r="F43" s="479" t="str">
        <f>'3'!F43</f>
        <v>ZAHID LAHORE</v>
      </c>
      <c r="G43" s="409">
        <f>'CUSTOMERS REPORT'!Y1352</f>
        <v>0</v>
      </c>
      <c r="H43" s="1048">
        <f>'CUSTOMERS REPORT'!Z1352</f>
        <v>0</v>
      </c>
      <c r="I43" s="409">
        <f>'CUSTOMERS REPORT'!AA1352</f>
        <v>0</v>
      </c>
      <c r="J43" s="1043">
        <f>'CUSTOMERS REPORT'!AB1352</f>
        <v>0</v>
      </c>
      <c r="K43" s="1043">
        <f>'CUSTOMERS REPORT'!AC1352</f>
        <v>0</v>
      </c>
      <c r="L43" s="512">
        <f>'CUSTOMERS REPORT'!AD1352</f>
        <v>0</v>
      </c>
      <c r="M43" s="414">
        <f>'3'!M43+'4'!G43</f>
        <v>0</v>
      </c>
      <c r="N43" s="412">
        <f>'3'!N43+'4'!J43</f>
        <v>0</v>
      </c>
      <c r="P43" s="220" t="s">
        <v>124</v>
      </c>
      <c r="Q43" s="223">
        <f>'3'!Q48</f>
        <v>0</v>
      </c>
      <c r="R43" t="s">
        <v>1</v>
      </c>
      <c r="S43" s="400">
        <f>'3'!S43</f>
        <v>0</v>
      </c>
      <c r="T43" s="446">
        <f>'3'!X43</f>
        <v>0</v>
      </c>
      <c r="U43" s="358"/>
      <c r="V43" s="453">
        <f t="shared" si="0"/>
        <v>0</v>
      </c>
      <c r="W43" s="403"/>
      <c r="X43" s="449">
        <f t="shared" si="1"/>
        <v>0</v>
      </c>
      <c r="Z43" s="383"/>
      <c r="AA43" s="356">
        <f>SUM(AA8:AA42)</f>
        <v>0</v>
      </c>
      <c r="AB43" s="385">
        <f>SUM(AB8:AB42)</f>
        <v>0</v>
      </c>
      <c r="AC43" s="357" t="s">
        <v>74</v>
      </c>
      <c r="AD43" s="387">
        <f>SUM(AD8:AD42)</f>
        <v>0</v>
      </c>
      <c r="AE43" s="358">
        <f>SUM(AE8:AE42)</f>
        <v>0</v>
      </c>
      <c r="AF43" s="565">
        <f>SUM(AF8:AF42)</f>
        <v>0</v>
      </c>
      <c r="AG43" s="571">
        <f>SUM(AG8:AG42)</f>
        <v>0</v>
      </c>
    </row>
    <row r="44" spans="1:40" ht="27" customHeight="1" thickTop="1">
      <c r="A44" s="715" t="str">
        <f>'3'!A44</f>
        <v>M.YOUSUF</v>
      </c>
      <c r="B44" s="234"/>
      <c r="C44" s="348">
        <f>'3'!D44</f>
        <v>0</v>
      </c>
      <c r="D44" s="234">
        <f t="shared" si="5"/>
        <v>0</v>
      </c>
      <c r="F44" s="479" t="str">
        <f>'3'!F44</f>
        <v>CASH SALE</v>
      </c>
      <c r="G44" s="409">
        <f>'CUSTOMERS REPORT'!Y1389</f>
        <v>0</v>
      </c>
      <c r="H44" s="1048">
        <f>'CUSTOMERS REPORT'!Z1389</f>
        <v>0</v>
      </c>
      <c r="I44" s="409">
        <f>'CUSTOMERS REPORT'!AA1389</f>
        <v>0</v>
      </c>
      <c r="J44" s="1043">
        <f>'CUSTOMERS REPORT'!AB1389</f>
        <v>0</v>
      </c>
      <c r="K44" s="1043">
        <f>'CUSTOMERS REPORT'!AC1389</f>
        <v>0</v>
      </c>
      <c r="L44" s="512">
        <f>'CUSTOMERS REPORT'!AD1389</f>
        <v>0</v>
      </c>
      <c r="M44" s="414">
        <f>'3'!M44+'4'!G44</f>
        <v>0</v>
      </c>
      <c r="N44" s="412">
        <f>'3'!N44+'4'!J44</f>
        <v>0</v>
      </c>
      <c r="P44" s="222" t="s">
        <v>114</v>
      </c>
      <c r="Q44" s="377">
        <f>J46</f>
        <v>0</v>
      </c>
      <c r="S44" s="400"/>
      <c r="T44" s="348"/>
      <c r="U44" s="306"/>
      <c r="V44" s="349"/>
      <c r="W44" s="351"/>
      <c r="X44" s="350"/>
      <c r="Z44" s="375"/>
      <c r="AA44" s="339"/>
      <c r="AB44" s="386">
        <f>'3'!AB45</f>
        <v>0</v>
      </c>
      <c r="AC44" s="340" t="s">
        <v>126</v>
      </c>
      <c r="AD44" s="388">
        <f>'3'!AD45</f>
        <v>0</v>
      </c>
      <c r="AE44" s="341"/>
      <c r="AF44" s="561"/>
      <c r="AG44" s="83" t="s">
        <v>1</v>
      </c>
    </row>
    <row r="45" spans="1:40" ht="27" customHeight="1" thickBot="1">
      <c r="A45" s="715" t="str">
        <f>'3'!A45</f>
        <v>SHAKEEL</v>
      </c>
      <c r="B45" s="234"/>
      <c r="C45" s="348">
        <f>'3'!D45</f>
        <v>0</v>
      </c>
      <c r="D45" s="234">
        <f t="shared" si="5"/>
        <v>0</v>
      </c>
      <c r="F45" s="479" t="str">
        <f>'3'!F45</f>
        <v xml:space="preserve">FREE </v>
      </c>
      <c r="G45" s="410">
        <f>'CUSTOMERS REPORT'!Y1425</f>
        <v>0</v>
      </c>
      <c r="H45" s="1049">
        <f>'CUSTOMERS REPORT'!Z1425</f>
        <v>0</v>
      </c>
      <c r="I45" s="410">
        <f>'CUSTOMERS REPORT'!AA1425</f>
        <v>0</v>
      </c>
      <c r="J45" s="1044">
        <f>'CUSTOMERS REPORT'!AB1425</f>
        <v>0</v>
      </c>
      <c r="K45" s="1044">
        <f>'CUSTOMERS REPORT'!AC1425</f>
        <v>0</v>
      </c>
      <c r="L45" s="513">
        <f>'CUSTOMERS REPORT'!AD1425</f>
        <v>0</v>
      </c>
      <c r="M45" s="414">
        <f>'3'!M45+'4'!G45</f>
        <v>0</v>
      </c>
      <c r="N45" s="412">
        <f>'3'!N45+'4'!J45</f>
        <v>0</v>
      </c>
      <c r="P45" s="222" t="s">
        <v>153</v>
      </c>
      <c r="Q45" s="378">
        <f>Q43+Q44</f>
        <v>0</v>
      </c>
      <c r="S45" s="401"/>
      <c r="T45" s="352"/>
      <c r="U45" s="307"/>
      <c r="V45" s="353"/>
      <c r="W45" s="354"/>
      <c r="X45" s="355"/>
      <c r="Z45" s="384"/>
      <c r="AA45" s="359"/>
      <c r="AB45" s="390">
        <f>SUM(AB43:AB44)</f>
        <v>0</v>
      </c>
      <c r="AC45" s="360" t="s">
        <v>74</v>
      </c>
      <c r="AD45" s="389">
        <f>SUM(AD43:AD44)</f>
        <v>0</v>
      </c>
      <c r="AE45" s="361"/>
      <c r="AF45" s="562"/>
      <c r="AG45" s="573"/>
    </row>
    <row r="46" spans="1:40" ht="27" customHeight="1" thickTop="1" thickBot="1">
      <c r="A46" s="715" t="str">
        <f>'3'!A46</f>
        <v>ZAHID HUSSAN</v>
      </c>
      <c r="B46" s="234"/>
      <c r="C46" s="348">
        <f>'3'!D46</f>
        <v>0</v>
      </c>
      <c r="D46" s="234">
        <f t="shared" si="5"/>
        <v>0</v>
      </c>
      <c r="F46" s="369"/>
      <c r="G46" s="424">
        <f>SUM(G8:G45)</f>
        <v>0</v>
      </c>
      <c r="H46" s="1497" t="s">
        <v>160</v>
      </c>
      <c r="I46" s="1498"/>
      <c r="J46" s="421">
        <f>SUM(J8:J45)</f>
        <v>0</v>
      </c>
      <c r="K46" s="427">
        <f>SUM(K8:K45)</f>
        <v>0</v>
      </c>
      <c r="L46" s="431">
        <f>SUM(L8:L45)</f>
        <v>0</v>
      </c>
      <c r="M46" s="429">
        <f>SUM(M8:M45)</f>
        <v>0</v>
      </c>
      <c r="N46" s="430">
        <f>SUM(N8:N45)</f>
        <v>0</v>
      </c>
      <c r="P46" s="222" t="s">
        <v>154</v>
      </c>
      <c r="Q46" s="378">
        <f>B48</f>
        <v>0</v>
      </c>
    </row>
    <row r="47" spans="1:40" ht="27" customHeight="1" thickTop="1" thickBot="1">
      <c r="A47" s="715" t="str">
        <f>'3'!A47</f>
        <v xml:space="preserve">INVESTOR </v>
      </c>
      <c r="B47" s="540"/>
      <c r="C47" s="348">
        <f>'3'!D47</f>
        <v>0</v>
      </c>
      <c r="D47" s="542">
        <f t="shared" si="5"/>
        <v>0</v>
      </c>
      <c r="F47" s="370"/>
      <c r="G47" s="425">
        <f>'3'!G48</f>
        <v>0</v>
      </c>
      <c r="H47" s="1512" t="s">
        <v>162</v>
      </c>
      <c r="I47" s="1513"/>
      <c r="J47" s="423">
        <f>'3'!J48</f>
        <v>0</v>
      </c>
      <c r="K47" s="423">
        <f>'3'!K48</f>
        <v>0</v>
      </c>
      <c r="L47" s="343"/>
      <c r="M47" s="344"/>
      <c r="N47" s="345"/>
      <c r="P47" s="375" t="s">
        <v>163</v>
      </c>
      <c r="Q47" s="378">
        <f>Q9+Q10+Q19+Q20+Q21+Q22</f>
        <v>0</v>
      </c>
      <c r="R47" s="19"/>
      <c r="S47" s="1489" t="s">
        <v>92</v>
      </c>
      <c r="T47" s="1402" t="s">
        <v>95</v>
      </c>
      <c r="U47" s="1403"/>
      <c r="V47" s="1403"/>
      <c r="W47" s="1404"/>
      <c r="X47" s="1402" t="s">
        <v>7</v>
      </c>
      <c r="Y47" s="1403"/>
      <c r="Z47" s="1404"/>
      <c r="AA47" s="1402" t="s">
        <v>8</v>
      </c>
      <c r="AB47" s="1404"/>
      <c r="AC47" s="1402" t="s">
        <v>9</v>
      </c>
      <c r="AD47" s="1403"/>
      <c r="AE47" s="1403"/>
      <c r="AF47" s="1403"/>
      <c r="AG47" s="1403"/>
      <c r="AH47" s="1403"/>
      <c r="AI47" s="1403"/>
      <c r="AJ47" s="1405" t="s">
        <v>10</v>
      </c>
      <c r="AK47" s="1406"/>
      <c r="AL47" s="1400" t="s">
        <v>289</v>
      </c>
      <c r="AM47" s="1401"/>
      <c r="AN47" s="842" t="s">
        <v>290</v>
      </c>
    </row>
    <row r="48" spans="1:40" ht="27" customHeight="1" thickTop="1" thickBot="1">
      <c r="A48" s="192" t="s">
        <v>74</v>
      </c>
      <c r="B48" s="544">
        <f>SUM(B22:B47)</f>
        <v>0</v>
      </c>
      <c r="C48" s="543">
        <f>'3'!D48</f>
        <v>0</v>
      </c>
      <c r="D48" s="544">
        <f t="shared" si="5"/>
        <v>0</v>
      </c>
      <c r="F48" s="371"/>
      <c r="G48" s="426">
        <f>G46+G47</f>
        <v>0</v>
      </c>
      <c r="H48" s="1495" t="s">
        <v>164</v>
      </c>
      <c r="I48" s="1496"/>
      <c r="J48" s="422">
        <f>J46+J47</f>
        <v>0</v>
      </c>
      <c r="K48" s="428">
        <f>K46+K47</f>
        <v>0</v>
      </c>
      <c r="L48" s="346"/>
      <c r="M48" s="347"/>
      <c r="N48" s="622">
        <f>G48-J48</f>
        <v>0</v>
      </c>
      <c r="P48" s="376" t="s">
        <v>155</v>
      </c>
      <c r="Q48" s="379">
        <f>Q45-Q46-Q47</f>
        <v>0</v>
      </c>
      <c r="R48" s="19"/>
      <c r="S48" s="1490"/>
      <c r="T48" s="482" t="s">
        <v>12</v>
      </c>
      <c r="U48" s="482" t="s">
        <v>13</v>
      </c>
      <c r="V48" s="482" t="s">
        <v>14</v>
      </c>
      <c r="W48" s="958" t="s">
        <v>263</v>
      </c>
      <c r="X48" s="482" t="s">
        <v>12</v>
      </c>
      <c r="Y48" s="482" t="s">
        <v>13</v>
      </c>
      <c r="Z48" s="482" t="s">
        <v>282</v>
      </c>
      <c r="AA48" s="482" t="s">
        <v>12</v>
      </c>
      <c r="AB48" s="482" t="s">
        <v>16</v>
      </c>
      <c r="AC48" s="482" t="s">
        <v>17</v>
      </c>
      <c r="AD48" s="482" t="s">
        <v>18</v>
      </c>
      <c r="AE48" s="482" t="s">
        <v>19</v>
      </c>
      <c r="AF48" s="484" t="s">
        <v>96</v>
      </c>
      <c r="AG48" s="484" t="s">
        <v>257</v>
      </c>
      <c r="AH48" s="482" t="s">
        <v>254</v>
      </c>
      <c r="AI48" s="482" t="s">
        <v>20</v>
      </c>
      <c r="AJ48" s="483" t="s">
        <v>14</v>
      </c>
      <c r="AK48" s="482" t="s">
        <v>13</v>
      </c>
      <c r="AL48" s="846" t="s">
        <v>284</v>
      </c>
      <c r="AM48" s="846" t="s">
        <v>288</v>
      </c>
      <c r="AN48" s="484" t="s">
        <v>291</v>
      </c>
    </row>
    <row r="49" spans="1:42" ht="24.95" customHeight="1" thickTop="1" thickBot="1">
      <c r="Q49" s="111">
        <f>Q48+Q41</f>
        <v>0</v>
      </c>
      <c r="R49" s="19"/>
      <c r="S49" s="865" t="s">
        <v>165</v>
      </c>
      <c r="T49" s="866">
        <f>'3'!T55</f>
        <v>0</v>
      </c>
      <c r="U49" s="866">
        <f>'3'!U55</f>
        <v>0</v>
      </c>
      <c r="V49" s="866">
        <f>'3'!V55</f>
        <v>0</v>
      </c>
      <c r="W49" s="866">
        <f>'3'!W55</f>
        <v>0</v>
      </c>
      <c r="X49" s="866">
        <f>'3'!X55</f>
        <v>0</v>
      </c>
      <c r="Y49" s="866">
        <f>'3'!Y55</f>
        <v>0</v>
      </c>
      <c r="Z49" s="866">
        <f>'3'!Z55</f>
        <v>0</v>
      </c>
      <c r="AA49" s="866">
        <f>'3'!AA55</f>
        <v>0</v>
      </c>
      <c r="AB49" s="866">
        <f>'3'!AB55</f>
        <v>0</v>
      </c>
      <c r="AC49" s="866">
        <f>'3'!AC55</f>
        <v>0</v>
      </c>
      <c r="AD49" s="866">
        <f>'3'!AD55</f>
        <v>0</v>
      </c>
      <c r="AE49" s="866">
        <f>'3'!AE55</f>
        <v>0</v>
      </c>
      <c r="AF49" s="866">
        <f>'3'!AF55</f>
        <v>0</v>
      </c>
      <c r="AG49" s="866">
        <f>'3'!AG55</f>
        <v>0</v>
      </c>
      <c r="AH49" s="866">
        <f>'3'!AH55</f>
        <v>0</v>
      </c>
      <c r="AI49" s="866">
        <f>'3'!AI55</f>
        <v>0</v>
      </c>
      <c r="AJ49" s="866">
        <f>'3'!AJ55</f>
        <v>0</v>
      </c>
      <c r="AK49" s="866">
        <f>'3'!AK55</f>
        <v>0</v>
      </c>
      <c r="AL49" s="866" t="e">
        <f>'3'!AL55</f>
        <v>#VALUE!</v>
      </c>
      <c r="AM49" s="866" t="e">
        <f>'3'!AM55</f>
        <v>#VALUE!</v>
      </c>
      <c r="AN49" s="866" t="e">
        <f>'3'!AN55</f>
        <v>#VALUE!</v>
      </c>
    </row>
    <row r="50" spans="1:42" ht="24.95" customHeight="1" thickBot="1">
      <c r="C50" t="s">
        <v>1</v>
      </c>
      <c r="J50" s="417"/>
      <c r="L50" s="417">
        <v>5000</v>
      </c>
      <c r="M50" s="417"/>
      <c r="N50" s="417">
        <f t="shared" ref="N50:N57" si="6">L50*M50</f>
        <v>0</v>
      </c>
      <c r="R50" s="19"/>
      <c r="S50" s="854" t="s">
        <v>166</v>
      </c>
      <c r="T50" s="852"/>
      <c r="U50" s="852"/>
      <c r="V50" s="852"/>
      <c r="W50" s="852"/>
      <c r="X50" s="852"/>
      <c r="Y50" s="852"/>
      <c r="Z50" s="852"/>
      <c r="AA50" s="852"/>
      <c r="AB50" s="852"/>
      <c r="AC50" s="852"/>
      <c r="AD50" s="852"/>
      <c r="AE50" s="852"/>
      <c r="AF50" s="852"/>
      <c r="AG50" s="855"/>
      <c r="AH50" s="852"/>
      <c r="AI50" s="852"/>
      <c r="AJ50" s="848"/>
      <c r="AK50" s="848"/>
      <c r="AL50" s="848"/>
      <c r="AM50" s="849"/>
      <c r="AN50" s="930"/>
    </row>
    <row r="51" spans="1:42" ht="24.95" customHeight="1" thickBot="1">
      <c r="J51" s="417"/>
      <c r="L51" s="417">
        <v>1000</v>
      </c>
      <c r="M51" s="417"/>
      <c r="N51" s="417">
        <f t="shared" si="6"/>
        <v>0</v>
      </c>
      <c r="R51" s="19"/>
      <c r="S51" s="867" t="s">
        <v>91</v>
      </c>
      <c r="T51" s="868"/>
      <c r="U51" s="868"/>
      <c r="V51" s="868"/>
      <c r="W51" s="868"/>
      <c r="X51" s="868"/>
      <c r="Y51" s="868"/>
      <c r="Z51" s="868"/>
      <c r="AA51" s="868"/>
      <c r="AB51" s="868"/>
      <c r="AC51" s="868"/>
      <c r="AD51" s="868"/>
      <c r="AE51" s="868"/>
      <c r="AF51" s="868"/>
      <c r="AG51" s="869"/>
      <c r="AH51" s="868"/>
      <c r="AI51" s="870"/>
      <c r="AJ51" s="868"/>
      <c r="AK51" s="868"/>
      <c r="AL51" s="849"/>
      <c r="AM51" s="849"/>
      <c r="AN51" s="850"/>
    </row>
    <row r="52" spans="1:42" ht="24.95" customHeight="1" thickBot="1">
      <c r="J52" s="417"/>
      <c r="L52" s="417">
        <v>500</v>
      </c>
      <c r="M52" s="417"/>
      <c r="N52" s="417">
        <f t="shared" si="6"/>
        <v>0</v>
      </c>
      <c r="O52" t="s">
        <v>1</v>
      </c>
      <c r="R52" s="19"/>
      <c r="S52" s="856" t="s">
        <v>167</v>
      </c>
      <c r="T52" s="857"/>
      <c r="U52" s="857"/>
      <c r="V52" s="857"/>
      <c r="W52" s="857"/>
      <c r="X52" s="857"/>
      <c r="Y52" s="857"/>
      <c r="Z52" s="857"/>
      <c r="AA52" s="857"/>
      <c r="AB52" s="857"/>
      <c r="AC52" s="857"/>
      <c r="AD52" s="857"/>
      <c r="AE52" s="857"/>
      <c r="AF52" s="857"/>
      <c r="AG52" s="858"/>
      <c r="AH52" s="859"/>
      <c r="AI52" s="860"/>
      <c r="AJ52" s="851"/>
      <c r="AK52" s="851"/>
      <c r="AL52" s="849"/>
      <c r="AM52" s="849"/>
      <c r="AN52" s="850"/>
    </row>
    <row r="53" spans="1:42" ht="24.95" customHeight="1" thickBot="1">
      <c r="J53" s="417"/>
      <c r="L53" s="417">
        <v>100</v>
      </c>
      <c r="M53" s="417"/>
      <c r="N53" s="417">
        <f t="shared" si="6"/>
        <v>0</v>
      </c>
      <c r="R53" s="19"/>
      <c r="S53" s="871" t="s">
        <v>81</v>
      </c>
      <c r="T53" s="866">
        <f t="shared" ref="T53:AN53" si="7">SUM(T49+T50+T52)</f>
        <v>0</v>
      </c>
      <c r="U53" s="866">
        <f t="shared" si="7"/>
        <v>0</v>
      </c>
      <c r="V53" s="866">
        <f t="shared" si="7"/>
        <v>0</v>
      </c>
      <c r="W53" s="866">
        <f t="shared" si="7"/>
        <v>0</v>
      </c>
      <c r="X53" s="866">
        <f t="shared" si="7"/>
        <v>0</v>
      </c>
      <c r="Y53" s="866">
        <f t="shared" si="7"/>
        <v>0</v>
      </c>
      <c r="Z53" s="866">
        <f t="shared" si="7"/>
        <v>0</v>
      </c>
      <c r="AA53" s="866">
        <f t="shared" si="7"/>
        <v>0</v>
      </c>
      <c r="AB53" s="866">
        <f t="shared" si="7"/>
        <v>0</v>
      </c>
      <c r="AC53" s="866">
        <f t="shared" si="7"/>
        <v>0</v>
      </c>
      <c r="AD53" s="866">
        <f t="shared" si="7"/>
        <v>0</v>
      </c>
      <c r="AE53" s="866">
        <f t="shared" si="7"/>
        <v>0</v>
      </c>
      <c r="AF53" s="866">
        <f t="shared" si="7"/>
        <v>0</v>
      </c>
      <c r="AG53" s="866">
        <f t="shared" si="7"/>
        <v>0</v>
      </c>
      <c r="AH53" s="866">
        <f t="shared" si="7"/>
        <v>0</v>
      </c>
      <c r="AI53" s="866">
        <f t="shared" si="7"/>
        <v>0</v>
      </c>
      <c r="AJ53" s="866">
        <f t="shared" si="7"/>
        <v>0</v>
      </c>
      <c r="AK53" s="866">
        <f t="shared" si="7"/>
        <v>0</v>
      </c>
      <c r="AL53" s="866" t="e">
        <f t="shared" si="7"/>
        <v>#VALUE!</v>
      </c>
      <c r="AM53" s="866" t="e">
        <f t="shared" si="7"/>
        <v>#VALUE!</v>
      </c>
      <c r="AN53" s="872" t="e">
        <f t="shared" si="7"/>
        <v>#VALUE!</v>
      </c>
    </row>
    <row r="54" spans="1:42" ht="24.95" customHeight="1" thickBot="1">
      <c r="J54" s="417"/>
      <c r="L54" s="417">
        <v>50</v>
      </c>
      <c r="M54" s="417"/>
      <c r="N54" s="417">
        <f t="shared" si="6"/>
        <v>0</v>
      </c>
      <c r="R54" s="19"/>
      <c r="S54" s="854" t="s">
        <v>168</v>
      </c>
      <c r="T54" s="852">
        <f>'CUSTOMERS REPORT'!B11+'CUSTOMERS REPORT'!B57+'CUSTOMERS REPORT'!B95+'CUSTOMERS REPORT'!B134+'CUSTOMERS REPORT'!B172+'CUSTOMERS REPORT'!B212+'CUSTOMERS REPORT'!B249+'CUSTOMERS REPORT'!B289+'CUSTOMERS REPORT'!B330+'CUSTOMERS REPORT'!B372+'CUSTOMERS REPORT'!B411+'CUSTOMERS REPORT'!B449+'CUSTOMERS REPORT'!B485+'CUSTOMERS REPORT'!B522+'CUSTOMERS REPORT'!B560+'CUSTOMERS REPORT'!B596+'CUSTOMERS REPORT'!B634+'CUSTOMERS REPORT'!B672+'CUSTOMERS REPORT'!B710+'CUSTOMERS REPORT'!B748+'CUSTOMERS REPORT'!B786+'CUSTOMERS REPORT'!B824+'CUSTOMERS REPORT'!B862+'CUSTOMERS REPORT'!B901+'CUSTOMERS REPORT'!B940+'CUSTOMERS REPORT'!B978+'CUSTOMERS REPORT'!B1016+'CUSTOMERS REPORT'!B1054+'CUSTOMERS REPORT'!B1092+'CUSTOMERS REPORT'!B1130+'CUSTOMERS REPORT'!B1167+'CUSTOMERS REPORT'!B1204+'CUSTOMERS REPORT'!B1241+'CUSTOMERS REPORT'!B1278+'CUSTOMERS REPORT'!B1315+'CUSTOMERS REPORT'!B1352+'CUSTOMERS REPORT'!B1389+'CUSTOMERS REPORT'!B1425</f>
        <v>0</v>
      </c>
      <c r="U54" s="852">
        <f>'CUSTOMERS REPORT'!C11+'CUSTOMERS REPORT'!C57+'CUSTOMERS REPORT'!C95+'CUSTOMERS REPORT'!C134+'CUSTOMERS REPORT'!C172+'CUSTOMERS REPORT'!C212+'CUSTOMERS REPORT'!C249+'CUSTOMERS REPORT'!C289+'CUSTOMERS REPORT'!C330+'CUSTOMERS REPORT'!C372+'CUSTOMERS REPORT'!C411+'CUSTOMERS REPORT'!C449+'CUSTOMERS REPORT'!C485+'CUSTOMERS REPORT'!C522+'CUSTOMERS REPORT'!C560+'CUSTOMERS REPORT'!C596+'CUSTOMERS REPORT'!C634+'CUSTOMERS REPORT'!C672+'CUSTOMERS REPORT'!C710+'CUSTOMERS REPORT'!C748+'CUSTOMERS REPORT'!C786+'CUSTOMERS REPORT'!C824+'CUSTOMERS REPORT'!C862+'CUSTOMERS REPORT'!C901+'CUSTOMERS REPORT'!C940+'CUSTOMERS REPORT'!C978+'CUSTOMERS REPORT'!C1016+'CUSTOMERS REPORT'!C1054+'CUSTOMERS REPORT'!C1092+'CUSTOMERS REPORT'!C1130+'CUSTOMERS REPORT'!C1167+'CUSTOMERS REPORT'!C1204+'CUSTOMERS REPORT'!C1241+'CUSTOMERS REPORT'!C1278+'CUSTOMERS REPORT'!C1315+'CUSTOMERS REPORT'!C1352+'CUSTOMERS REPORT'!C1389+'CUSTOMERS REPORT'!C1425</f>
        <v>0</v>
      </c>
      <c r="V54" s="852">
        <f>'CUSTOMERS REPORT'!D11+'CUSTOMERS REPORT'!D57+'CUSTOMERS REPORT'!D95+'CUSTOMERS REPORT'!D134+'CUSTOMERS REPORT'!D172+'CUSTOMERS REPORT'!D212+'CUSTOMERS REPORT'!D249+'CUSTOMERS REPORT'!D289+'CUSTOMERS REPORT'!D330+'CUSTOMERS REPORT'!D372+'CUSTOMERS REPORT'!D411+'CUSTOMERS REPORT'!D449+'CUSTOMERS REPORT'!D485+'CUSTOMERS REPORT'!D522+'CUSTOMERS REPORT'!D560+'CUSTOMERS REPORT'!D596+'CUSTOMERS REPORT'!D634+'CUSTOMERS REPORT'!D672+'CUSTOMERS REPORT'!D710+'CUSTOMERS REPORT'!D748+'CUSTOMERS REPORT'!D786+'CUSTOMERS REPORT'!D824+'CUSTOMERS REPORT'!D862+'CUSTOMERS REPORT'!D901+'CUSTOMERS REPORT'!D940+'CUSTOMERS REPORT'!D978+'CUSTOMERS REPORT'!D1016+'CUSTOMERS REPORT'!D1054+'CUSTOMERS REPORT'!D1092+'CUSTOMERS REPORT'!D1130+'CUSTOMERS REPORT'!D1167+'CUSTOMERS REPORT'!D1204+'CUSTOMERS REPORT'!D1241+'CUSTOMERS REPORT'!D1278+'CUSTOMERS REPORT'!D1315+'CUSTOMERS REPORT'!D1352+'CUSTOMERS REPORT'!D1389+'CUSTOMERS REPORT'!D1425</f>
        <v>0</v>
      </c>
      <c r="W54" s="852">
        <f>'CUSTOMERS REPORT'!E11+'CUSTOMERS REPORT'!E57+'CUSTOMERS REPORT'!E95+'CUSTOMERS REPORT'!E134+'CUSTOMERS REPORT'!E172+'CUSTOMERS REPORT'!E212+'CUSTOMERS REPORT'!E249+'CUSTOMERS REPORT'!E289+'CUSTOMERS REPORT'!E330+'CUSTOMERS REPORT'!E372+'CUSTOMERS REPORT'!E411+'CUSTOMERS REPORT'!E449+'CUSTOMERS REPORT'!E485+'CUSTOMERS REPORT'!E522+'CUSTOMERS REPORT'!E560+'CUSTOMERS REPORT'!E596+'CUSTOMERS REPORT'!E634+'CUSTOMERS REPORT'!E672+'CUSTOMERS REPORT'!E710+'CUSTOMERS REPORT'!E748+'CUSTOMERS REPORT'!E786+'CUSTOMERS REPORT'!E824+'CUSTOMERS REPORT'!E862+'CUSTOMERS REPORT'!E901+'CUSTOMERS REPORT'!E940+'CUSTOMERS REPORT'!E978+'CUSTOMERS REPORT'!E1016+'CUSTOMERS REPORT'!E1054+'CUSTOMERS REPORT'!E1092+'CUSTOMERS REPORT'!E1130+'CUSTOMERS REPORT'!E1167+'CUSTOMERS REPORT'!E1204+'CUSTOMERS REPORT'!E1241+'CUSTOMERS REPORT'!E1278+'CUSTOMERS REPORT'!E1315+'CUSTOMERS REPORT'!E1352+'CUSTOMERS REPORT'!E1389+'CUSTOMERS REPORT'!E1425</f>
        <v>0</v>
      </c>
      <c r="X54" s="852">
        <f>'CUSTOMERS REPORT'!F11+'CUSTOMERS REPORT'!F57+'CUSTOMERS REPORT'!F95+'CUSTOMERS REPORT'!F134+'CUSTOMERS REPORT'!F172+'CUSTOMERS REPORT'!F212+'CUSTOMERS REPORT'!F249+'CUSTOMERS REPORT'!F289+'CUSTOMERS REPORT'!F330+'CUSTOMERS REPORT'!F372+'CUSTOMERS REPORT'!F411+'CUSTOMERS REPORT'!F449+'CUSTOMERS REPORT'!F485+'CUSTOMERS REPORT'!F522+'CUSTOMERS REPORT'!F560+'CUSTOMERS REPORT'!F596+'CUSTOMERS REPORT'!F634+'CUSTOMERS REPORT'!F672+'CUSTOMERS REPORT'!F710+'CUSTOMERS REPORT'!F748+'CUSTOMERS REPORT'!F786+'CUSTOMERS REPORT'!F824+'CUSTOMERS REPORT'!F862+'CUSTOMERS REPORT'!F901+'CUSTOMERS REPORT'!F940+'CUSTOMERS REPORT'!F978+'CUSTOMERS REPORT'!F1016+'CUSTOMERS REPORT'!F1054+'CUSTOMERS REPORT'!F1092+'CUSTOMERS REPORT'!F1130+'CUSTOMERS REPORT'!F1167+'CUSTOMERS REPORT'!F1204+'CUSTOMERS REPORT'!F1241+'CUSTOMERS REPORT'!F1278+'CUSTOMERS REPORT'!F1315+'CUSTOMERS REPORT'!F1352+'CUSTOMERS REPORT'!F1389+'CUSTOMERS REPORT'!F1425</f>
        <v>0</v>
      </c>
      <c r="Y54" s="852">
        <f>'CUSTOMERS REPORT'!G11+'CUSTOMERS REPORT'!G57+'CUSTOMERS REPORT'!G95+'CUSTOMERS REPORT'!G134+'CUSTOMERS REPORT'!G172+'CUSTOMERS REPORT'!G212+'CUSTOMERS REPORT'!G249+'CUSTOMERS REPORT'!G289+'CUSTOMERS REPORT'!G330+'CUSTOMERS REPORT'!G372+'CUSTOMERS REPORT'!G411+'CUSTOMERS REPORT'!G449+'CUSTOMERS REPORT'!G485+'CUSTOMERS REPORT'!G522+'CUSTOMERS REPORT'!G560+'CUSTOMERS REPORT'!G596+'CUSTOMERS REPORT'!G634+'CUSTOMERS REPORT'!G672+'CUSTOMERS REPORT'!G710+'CUSTOMERS REPORT'!G748+'CUSTOMERS REPORT'!G786+'CUSTOMERS REPORT'!G824+'CUSTOMERS REPORT'!G862+'CUSTOMERS REPORT'!G901+'CUSTOMERS REPORT'!G940+'CUSTOMERS REPORT'!G978+'CUSTOMERS REPORT'!G1016+'CUSTOMERS REPORT'!G1054+'CUSTOMERS REPORT'!G1092+'CUSTOMERS REPORT'!G1130+'CUSTOMERS REPORT'!G1167+'CUSTOMERS REPORT'!G1204+'CUSTOMERS REPORT'!G1241+'CUSTOMERS REPORT'!G1278+'CUSTOMERS REPORT'!G1315+'CUSTOMERS REPORT'!G1352+'CUSTOMERS REPORT'!G1389+'CUSTOMERS REPORT'!G1425</f>
        <v>0</v>
      </c>
      <c r="Z54" s="852">
        <f>'CUSTOMERS REPORT'!H11+'CUSTOMERS REPORT'!H57+'CUSTOMERS REPORT'!H95+'CUSTOMERS REPORT'!H134+'CUSTOMERS REPORT'!H172+'CUSTOMERS REPORT'!H212+'CUSTOMERS REPORT'!H249+'CUSTOMERS REPORT'!H289+'CUSTOMERS REPORT'!H330+'CUSTOMERS REPORT'!H372+'CUSTOMERS REPORT'!H411+'CUSTOMERS REPORT'!H449+'CUSTOMERS REPORT'!H485+'CUSTOMERS REPORT'!H522+'CUSTOMERS REPORT'!H560+'CUSTOMERS REPORT'!H596+'CUSTOMERS REPORT'!H634+'CUSTOMERS REPORT'!H672+'CUSTOMERS REPORT'!H710+'CUSTOMERS REPORT'!H748+'CUSTOMERS REPORT'!H786+'CUSTOMERS REPORT'!H824+'CUSTOMERS REPORT'!H862+'CUSTOMERS REPORT'!H901+'CUSTOMERS REPORT'!H940+'CUSTOMERS REPORT'!H978+'CUSTOMERS REPORT'!H1016+'CUSTOMERS REPORT'!H1054+'CUSTOMERS REPORT'!H1092+'CUSTOMERS REPORT'!H1130+'CUSTOMERS REPORT'!H1167+'CUSTOMERS REPORT'!H1204+'CUSTOMERS REPORT'!H1241+'CUSTOMERS REPORT'!H1278+'CUSTOMERS REPORT'!H1315+'CUSTOMERS REPORT'!H1352+'CUSTOMERS REPORT'!H1389+'CUSTOMERS REPORT'!H1425</f>
        <v>0</v>
      </c>
      <c r="AA54" s="852">
        <f>'CUSTOMERS REPORT'!I11+'CUSTOMERS REPORT'!I57+'CUSTOMERS REPORT'!I95+'CUSTOMERS REPORT'!I134+'CUSTOMERS REPORT'!I172+'CUSTOMERS REPORT'!I212+'CUSTOMERS REPORT'!I249+'CUSTOMERS REPORT'!I289+'CUSTOMERS REPORT'!I330+'CUSTOMERS REPORT'!I372+'CUSTOMERS REPORT'!I411+'CUSTOMERS REPORT'!I449+'CUSTOMERS REPORT'!I485+'CUSTOMERS REPORT'!I522+'CUSTOMERS REPORT'!I560+'CUSTOMERS REPORT'!I596+'CUSTOMERS REPORT'!I634+'CUSTOMERS REPORT'!I672+'CUSTOMERS REPORT'!I710+'CUSTOMERS REPORT'!I748+'CUSTOMERS REPORT'!I786+'CUSTOMERS REPORT'!I824+'CUSTOMERS REPORT'!I862+'CUSTOMERS REPORT'!I901+'CUSTOMERS REPORT'!I940+'CUSTOMERS REPORT'!I978+'CUSTOMERS REPORT'!I1016+'CUSTOMERS REPORT'!I1054+'CUSTOMERS REPORT'!I1092+'CUSTOMERS REPORT'!I1130+'CUSTOMERS REPORT'!I1167+'CUSTOMERS REPORT'!I1204+'CUSTOMERS REPORT'!I1241+'CUSTOMERS REPORT'!I1278+'CUSTOMERS REPORT'!I1315+'CUSTOMERS REPORT'!I1352+'CUSTOMERS REPORT'!I1389+'CUSTOMERS REPORT'!I1425</f>
        <v>0</v>
      </c>
      <c r="AB54" s="852">
        <f>'CUSTOMERS REPORT'!J11+'CUSTOMERS REPORT'!J57+'CUSTOMERS REPORT'!J95+'CUSTOMERS REPORT'!J134+'CUSTOMERS REPORT'!J172+'CUSTOMERS REPORT'!J212+'CUSTOMERS REPORT'!J249+'CUSTOMERS REPORT'!J289+'CUSTOMERS REPORT'!J330+'CUSTOMERS REPORT'!J372+'CUSTOMERS REPORT'!J411+'CUSTOMERS REPORT'!J449+'CUSTOMERS REPORT'!J485+'CUSTOMERS REPORT'!J522+'CUSTOMERS REPORT'!J560+'CUSTOMERS REPORT'!J596+'CUSTOMERS REPORT'!J634+'CUSTOMERS REPORT'!J672+'CUSTOMERS REPORT'!J710+'CUSTOMERS REPORT'!J748+'CUSTOMERS REPORT'!J786+'CUSTOMERS REPORT'!J824+'CUSTOMERS REPORT'!J862+'CUSTOMERS REPORT'!J901+'CUSTOMERS REPORT'!J940+'CUSTOMERS REPORT'!J978+'CUSTOMERS REPORT'!J1016+'CUSTOMERS REPORT'!J1054+'CUSTOMERS REPORT'!J1092+'CUSTOMERS REPORT'!J1130+'CUSTOMERS REPORT'!J1167+'CUSTOMERS REPORT'!J1204+'CUSTOMERS REPORT'!J1241+'CUSTOMERS REPORT'!J1278+'CUSTOMERS REPORT'!J1315+'CUSTOMERS REPORT'!J1352+'CUSTOMERS REPORT'!J1389+'CUSTOMERS REPORT'!J1425</f>
        <v>0</v>
      </c>
      <c r="AC54" s="852">
        <f>'CUSTOMERS REPORT'!K11+'CUSTOMERS REPORT'!K57+'CUSTOMERS REPORT'!K95+'CUSTOMERS REPORT'!K134+'CUSTOMERS REPORT'!K172+'CUSTOMERS REPORT'!K212+'CUSTOMERS REPORT'!K249+'CUSTOMERS REPORT'!K289+'CUSTOMERS REPORT'!K330+'CUSTOMERS REPORT'!K372+'CUSTOMERS REPORT'!K411+'CUSTOMERS REPORT'!K449+'CUSTOMERS REPORT'!K485+'CUSTOMERS REPORT'!K522+'CUSTOMERS REPORT'!K560+'CUSTOMERS REPORT'!K596+'CUSTOMERS REPORT'!K634+'CUSTOMERS REPORT'!K672+'CUSTOMERS REPORT'!K710+'CUSTOMERS REPORT'!K748+'CUSTOMERS REPORT'!K786+'CUSTOMERS REPORT'!K824+'CUSTOMERS REPORT'!K862+'CUSTOMERS REPORT'!K901+'CUSTOMERS REPORT'!K940+'CUSTOMERS REPORT'!K978+'CUSTOMERS REPORT'!K1016+'CUSTOMERS REPORT'!K1054+'CUSTOMERS REPORT'!K1092+'CUSTOMERS REPORT'!K1130+'CUSTOMERS REPORT'!K1167+'CUSTOMERS REPORT'!K1204+'CUSTOMERS REPORT'!K1241+'CUSTOMERS REPORT'!K1278+'CUSTOMERS REPORT'!K1315+'CUSTOMERS REPORT'!K1352+'CUSTOMERS REPORT'!K1389+'CUSTOMERS REPORT'!K1425</f>
        <v>0</v>
      </c>
      <c r="AD54" s="852">
        <f>'CUSTOMERS REPORT'!L11+'CUSTOMERS REPORT'!L57+'CUSTOMERS REPORT'!L95+'CUSTOMERS REPORT'!L134+'CUSTOMERS REPORT'!L172+'CUSTOMERS REPORT'!L212+'CUSTOMERS REPORT'!L249+'CUSTOMERS REPORT'!L289+'CUSTOMERS REPORT'!L330+'CUSTOMERS REPORT'!L372+'CUSTOMERS REPORT'!L411+'CUSTOMERS REPORT'!L449+'CUSTOMERS REPORT'!L485+'CUSTOMERS REPORT'!L522+'CUSTOMERS REPORT'!L560+'CUSTOMERS REPORT'!L596+'CUSTOMERS REPORT'!L634+'CUSTOMERS REPORT'!L672+'CUSTOMERS REPORT'!L710+'CUSTOMERS REPORT'!L748+'CUSTOMERS REPORT'!L786+'CUSTOMERS REPORT'!L824+'CUSTOMERS REPORT'!L862+'CUSTOMERS REPORT'!L901+'CUSTOMERS REPORT'!L940+'CUSTOMERS REPORT'!L978+'CUSTOMERS REPORT'!L1016+'CUSTOMERS REPORT'!L1054+'CUSTOMERS REPORT'!L1092+'CUSTOMERS REPORT'!L1130+'CUSTOMERS REPORT'!L1167+'CUSTOMERS REPORT'!L1204+'CUSTOMERS REPORT'!L1241+'CUSTOMERS REPORT'!L1278+'CUSTOMERS REPORT'!L1315+'CUSTOMERS REPORT'!L1352+'CUSTOMERS REPORT'!L1389+'CUSTOMERS REPORT'!L1425</f>
        <v>0</v>
      </c>
      <c r="AE54" s="852">
        <f>'CUSTOMERS REPORT'!M11+'CUSTOMERS REPORT'!M57+'CUSTOMERS REPORT'!M95+'CUSTOMERS REPORT'!M134+'CUSTOMERS REPORT'!M172+'CUSTOMERS REPORT'!M212+'CUSTOMERS REPORT'!M249+'CUSTOMERS REPORT'!M289+'CUSTOMERS REPORT'!M330+'CUSTOMERS REPORT'!M372+'CUSTOMERS REPORT'!M411+'CUSTOMERS REPORT'!M449+'CUSTOMERS REPORT'!M485+'CUSTOMERS REPORT'!M522+'CUSTOMERS REPORT'!M560+'CUSTOMERS REPORT'!M596+'CUSTOMERS REPORT'!M634+'CUSTOMERS REPORT'!M672+'CUSTOMERS REPORT'!M710+'CUSTOMERS REPORT'!M748+'CUSTOMERS REPORT'!M786+'CUSTOMERS REPORT'!M824+'CUSTOMERS REPORT'!M862+'CUSTOMERS REPORT'!M901+'CUSTOMERS REPORT'!M940+'CUSTOMERS REPORT'!M978+'CUSTOMERS REPORT'!M1016+'CUSTOMERS REPORT'!M1054+'CUSTOMERS REPORT'!M1092+'CUSTOMERS REPORT'!M1130+'CUSTOMERS REPORT'!M1167+'CUSTOMERS REPORT'!M1204+'CUSTOMERS REPORT'!M1241+'CUSTOMERS REPORT'!M1278+'CUSTOMERS REPORT'!M1315+'CUSTOMERS REPORT'!M1352+'CUSTOMERS REPORT'!M1389+'CUSTOMERS REPORT'!M1425</f>
        <v>0</v>
      </c>
      <c r="AF54" s="852">
        <f>'CUSTOMERS REPORT'!N11+'CUSTOMERS REPORT'!N57+'CUSTOMERS REPORT'!N95+'CUSTOMERS REPORT'!N134+'CUSTOMERS REPORT'!N172+'CUSTOMERS REPORT'!N212+'CUSTOMERS REPORT'!N249+'CUSTOMERS REPORT'!N289+'CUSTOMERS REPORT'!N330+'CUSTOMERS REPORT'!N372+'CUSTOMERS REPORT'!N411+'CUSTOMERS REPORT'!N449+'CUSTOMERS REPORT'!N485+'CUSTOMERS REPORT'!N522+'CUSTOMERS REPORT'!N560+'CUSTOMERS REPORT'!N596+'CUSTOMERS REPORT'!N634+'CUSTOMERS REPORT'!N672+'CUSTOMERS REPORT'!N710+'CUSTOMERS REPORT'!N748+'CUSTOMERS REPORT'!N786+'CUSTOMERS REPORT'!N824+'CUSTOMERS REPORT'!N862+'CUSTOMERS REPORT'!N901+'CUSTOMERS REPORT'!N940+'CUSTOMERS REPORT'!N978+'CUSTOMERS REPORT'!N1016+'CUSTOMERS REPORT'!N1054+'CUSTOMERS REPORT'!N1092+'CUSTOMERS REPORT'!N1130+'CUSTOMERS REPORT'!N1167+'CUSTOMERS REPORT'!N1204+'CUSTOMERS REPORT'!N1241+'CUSTOMERS REPORT'!N1278+'CUSTOMERS REPORT'!N1315+'CUSTOMERS REPORT'!N1352+'CUSTOMERS REPORT'!N1389+'CUSTOMERS REPORT'!N1425</f>
        <v>0</v>
      </c>
      <c r="AG54" s="852">
        <f>'CUSTOMERS REPORT'!O11+'CUSTOMERS REPORT'!O57+'CUSTOMERS REPORT'!O95+'CUSTOMERS REPORT'!O134+'CUSTOMERS REPORT'!O172+'CUSTOMERS REPORT'!O212+'CUSTOMERS REPORT'!O249+'CUSTOMERS REPORT'!O289+'CUSTOMERS REPORT'!O330+'CUSTOMERS REPORT'!O372+'CUSTOMERS REPORT'!O411+'CUSTOMERS REPORT'!O449+'CUSTOMERS REPORT'!O485+'CUSTOMERS REPORT'!O522+'CUSTOMERS REPORT'!O560+'CUSTOMERS REPORT'!O596+'CUSTOMERS REPORT'!O634+'CUSTOMERS REPORT'!O672+'CUSTOMERS REPORT'!O710+'CUSTOMERS REPORT'!O748+'CUSTOMERS REPORT'!O786+'CUSTOMERS REPORT'!O824+'CUSTOMERS REPORT'!O862+'CUSTOMERS REPORT'!O901+'CUSTOMERS REPORT'!O940+'CUSTOMERS REPORT'!O978+'CUSTOMERS REPORT'!O1016+'CUSTOMERS REPORT'!O1054+'CUSTOMERS REPORT'!O1092+'CUSTOMERS REPORT'!O1130+'CUSTOMERS REPORT'!O1167+'CUSTOMERS REPORT'!O1204+'CUSTOMERS REPORT'!O1241+'CUSTOMERS REPORT'!O1278+'CUSTOMERS REPORT'!O1315+'CUSTOMERS REPORT'!O1352+'CUSTOMERS REPORT'!O1389+'CUSTOMERS REPORT'!O1425</f>
        <v>0</v>
      </c>
      <c r="AH54" s="852">
        <f>'CUSTOMERS REPORT'!P11+'CUSTOMERS REPORT'!P57+'CUSTOMERS REPORT'!P95+'CUSTOMERS REPORT'!P134+'CUSTOMERS REPORT'!P172+'CUSTOMERS REPORT'!P212+'CUSTOMERS REPORT'!P249+'CUSTOMERS REPORT'!P289+'CUSTOMERS REPORT'!P330+'CUSTOMERS REPORT'!P372+'CUSTOMERS REPORT'!P411+'CUSTOMERS REPORT'!P449+'CUSTOMERS REPORT'!P485+'CUSTOMERS REPORT'!P522+'CUSTOMERS REPORT'!P560+'CUSTOMERS REPORT'!P596+'CUSTOMERS REPORT'!P634+'CUSTOMERS REPORT'!P672+'CUSTOMERS REPORT'!P710+'CUSTOMERS REPORT'!P748+'CUSTOMERS REPORT'!P786+'CUSTOMERS REPORT'!P824+'CUSTOMERS REPORT'!P862+'CUSTOMERS REPORT'!P901+'CUSTOMERS REPORT'!P940+'CUSTOMERS REPORT'!P978+'CUSTOMERS REPORT'!P1016+'CUSTOMERS REPORT'!P1054+'CUSTOMERS REPORT'!P1092+'CUSTOMERS REPORT'!P1130+'CUSTOMERS REPORT'!P1167+'CUSTOMERS REPORT'!P1204+'CUSTOMERS REPORT'!P1241+'CUSTOMERS REPORT'!P1278+'CUSTOMERS REPORT'!P1315+'CUSTOMERS REPORT'!P1352+'CUSTOMERS REPORT'!P1389+'CUSTOMERS REPORT'!P1425</f>
        <v>0</v>
      </c>
      <c r="AI54" s="852">
        <f>'CUSTOMERS REPORT'!Q11+'CUSTOMERS REPORT'!Q57+'CUSTOMERS REPORT'!Q95+'CUSTOMERS REPORT'!Q134+'CUSTOMERS REPORT'!Q172+'CUSTOMERS REPORT'!Q212+'CUSTOMERS REPORT'!Q249+'CUSTOMERS REPORT'!Q289+'CUSTOMERS REPORT'!Q330+'CUSTOMERS REPORT'!Q372+'CUSTOMERS REPORT'!Q411+'CUSTOMERS REPORT'!Q449+'CUSTOMERS REPORT'!Q485+'CUSTOMERS REPORT'!Q522+'CUSTOMERS REPORT'!Q560+'CUSTOMERS REPORT'!Q596+'CUSTOMERS REPORT'!Q634+'CUSTOMERS REPORT'!Q672+'CUSTOMERS REPORT'!Q710+'CUSTOMERS REPORT'!Q748+'CUSTOMERS REPORT'!Q786+'CUSTOMERS REPORT'!Q824+'CUSTOMERS REPORT'!Q862+'CUSTOMERS REPORT'!Q901+'CUSTOMERS REPORT'!Q940+'CUSTOMERS REPORT'!Q978+'CUSTOMERS REPORT'!Q1016+'CUSTOMERS REPORT'!Q1054+'CUSTOMERS REPORT'!Q1092+'CUSTOMERS REPORT'!Q1130+'CUSTOMERS REPORT'!Q1167+'CUSTOMERS REPORT'!Q1204+'CUSTOMERS REPORT'!Q1241+'CUSTOMERS REPORT'!Q1278+'CUSTOMERS REPORT'!Q1315+'CUSTOMERS REPORT'!Q1352+'CUSTOMERS REPORT'!Q1389+'CUSTOMERS REPORT'!Q1425</f>
        <v>0</v>
      </c>
      <c r="AJ54" s="852">
        <f>'CUSTOMERS REPORT'!R11+'CUSTOMERS REPORT'!R57+'CUSTOMERS REPORT'!R95+'CUSTOMERS REPORT'!R134+'CUSTOMERS REPORT'!R172+'CUSTOMERS REPORT'!R212+'CUSTOMERS REPORT'!R249+'CUSTOMERS REPORT'!R289+'CUSTOMERS REPORT'!R330+'CUSTOMERS REPORT'!R372+'CUSTOMERS REPORT'!R411+'CUSTOMERS REPORT'!R449+'CUSTOMERS REPORT'!R485+'CUSTOMERS REPORT'!R522+'CUSTOMERS REPORT'!R560+'CUSTOMERS REPORT'!R596+'CUSTOMERS REPORT'!R634+'CUSTOMERS REPORT'!R672+'CUSTOMERS REPORT'!R710+'CUSTOMERS REPORT'!R748+'CUSTOMERS REPORT'!R786+'CUSTOMERS REPORT'!R824+'CUSTOMERS REPORT'!R862+'CUSTOMERS REPORT'!R901+'CUSTOMERS REPORT'!R940+'CUSTOMERS REPORT'!R978+'CUSTOMERS REPORT'!R1016+'CUSTOMERS REPORT'!R1054+'CUSTOMERS REPORT'!R1092+'CUSTOMERS REPORT'!R1130+'CUSTOMERS REPORT'!R1167+'CUSTOMERS REPORT'!R1204+'CUSTOMERS REPORT'!R1241+'CUSTOMERS REPORT'!R1278+'CUSTOMERS REPORT'!R1315+'CUSTOMERS REPORT'!R1352+'CUSTOMERS REPORT'!R1389+'CUSTOMERS REPORT'!R1425</f>
        <v>0</v>
      </c>
      <c r="AK54" s="852">
        <f>'CUSTOMERS REPORT'!S11+'CUSTOMERS REPORT'!S57+'CUSTOMERS REPORT'!S95+'CUSTOMERS REPORT'!S134+'CUSTOMERS REPORT'!S172+'CUSTOMERS REPORT'!S212+'CUSTOMERS REPORT'!S249+'CUSTOMERS REPORT'!S289+'CUSTOMERS REPORT'!S330+'CUSTOMERS REPORT'!S372+'CUSTOMERS REPORT'!S411+'CUSTOMERS REPORT'!S449+'CUSTOMERS REPORT'!S485+'CUSTOMERS REPORT'!S522+'CUSTOMERS REPORT'!S560+'CUSTOMERS REPORT'!S596+'CUSTOMERS REPORT'!S634+'CUSTOMERS REPORT'!S672+'CUSTOMERS REPORT'!S710+'CUSTOMERS REPORT'!S748+'CUSTOMERS REPORT'!S786+'CUSTOMERS REPORT'!S824+'CUSTOMERS REPORT'!S862+'CUSTOMERS REPORT'!S901+'CUSTOMERS REPORT'!S940+'CUSTOMERS REPORT'!S978+'CUSTOMERS REPORT'!S1016+'CUSTOMERS REPORT'!S1054+'CUSTOMERS REPORT'!S1092+'CUSTOMERS REPORT'!S1130+'CUSTOMERS REPORT'!S1167+'CUSTOMERS REPORT'!S1204+'CUSTOMERS REPORT'!S1241+'CUSTOMERS REPORT'!S1278+'CUSTOMERS REPORT'!S1315+'CUSTOMERS REPORT'!S1352+'CUSTOMERS REPORT'!S1389+'CUSTOMERS REPORT'!S1425</f>
        <v>0</v>
      </c>
      <c r="AL54" s="852">
        <f>'CUSTOMERS REPORT'!T11+'CUSTOMERS REPORT'!T57+'CUSTOMERS REPORT'!T95+'CUSTOMERS REPORT'!T134+'CUSTOMERS REPORT'!T172+'CUSTOMERS REPORT'!T212+'CUSTOMERS REPORT'!T249+'CUSTOMERS REPORT'!T289+'CUSTOMERS REPORT'!T330+'CUSTOMERS REPORT'!T372+'CUSTOMERS REPORT'!T411+'CUSTOMERS REPORT'!T449+'CUSTOMERS REPORT'!T485+'CUSTOMERS REPORT'!T522+'CUSTOMERS REPORT'!T560+'CUSTOMERS REPORT'!T596+'CUSTOMERS REPORT'!T634+'CUSTOMERS REPORT'!T672+'CUSTOMERS REPORT'!T710+'CUSTOMERS REPORT'!T748+'CUSTOMERS REPORT'!T786+'CUSTOMERS REPORT'!T824+'CUSTOMERS REPORT'!T862+'CUSTOMERS REPORT'!T901+'CUSTOMERS REPORT'!T940+'CUSTOMERS REPORT'!T978+'CUSTOMERS REPORT'!T1016+'CUSTOMERS REPORT'!T1054+'CUSTOMERS REPORT'!T1092+'CUSTOMERS REPORT'!T1130</f>
        <v>0</v>
      </c>
      <c r="AM54" s="852">
        <f>'CUSTOMERS REPORT'!U11+'CUSTOMERS REPORT'!U57+'CUSTOMERS REPORT'!U95+'CUSTOMERS REPORT'!U134+'CUSTOMERS REPORT'!U172+'CUSTOMERS REPORT'!U212+'CUSTOMERS REPORT'!U249+'CUSTOMERS REPORT'!U289+'CUSTOMERS REPORT'!U330+'CUSTOMERS REPORT'!U372+'CUSTOMERS REPORT'!U411+'CUSTOMERS REPORT'!U449+'CUSTOMERS REPORT'!U485+'CUSTOMERS REPORT'!U522+'CUSTOMERS REPORT'!U560+'CUSTOMERS REPORT'!U596+'CUSTOMERS REPORT'!U634+'CUSTOMERS REPORT'!U672+'CUSTOMERS REPORT'!U710+'CUSTOMERS REPORT'!U748+'CUSTOMERS REPORT'!U786+'CUSTOMERS REPORT'!U824+'CUSTOMERS REPORT'!U862+'CUSTOMERS REPORT'!U901+'CUSTOMERS REPORT'!U940+'CUSTOMERS REPORT'!U978+'CUSTOMERS REPORT'!U1016+'CUSTOMERS REPORT'!U1054+'CUSTOMERS REPORT'!U1092+'CUSTOMERS REPORT'!U1130</f>
        <v>0</v>
      </c>
      <c r="AN54" s="852">
        <f>'CUSTOMERS REPORT'!V11+'CUSTOMERS REPORT'!V57+'CUSTOMERS REPORT'!V95+'CUSTOMERS REPORT'!V134+'CUSTOMERS REPORT'!V172+'CUSTOMERS REPORT'!V212+'CUSTOMERS REPORT'!V249+'CUSTOMERS REPORT'!V289+'CUSTOMERS REPORT'!V330+'CUSTOMERS REPORT'!V372+'CUSTOMERS REPORT'!V411+'CUSTOMERS REPORT'!V449+'CUSTOMERS REPORT'!V485+'CUSTOMERS REPORT'!V522+'CUSTOMERS REPORT'!V560+'CUSTOMERS REPORT'!V596+'CUSTOMERS REPORT'!V634+'CUSTOMERS REPORT'!V672+'CUSTOMERS REPORT'!V710+'CUSTOMERS REPORT'!V748+'CUSTOMERS REPORT'!V786+'CUSTOMERS REPORT'!V824+'CUSTOMERS REPORT'!V862+'CUSTOMERS REPORT'!V901+'CUSTOMERS REPORT'!V940+'CUSTOMERS REPORT'!V978+'CUSTOMERS REPORT'!V1016+'CUSTOMERS REPORT'!V1054+'CUSTOMERS REPORT'!V1092+'CUSTOMERS REPORT'!V1130</f>
        <v>0</v>
      </c>
      <c r="AP54" t="s">
        <v>1</v>
      </c>
    </row>
    <row r="55" spans="1:42" ht="24.95" customHeight="1" thickBot="1">
      <c r="J55" s="417"/>
      <c r="L55" s="417">
        <v>20</v>
      </c>
      <c r="M55" s="417"/>
      <c r="N55" s="417">
        <f t="shared" si="6"/>
        <v>0</v>
      </c>
      <c r="R55" s="123">
        <f>'3'!R57</f>
        <v>0</v>
      </c>
      <c r="S55" s="865" t="s">
        <v>169</v>
      </c>
      <c r="T55" s="866">
        <f t="shared" ref="T55:AN55" si="8">T53-T54-T51</f>
        <v>0</v>
      </c>
      <c r="U55" s="866">
        <f t="shared" si="8"/>
        <v>0</v>
      </c>
      <c r="V55" s="866">
        <f t="shared" si="8"/>
        <v>0</v>
      </c>
      <c r="W55" s="866">
        <f t="shared" si="8"/>
        <v>0</v>
      </c>
      <c r="X55" s="866">
        <f t="shared" si="8"/>
        <v>0</v>
      </c>
      <c r="Y55" s="866">
        <f t="shared" si="8"/>
        <v>0</v>
      </c>
      <c r="Z55" s="866">
        <f t="shared" si="8"/>
        <v>0</v>
      </c>
      <c r="AA55" s="866">
        <f t="shared" si="8"/>
        <v>0</v>
      </c>
      <c r="AB55" s="866">
        <f t="shared" ref="AB55" si="9">AB53-AB54-AB51</f>
        <v>0</v>
      </c>
      <c r="AC55" s="866">
        <f t="shared" si="8"/>
        <v>0</v>
      </c>
      <c r="AD55" s="866">
        <f t="shared" si="8"/>
        <v>0</v>
      </c>
      <c r="AE55" s="866">
        <f t="shared" si="8"/>
        <v>0</v>
      </c>
      <c r="AF55" s="866">
        <f>AF53-AF54-AF51</f>
        <v>0</v>
      </c>
      <c r="AG55" s="866">
        <f t="shared" si="8"/>
        <v>0</v>
      </c>
      <c r="AH55" s="866">
        <f t="shared" si="8"/>
        <v>0</v>
      </c>
      <c r="AI55" s="866">
        <f t="shared" si="8"/>
        <v>0</v>
      </c>
      <c r="AJ55" s="866">
        <f t="shared" si="8"/>
        <v>0</v>
      </c>
      <c r="AK55" s="866">
        <f t="shared" si="8"/>
        <v>0</v>
      </c>
      <c r="AL55" s="866" t="e">
        <f t="shared" si="8"/>
        <v>#VALUE!</v>
      </c>
      <c r="AM55" s="866" t="e">
        <f t="shared" si="8"/>
        <v>#VALUE!</v>
      </c>
      <c r="AN55" s="872" t="e">
        <f t="shared" si="8"/>
        <v>#VALUE!</v>
      </c>
    </row>
    <row r="56" spans="1:42" ht="28.5" thickBot="1">
      <c r="A56" s="114"/>
      <c r="B56" s="120"/>
      <c r="C56" s="115"/>
      <c r="J56" s="417"/>
      <c r="L56" s="417">
        <v>10</v>
      </c>
      <c r="M56" s="417"/>
      <c r="N56" s="417">
        <f t="shared" si="6"/>
        <v>0</v>
      </c>
      <c r="R56" s="123">
        <f>T56+U56+V56+W56+X56+Y56+Z56+AA56+AB56+AC56+AD56+AE56+AF56+AG56+AH56+AI56+AJ56+AK56+AL56+AM56+AN56</f>
        <v>0</v>
      </c>
      <c r="S56" s="874" t="s">
        <v>170</v>
      </c>
      <c r="T56" s="875"/>
      <c r="U56" s="875"/>
      <c r="V56" s="875"/>
      <c r="W56" s="875"/>
      <c r="X56" s="875"/>
      <c r="Y56" s="875"/>
      <c r="Z56" s="876"/>
      <c r="AA56" s="875"/>
      <c r="AB56" s="875"/>
      <c r="AC56" s="875"/>
      <c r="AD56" s="875"/>
      <c r="AE56" s="875"/>
      <c r="AF56" s="875"/>
      <c r="AG56" s="875"/>
      <c r="AH56" s="875"/>
      <c r="AI56" s="875"/>
      <c r="AJ56" s="877"/>
      <c r="AK56" s="877"/>
      <c r="AL56" s="877"/>
      <c r="AM56" s="52"/>
      <c r="AN56" s="928"/>
    </row>
    <row r="57" spans="1:42" ht="27" customHeight="1" thickBot="1">
      <c r="A57" s="114"/>
      <c r="B57" s="131"/>
      <c r="C57" s="115"/>
      <c r="D57" s="115"/>
      <c r="E57" s="19"/>
      <c r="F57" s="19"/>
      <c r="G57" s="19"/>
      <c r="H57" s="19"/>
      <c r="I57" s="19"/>
      <c r="J57" s="418"/>
      <c r="K57" s="19"/>
      <c r="L57" s="418">
        <v>1</v>
      </c>
      <c r="M57" s="418"/>
      <c r="N57" s="417">
        <f t="shared" si="6"/>
        <v>0</v>
      </c>
      <c r="O57" s="19"/>
      <c r="R57" s="123">
        <f>SUM(R55:R56)</f>
        <v>0</v>
      </c>
      <c r="S57" s="882" t="s">
        <v>23</v>
      </c>
      <c r="T57" s="883" t="e">
        <f t="shared" ref="T57:AI57" si="10">T50/T56</f>
        <v>#DIV/0!</v>
      </c>
      <c r="U57" s="883" t="e">
        <f t="shared" si="10"/>
        <v>#DIV/0!</v>
      </c>
      <c r="V57" s="883" t="e">
        <f t="shared" si="10"/>
        <v>#DIV/0!</v>
      </c>
      <c r="W57" s="883" t="e">
        <f t="shared" si="10"/>
        <v>#DIV/0!</v>
      </c>
      <c r="X57" s="883" t="e">
        <f t="shared" si="10"/>
        <v>#DIV/0!</v>
      </c>
      <c r="Y57" s="883" t="e">
        <f t="shared" si="10"/>
        <v>#DIV/0!</v>
      </c>
      <c r="Z57" s="883" t="e">
        <f t="shared" si="10"/>
        <v>#DIV/0!</v>
      </c>
      <c r="AA57" s="883" t="e">
        <f t="shared" si="10"/>
        <v>#DIV/0!</v>
      </c>
      <c r="AB57" s="883" t="e">
        <f t="shared" si="10"/>
        <v>#DIV/0!</v>
      </c>
      <c r="AC57" s="883" t="e">
        <f t="shared" si="10"/>
        <v>#DIV/0!</v>
      </c>
      <c r="AD57" s="883" t="e">
        <f t="shared" si="10"/>
        <v>#DIV/0!</v>
      </c>
      <c r="AE57" s="883" t="e">
        <f t="shared" si="10"/>
        <v>#DIV/0!</v>
      </c>
      <c r="AF57" s="883" t="e">
        <f t="shared" si="10"/>
        <v>#DIV/0!</v>
      </c>
      <c r="AG57" s="883" t="e">
        <f t="shared" si="10"/>
        <v>#DIV/0!</v>
      </c>
      <c r="AH57" s="883" t="e">
        <f t="shared" si="10"/>
        <v>#DIV/0!</v>
      </c>
      <c r="AI57" s="883" t="e">
        <f t="shared" si="10"/>
        <v>#DIV/0!</v>
      </c>
      <c r="AJ57" s="883" t="e">
        <f>AJ50/AJ56</f>
        <v>#DIV/0!</v>
      </c>
      <c r="AK57" s="883" t="e">
        <f>AK50/AK56</f>
        <v>#DIV/0!</v>
      </c>
      <c r="AL57" s="883" t="e">
        <f t="shared" ref="AL57:AN57" si="11">AL50/AL56</f>
        <v>#DIV/0!</v>
      </c>
      <c r="AM57" s="883" t="e">
        <f t="shared" si="11"/>
        <v>#DIV/0!</v>
      </c>
      <c r="AN57" s="884" t="e">
        <f t="shared" si="11"/>
        <v>#DIV/0!</v>
      </c>
    </row>
    <row r="58" spans="1:42" ht="27" customHeight="1" thickBot="1">
      <c r="A58" s="114"/>
      <c r="B58" s="131"/>
      <c r="C58" s="115"/>
      <c r="D58" s="115" t="s">
        <v>1</v>
      </c>
      <c r="L58" s="1501" t="s">
        <v>171</v>
      </c>
      <c r="M58" s="1501"/>
      <c r="N58" s="419">
        <f>SUM(N50:N57)</f>
        <v>0</v>
      </c>
      <c r="R58" s="19"/>
      <c r="S58" s="878" t="s">
        <v>172</v>
      </c>
      <c r="T58" s="879">
        <f>T54</f>
        <v>0</v>
      </c>
      <c r="U58" s="879">
        <f t="shared" ref="U58:AI58" si="12">U54</f>
        <v>0</v>
      </c>
      <c r="V58" s="879">
        <f t="shared" si="12"/>
        <v>0</v>
      </c>
      <c r="W58" s="879">
        <f t="shared" si="12"/>
        <v>0</v>
      </c>
      <c r="X58" s="879">
        <f t="shared" si="12"/>
        <v>0</v>
      </c>
      <c r="Y58" s="879">
        <f t="shared" si="12"/>
        <v>0</v>
      </c>
      <c r="Z58" s="879">
        <f t="shared" si="12"/>
        <v>0</v>
      </c>
      <c r="AA58" s="879">
        <f t="shared" si="12"/>
        <v>0</v>
      </c>
      <c r="AB58" s="879">
        <f t="shared" si="12"/>
        <v>0</v>
      </c>
      <c r="AC58" s="879">
        <f t="shared" si="12"/>
        <v>0</v>
      </c>
      <c r="AD58" s="879">
        <f t="shared" si="12"/>
        <v>0</v>
      </c>
      <c r="AE58" s="879">
        <f t="shared" si="12"/>
        <v>0</v>
      </c>
      <c r="AF58" s="879">
        <f t="shared" si="12"/>
        <v>0</v>
      </c>
      <c r="AG58" s="879">
        <f t="shared" si="12"/>
        <v>0</v>
      </c>
      <c r="AH58" s="879">
        <f t="shared" si="12"/>
        <v>0</v>
      </c>
      <c r="AI58" s="879">
        <f t="shared" si="12"/>
        <v>0</v>
      </c>
      <c r="AJ58" s="879">
        <f>AJ54</f>
        <v>0</v>
      </c>
      <c r="AK58" s="879">
        <f>AK54</f>
        <v>0</v>
      </c>
      <c r="AL58" s="880"/>
      <c r="AM58" s="880"/>
      <c r="AN58" s="881"/>
    </row>
    <row r="59" spans="1:42" ht="27" customHeight="1">
      <c r="A59" s="114"/>
      <c r="B59" s="132"/>
      <c r="C59" s="115"/>
      <c r="D59" s="115" t="s">
        <v>1</v>
      </c>
      <c r="K59" t="s">
        <v>1</v>
      </c>
      <c r="L59" s="1486" t="s">
        <v>173</v>
      </c>
      <c r="M59" s="1486"/>
      <c r="N59" s="420">
        <f>N58-Q48</f>
        <v>0</v>
      </c>
      <c r="R59" s="19"/>
      <c r="S59" s="114"/>
      <c r="T59" s="121"/>
      <c r="U59" s="121"/>
      <c r="V59" s="121"/>
      <c r="W59" s="121"/>
      <c r="X59" s="121"/>
      <c r="Y59" s="121"/>
      <c r="Z59" s="122"/>
      <c r="AA59" s="121"/>
      <c r="AB59" s="121"/>
      <c r="AC59" s="121"/>
      <c r="AD59" s="121"/>
      <c r="AE59" s="121"/>
      <c r="AF59" s="121"/>
      <c r="AG59" s="121"/>
      <c r="AH59" s="119"/>
      <c r="AI59" s="119"/>
    </row>
    <row r="60" spans="1:42" ht="23.25">
      <c r="A60" s="114"/>
      <c r="B60" s="132"/>
      <c r="C60" s="115"/>
      <c r="D60" s="115"/>
      <c r="P60" s="19"/>
      <c r="Q60" s="19"/>
      <c r="R60" s="19"/>
      <c r="S60" s="19"/>
      <c r="U60" t="s">
        <v>1</v>
      </c>
      <c r="W60" t="s">
        <v>1</v>
      </c>
    </row>
    <row r="61" spans="1:42" ht="23.25">
      <c r="A61" s="114"/>
      <c r="B61" s="132"/>
      <c r="C61" s="115"/>
      <c r="D61" s="116"/>
      <c r="M61" t="s">
        <v>1</v>
      </c>
      <c r="P61" s="185"/>
      <c r="Q61" s="186"/>
      <c r="R61" s="19"/>
      <c r="S61" s="19"/>
      <c r="U61" t="s">
        <v>1</v>
      </c>
    </row>
    <row r="62" spans="1:42" ht="20.25">
      <c r="C62" s="116"/>
      <c r="P62" s="19"/>
      <c r="Q62" s="19"/>
      <c r="R62" s="19"/>
      <c r="S62" s="19"/>
      <c r="U62" t="s">
        <v>1</v>
      </c>
    </row>
    <row r="63" spans="1:42">
      <c r="E63" s="19"/>
    </row>
    <row r="64" spans="1:42">
      <c r="E64" s="19"/>
      <c r="J64" t="s">
        <v>3</v>
      </c>
    </row>
    <row r="65" spans="3:5" ht="21">
      <c r="C65" s="251"/>
      <c r="E65" s="19"/>
    </row>
    <row r="66" spans="3:5">
      <c r="E66" s="49"/>
    </row>
    <row r="67" spans="3:5" ht="23.25">
      <c r="E67" s="113"/>
    </row>
  </sheetData>
  <mergeCells count="21">
    <mergeCell ref="P42:Q42"/>
    <mergeCell ref="T47:W47"/>
    <mergeCell ref="X47:Z47"/>
    <mergeCell ref="AJ47:AK47"/>
    <mergeCell ref="AL47:AM47"/>
    <mergeCell ref="L58:M58"/>
    <mergeCell ref="L59:M59"/>
    <mergeCell ref="H47:I47"/>
    <mergeCell ref="S47:S48"/>
    <mergeCell ref="A6:Q6"/>
    <mergeCell ref="S6:AE6"/>
    <mergeCell ref="A7:B7"/>
    <mergeCell ref="P7:Q7"/>
    <mergeCell ref="H46:I46"/>
    <mergeCell ref="AA47:AB47"/>
    <mergeCell ref="AC47:AI47"/>
    <mergeCell ref="AI7:AJ7"/>
    <mergeCell ref="AI20:AJ20"/>
    <mergeCell ref="H48:I48"/>
    <mergeCell ref="P24:Q24"/>
    <mergeCell ref="P33:Q33"/>
  </mergeCells>
  <conditionalFormatting sqref="M48:N48">
    <cfRule type="duplicateValues" dxfId="582" priority="29"/>
    <cfRule type="duplicateValues" dxfId="581" priority="30"/>
    <cfRule type="duplicateValues" dxfId="580" priority="31"/>
    <cfRule type="duplicateValues" dxfId="579" priority="32"/>
  </conditionalFormatting>
  <conditionalFormatting sqref="L48 N48">
    <cfRule type="cellIs" dxfId="578" priority="28" operator="equal">
      <formula>66890</formula>
    </cfRule>
  </conditionalFormatting>
  <conditionalFormatting sqref="N48">
    <cfRule type="cellIs" dxfId="577" priority="27" operator="lessThan">
      <formula>1</formula>
    </cfRule>
  </conditionalFormatting>
  <conditionalFormatting sqref="AC62:AD62">
    <cfRule type="cellIs" dxfId="576" priority="20" operator="lessThan">
      <formula>52</formula>
    </cfRule>
  </conditionalFormatting>
  <conditionalFormatting sqref="T57">
    <cfRule type="cellIs" dxfId="575" priority="16" operator="lessThan">
      <formula>63</formula>
    </cfRule>
  </conditionalFormatting>
  <conditionalFormatting sqref="U57">
    <cfRule type="cellIs" dxfId="574" priority="14" operator="lessThan">
      <formula>63</formula>
    </cfRule>
    <cfRule type="cellIs" dxfId="573" priority="15" operator="lessThan">
      <formula>63</formula>
    </cfRule>
  </conditionalFormatting>
  <conditionalFormatting sqref="W57">
    <cfRule type="cellIs" dxfId="572" priority="13" operator="lessThan">
      <formula>140</formula>
    </cfRule>
  </conditionalFormatting>
  <conditionalFormatting sqref="X57">
    <cfRule type="cellIs" dxfId="571" priority="12" operator="lessThan">
      <formula>125</formula>
    </cfRule>
  </conditionalFormatting>
  <conditionalFormatting sqref="Y57">
    <cfRule type="cellIs" dxfId="570" priority="11" operator="lessThan">
      <formula>150</formula>
    </cfRule>
  </conditionalFormatting>
  <conditionalFormatting sqref="Z57">
    <cfRule type="cellIs" dxfId="569" priority="10" operator="lessThan">
      <formula>590</formula>
    </cfRule>
  </conditionalFormatting>
  <conditionalFormatting sqref="AA57">
    <cfRule type="cellIs" dxfId="568" priority="9" operator="lessThan">
      <formula>704</formula>
    </cfRule>
  </conditionalFormatting>
  <conditionalFormatting sqref="AC57">
    <cfRule type="cellIs" dxfId="567" priority="8" operator="lessThan">
      <formula>52</formula>
    </cfRule>
  </conditionalFormatting>
  <conditionalFormatting sqref="AD57">
    <cfRule type="cellIs" dxfId="566" priority="7" operator="lessThan">
      <formula>52</formula>
    </cfRule>
  </conditionalFormatting>
  <conditionalFormatting sqref="AH57">
    <cfRule type="cellIs" dxfId="565" priority="6" operator="lessThan">
      <formula>63</formula>
    </cfRule>
  </conditionalFormatting>
  <conditionalFormatting sqref="AI57">
    <cfRule type="cellIs" dxfId="564" priority="5" operator="lessThan">
      <formula>63</formula>
    </cfRule>
  </conditionalFormatting>
  <conditionalFormatting sqref="AK57">
    <cfRule type="cellIs" dxfId="563" priority="4" operator="lessThan">
      <formula>270</formula>
    </cfRule>
  </conditionalFormatting>
  <conditionalFormatting sqref="AJ57">
    <cfRule type="cellIs" dxfId="562" priority="3" operator="lessThan">
      <formula>270</formula>
    </cfRule>
  </conditionalFormatting>
  <conditionalFormatting sqref="AL57:AN57">
    <cfRule type="cellIs" dxfId="561" priority="1" operator="lessThan">
      <formula>270</formula>
    </cfRule>
  </conditionalFormatting>
  <printOptions horizontalCentered="1" verticalCentered="1"/>
  <pageMargins left="0" right="0.5" top="0" bottom="0" header="0" footer="0"/>
  <pageSetup paperSize="5" scale="36" orientation="landscape" cellComments="asDisplayed" horizontalDpi="1200" verticalDpi="12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AO67"/>
  <sheetViews>
    <sheetView topLeftCell="AD45" zoomScale="90" zoomScaleNormal="90" workbookViewId="0">
      <selection activeCell="AQ59" sqref="AQ59"/>
    </sheetView>
  </sheetViews>
  <sheetFormatPr defaultRowHeight="15"/>
  <cols>
    <col min="1" max="1" width="32.7109375" bestFit="1" customWidth="1"/>
    <col min="2" max="2" width="20.140625" bestFit="1" customWidth="1"/>
    <col min="3" max="4" width="20.7109375" customWidth="1"/>
    <col min="5" max="5" width="4.7109375" customWidth="1"/>
    <col min="6" max="6" width="29.140625" bestFit="1" customWidth="1"/>
    <col min="7" max="7" width="17.7109375" customWidth="1"/>
    <col min="8" max="9" width="19.140625" bestFit="1" customWidth="1"/>
    <col min="10" max="11" width="17.7109375" customWidth="1"/>
    <col min="12" max="12" width="19.140625" bestFit="1" customWidth="1"/>
    <col min="13" max="14" width="17.7109375" customWidth="1"/>
    <col min="15" max="15" width="7.7109375" customWidth="1"/>
    <col min="16" max="16" width="28.7109375" customWidth="1"/>
    <col min="17" max="17" width="20.7109375" customWidth="1"/>
    <col min="18" max="18" width="7.7109375" customWidth="1"/>
    <col min="19" max="19" width="32.7109375" customWidth="1"/>
    <col min="20" max="37" width="20.7109375" customWidth="1"/>
    <col min="38" max="40" width="20.7109375" hidden="1" customWidth="1"/>
  </cols>
  <sheetData>
    <row r="1" spans="1:36">
      <c r="E1" s="5"/>
    </row>
    <row r="2" spans="1:36">
      <c r="E2" s="5"/>
    </row>
    <row r="3" spans="1:36" ht="15.75" thickBot="1">
      <c r="C3" t="s">
        <v>1</v>
      </c>
      <c r="E3" s="5" t="s">
        <v>1</v>
      </c>
      <c r="F3" t="s">
        <v>1</v>
      </c>
      <c r="N3" t="s">
        <v>1</v>
      </c>
      <c r="S3" t="s">
        <v>1</v>
      </c>
      <c r="U3" t="s">
        <v>1</v>
      </c>
    </row>
    <row r="4" spans="1:36" ht="21.75" thickTop="1">
      <c r="B4" t="s">
        <v>1</v>
      </c>
      <c r="D4" t="s">
        <v>1</v>
      </c>
      <c r="E4" t="s">
        <v>1</v>
      </c>
      <c r="P4" s="617" t="s">
        <v>108</v>
      </c>
      <c r="Q4" s="618">
        <f>'4'!Q4+'5'!Q9+'5'!Q10+'5'!Q19+'5'!Q20+'5'!Q21+'5'!Q22</f>
        <v>0</v>
      </c>
    </row>
    <row r="5" spans="1:36" ht="21.75" thickBot="1">
      <c r="P5" s="619" t="s">
        <v>109</v>
      </c>
      <c r="Q5" s="620">
        <f>'4'!Q5+'5'!Q25+'5'!Q26+'5'!Q27+'5'!Q28+'5'!Q29+'5'!Q30+'5'!Q31</f>
        <v>0</v>
      </c>
    </row>
    <row r="6" spans="1:36" ht="48" thickTop="1" thickBot="1">
      <c r="A6" s="1502">
        <f>'Main Page'!E21</f>
        <v>44870</v>
      </c>
      <c r="B6" s="1507"/>
      <c r="C6" s="1507"/>
      <c r="D6" s="1507"/>
      <c r="E6" s="1507"/>
      <c r="F6" s="1507"/>
      <c r="G6" s="1507"/>
      <c r="H6" s="1507"/>
      <c r="I6" s="1507"/>
      <c r="J6" s="1507"/>
      <c r="K6" s="1507"/>
      <c r="L6" s="1507"/>
      <c r="M6" s="1507"/>
      <c r="N6" s="1507"/>
      <c r="O6" s="1507"/>
      <c r="P6" s="1507"/>
      <c r="Q6" s="1515"/>
      <c r="R6" t="s">
        <v>1</v>
      </c>
      <c r="S6" s="1502">
        <f>A6</f>
        <v>44870</v>
      </c>
      <c r="T6" s="1503"/>
      <c r="U6" s="1503"/>
      <c r="V6" s="1503"/>
      <c r="W6" s="1503"/>
      <c r="X6" s="1503"/>
      <c r="Y6" s="1503"/>
      <c r="Z6" s="1503"/>
      <c r="AA6" s="1503"/>
      <c r="AB6" s="1503"/>
      <c r="AC6" s="1503"/>
      <c r="AD6" s="1503"/>
      <c r="AE6" s="1504"/>
    </row>
    <row r="7" spans="1:36" ht="39.950000000000003" customHeight="1" thickTop="1" thickBot="1">
      <c r="A7" s="1505" t="s">
        <v>110</v>
      </c>
      <c r="B7" s="1506"/>
      <c r="C7" s="367" t="s">
        <v>97</v>
      </c>
      <c r="D7" s="368" t="s">
        <v>74</v>
      </c>
      <c r="F7" s="363" t="s">
        <v>111</v>
      </c>
      <c r="G7" s="364" t="s">
        <v>112</v>
      </c>
      <c r="H7" s="365" t="s">
        <v>113</v>
      </c>
      <c r="I7" s="365" t="s">
        <v>26</v>
      </c>
      <c r="J7" s="365" t="s">
        <v>114</v>
      </c>
      <c r="K7" s="366" t="s">
        <v>115</v>
      </c>
      <c r="L7" s="365" t="s">
        <v>116</v>
      </c>
      <c r="M7" s="365" t="s">
        <v>117</v>
      </c>
      <c r="N7" s="365" t="s">
        <v>118</v>
      </c>
      <c r="P7" s="1510" t="s">
        <v>69</v>
      </c>
      <c r="Q7" s="1511"/>
      <c r="S7" s="380" t="s">
        <v>58</v>
      </c>
      <c r="T7" s="380" t="s">
        <v>59</v>
      </c>
      <c r="U7" s="380" t="s">
        <v>119</v>
      </c>
      <c r="V7" s="380" t="s">
        <v>74</v>
      </c>
      <c r="W7" s="380" t="s">
        <v>120</v>
      </c>
      <c r="X7" s="380" t="s">
        <v>59</v>
      </c>
      <c r="Z7" s="367" t="s">
        <v>121</v>
      </c>
      <c r="AA7" s="367" t="s">
        <v>97</v>
      </c>
      <c r="AB7" s="415" t="s">
        <v>122</v>
      </c>
      <c r="AC7" s="416" t="s">
        <v>90</v>
      </c>
      <c r="AD7" s="367" t="s">
        <v>56</v>
      </c>
      <c r="AE7" s="381" t="s">
        <v>100</v>
      </c>
      <c r="AF7" s="560" t="s">
        <v>122</v>
      </c>
      <c r="AG7" s="570" t="s">
        <v>56</v>
      </c>
      <c r="AI7" s="1487" t="s">
        <v>123</v>
      </c>
      <c r="AJ7" s="1488"/>
    </row>
    <row r="8" spans="1:36" ht="27" customHeight="1" thickTop="1" thickBot="1">
      <c r="A8" s="717"/>
      <c r="B8" s="233"/>
      <c r="C8" s="463"/>
      <c r="D8" s="233"/>
      <c r="F8" s="478" t="str">
        <f>'4'!F8</f>
        <v>ISHAQ ANSARI</v>
      </c>
      <c r="G8" s="405">
        <f>'CUSTOMERS REPORT'!Y12</f>
        <v>0</v>
      </c>
      <c r="H8" s="503">
        <f>'CUSTOMERS REPORT'!Z12</f>
        <v>0</v>
      </c>
      <c r="I8" s="405">
        <f>'CUSTOMERS REPORT'!AA12</f>
        <v>0</v>
      </c>
      <c r="J8" s="497">
        <f>'CUSTOMERS REPORT'!AB12</f>
        <v>0</v>
      </c>
      <c r="K8" s="497">
        <f>'CUSTOMERS REPORT'!AC12</f>
        <v>0</v>
      </c>
      <c r="L8" s="508">
        <f>'CUSTOMERS REPORT'!AD12</f>
        <v>0</v>
      </c>
      <c r="M8" s="413">
        <f>'4'!M8+'5'!G8</f>
        <v>0</v>
      </c>
      <c r="N8" s="411">
        <f>'4'!N8+'5'!J8</f>
        <v>0</v>
      </c>
      <c r="P8" s="191" t="s">
        <v>124</v>
      </c>
      <c r="Q8" s="223">
        <f>'4'!Q32</f>
        <v>0</v>
      </c>
      <c r="S8" s="399" t="str">
        <f>'4'!S8</f>
        <v>FLOUR</v>
      </c>
      <c r="T8" s="446">
        <f>'4'!X8</f>
        <v>0</v>
      </c>
      <c r="U8" s="455"/>
      <c r="V8" s="450">
        <f t="shared" ref="V8:V43" si="0">SUM(T8:U8)</f>
        <v>0</v>
      </c>
      <c r="W8" s="450"/>
      <c r="X8" s="446">
        <f t="shared" ref="X8:X43" si="1">V8-W8</f>
        <v>0</v>
      </c>
      <c r="Z8" s="382" t="str">
        <f>'4'!Z8</f>
        <v>GHAZI</v>
      </c>
      <c r="AA8" s="464">
        <f>'4'!AE8</f>
        <v>0</v>
      </c>
      <c r="AB8" s="459"/>
      <c r="AC8" s="233">
        <f t="shared" ref="AC8:AC41" si="2">AA8+AB8</f>
        <v>0</v>
      </c>
      <c r="AD8" s="468"/>
      <c r="AE8" s="463">
        <f t="shared" ref="AE8:AE42" si="3">AC8-AD8</f>
        <v>0</v>
      </c>
      <c r="AF8" s="563">
        <f>'4'!AF8+'5'!AB8</f>
        <v>0</v>
      </c>
      <c r="AG8" s="233">
        <f>'4'!AG8+'5'!AD8</f>
        <v>0</v>
      </c>
      <c r="AI8" s="391" t="s">
        <v>126</v>
      </c>
      <c r="AJ8" s="392">
        <f>'4'!AJ10</f>
        <v>0</v>
      </c>
    </row>
    <row r="9" spans="1:36" ht="27" customHeight="1" thickTop="1">
      <c r="A9" s="718"/>
      <c r="B9" s="526"/>
      <c r="C9" s="348"/>
      <c r="D9" s="550"/>
      <c r="F9" s="479" t="str">
        <f>'4'!F9</f>
        <v>MAKKI BAKERY</v>
      </c>
      <c r="G9" s="406">
        <f>'CUSTOMERS REPORT'!Y58</f>
        <v>0</v>
      </c>
      <c r="H9" s="504">
        <f>'CUSTOMERS REPORT'!Z58</f>
        <v>0</v>
      </c>
      <c r="I9" s="406">
        <f>'CUSTOMERS REPORT'!AA58</f>
        <v>0</v>
      </c>
      <c r="J9" s="498">
        <f>'CUSTOMERS REPORT'!AB58</f>
        <v>0</v>
      </c>
      <c r="K9" s="498">
        <f>'CUSTOMERS REPORT'!AC58</f>
        <v>0</v>
      </c>
      <c r="L9" s="509">
        <f>'CUSTOMERS REPORT'!AD58</f>
        <v>0</v>
      </c>
      <c r="M9" s="414">
        <f>'4'!M9+'5'!G9</f>
        <v>0</v>
      </c>
      <c r="N9" s="412">
        <f>'4'!N9+'5'!J9</f>
        <v>0</v>
      </c>
      <c r="P9" s="432"/>
      <c r="Q9" s="436"/>
      <c r="S9" s="400" t="str">
        <f>'4'!S9</f>
        <v>SUGAR</v>
      </c>
      <c r="T9" s="446">
        <f>'4'!X9</f>
        <v>0</v>
      </c>
      <c r="U9" s="456"/>
      <c r="V9" s="451">
        <f t="shared" si="0"/>
        <v>0</v>
      </c>
      <c r="W9" s="451"/>
      <c r="X9" s="447">
        <f t="shared" si="1"/>
        <v>0</v>
      </c>
      <c r="Z9" s="375" t="str">
        <f>'4'!Z9</f>
        <v>SOHNI</v>
      </c>
      <c r="AA9" s="464">
        <f>'4'!AE9</f>
        <v>0</v>
      </c>
      <c r="AB9" s="460"/>
      <c r="AC9" s="462">
        <f t="shared" si="2"/>
        <v>0</v>
      </c>
      <c r="AD9" s="469"/>
      <c r="AE9" s="348">
        <f t="shared" si="3"/>
        <v>0</v>
      </c>
      <c r="AF9" s="563">
        <f>'4'!AF9+'5'!AB9</f>
        <v>0</v>
      </c>
      <c r="AG9" s="234">
        <f>'4'!AG9+'5'!AD9</f>
        <v>0</v>
      </c>
      <c r="AI9" s="393" t="s">
        <v>128</v>
      </c>
      <c r="AJ9" s="394">
        <f>B26</f>
        <v>0</v>
      </c>
    </row>
    <row r="10" spans="1:36" ht="27" customHeight="1" thickBot="1">
      <c r="A10" s="718"/>
      <c r="B10" s="528"/>
      <c r="C10" s="350"/>
      <c r="D10" s="550"/>
      <c r="F10" s="479" t="str">
        <f>'4'!F10</f>
        <v>ABID HUSSAIN</v>
      </c>
      <c r="G10" s="406">
        <f>'CUSTOMERS REPORT'!Y96</f>
        <v>0</v>
      </c>
      <c r="H10" s="504">
        <f>'CUSTOMERS REPORT'!Z96</f>
        <v>0</v>
      </c>
      <c r="I10" s="406">
        <f>'CUSTOMERS REPORT'!AA96</f>
        <v>0</v>
      </c>
      <c r="J10" s="498">
        <f>'CUSTOMERS REPORT'!AB96</f>
        <v>0</v>
      </c>
      <c r="K10" s="498">
        <f>'CUSTOMERS REPORT'!AC96</f>
        <v>0</v>
      </c>
      <c r="L10" s="509">
        <f>'CUSTOMERS REPORT'!AD96</f>
        <v>0</v>
      </c>
      <c r="M10" s="414">
        <f>'4'!M10+'5'!G10</f>
        <v>0</v>
      </c>
      <c r="N10" s="412">
        <f>'4'!N10+'5'!J10</f>
        <v>0</v>
      </c>
      <c r="P10" s="433"/>
      <c r="Q10" s="437"/>
      <c r="S10" s="400" t="str">
        <f>'4'!S10</f>
        <v>GHEE</v>
      </c>
      <c r="T10" s="446">
        <f>'4'!X10</f>
        <v>0</v>
      </c>
      <c r="U10" s="456"/>
      <c r="V10" s="451">
        <f t="shared" si="0"/>
        <v>0</v>
      </c>
      <c r="W10" s="451"/>
      <c r="X10" s="447">
        <f t="shared" si="1"/>
        <v>0</v>
      </c>
      <c r="Z10" s="375" t="str">
        <f>'4'!Z10</f>
        <v>HUSSAINI</v>
      </c>
      <c r="AA10" s="464">
        <f>'4'!AE10</f>
        <v>0</v>
      </c>
      <c r="AB10" s="460"/>
      <c r="AC10" s="462">
        <f t="shared" si="2"/>
        <v>0</v>
      </c>
      <c r="AD10" s="469"/>
      <c r="AE10" s="348">
        <f t="shared" si="3"/>
        <v>0</v>
      </c>
      <c r="AF10" s="563">
        <f>'4'!AF10+'5'!AB10</f>
        <v>0</v>
      </c>
      <c r="AG10" s="234">
        <f>'4'!AG10+'5'!AD10</f>
        <v>0</v>
      </c>
      <c r="AI10" s="395" t="s">
        <v>74</v>
      </c>
      <c r="AJ10" s="396">
        <f>AJ8+AJ9</f>
        <v>0</v>
      </c>
    </row>
    <row r="11" spans="1:36" ht="27" customHeight="1" thickTop="1">
      <c r="A11" s="718"/>
      <c r="B11" s="528"/>
      <c r="C11" s="350"/>
      <c r="D11" s="550"/>
      <c r="F11" s="479" t="str">
        <f>'4'!F11</f>
        <v>SHAHID 5 #</v>
      </c>
      <c r="G11" s="406">
        <f>'CUSTOMERS REPORT'!Y135</f>
        <v>0</v>
      </c>
      <c r="H11" s="504">
        <f>'CUSTOMERS REPORT'!Z135</f>
        <v>0</v>
      </c>
      <c r="I11" s="406">
        <f>'CUSTOMERS REPORT'!AA135</f>
        <v>0</v>
      </c>
      <c r="J11" s="498">
        <f>'CUSTOMERS REPORT'!AB135</f>
        <v>0</v>
      </c>
      <c r="K11" s="498">
        <f>'CUSTOMERS REPORT'!AC135</f>
        <v>0</v>
      </c>
      <c r="L11" s="509">
        <f>'CUSTOMERS REPORT'!AD135</f>
        <v>0</v>
      </c>
      <c r="M11" s="414">
        <f>'4'!M11+'5'!G11</f>
        <v>0</v>
      </c>
      <c r="N11" s="412">
        <f>'4'!N11+'5'!J11</f>
        <v>0</v>
      </c>
      <c r="P11" s="433"/>
      <c r="Q11" s="437"/>
      <c r="S11" s="400" t="str">
        <f>'4'!S11</f>
        <v>YEAST</v>
      </c>
      <c r="T11" s="446">
        <f>'4'!X11</f>
        <v>0</v>
      </c>
      <c r="U11" s="456"/>
      <c r="V11" s="451">
        <f t="shared" si="0"/>
        <v>0</v>
      </c>
      <c r="W11" s="451"/>
      <c r="X11" s="447">
        <f t="shared" si="1"/>
        <v>0</v>
      </c>
      <c r="Z11" s="375" t="str">
        <f>'4'!Z11</f>
        <v>IMRAN ALAM</v>
      </c>
      <c r="AA11" s="464">
        <f>'4'!AE11</f>
        <v>0</v>
      </c>
      <c r="AB11" s="460"/>
      <c r="AC11" s="462">
        <f t="shared" si="2"/>
        <v>0</v>
      </c>
      <c r="AD11" s="469"/>
      <c r="AE11" s="348">
        <f t="shared" si="3"/>
        <v>0</v>
      </c>
      <c r="AF11" s="563">
        <f>'4'!AF11+'5'!AB11</f>
        <v>0</v>
      </c>
      <c r="AG11" s="234">
        <f>'4'!AG11+'5'!AD11</f>
        <v>0</v>
      </c>
      <c r="AI11" s="1031"/>
      <c r="AJ11" s="1032"/>
    </row>
    <row r="12" spans="1:36" ht="27" customHeight="1">
      <c r="A12" s="718"/>
      <c r="B12" s="528"/>
      <c r="C12" s="350"/>
      <c r="D12" s="550"/>
      <c r="F12" s="479" t="str">
        <f>'4'!F12</f>
        <v>ZULFIQAR</v>
      </c>
      <c r="G12" s="406">
        <f>'CUSTOMERS REPORT'!Y173</f>
        <v>0</v>
      </c>
      <c r="H12" s="504">
        <f>'CUSTOMERS REPORT'!Z173</f>
        <v>0</v>
      </c>
      <c r="I12" s="406">
        <f>'CUSTOMERS REPORT'!AA173</f>
        <v>0</v>
      </c>
      <c r="J12" s="498">
        <f>'CUSTOMERS REPORT'!AB173</f>
        <v>0</v>
      </c>
      <c r="K12" s="498">
        <f>'CUSTOMERS REPORT'!AC173</f>
        <v>0</v>
      </c>
      <c r="L12" s="509">
        <f>'CUSTOMERS REPORT'!AD173</f>
        <v>0</v>
      </c>
      <c r="M12" s="414">
        <f>'4'!M12+'5'!G12</f>
        <v>0</v>
      </c>
      <c r="N12" s="412">
        <f>'4'!N12+'5'!J12</f>
        <v>0</v>
      </c>
      <c r="P12" s="433"/>
      <c r="Q12" s="437"/>
      <c r="S12" s="400" t="str">
        <f>'4'!S12</f>
        <v xml:space="preserve">EKKA </v>
      </c>
      <c r="T12" s="446">
        <f>'4'!X12</f>
        <v>0</v>
      </c>
      <c r="U12" s="456"/>
      <c r="V12" s="451">
        <f t="shared" si="0"/>
        <v>0</v>
      </c>
      <c r="W12" s="451"/>
      <c r="X12" s="447">
        <f t="shared" si="1"/>
        <v>0</v>
      </c>
      <c r="Z12" s="375" t="str">
        <f>'4'!Z12</f>
        <v>ZAHEER</v>
      </c>
      <c r="AA12" s="464">
        <f>'4'!AE12</f>
        <v>0</v>
      </c>
      <c r="AB12" s="460"/>
      <c r="AC12" s="462">
        <f t="shared" si="2"/>
        <v>0</v>
      </c>
      <c r="AD12" s="469"/>
      <c r="AE12" s="348">
        <f t="shared" si="3"/>
        <v>0</v>
      </c>
      <c r="AF12" s="563">
        <f>'4'!AF12+'5'!AB12</f>
        <v>0</v>
      </c>
      <c r="AG12" s="234">
        <f>'4'!AG12+'5'!AD12</f>
        <v>0</v>
      </c>
      <c r="AI12" s="1031"/>
      <c r="AJ12" s="1032"/>
    </row>
    <row r="13" spans="1:36" ht="27" customHeight="1">
      <c r="A13" s="718"/>
      <c r="B13" s="528"/>
      <c r="C13" s="350"/>
      <c r="D13" s="550"/>
      <c r="F13" s="479" t="str">
        <f>'4'!F13</f>
        <v>QASIM ORANGI</v>
      </c>
      <c r="G13" s="406">
        <f>'CUSTOMERS REPORT'!Y213</f>
        <v>0</v>
      </c>
      <c r="H13" s="504">
        <f>'CUSTOMERS REPORT'!Z213</f>
        <v>0</v>
      </c>
      <c r="I13" s="406">
        <f>'CUSTOMERS REPORT'!AA213</f>
        <v>0</v>
      </c>
      <c r="J13" s="498">
        <f>'CUSTOMERS REPORT'!AB213</f>
        <v>0</v>
      </c>
      <c r="K13" s="498">
        <f>'CUSTOMERS REPORT'!AC213</f>
        <v>0</v>
      </c>
      <c r="L13" s="509">
        <f>'CUSTOMERS REPORT'!AD213</f>
        <v>0</v>
      </c>
      <c r="M13" s="414">
        <f>'4'!M13+'5'!G13</f>
        <v>0</v>
      </c>
      <c r="N13" s="412">
        <f>'4'!N13+'5'!J13</f>
        <v>0</v>
      </c>
      <c r="P13" s="433"/>
      <c r="Q13" s="437"/>
      <c r="S13" s="400" t="str">
        <f>'4'!S13</f>
        <v>VANILLA</v>
      </c>
      <c r="T13" s="446">
        <f>'4'!X13</f>
        <v>0</v>
      </c>
      <c r="U13" s="456"/>
      <c r="V13" s="451">
        <f t="shared" si="0"/>
        <v>0</v>
      </c>
      <c r="W13" s="451"/>
      <c r="X13" s="447">
        <f t="shared" si="1"/>
        <v>0</v>
      </c>
      <c r="Z13" s="375" t="str">
        <f>'4'!Z13</f>
        <v>FAISAL</v>
      </c>
      <c r="AA13" s="464">
        <f>'4'!AE13</f>
        <v>0</v>
      </c>
      <c r="AB13" s="460"/>
      <c r="AC13" s="462">
        <f t="shared" si="2"/>
        <v>0</v>
      </c>
      <c r="AD13" s="469"/>
      <c r="AE13" s="348">
        <f t="shared" si="3"/>
        <v>0</v>
      </c>
      <c r="AF13" s="563">
        <f>'4'!AF13+'5'!AB13</f>
        <v>0</v>
      </c>
      <c r="AG13" s="234">
        <f>'4'!AG13+'5'!AD13</f>
        <v>0</v>
      </c>
      <c r="AI13" s="1031"/>
      <c r="AJ13" s="1032"/>
    </row>
    <row r="14" spans="1:36" ht="27" customHeight="1">
      <c r="A14" s="718"/>
      <c r="B14" s="528"/>
      <c r="C14" s="350"/>
      <c r="D14" s="550"/>
      <c r="F14" s="479" t="str">
        <f>'4'!F14</f>
        <v>BADSHAH KHAN HYD</v>
      </c>
      <c r="G14" s="406">
        <f>'CUSTOMERS REPORT'!Y250</f>
        <v>0</v>
      </c>
      <c r="H14" s="504">
        <f>'CUSTOMERS REPORT'!Z250</f>
        <v>0</v>
      </c>
      <c r="I14" s="406">
        <f>'CUSTOMERS REPORT'!AA250</f>
        <v>0</v>
      </c>
      <c r="J14" s="498">
        <f>'CUSTOMERS REPORT'!AB250</f>
        <v>0</v>
      </c>
      <c r="K14" s="498">
        <f>'CUSTOMERS REPORT'!AC250</f>
        <v>0</v>
      </c>
      <c r="L14" s="509">
        <f>'CUSTOMERS REPORT'!AD250</f>
        <v>0</v>
      </c>
      <c r="M14" s="414">
        <f>'4'!M14+'5'!G14</f>
        <v>0</v>
      </c>
      <c r="N14" s="412">
        <f>'4'!N14+'5'!J14</f>
        <v>0</v>
      </c>
      <c r="P14" s="433"/>
      <c r="Q14" s="437"/>
      <c r="S14" s="400" t="str">
        <f>'4'!S14</f>
        <v>COLOUR</v>
      </c>
      <c r="T14" s="446">
        <f>'4'!X14</f>
        <v>0</v>
      </c>
      <c r="U14" s="456"/>
      <c r="V14" s="451">
        <f t="shared" si="0"/>
        <v>0</v>
      </c>
      <c r="W14" s="451"/>
      <c r="X14" s="447">
        <f t="shared" si="1"/>
        <v>0</v>
      </c>
      <c r="Z14" s="375" t="str">
        <f>'4'!Z14</f>
        <v>RANA EKKA</v>
      </c>
      <c r="AA14" s="464">
        <f>'4'!AE14</f>
        <v>0</v>
      </c>
      <c r="AB14" s="460"/>
      <c r="AC14" s="462">
        <f t="shared" si="2"/>
        <v>0</v>
      </c>
      <c r="AD14" s="469"/>
      <c r="AE14" s="348">
        <f t="shared" si="3"/>
        <v>0</v>
      </c>
      <c r="AF14" s="563">
        <f>'4'!AF14+'5'!AB14</f>
        <v>0</v>
      </c>
      <c r="AG14" s="234">
        <f>'4'!AG14+'5'!AD14</f>
        <v>0</v>
      </c>
      <c r="AI14" s="1031"/>
      <c r="AJ14" s="1032"/>
    </row>
    <row r="15" spans="1:36" ht="27" customHeight="1">
      <c r="A15" s="718"/>
      <c r="B15" s="528"/>
      <c r="C15" s="350"/>
      <c r="D15" s="550"/>
      <c r="F15" s="479" t="str">
        <f>'4'!F15</f>
        <v>SHAMOON</v>
      </c>
      <c r="G15" s="406">
        <f>'CUSTOMERS REPORT'!Y290</f>
        <v>0</v>
      </c>
      <c r="H15" s="504">
        <f>'CUSTOMERS REPORT'!Z290</f>
        <v>0</v>
      </c>
      <c r="I15" s="406">
        <f>'CUSTOMERS REPORT'!AA290</f>
        <v>0</v>
      </c>
      <c r="J15" s="498">
        <f>'CUSTOMERS REPORT'!AB290</f>
        <v>0</v>
      </c>
      <c r="K15" s="498">
        <f>'CUSTOMERS REPORT'!AC290</f>
        <v>0</v>
      </c>
      <c r="L15" s="509">
        <f>'CUSTOMERS REPORT'!AD290</f>
        <v>0</v>
      </c>
      <c r="M15" s="414">
        <f>'4'!M15+'5'!G15</f>
        <v>0</v>
      </c>
      <c r="N15" s="412">
        <f>'4'!N15+'5'!J15</f>
        <v>0</v>
      </c>
      <c r="P15" s="433"/>
      <c r="Q15" s="437"/>
      <c r="S15" s="400" t="str">
        <f>'4'!S15</f>
        <v>TILL</v>
      </c>
      <c r="T15" s="446">
        <f>'4'!X15</f>
        <v>0</v>
      </c>
      <c r="U15" s="456"/>
      <c r="V15" s="451">
        <f t="shared" si="0"/>
        <v>0</v>
      </c>
      <c r="W15" s="451"/>
      <c r="X15" s="447">
        <f t="shared" si="1"/>
        <v>0</v>
      </c>
      <c r="Z15" s="375" t="str">
        <f>'4'!Z15</f>
        <v>sheeba</v>
      </c>
      <c r="AA15" s="464">
        <f>'4'!AE15</f>
        <v>0</v>
      </c>
      <c r="AB15" s="460"/>
      <c r="AC15" s="462">
        <f t="shared" si="2"/>
        <v>0</v>
      </c>
      <c r="AD15" s="469"/>
      <c r="AE15" s="348">
        <f t="shared" si="3"/>
        <v>0</v>
      </c>
      <c r="AF15" s="563">
        <f>'4'!AF15+'5'!AB15</f>
        <v>0</v>
      </c>
      <c r="AG15" s="234">
        <f>'4'!AG15+'5'!AD15</f>
        <v>0</v>
      </c>
      <c r="AI15" s="1031"/>
      <c r="AJ15" s="1032"/>
    </row>
    <row r="16" spans="1:36" ht="27" customHeight="1">
      <c r="A16" s="718"/>
      <c r="B16" s="528"/>
      <c r="C16" s="350"/>
      <c r="D16" s="550"/>
      <c r="F16" s="479" t="str">
        <f>'4'!F16</f>
        <v>MATEEN</v>
      </c>
      <c r="G16" s="406">
        <f>'CUSTOMERS REPORT'!Y331</f>
        <v>0</v>
      </c>
      <c r="H16" s="504">
        <f>'CUSTOMERS REPORT'!Z331</f>
        <v>0</v>
      </c>
      <c r="I16" s="406">
        <f>'CUSTOMERS REPORT'!AA331</f>
        <v>0</v>
      </c>
      <c r="J16" s="498">
        <f>'CUSTOMERS REPORT'!AB331</f>
        <v>0</v>
      </c>
      <c r="K16" s="498">
        <f>'CUSTOMERS REPORT'!AC331</f>
        <v>0</v>
      </c>
      <c r="L16" s="509">
        <f>'CUSTOMERS REPORT'!AD331</f>
        <v>0</v>
      </c>
      <c r="M16" s="414">
        <f>'4'!M16+'5'!G16</f>
        <v>0</v>
      </c>
      <c r="N16" s="412">
        <f>'4'!N16+'5'!J16</f>
        <v>0</v>
      </c>
      <c r="P16" s="433"/>
      <c r="Q16" s="437"/>
      <c r="S16" s="400" t="str">
        <f>'4'!S16</f>
        <v>ILLAICHI</v>
      </c>
      <c r="T16" s="446">
        <f>'4'!X16</f>
        <v>0</v>
      </c>
      <c r="U16" s="456"/>
      <c r="V16" s="451">
        <f t="shared" si="0"/>
        <v>0</v>
      </c>
      <c r="W16" s="451"/>
      <c r="X16" s="447">
        <f t="shared" si="1"/>
        <v>0</v>
      </c>
      <c r="Z16" s="375" t="str">
        <f>'4'!Z16</f>
        <v>COTTON</v>
      </c>
      <c r="AA16" s="464">
        <f>'4'!AE16</f>
        <v>0</v>
      </c>
      <c r="AB16" s="460"/>
      <c r="AC16" s="462">
        <f t="shared" si="2"/>
        <v>0</v>
      </c>
      <c r="AD16" s="469"/>
      <c r="AE16" s="348">
        <f t="shared" si="3"/>
        <v>0</v>
      </c>
      <c r="AF16" s="563">
        <f>'4'!AF16+'5'!AB16</f>
        <v>0</v>
      </c>
      <c r="AG16" s="234">
        <f>'4'!AG16+'5'!AD16</f>
        <v>0</v>
      </c>
      <c r="AI16" s="1031"/>
      <c r="AJ16" s="1032"/>
    </row>
    <row r="17" spans="1:36" ht="27" customHeight="1">
      <c r="A17" s="718"/>
      <c r="B17" s="528"/>
      <c r="C17" s="350"/>
      <c r="D17" s="550"/>
      <c r="F17" s="479" t="str">
        <f>'4'!F17</f>
        <v>AMJAD ORANGI</v>
      </c>
      <c r="G17" s="406">
        <f>'CUSTOMERS REPORT'!Y373</f>
        <v>0</v>
      </c>
      <c r="H17" s="504">
        <f>'CUSTOMERS REPORT'!Z373</f>
        <v>0</v>
      </c>
      <c r="I17" s="406">
        <f>'CUSTOMERS REPORT'!AA373</f>
        <v>0</v>
      </c>
      <c r="J17" s="498">
        <f>'CUSTOMERS REPORT'!AB373</f>
        <v>0</v>
      </c>
      <c r="K17" s="498">
        <f>'CUSTOMERS REPORT'!AC373</f>
        <v>0</v>
      </c>
      <c r="L17" s="509">
        <f>'CUSTOMERS REPORT'!AD373</f>
        <v>0</v>
      </c>
      <c r="M17" s="414">
        <f>'4'!M17+'5'!G17</f>
        <v>0</v>
      </c>
      <c r="N17" s="412">
        <f>'4'!N17+'5'!J17</f>
        <v>0</v>
      </c>
      <c r="P17" s="433"/>
      <c r="Q17" s="437"/>
      <c r="S17" s="400" t="str">
        <f>'4'!S17</f>
        <v>S-THELLI</v>
      </c>
      <c r="T17" s="446">
        <f>'4'!X17</f>
        <v>0</v>
      </c>
      <c r="U17" s="456"/>
      <c r="V17" s="451">
        <f t="shared" si="0"/>
        <v>0</v>
      </c>
      <c r="W17" s="451"/>
      <c r="X17" s="447">
        <f t="shared" si="1"/>
        <v>0</v>
      </c>
      <c r="Z17" s="375" t="str">
        <f>'4'!Z17</f>
        <v>SHAHID UP</v>
      </c>
      <c r="AA17" s="464">
        <f>'4'!AE17</f>
        <v>0</v>
      </c>
      <c r="AB17" s="460"/>
      <c r="AC17" s="462">
        <f t="shared" si="2"/>
        <v>0</v>
      </c>
      <c r="AD17" s="469"/>
      <c r="AE17" s="348">
        <f t="shared" si="3"/>
        <v>0</v>
      </c>
      <c r="AF17" s="563">
        <f>'4'!AF17+'5'!AB17</f>
        <v>0</v>
      </c>
      <c r="AG17" s="234">
        <f>'4'!AG17+'5'!AD17</f>
        <v>0</v>
      </c>
      <c r="AI17" s="1031"/>
      <c r="AJ17" s="1032"/>
    </row>
    <row r="18" spans="1:36" ht="27" customHeight="1">
      <c r="A18" s="718"/>
      <c r="B18" s="528"/>
      <c r="C18" s="350"/>
      <c r="D18" s="550"/>
      <c r="F18" s="479" t="str">
        <f>'4'!F18</f>
        <v>HAFIZ DRIVER</v>
      </c>
      <c r="G18" s="406">
        <f>'CUSTOMERS REPORT'!Y412</f>
        <v>0</v>
      </c>
      <c r="H18" s="504">
        <f>'CUSTOMERS REPORT'!Z412</f>
        <v>0</v>
      </c>
      <c r="I18" s="406">
        <f>'CUSTOMERS REPORT'!AA412</f>
        <v>0</v>
      </c>
      <c r="J18" s="498">
        <f>'CUSTOMERS REPORT'!AB412</f>
        <v>0</v>
      </c>
      <c r="K18" s="498">
        <f>'CUSTOMERS REPORT'!AC412</f>
        <v>0</v>
      </c>
      <c r="L18" s="509">
        <f>'CUSTOMERS REPORT'!AD412</f>
        <v>0</v>
      </c>
      <c r="M18" s="414">
        <f>'4'!M18+'5'!G18</f>
        <v>0</v>
      </c>
      <c r="N18" s="412">
        <f>'4'!N18+'5'!J18</f>
        <v>0</v>
      </c>
      <c r="P18" s="433"/>
      <c r="Q18" s="437"/>
      <c r="S18" s="400" t="str">
        <f>'4'!S18</f>
        <v>P-THELLI</v>
      </c>
      <c r="T18" s="446">
        <f>'4'!X18</f>
        <v>0</v>
      </c>
      <c r="U18" s="456"/>
      <c r="V18" s="451">
        <f t="shared" si="0"/>
        <v>0</v>
      </c>
      <c r="W18" s="451"/>
      <c r="X18" s="447">
        <f t="shared" si="1"/>
        <v>0</v>
      </c>
      <c r="Z18" s="375" t="str">
        <f>'4'!Z18</f>
        <v>SALT</v>
      </c>
      <c r="AA18" s="464">
        <f>'4'!AE18</f>
        <v>0</v>
      </c>
      <c r="AB18" s="460"/>
      <c r="AC18" s="462">
        <f t="shared" si="2"/>
        <v>0</v>
      </c>
      <c r="AD18" s="469"/>
      <c r="AE18" s="348">
        <f t="shared" si="3"/>
        <v>0</v>
      </c>
      <c r="AF18" s="563">
        <f>'4'!AF18+'5'!AB18</f>
        <v>0</v>
      </c>
      <c r="AG18" s="234">
        <f>'4'!AG18+'5'!AD18</f>
        <v>0</v>
      </c>
      <c r="AI18" s="1031"/>
      <c r="AJ18" s="1032"/>
    </row>
    <row r="19" spans="1:36" ht="27" customHeight="1" thickBot="1">
      <c r="A19" s="719"/>
      <c r="B19" s="529"/>
      <c r="C19" s="350"/>
      <c r="D19" s="550"/>
      <c r="F19" s="479" t="str">
        <f>'4'!F19</f>
        <v>GHULAM QUETTA</v>
      </c>
      <c r="G19" s="406">
        <f>'CUSTOMERS REPORT'!Y450</f>
        <v>0</v>
      </c>
      <c r="H19" s="504">
        <f>'CUSTOMERS REPORT'!Z450</f>
        <v>0</v>
      </c>
      <c r="I19" s="406">
        <f>'CUSTOMERS REPORT'!AA450</f>
        <v>0</v>
      </c>
      <c r="J19" s="498">
        <f>'CUSTOMERS REPORT'!AB450</f>
        <v>0</v>
      </c>
      <c r="K19" s="498">
        <f>'CUSTOMERS REPORT'!AC450</f>
        <v>0</v>
      </c>
      <c r="L19" s="509">
        <f>'CUSTOMERS REPORT'!AD450</f>
        <v>0</v>
      </c>
      <c r="M19" s="414">
        <f>'4'!M19+'5'!G19</f>
        <v>0</v>
      </c>
      <c r="N19" s="412">
        <f>'4'!N19+'5'!J19</f>
        <v>0</v>
      </c>
      <c r="P19" s="433"/>
      <c r="Q19" s="437"/>
      <c r="S19" s="400" t="str">
        <f>'4'!S19</f>
        <v>RUBBER</v>
      </c>
      <c r="T19" s="446">
        <f>'4'!X19</f>
        <v>0</v>
      </c>
      <c r="U19" s="456"/>
      <c r="V19" s="451">
        <f t="shared" si="0"/>
        <v>0</v>
      </c>
      <c r="W19" s="451"/>
      <c r="X19" s="447">
        <f t="shared" si="1"/>
        <v>0</v>
      </c>
      <c r="Z19" s="375" t="str">
        <f>'4'!Z19</f>
        <v>NAVEED</v>
      </c>
      <c r="AA19" s="464">
        <f>'4'!AE19</f>
        <v>0</v>
      </c>
      <c r="AB19" s="460"/>
      <c r="AC19" s="462">
        <f t="shared" si="2"/>
        <v>0</v>
      </c>
      <c r="AD19" s="469"/>
      <c r="AE19" s="348">
        <f t="shared" si="3"/>
        <v>0</v>
      </c>
      <c r="AF19" s="563">
        <f>'4'!AF19+'5'!AB19</f>
        <v>0</v>
      </c>
      <c r="AG19" s="234">
        <f>'4'!AG19+'5'!AD19</f>
        <v>0</v>
      </c>
    </row>
    <row r="20" spans="1:36" ht="27" customHeight="1" thickTop="1" thickBot="1">
      <c r="A20" s="719"/>
      <c r="B20" s="529"/>
      <c r="C20" s="350"/>
      <c r="D20" s="550"/>
      <c r="F20" s="479" t="str">
        <f>'4'!F20</f>
        <v>HUSSAN GWADAR</v>
      </c>
      <c r="G20" s="406">
        <f>'CUSTOMERS REPORT'!Y486</f>
        <v>0</v>
      </c>
      <c r="H20" s="504">
        <f>'CUSTOMERS REPORT'!Z486</f>
        <v>0</v>
      </c>
      <c r="I20" s="406">
        <f>'CUSTOMERS REPORT'!AA486</f>
        <v>0</v>
      </c>
      <c r="J20" s="498">
        <f>'CUSTOMERS REPORT'!AB486</f>
        <v>0</v>
      </c>
      <c r="K20" s="498">
        <f>'CUSTOMERS REPORT'!AC486</f>
        <v>0</v>
      </c>
      <c r="L20" s="509">
        <f>'CUSTOMERS REPORT'!AD486</f>
        <v>0</v>
      </c>
      <c r="M20" s="414">
        <f>'4'!M20+'5'!G20</f>
        <v>0</v>
      </c>
      <c r="N20" s="412">
        <f>'4'!N20+'5'!J20</f>
        <v>0</v>
      </c>
      <c r="P20" s="433"/>
      <c r="Q20" s="437"/>
      <c r="S20" s="400" t="str">
        <f>'4'!S20</f>
        <v>SALT</v>
      </c>
      <c r="T20" s="446">
        <f>'4'!X20</f>
        <v>0</v>
      </c>
      <c r="U20" s="456"/>
      <c r="V20" s="451">
        <f t="shared" si="0"/>
        <v>0</v>
      </c>
      <c r="W20" s="451"/>
      <c r="X20" s="447">
        <f t="shared" si="1"/>
        <v>0</v>
      </c>
      <c r="Z20" s="375" t="str">
        <f>'4'!Z20</f>
        <v>YOUSUF BHAI</v>
      </c>
      <c r="AA20" s="464">
        <f>'4'!AE20</f>
        <v>0</v>
      </c>
      <c r="AB20" s="460"/>
      <c r="AC20" s="462">
        <f t="shared" si="2"/>
        <v>0</v>
      </c>
      <c r="AD20" s="469"/>
      <c r="AE20" s="348">
        <f t="shared" si="3"/>
        <v>0</v>
      </c>
      <c r="AF20" s="563">
        <f>'4'!AF20+'5'!AB20</f>
        <v>0</v>
      </c>
      <c r="AG20" s="234">
        <f>'4'!AG20+'5'!AD20</f>
        <v>0</v>
      </c>
      <c r="AI20" s="1487" t="s">
        <v>132</v>
      </c>
      <c r="AJ20" s="1488"/>
    </row>
    <row r="21" spans="1:36" ht="27" customHeight="1" thickTop="1" thickBot="1">
      <c r="A21" s="720"/>
      <c r="B21" s="530"/>
      <c r="C21" s="531"/>
      <c r="D21" s="553"/>
      <c r="F21" s="479" t="str">
        <f>'4'!F21</f>
        <v>AQASH S KOT</v>
      </c>
      <c r="G21" s="406">
        <f>'CUSTOMERS REPORT'!Y523</f>
        <v>0</v>
      </c>
      <c r="H21" s="504">
        <f>'CUSTOMERS REPORT'!Z523</f>
        <v>0</v>
      </c>
      <c r="I21" s="406">
        <f>'CUSTOMERS REPORT'!AA523</f>
        <v>0</v>
      </c>
      <c r="J21" s="498">
        <f>'CUSTOMERS REPORT'!AB523</f>
        <v>0</v>
      </c>
      <c r="K21" s="498">
        <f>'CUSTOMERS REPORT'!AC523</f>
        <v>0</v>
      </c>
      <c r="L21" s="509">
        <f>'CUSTOMERS REPORT'!AD523</f>
        <v>0</v>
      </c>
      <c r="M21" s="414">
        <f>'4'!M21+'5'!G21</f>
        <v>0</v>
      </c>
      <c r="N21" s="412">
        <f>'4'!N21+'5'!J21</f>
        <v>0</v>
      </c>
      <c r="P21" s="433"/>
      <c r="Q21" s="435"/>
      <c r="S21" s="400" t="str">
        <f>'4'!S21</f>
        <v>TAPE</v>
      </c>
      <c r="T21" s="446">
        <f>'4'!X21</f>
        <v>0</v>
      </c>
      <c r="U21" s="456"/>
      <c r="V21" s="451">
        <f t="shared" si="0"/>
        <v>0</v>
      </c>
      <c r="W21" s="451"/>
      <c r="X21" s="447">
        <f t="shared" si="1"/>
        <v>0</v>
      </c>
      <c r="Z21" s="375" t="str">
        <f>'4'!Z21</f>
        <v>SULEMAN  PRINT</v>
      </c>
      <c r="AA21" s="464">
        <f>'4'!AE21</f>
        <v>0</v>
      </c>
      <c r="AB21" s="460"/>
      <c r="AC21" s="462">
        <f t="shared" si="2"/>
        <v>0</v>
      </c>
      <c r="AD21" s="469"/>
      <c r="AE21" s="348">
        <f t="shared" si="3"/>
        <v>0</v>
      </c>
      <c r="AF21" s="563">
        <f>'4'!AF21+'5'!AB21</f>
        <v>0</v>
      </c>
      <c r="AG21" s="234">
        <f>'4'!AG21+'5'!AD21</f>
        <v>0</v>
      </c>
      <c r="AI21" s="391" t="s">
        <v>126</v>
      </c>
      <c r="AJ21" s="392">
        <f>'4'!AJ23</f>
        <v>0</v>
      </c>
    </row>
    <row r="22" spans="1:36" ht="27" customHeight="1" thickTop="1" thickBot="1">
      <c r="A22" s="486" t="s">
        <v>74</v>
      </c>
      <c r="B22" s="533">
        <f>SUM(B8:B21)</f>
        <v>0</v>
      </c>
      <c r="C22" s="534">
        <f>'4'!D22</f>
        <v>0</v>
      </c>
      <c r="D22" s="535">
        <f t="shared" ref="D22" si="4">B22+C22</f>
        <v>0</v>
      </c>
      <c r="F22" s="479" t="str">
        <f>'4'!F22</f>
        <v>SALEEM T JAM</v>
      </c>
      <c r="G22" s="406">
        <f>'CUSTOMERS REPORT'!Y561</f>
        <v>0</v>
      </c>
      <c r="H22" s="504">
        <f>'CUSTOMERS REPORT'!Z561</f>
        <v>0</v>
      </c>
      <c r="I22" s="406">
        <f>'CUSTOMERS REPORT'!AA561</f>
        <v>0</v>
      </c>
      <c r="J22" s="498">
        <f>'CUSTOMERS REPORT'!AB561</f>
        <v>0</v>
      </c>
      <c r="K22" s="498">
        <f>'CUSTOMERS REPORT'!AC561</f>
        <v>0</v>
      </c>
      <c r="L22" s="509">
        <f>'CUSTOMERS REPORT'!AD561</f>
        <v>0</v>
      </c>
      <c r="M22" s="414">
        <f>'4'!M22+'5'!G22</f>
        <v>0</v>
      </c>
      <c r="N22" s="412">
        <f>'4'!N22+'5'!J22</f>
        <v>0</v>
      </c>
      <c r="P22" s="433"/>
      <c r="Q22" s="438"/>
      <c r="S22" s="400" t="str">
        <f>'4'!S22</f>
        <v>COTTON</v>
      </c>
      <c r="T22" s="446">
        <f>'4'!X22</f>
        <v>0</v>
      </c>
      <c r="U22" s="456"/>
      <c r="V22" s="451">
        <f t="shared" si="0"/>
        <v>0</v>
      </c>
      <c r="W22" s="451"/>
      <c r="X22" s="447">
        <f t="shared" si="1"/>
        <v>0</v>
      </c>
      <c r="Z22" s="375" t="str">
        <f>'4'!Z22</f>
        <v>IRFAN VANILA</v>
      </c>
      <c r="AA22" s="464">
        <f>'4'!AE22</f>
        <v>0</v>
      </c>
      <c r="AB22" s="460"/>
      <c r="AC22" s="462">
        <f t="shared" si="2"/>
        <v>0</v>
      </c>
      <c r="AD22" s="469"/>
      <c r="AE22" s="348">
        <f t="shared" si="3"/>
        <v>0</v>
      </c>
      <c r="AF22" s="563">
        <f>'4'!AF22+'5'!AB22</f>
        <v>0</v>
      </c>
      <c r="AG22" s="234">
        <f>'4'!AG22+'5'!AD22</f>
        <v>0</v>
      </c>
      <c r="AI22" s="393">
        <f>R56</f>
        <v>0</v>
      </c>
      <c r="AJ22" s="394">
        <f>R56*1800</f>
        <v>0</v>
      </c>
    </row>
    <row r="23" spans="1:36" ht="27" customHeight="1" thickTop="1" thickBot="1">
      <c r="A23" s="715" t="str">
        <f>'4'!A23</f>
        <v>OFFICE FOOD</v>
      </c>
      <c r="B23" s="462"/>
      <c r="C23" s="536">
        <f>'4'!D23</f>
        <v>0</v>
      </c>
      <c r="D23" s="537">
        <f t="shared" ref="D23:D48" si="5">B23+C23</f>
        <v>0</v>
      </c>
      <c r="F23" s="479" t="str">
        <f>'4'!F23</f>
        <v>JAMSHAD BADEEN</v>
      </c>
      <c r="G23" s="406">
        <f>'CUSTOMERS REPORT'!Y597</f>
        <v>0</v>
      </c>
      <c r="H23" s="504">
        <f>'CUSTOMERS REPORT'!Z597</f>
        <v>0</v>
      </c>
      <c r="I23" s="406">
        <f>'CUSTOMERS REPORT'!AA597</f>
        <v>0</v>
      </c>
      <c r="J23" s="498">
        <f>'CUSTOMERS REPORT'!AB597</f>
        <v>0</v>
      </c>
      <c r="K23" s="498">
        <f>'CUSTOMERS REPORT'!AC597</f>
        <v>0</v>
      </c>
      <c r="L23" s="509">
        <f>'CUSTOMERS REPORT'!AD597</f>
        <v>0</v>
      </c>
      <c r="M23" s="414">
        <f>'4'!M23+'5'!G23</f>
        <v>0</v>
      </c>
      <c r="N23" s="412">
        <f>'4'!N23+'5'!J23</f>
        <v>0</v>
      </c>
      <c r="P23" s="190" t="s">
        <v>48</v>
      </c>
      <c r="Q23" s="439">
        <f>SUM(Q8:Q22)</f>
        <v>0</v>
      </c>
      <c r="S23" s="400" t="str">
        <f>'4'!S23</f>
        <v>WHITE 6</v>
      </c>
      <c r="T23" s="446">
        <f>'4'!X23</f>
        <v>0</v>
      </c>
      <c r="U23" s="456"/>
      <c r="V23" s="451">
        <f t="shared" si="0"/>
        <v>0</v>
      </c>
      <c r="W23" s="451"/>
      <c r="X23" s="447">
        <f t="shared" si="1"/>
        <v>0</v>
      </c>
      <c r="Z23" s="375" t="str">
        <f>'4'!Z23</f>
        <v>IRANI GHEE</v>
      </c>
      <c r="AA23" s="464">
        <f>'4'!AE23</f>
        <v>0</v>
      </c>
      <c r="AB23" s="460"/>
      <c r="AC23" s="462">
        <f t="shared" si="2"/>
        <v>0</v>
      </c>
      <c r="AD23" s="469"/>
      <c r="AE23" s="348">
        <f t="shared" si="3"/>
        <v>0</v>
      </c>
      <c r="AF23" s="563">
        <f>'4'!AF23+'5'!AB23</f>
        <v>0</v>
      </c>
      <c r="AG23" s="234">
        <f>'4'!AG23+'5'!AD23</f>
        <v>0</v>
      </c>
      <c r="AI23" s="395" t="s">
        <v>74</v>
      </c>
      <c r="AJ23" s="396">
        <f>AJ21+AJ22</f>
        <v>0</v>
      </c>
    </row>
    <row r="24" spans="1:36" ht="27" customHeight="1" thickTop="1" thickBot="1">
      <c r="A24" s="715" t="str">
        <f>'4'!A24</f>
        <v>LABOUR FOOD EXP</v>
      </c>
      <c r="B24" s="234"/>
      <c r="C24" s="348">
        <f>'4'!D24</f>
        <v>0</v>
      </c>
      <c r="D24" s="234">
        <f t="shared" si="5"/>
        <v>0</v>
      </c>
      <c r="F24" s="479" t="str">
        <f>'4'!F24</f>
        <v>SARFAZ MP</v>
      </c>
      <c r="G24" s="406">
        <f>'CUSTOMERS REPORT'!Y635</f>
        <v>0</v>
      </c>
      <c r="H24" s="504">
        <f>'CUSTOMERS REPORT'!Z635</f>
        <v>0</v>
      </c>
      <c r="I24" s="406">
        <f>'CUSTOMERS REPORT'!AA635</f>
        <v>0</v>
      </c>
      <c r="J24" s="498">
        <f>'CUSTOMERS REPORT'!AB635</f>
        <v>0</v>
      </c>
      <c r="K24" s="498">
        <f>'CUSTOMERS REPORT'!AC635</f>
        <v>0</v>
      </c>
      <c r="L24" s="509">
        <f>'CUSTOMERS REPORT'!AD635</f>
        <v>0</v>
      </c>
      <c r="M24" s="414">
        <f>'4'!M24+'5'!G24</f>
        <v>0</v>
      </c>
      <c r="N24" s="412">
        <f>'4'!N24+'5'!J24</f>
        <v>0</v>
      </c>
      <c r="P24" s="1514" t="s">
        <v>137</v>
      </c>
      <c r="Q24" s="1514"/>
      <c r="R24" t="s">
        <v>1</v>
      </c>
      <c r="S24" s="400" t="str">
        <f>'4'!S24</f>
        <v>ORANGE</v>
      </c>
      <c r="T24" s="446">
        <f>'4'!X24</f>
        <v>0</v>
      </c>
      <c r="U24" s="456"/>
      <c r="V24" s="451">
        <f t="shared" si="0"/>
        <v>0</v>
      </c>
      <c r="W24" s="451"/>
      <c r="X24" s="447">
        <f t="shared" si="1"/>
        <v>0</v>
      </c>
      <c r="Z24" s="375">
        <f>'4'!Z24</f>
        <v>0</v>
      </c>
      <c r="AA24" s="464">
        <f>'4'!AE24</f>
        <v>0</v>
      </c>
      <c r="AB24" s="745"/>
      <c r="AC24" s="462">
        <f t="shared" si="2"/>
        <v>0</v>
      </c>
      <c r="AD24" s="469"/>
      <c r="AE24" s="348">
        <f t="shared" si="3"/>
        <v>0</v>
      </c>
      <c r="AF24" s="563">
        <f>'4'!AF24+'5'!AB24</f>
        <v>0</v>
      </c>
      <c r="AG24" s="234">
        <f>'4'!AG24+'5'!AD24</f>
        <v>0</v>
      </c>
    </row>
    <row r="25" spans="1:36" ht="27" customHeight="1" thickTop="1" thickBot="1">
      <c r="A25" s="715" t="str">
        <f>'4'!A25</f>
        <v>OFFICE SALARY</v>
      </c>
      <c r="B25" s="234">
        <f>ATTENDANCE!K28</f>
        <v>0</v>
      </c>
      <c r="C25" s="348">
        <f>'4'!D25</f>
        <v>0</v>
      </c>
      <c r="D25" s="234">
        <f t="shared" si="5"/>
        <v>0</v>
      </c>
      <c r="F25" s="479" t="str">
        <f>'4'!F25</f>
        <v>AFZAL MATLI</v>
      </c>
      <c r="G25" s="406">
        <f>'CUSTOMERS REPORT'!Y673</f>
        <v>0</v>
      </c>
      <c r="H25" s="504">
        <f>'CUSTOMERS REPORT'!Z673</f>
        <v>0</v>
      </c>
      <c r="I25" s="406">
        <f>'CUSTOMERS REPORT'!AA673</f>
        <v>0</v>
      </c>
      <c r="J25" s="498">
        <f>'CUSTOMERS REPORT'!AB673</f>
        <v>0</v>
      </c>
      <c r="K25" s="498">
        <f>'CUSTOMERS REPORT'!AC673</f>
        <v>0</v>
      </c>
      <c r="L25" s="509">
        <f>'CUSTOMERS REPORT'!AD673</f>
        <v>0</v>
      </c>
      <c r="M25" s="414">
        <f>'4'!M25+'5'!G25</f>
        <v>0</v>
      </c>
      <c r="N25" s="412">
        <f>'4'!N25+'5'!J25</f>
        <v>0</v>
      </c>
      <c r="P25" s="434"/>
      <c r="Q25" s="440"/>
      <c r="S25" s="400" t="str">
        <f>'4'!S25</f>
        <v>MAKKI 7</v>
      </c>
      <c r="T25" s="446">
        <f>'4'!X25</f>
        <v>0</v>
      </c>
      <c r="U25" s="456"/>
      <c r="V25" s="451">
        <f t="shared" si="0"/>
        <v>0</v>
      </c>
      <c r="W25" s="451"/>
      <c r="X25" s="447">
        <f t="shared" si="1"/>
        <v>0</v>
      </c>
      <c r="Z25" s="375">
        <f>'4'!Z25</f>
        <v>0</v>
      </c>
      <c r="AA25" s="464">
        <f>'4'!AE25</f>
        <v>0</v>
      </c>
      <c r="AB25" s="460"/>
      <c r="AC25" s="462">
        <f t="shared" si="2"/>
        <v>0</v>
      </c>
      <c r="AD25" s="469"/>
      <c r="AE25" s="348">
        <f t="shared" si="3"/>
        <v>0</v>
      </c>
      <c r="AF25" s="563">
        <f>'4'!AF25+'5'!AB25</f>
        <v>0</v>
      </c>
      <c r="AG25" s="234">
        <f>'4'!AG25+'5'!AD25</f>
        <v>0</v>
      </c>
      <c r="AI25" s="397" t="s">
        <v>59</v>
      </c>
      <c r="AJ25" s="398">
        <f>AJ23-AJ10</f>
        <v>0</v>
      </c>
    </row>
    <row r="26" spans="1:36" ht="27" customHeight="1" thickTop="1">
      <c r="A26" s="715" t="str">
        <f>'4'!A26</f>
        <v>LABOUR SALARY</v>
      </c>
      <c r="B26" s="234">
        <f>SUM('SALERY SHEET'!L97:M97)</f>
        <v>0</v>
      </c>
      <c r="C26" s="348">
        <f>'4'!D26</f>
        <v>0</v>
      </c>
      <c r="D26" s="234">
        <f t="shared" si="5"/>
        <v>0</v>
      </c>
      <c r="F26" s="479" t="str">
        <f>'4'!F26</f>
        <v xml:space="preserve">ABDUL RASHEED </v>
      </c>
      <c r="G26" s="406">
        <f>'CUSTOMERS REPORT'!Y711</f>
        <v>0</v>
      </c>
      <c r="H26" s="504">
        <f>'CUSTOMERS REPORT'!Z711</f>
        <v>0</v>
      </c>
      <c r="I26" s="406">
        <f>'CUSTOMERS REPORT'!AA711</f>
        <v>0</v>
      </c>
      <c r="J26" s="498">
        <f>'CUSTOMERS REPORT'!AB711</f>
        <v>0</v>
      </c>
      <c r="K26" s="498">
        <f>'CUSTOMERS REPORT'!AC711</f>
        <v>0</v>
      </c>
      <c r="L26" s="509">
        <f>'CUSTOMERS REPORT'!AD711</f>
        <v>0</v>
      </c>
      <c r="M26" s="414">
        <f>'4'!M26+'5'!G26</f>
        <v>0</v>
      </c>
      <c r="N26" s="412">
        <f>'4'!N26+'5'!J26</f>
        <v>0</v>
      </c>
      <c r="P26" s="433"/>
      <c r="Q26" s="438"/>
      <c r="R26" t="s">
        <v>1</v>
      </c>
      <c r="S26" s="400" t="str">
        <f>'4'!S26</f>
        <v>BLUE 125 GM</v>
      </c>
      <c r="T26" s="446">
        <f>'4'!X26</f>
        <v>0</v>
      </c>
      <c r="U26" s="456"/>
      <c r="V26" s="451">
        <f t="shared" si="0"/>
        <v>0</v>
      </c>
      <c r="W26" s="451"/>
      <c r="X26" s="447">
        <f t="shared" si="1"/>
        <v>0</v>
      </c>
      <c r="Z26" s="375">
        <f>'4'!Z26</f>
        <v>0</v>
      </c>
      <c r="AA26" s="464">
        <f>'4'!AE26</f>
        <v>0</v>
      </c>
      <c r="AB26" s="460"/>
      <c r="AC26" s="462">
        <f t="shared" si="2"/>
        <v>0</v>
      </c>
      <c r="AD26" s="469"/>
      <c r="AE26" s="348">
        <f t="shared" si="3"/>
        <v>0</v>
      </c>
      <c r="AF26" s="563">
        <f>'4'!AF26+'5'!AB26</f>
        <v>0</v>
      </c>
      <c r="AG26" s="234">
        <f>'4'!AG26+'5'!AD26</f>
        <v>0</v>
      </c>
    </row>
    <row r="27" spans="1:36" ht="27" customHeight="1">
      <c r="A27" s="715" t="str">
        <f>'4'!A27</f>
        <v>SHAHZORE</v>
      </c>
      <c r="B27" s="234"/>
      <c r="C27" s="348">
        <f>'4'!D27</f>
        <v>0</v>
      </c>
      <c r="D27" s="234">
        <f t="shared" si="5"/>
        <v>0</v>
      </c>
      <c r="F27" s="479" t="str">
        <f>'4'!F27</f>
        <v>SALEEM ORANGI</v>
      </c>
      <c r="G27" s="406">
        <f>'CUSTOMERS REPORT'!Y749</f>
        <v>0</v>
      </c>
      <c r="H27" s="504">
        <f>'CUSTOMERS REPORT'!Z749</f>
        <v>0</v>
      </c>
      <c r="I27" s="406">
        <f>'CUSTOMERS REPORT'!AA749</f>
        <v>0</v>
      </c>
      <c r="J27" s="498">
        <f>'CUSTOMERS REPORT'!AB749</f>
        <v>0</v>
      </c>
      <c r="K27" s="498">
        <f>'CUSTOMERS REPORT'!AC749</f>
        <v>0</v>
      </c>
      <c r="L27" s="509">
        <f>'CUSTOMERS REPORT'!AD749</f>
        <v>0</v>
      </c>
      <c r="M27" s="414">
        <f>'4'!M27+'5'!G27</f>
        <v>0</v>
      </c>
      <c r="N27" s="412">
        <f>'4'!N27+'5'!J27</f>
        <v>0</v>
      </c>
      <c r="P27" s="433"/>
      <c r="Q27" s="435"/>
      <c r="R27" t="s">
        <v>1</v>
      </c>
      <c r="S27" s="400" t="str">
        <f>'4'!S27</f>
        <v>MAKKI 5</v>
      </c>
      <c r="T27" s="446">
        <f>'4'!X27</f>
        <v>0</v>
      </c>
      <c r="U27" s="456"/>
      <c r="V27" s="451">
        <f t="shared" si="0"/>
        <v>0</v>
      </c>
      <c r="W27" s="451"/>
      <c r="X27" s="447">
        <f t="shared" si="1"/>
        <v>0</v>
      </c>
      <c r="Z27" s="375">
        <f>'4'!Z27</f>
        <v>0</v>
      </c>
      <c r="AA27" s="464">
        <f>'4'!AE27</f>
        <v>0</v>
      </c>
      <c r="AB27" s="460"/>
      <c r="AC27" s="462">
        <f t="shared" si="2"/>
        <v>0</v>
      </c>
      <c r="AD27" s="469"/>
      <c r="AE27" s="348">
        <f t="shared" si="3"/>
        <v>0</v>
      </c>
      <c r="AF27" s="563">
        <f>'4'!AF27+'5'!AB27</f>
        <v>0</v>
      </c>
      <c r="AG27" s="234">
        <f>'4'!AG27+'5'!AD27</f>
        <v>0</v>
      </c>
    </row>
    <row r="28" spans="1:36" ht="27" customHeight="1">
      <c r="A28" s="715" t="str">
        <f>'4'!A28</f>
        <v>GENERATOR</v>
      </c>
      <c r="B28" s="234"/>
      <c r="C28" s="348">
        <f>'4'!D28</f>
        <v>0</v>
      </c>
      <c r="D28" s="234">
        <f t="shared" si="5"/>
        <v>0</v>
      </c>
      <c r="F28" s="479" t="str">
        <f>'4'!F28</f>
        <v>AYAZ OUSTA</v>
      </c>
      <c r="G28" s="406">
        <f>'CUSTOMERS REPORT'!Y787</f>
        <v>0</v>
      </c>
      <c r="H28" s="504">
        <f>'CUSTOMERS REPORT'!Z787</f>
        <v>0</v>
      </c>
      <c r="I28" s="406">
        <f>'CUSTOMERS REPORT'!AA787</f>
        <v>0</v>
      </c>
      <c r="J28" s="498">
        <f>'CUSTOMERS REPORT'!AB787</f>
        <v>0</v>
      </c>
      <c r="K28" s="498">
        <f>'CUSTOMERS REPORT'!AC787</f>
        <v>0</v>
      </c>
      <c r="L28" s="509">
        <f>'CUSTOMERS REPORT'!AD787</f>
        <v>0</v>
      </c>
      <c r="M28" s="414">
        <f>'4'!M28+'5'!G28</f>
        <v>0</v>
      </c>
      <c r="N28" s="412">
        <f>'4'!N28+'5'!J28</f>
        <v>0</v>
      </c>
      <c r="P28" s="433"/>
      <c r="Q28" s="438"/>
      <c r="S28" s="400" t="str">
        <f>'4'!S28</f>
        <v>MAKKI 2 PES</v>
      </c>
      <c r="T28" s="446">
        <f>'4'!X28</f>
        <v>0</v>
      </c>
      <c r="U28" s="456"/>
      <c r="V28" s="451">
        <f t="shared" si="0"/>
        <v>0</v>
      </c>
      <c r="W28" s="451"/>
      <c r="X28" s="447">
        <f t="shared" si="1"/>
        <v>0</v>
      </c>
      <c r="Z28" s="375">
        <f>'4'!Z28</f>
        <v>0</v>
      </c>
      <c r="AA28" s="464">
        <f>'4'!AE28</f>
        <v>0</v>
      </c>
      <c r="AB28" s="460"/>
      <c r="AC28" s="462">
        <f t="shared" si="2"/>
        <v>0</v>
      </c>
      <c r="AD28" s="469"/>
      <c r="AE28" s="348">
        <f t="shared" si="3"/>
        <v>0</v>
      </c>
      <c r="AF28" s="563">
        <f>'4'!AF28+'5'!AB28</f>
        <v>0</v>
      </c>
      <c r="AG28" s="234">
        <f>'4'!AG28+'5'!AD28</f>
        <v>0</v>
      </c>
    </row>
    <row r="29" spans="1:36" ht="27" customHeight="1">
      <c r="A29" s="715" t="str">
        <f>'4'!A29</f>
        <v>PATROL FAW</v>
      </c>
      <c r="B29" s="234"/>
      <c r="C29" s="348">
        <f>'4'!D29</f>
        <v>0</v>
      </c>
      <c r="D29" s="234">
        <f t="shared" si="5"/>
        <v>0</v>
      </c>
      <c r="F29" s="479" t="str">
        <f>'4'!F29</f>
        <v>AZHAR BADEEN</v>
      </c>
      <c r="G29" s="406">
        <f>'CUSTOMERS REPORT'!Y825</f>
        <v>0</v>
      </c>
      <c r="H29" s="504">
        <f>'CUSTOMERS REPORT'!Z825</f>
        <v>0</v>
      </c>
      <c r="I29" s="406">
        <f>'CUSTOMERS REPORT'!AA825</f>
        <v>0</v>
      </c>
      <c r="J29" s="498">
        <f>'CUSTOMERS REPORT'!AB825</f>
        <v>0</v>
      </c>
      <c r="K29" s="498">
        <f>'CUSTOMERS REPORT'!AC825</f>
        <v>0</v>
      </c>
      <c r="L29" s="509">
        <f>'CUSTOMERS REPORT'!AD825</f>
        <v>0</v>
      </c>
      <c r="M29" s="414">
        <f>'4'!M29+'5'!G29</f>
        <v>0</v>
      </c>
      <c r="N29" s="412">
        <f>'4'!N29+'5'!J29</f>
        <v>0</v>
      </c>
      <c r="P29" s="433"/>
      <c r="Q29" s="441"/>
      <c r="S29" s="400" t="str">
        <f>'4'!S29</f>
        <v xml:space="preserve">PRIME </v>
      </c>
      <c r="T29" s="446">
        <f>'4'!X29</f>
        <v>0</v>
      </c>
      <c r="U29" s="456"/>
      <c r="V29" s="451">
        <f t="shared" si="0"/>
        <v>0</v>
      </c>
      <c r="W29" s="451"/>
      <c r="X29" s="447">
        <f t="shared" si="1"/>
        <v>0</v>
      </c>
      <c r="Z29" s="375">
        <f>'4'!Z29</f>
        <v>0</v>
      </c>
      <c r="AA29" s="464">
        <f>'4'!AE29</f>
        <v>0</v>
      </c>
      <c r="AB29" s="460"/>
      <c r="AC29" s="462">
        <f t="shared" si="2"/>
        <v>0</v>
      </c>
      <c r="AD29" s="469"/>
      <c r="AE29" s="348">
        <f t="shared" si="3"/>
        <v>0</v>
      </c>
      <c r="AF29" s="563">
        <f>'4'!AF29+'5'!AB29</f>
        <v>0</v>
      </c>
      <c r="AG29" s="234">
        <f>'4'!AG29+'5'!AD29</f>
        <v>0</v>
      </c>
    </row>
    <row r="30" spans="1:36" ht="27" customHeight="1">
      <c r="A30" s="715" t="str">
        <f>'4'!A30</f>
        <v>FOTON DIESEL</v>
      </c>
      <c r="B30" s="234"/>
      <c r="C30" s="348">
        <f>'4'!D30</f>
        <v>0</v>
      </c>
      <c r="D30" s="234">
        <f t="shared" si="5"/>
        <v>0</v>
      </c>
      <c r="F30" s="479" t="str">
        <f>'4'!F30</f>
        <v>FAISAL HUB</v>
      </c>
      <c r="G30" s="406">
        <f>'CUSTOMERS REPORT'!Y863</f>
        <v>0</v>
      </c>
      <c r="H30" s="504">
        <f>'CUSTOMERS REPORT'!Z863</f>
        <v>0</v>
      </c>
      <c r="I30" s="406">
        <f>'CUSTOMERS REPORT'!AA863</f>
        <v>0</v>
      </c>
      <c r="J30" s="498">
        <f>'CUSTOMERS REPORT'!AB863</f>
        <v>0</v>
      </c>
      <c r="K30" s="498">
        <f>'CUSTOMERS REPORT'!AC863</f>
        <v>0</v>
      </c>
      <c r="L30" s="509">
        <f>'CUSTOMERS REPORT'!AD863</f>
        <v>0</v>
      </c>
      <c r="M30" s="414">
        <f>'4'!M30+'5'!G30</f>
        <v>0</v>
      </c>
      <c r="N30" s="412">
        <f>'4'!N30+'5'!J30</f>
        <v>0</v>
      </c>
      <c r="P30" s="433"/>
      <c r="Q30" s="442"/>
      <c r="S30" s="400" t="str">
        <f>'4'!S30</f>
        <v>PRIMR 15</v>
      </c>
      <c r="T30" s="446">
        <f>'4'!X30</f>
        <v>0</v>
      </c>
      <c r="U30" s="456"/>
      <c r="V30" s="451">
        <f t="shared" si="0"/>
        <v>0</v>
      </c>
      <c r="W30" s="451"/>
      <c r="X30" s="447">
        <f t="shared" si="1"/>
        <v>0</v>
      </c>
      <c r="Z30" s="375">
        <f>'4'!Z30</f>
        <v>0</v>
      </c>
      <c r="AA30" s="464">
        <f>'4'!AE30</f>
        <v>0</v>
      </c>
      <c r="AB30" s="460"/>
      <c r="AC30" s="462">
        <f t="shared" si="2"/>
        <v>0</v>
      </c>
      <c r="AD30" s="469"/>
      <c r="AE30" s="348">
        <f t="shared" si="3"/>
        <v>0</v>
      </c>
      <c r="AF30" s="563">
        <f>'4'!AF30+'5'!AB30</f>
        <v>0</v>
      </c>
      <c r="AG30" s="234">
        <f>'4'!AG30+'5'!AD30</f>
        <v>0</v>
      </c>
    </row>
    <row r="31" spans="1:36" ht="27" customHeight="1" thickBot="1">
      <c r="A31" s="715" t="str">
        <f>'4'!A31</f>
        <v>UTILITY BILLS</v>
      </c>
      <c r="B31" s="234"/>
      <c r="C31" s="348">
        <f>'4'!D31</f>
        <v>0</v>
      </c>
      <c r="D31" s="234">
        <f t="shared" si="5"/>
        <v>0</v>
      </c>
      <c r="F31" s="479" t="str">
        <f>'4'!F31</f>
        <v>ABDUL RAHMAN</v>
      </c>
      <c r="G31" s="406">
        <f>'CUSTOMERS REPORT'!Y902</f>
        <v>0</v>
      </c>
      <c r="H31" s="504">
        <f>'CUSTOMERS REPORT'!Z902</f>
        <v>0</v>
      </c>
      <c r="I31" s="406">
        <f>'CUSTOMERS REPORT'!AA902</f>
        <v>0</v>
      </c>
      <c r="J31" s="498">
        <f>'CUSTOMERS REPORT'!AB902</f>
        <v>0</v>
      </c>
      <c r="K31" s="498">
        <f>'CUSTOMERS REPORT'!AC902</f>
        <v>0</v>
      </c>
      <c r="L31" s="509">
        <f>'CUSTOMERS REPORT'!AD902</f>
        <v>0</v>
      </c>
      <c r="M31" s="414">
        <f>'4'!M31+'5'!G31</f>
        <v>0</v>
      </c>
      <c r="N31" s="412">
        <f>'4'!N31+'5'!J31</f>
        <v>0</v>
      </c>
      <c r="P31" s="433"/>
      <c r="Q31" s="435"/>
      <c r="S31" s="400" t="str">
        <f>'4'!S31</f>
        <v>KARACHI</v>
      </c>
      <c r="T31" s="446">
        <f>'4'!X31</f>
        <v>0</v>
      </c>
      <c r="U31" s="456"/>
      <c r="V31" s="451">
        <f t="shared" si="0"/>
        <v>0</v>
      </c>
      <c r="W31" s="451"/>
      <c r="X31" s="447">
        <f t="shared" si="1"/>
        <v>0</v>
      </c>
      <c r="Z31" s="375">
        <f>'4'!Z31</f>
        <v>0</v>
      </c>
      <c r="AA31" s="464">
        <f>'4'!AE31</f>
        <v>0</v>
      </c>
      <c r="AB31" s="460"/>
      <c r="AC31" s="462">
        <f t="shared" si="2"/>
        <v>0</v>
      </c>
      <c r="AD31" s="469"/>
      <c r="AE31" s="348">
        <f t="shared" si="3"/>
        <v>0</v>
      </c>
      <c r="AF31" s="563">
        <f>'4'!AF31+'5'!AB31</f>
        <v>0</v>
      </c>
      <c r="AG31" s="234">
        <f>'4'!AG31+'5'!AD31</f>
        <v>0</v>
      </c>
      <c r="AI31" t="s">
        <v>1</v>
      </c>
    </row>
    <row r="32" spans="1:36" ht="27" customHeight="1" thickTop="1" thickBot="1">
      <c r="A32" s="715" t="str">
        <f>'4'!A32</f>
        <v>WOOD</v>
      </c>
      <c r="B32" s="234"/>
      <c r="C32" s="348">
        <f>'4'!D32</f>
        <v>0</v>
      </c>
      <c r="D32" s="234">
        <f t="shared" si="5"/>
        <v>0</v>
      </c>
      <c r="F32" s="479" t="str">
        <f>'4'!F32</f>
        <v>HAJI JAN GIWANI</v>
      </c>
      <c r="G32" s="406">
        <f>'CUSTOMERS REPORT'!Y941</f>
        <v>0</v>
      </c>
      <c r="H32" s="504">
        <f>'CUSTOMERS REPORT'!Z941</f>
        <v>0</v>
      </c>
      <c r="I32" s="406">
        <f>'CUSTOMERS REPORT'!AA941</f>
        <v>0</v>
      </c>
      <c r="J32" s="498">
        <f>'CUSTOMERS REPORT'!AB941</f>
        <v>0</v>
      </c>
      <c r="K32" s="498">
        <f>'CUSTOMERS REPORT'!AC941</f>
        <v>0</v>
      </c>
      <c r="L32" s="509">
        <f>'CUSTOMERS REPORT'!AD941</f>
        <v>0</v>
      </c>
      <c r="M32" s="414">
        <f>'4'!M32+'5'!G32</f>
        <v>0</v>
      </c>
      <c r="N32" s="412">
        <f>'4'!N32+'5'!J32</f>
        <v>0</v>
      </c>
      <c r="P32" s="190" t="s">
        <v>51</v>
      </c>
      <c r="Q32" s="439">
        <f>Q23-Q25-Q26-Q27-Q28-Q29-Q30-Q31</f>
        <v>0</v>
      </c>
      <c r="R32" t="s">
        <v>1</v>
      </c>
      <c r="S32" s="400" t="str">
        <f>'4'!S32</f>
        <v>MARVI</v>
      </c>
      <c r="T32" s="446">
        <f>'4'!X32</f>
        <v>0</v>
      </c>
      <c r="U32" s="456"/>
      <c r="V32" s="451">
        <f t="shared" si="0"/>
        <v>0</v>
      </c>
      <c r="W32" s="451"/>
      <c r="X32" s="447">
        <f t="shared" si="1"/>
        <v>0</v>
      </c>
      <c r="Z32" s="375">
        <f>'4'!Z32</f>
        <v>0</v>
      </c>
      <c r="AA32" s="464">
        <f>'4'!AE32</f>
        <v>0</v>
      </c>
      <c r="AB32" s="460"/>
      <c r="AC32" s="462">
        <f t="shared" si="2"/>
        <v>0</v>
      </c>
      <c r="AD32" s="469"/>
      <c r="AE32" s="348">
        <f t="shared" si="3"/>
        <v>0</v>
      </c>
      <c r="AF32" s="563">
        <f>'4'!AF32+'5'!AB32</f>
        <v>0</v>
      </c>
      <c r="AG32" s="234">
        <f>'4'!AG32+'5'!AD32</f>
        <v>0</v>
      </c>
    </row>
    <row r="33" spans="1:40" ht="27" customHeight="1" thickTop="1" thickBot="1">
      <c r="A33" s="716" t="str">
        <f>'4'!A33</f>
        <v>TOLL</v>
      </c>
      <c r="B33" s="538"/>
      <c r="C33" s="348">
        <f>'4'!D33</f>
        <v>0</v>
      </c>
      <c r="D33" s="234">
        <f t="shared" si="5"/>
        <v>0</v>
      </c>
      <c r="F33" s="479" t="str">
        <f>'4'!F33</f>
        <v>ALI QURESHI HYD</v>
      </c>
      <c r="G33" s="406">
        <f>'CUSTOMERS REPORT'!Y979</f>
        <v>0</v>
      </c>
      <c r="H33" s="504">
        <f>'CUSTOMERS REPORT'!Z979</f>
        <v>0</v>
      </c>
      <c r="I33" s="406">
        <f>'CUSTOMERS REPORT'!AA979</f>
        <v>0</v>
      </c>
      <c r="J33" s="498">
        <f>'CUSTOMERS REPORT'!AB979</f>
        <v>0</v>
      </c>
      <c r="K33" s="498">
        <f>'CUSTOMERS REPORT'!AC979</f>
        <v>0</v>
      </c>
      <c r="L33" s="509">
        <f>'CUSTOMERS REPORT'!AD979</f>
        <v>0</v>
      </c>
      <c r="M33" s="414">
        <f>'4'!M33+'5'!G33</f>
        <v>0</v>
      </c>
      <c r="N33" s="412">
        <f>'4'!N33+'5'!J33</f>
        <v>0</v>
      </c>
      <c r="P33" s="1499" t="s">
        <v>149</v>
      </c>
      <c r="Q33" s="1500"/>
      <c r="S33" s="400" t="str">
        <f>'4'!S33</f>
        <v>TS</v>
      </c>
      <c r="T33" s="446">
        <f>'4'!X33</f>
        <v>0</v>
      </c>
      <c r="U33" s="456"/>
      <c r="V33" s="451">
        <f t="shared" si="0"/>
        <v>0</v>
      </c>
      <c r="W33" s="451"/>
      <c r="X33" s="447">
        <f t="shared" si="1"/>
        <v>0</v>
      </c>
      <c r="Z33" s="375">
        <f>'4'!Z33</f>
        <v>0</v>
      </c>
      <c r="AA33" s="464">
        <f>'4'!AE33</f>
        <v>0</v>
      </c>
      <c r="AB33" s="460"/>
      <c r="AC33" s="462">
        <f t="shared" si="2"/>
        <v>0</v>
      </c>
      <c r="AD33" s="469"/>
      <c r="AE33" s="348">
        <f t="shared" si="3"/>
        <v>0</v>
      </c>
      <c r="AF33" s="563">
        <f>'4'!AF33+'5'!AB33</f>
        <v>0</v>
      </c>
      <c r="AG33" s="234">
        <f>'4'!AG33+'5'!AD33</f>
        <v>0</v>
      </c>
    </row>
    <row r="34" spans="1:40" ht="27" customHeight="1" thickTop="1" thickBot="1">
      <c r="A34" s="716" t="str">
        <f>'4'!A34</f>
        <v>FLOUR / SHGER</v>
      </c>
      <c r="B34" s="538"/>
      <c r="C34" s="348">
        <f>'4'!D34</f>
        <v>0</v>
      </c>
      <c r="D34" s="234">
        <f t="shared" si="5"/>
        <v>0</v>
      </c>
      <c r="F34" s="479" t="str">
        <f>'4'!F34</f>
        <v>ALI RAZA KAND KOT</v>
      </c>
      <c r="G34" s="406">
        <f>'CUSTOMERS REPORT'!Y1017</f>
        <v>0</v>
      </c>
      <c r="H34" s="504">
        <f>'CUSTOMERS REPORT'!Z1017</f>
        <v>0</v>
      </c>
      <c r="I34" s="406">
        <f>'CUSTOMERS REPORT'!AA1017</f>
        <v>0</v>
      </c>
      <c r="J34" s="498">
        <f>'CUSTOMERS REPORT'!AB1017</f>
        <v>0</v>
      </c>
      <c r="K34" s="498">
        <f>'CUSTOMERS REPORT'!AC1017</f>
        <v>0</v>
      </c>
      <c r="L34" s="509">
        <f>'CUSTOMERS REPORT'!AD1017</f>
        <v>0</v>
      </c>
      <c r="M34" s="414">
        <f>'4'!M34+'5'!G34</f>
        <v>0</v>
      </c>
      <c r="N34" s="412">
        <f>'4'!N34+'5'!J34</f>
        <v>0</v>
      </c>
      <c r="P34" s="220" t="s">
        <v>150</v>
      </c>
      <c r="Q34" s="223">
        <f>'4'!Q34</f>
        <v>0</v>
      </c>
      <c r="S34" s="400" t="str">
        <f>'4'!S34</f>
        <v>MAXI</v>
      </c>
      <c r="T34" s="446">
        <f>'4'!X34</f>
        <v>0</v>
      </c>
      <c r="U34" s="457"/>
      <c r="V34" s="452">
        <f t="shared" si="0"/>
        <v>0</v>
      </c>
      <c r="W34" s="452"/>
      <c r="X34" s="448">
        <f t="shared" si="1"/>
        <v>0</v>
      </c>
      <c r="Z34" s="375">
        <f>'4'!Z34</f>
        <v>0</v>
      </c>
      <c r="AA34" s="464">
        <f>'4'!AE34</f>
        <v>0</v>
      </c>
      <c r="AB34" s="460"/>
      <c r="AC34" s="462">
        <f t="shared" si="2"/>
        <v>0</v>
      </c>
      <c r="AD34" s="469"/>
      <c r="AE34" s="348">
        <f t="shared" si="3"/>
        <v>0</v>
      </c>
      <c r="AF34" s="563">
        <f>'4'!AF34+'5'!AB34</f>
        <v>0</v>
      </c>
      <c r="AG34" s="234">
        <f>'4'!AG34+'5'!AD34</f>
        <v>0</v>
      </c>
    </row>
    <row r="35" spans="1:40" ht="27" customHeight="1" thickTop="1">
      <c r="A35" s="716" t="str">
        <f>'4'!A35</f>
        <v>OVEN &amp; PP MACHINE</v>
      </c>
      <c r="B35" s="529"/>
      <c r="C35" s="348">
        <f>'4'!D35</f>
        <v>0</v>
      </c>
      <c r="D35" s="529">
        <f t="shared" si="5"/>
        <v>0</v>
      </c>
      <c r="F35" s="479" t="str">
        <f>'4'!F35</f>
        <v>IQBAL MORO</v>
      </c>
      <c r="G35" s="407">
        <f>'CUSTOMERS REPORT'!Y1055</f>
        <v>0</v>
      </c>
      <c r="H35" s="505">
        <f>'CUSTOMERS REPORT'!Z1055</f>
        <v>0</v>
      </c>
      <c r="I35" s="407">
        <f>'CUSTOMERS REPORT'!AA1055</f>
        <v>0</v>
      </c>
      <c r="J35" s="499">
        <f>'CUSTOMERS REPORT'!AB1055</f>
        <v>0</v>
      </c>
      <c r="K35" s="499">
        <f>'CUSTOMERS REPORT'!AC1055</f>
        <v>0</v>
      </c>
      <c r="L35" s="510">
        <f>'CUSTOMERS REPORT'!AD1055</f>
        <v>0</v>
      </c>
      <c r="M35" s="414">
        <f>'4'!M35+'5'!G35</f>
        <v>0</v>
      </c>
      <c r="N35" s="412">
        <f>'4'!N35+'5'!J35</f>
        <v>0</v>
      </c>
      <c r="P35" s="252" t="s">
        <v>151</v>
      </c>
      <c r="Q35" s="443">
        <f>'4'!Q35</f>
        <v>0</v>
      </c>
      <c r="R35" t="s">
        <v>1</v>
      </c>
      <c r="S35" s="400" t="str">
        <f>'4'!S35</f>
        <v>M A WHITE</v>
      </c>
      <c r="T35" s="446">
        <f>'4'!X35</f>
        <v>0</v>
      </c>
      <c r="U35" s="457"/>
      <c r="V35" s="452">
        <f t="shared" si="0"/>
        <v>0</v>
      </c>
      <c r="W35" s="452"/>
      <c r="X35" s="448">
        <f t="shared" si="1"/>
        <v>0</v>
      </c>
      <c r="Z35" s="375">
        <f>'4'!Z35</f>
        <v>0</v>
      </c>
      <c r="AA35" s="464">
        <f>'4'!AE35</f>
        <v>0</v>
      </c>
      <c r="AB35" s="460"/>
      <c r="AC35" s="462">
        <f t="shared" si="2"/>
        <v>0</v>
      </c>
      <c r="AD35" s="469"/>
      <c r="AE35" s="348">
        <f t="shared" si="3"/>
        <v>0</v>
      </c>
      <c r="AF35" s="563">
        <f>'4'!AF35+'5'!AB35</f>
        <v>0</v>
      </c>
      <c r="AG35" s="234">
        <f>'4'!AG35+'5'!AD35</f>
        <v>0</v>
      </c>
    </row>
    <row r="36" spans="1:40" ht="27" customHeight="1">
      <c r="A36" s="716" t="str">
        <f>'4'!A36</f>
        <v>zakat</v>
      </c>
      <c r="B36" s="539"/>
      <c r="C36" s="348">
        <f>'4'!D36</f>
        <v>0</v>
      </c>
      <c r="D36" s="529">
        <f t="shared" si="5"/>
        <v>0</v>
      </c>
      <c r="F36" s="479" t="str">
        <f>'4'!F36</f>
        <v>SARFARAZ T ADAM</v>
      </c>
      <c r="G36" s="407">
        <f>'CUSTOMERS REPORT'!Y1093</f>
        <v>0</v>
      </c>
      <c r="H36" s="505">
        <f>'CUSTOMERS REPORT'!Z1093</f>
        <v>0</v>
      </c>
      <c r="I36" s="407">
        <f>'CUSTOMERS REPORT'!AA1093</f>
        <v>0</v>
      </c>
      <c r="J36" s="499">
        <f>'CUSTOMERS REPORT'!AB1093</f>
        <v>0</v>
      </c>
      <c r="K36" s="499">
        <f>'CUSTOMERS REPORT'!AC1093</f>
        <v>0</v>
      </c>
      <c r="L36" s="510">
        <f>'CUSTOMERS REPORT'!AD1093</f>
        <v>0</v>
      </c>
      <c r="M36" s="414">
        <f>'4'!M36+'5'!G36</f>
        <v>0</v>
      </c>
      <c r="N36" s="412">
        <f>'4'!N36+'5'!J36</f>
        <v>0</v>
      </c>
      <c r="P36" s="372" t="s">
        <v>152</v>
      </c>
      <c r="Q36" s="444">
        <f>J48</f>
        <v>0</v>
      </c>
      <c r="R36" t="s">
        <v>1</v>
      </c>
      <c r="S36" s="400" t="str">
        <f>'4'!S36</f>
        <v>M A ORING</v>
      </c>
      <c r="T36" s="446">
        <f>'4'!X36</f>
        <v>0</v>
      </c>
      <c r="U36" s="456"/>
      <c r="V36" s="451">
        <f t="shared" si="0"/>
        <v>0</v>
      </c>
      <c r="W36" s="452"/>
      <c r="X36" s="448">
        <f t="shared" si="1"/>
        <v>0</v>
      </c>
      <c r="Z36" s="375">
        <f>'4'!Z36</f>
        <v>0</v>
      </c>
      <c r="AA36" s="464">
        <f>'4'!AE36</f>
        <v>0</v>
      </c>
      <c r="AB36" s="460"/>
      <c r="AC36" s="462">
        <f t="shared" si="2"/>
        <v>0</v>
      </c>
      <c r="AD36" s="469"/>
      <c r="AE36" s="348">
        <f t="shared" si="3"/>
        <v>0</v>
      </c>
      <c r="AF36" s="563">
        <f>'4'!AF36+'5'!AB36</f>
        <v>0</v>
      </c>
      <c r="AG36" s="234">
        <f>'4'!AG36+'5'!AD36</f>
        <v>0</v>
      </c>
    </row>
    <row r="37" spans="1:40" ht="27" customHeight="1">
      <c r="A37" s="715" t="str">
        <f>'4'!A37</f>
        <v>javeed manghopir</v>
      </c>
      <c r="B37" s="234"/>
      <c r="C37" s="348">
        <f>'4'!D37</f>
        <v>0</v>
      </c>
      <c r="D37" s="234">
        <f t="shared" si="5"/>
        <v>0</v>
      </c>
      <c r="F37" s="479" t="str">
        <f>'4'!F37</f>
        <v>MUMTAZ K N SHAH</v>
      </c>
      <c r="G37" s="406">
        <f>'CUSTOMERS REPORT'!Y1131</f>
        <v>0</v>
      </c>
      <c r="H37" s="504">
        <f>'CUSTOMERS REPORT'!Z1131</f>
        <v>0</v>
      </c>
      <c r="I37" s="406">
        <f>'CUSTOMERS REPORT'!AA1131</f>
        <v>0</v>
      </c>
      <c r="J37" s="498">
        <f>'CUSTOMERS REPORT'!AB1131</f>
        <v>0</v>
      </c>
      <c r="K37" s="498">
        <f>'CUSTOMERS REPORT'!AC1131</f>
        <v>0</v>
      </c>
      <c r="L37" s="509">
        <f>'CUSTOMERS REPORT'!AD1131</f>
        <v>0</v>
      </c>
      <c r="M37" s="414">
        <f>'4'!M37+'5'!G37</f>
        <v>0</v>
      </c>
      <c r="N37" s="412">
        <f>'4'!N37+'5'!J37</f>
        <v>0</v>
      </c>
      <c r="P37" s="373" t="s">
        <v>153</v>
      </c>
      <c r="Q37" s="445">
        <f>Q34+Q35+Q36</f>
        <v>0</v>
      </c>
      <c r="R37" t="s">
        <v>1</v>
      </c>
      <c r="S37" s="400">
        <f>'4'!S37</f>
        <v>0</v>
      </c>
      <c r="T37" s="446">
        <f>'4'!X37</f>
        <v>0</v>
      </c>
      <c r="U37" s="456"/>
      <c r="V37" s="451">
        <f t="shared" si="0"/>
        <v>0</v>
      </c>
      <c r="W37" s="452"/>
      <c r="X37" s="448">
        <f t="shared" si="1"/>
        <v>0</v>
      </c>
      <c r="Z37" s="375">
        <f>'4'!Z37</f>
        <v>0</v>
      </c>
      <c r="AA37" s="464">
        <f>'4'!AE37</f>
        <v>0</v>
      </c>
      <c r="AB37" s="460"/>
      <c r="AC37" s="462">
        <f t="shared" si="2"/>
        <v>0</v>
      </c>
      <c r="AD37" s="469"/>
      <c r="AE37" s="348">
        <f t="shared" si="3"/>
        <v>0</v>
      </c>
      <c r="AF37" s="563">
        <f>'4'!AF37+'5'!AB37</f>
        <v>0</v>
      </c>
      <c r="AG37" s="234">
        <f>'4'!AG37+'5'!AD37</f>
        <v>0</v>
      </c>
    </row>
    <row r="38" spans="1:40" ht="27" customHeight="1">
      <c r="A38" s="715" t="str">
        <f>'4'!A38</f>
        <v>EXSIS CASH</v>
      </c>
      <c r="B38" s="234"/>
      <c r="C38" s="348">
        <f>'4'!D38</f>
        <v>0</v>
      </c>
      <c r="D38" s="234">
        <f t="shared" si="5"/>
        <v>0</v>
      </c>
      <c r="F38" s="479" t="str">
        <f>'4'!F38</f>
        <v>GHULAM RASOOL QU</v>
      </c>
      <c r="G38" s="408">
        <f>'CUSTOMERS REPORT'!Y1168</f>
        <v>0</v>
      </c>
      <c r="H38" s="506">
        <f>'CUSTOMERS REPORT'!Z1168</f>
        <v>0</v>
      </c>
      <c r="I38" s="408">
        <f>'CUSTOMERS REPORT'!AA1168</f>
        <v>0</v>
      </c>
      <c r="J38" s="500">
        <f>'CUSTOMERS REPORT'!AB1168</f>
        <v>0</v>
      </c>
      <c r="K38" s="500">
        <f>'CUSTOMERS REPORT'!AC1168</f>
        <v>0</v>
      </c>
      <c r="L38" s="511">
        <f>'CUSTOMERS REPORT'!AD1168</f>
        <v>0</v>
      </c>
      <c r="M38" s="414">
        <f>'4'!M38+'5'!G38</f>
        <v>0</v>
      </c>
      <c r="N38" s="412">
        <f>'4'!N38+'5'!J38</f>
        <v>0</v>
      </c>
      <c r="P38" s="373" t="s">
        <v>154</v>
      </c>
      <c r="Q38" s="445">
        <f>D48</f>
        <v>0</v>
      </c>
      <c r="S38" s="400">
        <f>'4'!S38</f>
        <v>0</v>
      </c>
      <c r="T38" s="446">
        <f>'4'!X38</f>
        <v>0</v>
      </c>
      <c r="U38" s="456"/>
      <c r="V38" s="451">
        <f t="shared" si="0"/>
        <v>0</v>
      </c>
      <c r="W38" s="452"/>
      <c r="X38" s="448">
        <f t="shared" si="1"/>
        <v>0</v>
      </c>
      <c r="Z38" s="375">
        <f>'4'!Z38</f>
        <v>0</v>
      </c>
      <c r="AA38" s="464">
        <f>'4'!AE38</f>
        <v>0</v>
      </c>
      <c r="AB38" s="460"/>
      <c r="AC38" s="462">
        <f t="shared" si="2"/>
        <v>0</v>
      </c>
      <c r="AD38" s="469"/>
      <c r="AE38" s="348">
        <f t="shared" si="3"/>
        <v>0</v>
      </c>
      <c r="AF38" s="563">
        <f>'4'!AF38+'5'!AB38</f>
        <v>0</v>
      </c>
      <c r="AG38" s="234">
        <f>'4'!AG38+'5'!AD38</f>
        <v>0</v>
      </c>
    </row>
    <row r="39" spans="1:40" ht="27" customHeight="1">
      <c r="A39" s="715" t="str">
        <f>'4'!A39</f>
        <v>SHORT CASH</v>
      </c>
      <c r="B39" s="234"/>
      <c r="C39" s="348">
        <f>'4'!D39</f>
        <v>0</v>
      </c>
      <c r="D39" s="550">
        <f t="shared" si="5"/>
        <v>0</v>
      </c>
      <c r="F39" s="479" t="str">
        <f>'4'!F39</f>
        <v>SHAMSHAD UNCLE</v>
      </c>
      <c r="G39" s="406">
        <f>'CUSTOMERS REPORT'!Y1205</f>
        <v>0</v>
      </c>
      <c r="H39" s="504">
        <f>'CUSTOMERS REPORT'!Z1205</f>
        <v>0</v>
      </c>
      <c r="I39" s="406">
        <f>'CUSTOMERS REPORT'!AA1205</f>
        <v>0</v>
      </c>
      <c r="J39" s="498">
        <f>'CUSTOMERS REPORT'!AB1205</f>
        <v>0</v>
      </c>
      <c r="K39" s="498">
        <f>'CUSTOMERS REPORT'!AC1205</f>
        <v>0</v>
      </c>
      <c r="L39" s="509">
        <f>'CUSTOMERS REPORT'!AD1205</f>
        <v>0</v>
      </c>
      <c r="M39" s="414">
        <f>'4'!M39+'5'!G39</f>
        <v>0</v>
      </c>
      <c r="N39" s="412">
        <f>'4'!N39+'5'!J39</f>
        <v>0</v>
      </c>
      <c r="P39" s="373" t="s">
        <v>109</v>
      </c>
      <c r="Q39" s="445">
        <f>'4'!Q39+'5'!Q25+'5'!Q26+'5'!Q27+'5'!Q28+'5'!Q29+'5'!Q30+'5'!Q31</f>
        <v>0</v>
      </c>
      <c r="R39" t="s">
        <v>1</v>
      </c>
      <c r="S39" s="400">
        <f>'4'!S39</f>
        <v>0</v>
      </c>
      <c r="T39" s="446">
        <f>'4'!X39</f>
        <v>0</v>
      </c>
      <c r="U39" s="456"/>
      <c r="V39" s="451">
        <f t="shared" si="0"/>
        <v>0</v>
      </c>
      <c r="W39" s="452"/>
      <c r="X39" s="448">
        <f t="shared" si="1"/>
        <v>0</v>
      </c>
      <c r="Z39" s="375">
        <f>'4'!Z39</f>
        <v>0</v>
      </c>
      <c r="AA39" s="464">
        <f>'4'!AE39</f>
        <v>0</v>
      </c>
      <c r="AB39" s="460"/>
      <c r="AC39" s="462">
        <f t="shared" si="2"/>
        <v>0</v>
      </c>
      <c r="AD39" s="469"/>
      <c r="AE39" s="348">
        <f t="shared" si="3"/>
        <v>0</v>
      </c>
      <c r="AF39" s="563">
        <f>'4'!AF39+'5'!AB39</f>
        <v>0</v>
      </c>
      <c r="AG39" s="234">
        <f>'4'!AG39+'5'!AD39</f>
        <v>0</v>
      </c>
    </row>
    <row r="40" spans="1:40" ht="27" customHeight="1" thickBot="1">
      <c r="A40" s="715" t="str">
        <f>'4'!A40</f>
        <v>ASSETS</v>
      </c>
      <c r="B40" s="234"/>
      <c r="C40" s="348">
        <f>'4'!D40</f>
        <v>0</v>
      </c>
      <c r="D40" s="234">
        <f t="shared" si="5"/>
        <v>0</v>
      </c>
      <c r="F40" s="479" t="str">
        <f>'4'!F40</f>
        <v>IBRAHEEM D.G KHAN</v>
      </c>
      <c r="G40" s="406">
        <f>'CUSTOMERS REPORT'!Y1242</f>
        <v>0</v>
      </c>
      <c r="H40" s="504">
        <f>'CUSTOMERS REPORT'!Z1242</f>
        <v>0</v>
      </c>
      <c r="I40" s="406">
        <f>'CUSTOMERS REPORT'!AA1242</f>
        <v>0</v>
      </c>
      <c r="J40" s="498">
        <f>'CUSTOMERS REPORT'!AB1242</f>
        <v>0</v>
      </c>
      <c r="K40" s="498">
        <f>'CUSTOMERS REPORT'!AC1242</f>
        <v>0</v>
      </c>
      <c r="L40" s="509">
        <f>'CUSTOMERS REPORT'!AD1242</f>
        <v>0</v>
      </c>
      <c r="M40" s="414">
        <f>'4'!M40+'5'!G40</f>
        <v>0</v>
      </c>
      <c r="N40" s="412">
        <f>'4'!N40+'5'!J40</f>
        <v>0</v>
      </c>
      <c r="P40" s="374" t="s">
        <v>155</v>
      </c>
      <c r="Q40" s="445">
        <f>Q48</f>
        <v>0</v>
      </c>
      <c r="S40" s="400">
        <f>'4'!S40</f>
        <v>0</v>
      </c>
      <c r="T40" s="446">
        <f>'4'!X40</f>
        <v>0</v>
      </c>
      <c r="U40" s="456"/>
      <c r="V40" s="451">
        <f t="shared" si="0"/>
        <v>0</v>
      </c>
      <c r="W40" s="452"/>
      <c r="X40" s="448">
        <f t="shared" si="1"/>
        <v>0</v>
      </c>
      <c r="Z40" s="375">
        <f>'4'!Z40</f>
        <v>0</v>
      </c>
      <c r="AA40" s="464">
        <f>'4'!AE40</f>
        <v>0</v>
      </c>
      <c r="AB40" s="460"/>
      <c r="AC40" s="462">
        <f t="shared" si="2"/>
        <v>0</v>
      </c>
      <c r="AD40" s="469"/>
      <c r="AE40" s="348">
        <f t="shared" si="3"/>
        <v>0</v>
      </c>
      <c r="AF40" s="563">
        <f>'4'!AF40+'5'!AB40</f>
        <v>0</v>
      </c>
      <c r="AG40" s="234">
        <f>'4'!AG40+'5'!AD40</f>
        <v>0</v>
      </c>
    </row>
    <row r="41" spans="1:40" ht="27" customHeight="1" thickTop="1" thickBot="1">
      <c r="A41" s="715" t="str">
        <f>'4'!A41</f>
        <v>BIKE.INSTALMINT</v>
      </c>
      <c r="B41" s="234"/>
      <c r="C41" s="348">
        <f>'4'!D41</f>
        <v>0</v>
      </c>
      <c r="D41" s="234">
        <f t="shared" si="5"/>
        <v>0</v>
      </c>
      <c r="E41" t="s">
        <v>1</v>
      </c>
      <c r="F41" s="479" t="str">
        <f>'4'!F41</f>
        <v>PISHAWAR</v>
      </c>
      <c r="G41" s="409">
        <f>'CUSTOMERS REPORT'!Y1279</f>
        <v>0</v>
      </c>
      <c r="H41" s="507">
        <f>'CUSTOMERS REPORT'!Z1279</f>
        <v>0</v>
      </c>
      <c r="I41" s="409">
        <f>'CUSTOMERS REPORT'!AA1279</f>
        <v>0</v>
      </c>
      <c r="J41" s="501">
        <f>'CUSTOMERS REPORT'!AB1279</f>
        <v>0</v>
      </c>
      <c r="K41" s="501">
        <f>'CUSTOMERS REPORT'!AC1279</f>
        <v>0</v>
      </c>
      <c r="L41" s="512">
        <f>'CUSTOMERS REPORT'!AD1279</f>
        <v>0</v>
      </c>
      <c r="M41" s="414">
        <f>'4'!M41+'5'!G41</f>
        <v>0</v>
      </c>
      <c r="N41" s="412">
        <f>'4'!N41+'5'!J41</f>
        <v>0</v>
      </c>
      <c r="P41" s="221" t="s">
        <v>51</v>
      </c>
      <c r="Q41" s="223">
        <f>Q37-Q38-Q39-Q40</f>
        <v>0</v>
      </c>
      <c r="S41" s="400">
        <f>'4'!S41</f>
        <v>0</v>
      </c>
      <c r="T41" s="446">
        <f>'4'!X41</f>
        <v>0</v>
      </c>
      <c r="U41" s="456"/>
      <c r="V41" s="451">
        <f t="shared" si="0"/>
        <v>0</v>
      </c>
      <c r="W41" s="452"/>
      <c r="X41" s="448">
        <f t="shared" si="1"/>
        <v>0</v>
      </c>
      <c r="Z41" s="375">
        <f>'4'!Z41</f>
        <v>0</v>
      </c>
      <c r="AA41" s="464">
        <f>'4'!AE41</f>
        <v>0</v>
      </c>
      <c r="AB41" s="460"/>
      <c r="AC41" s="462">
        <f t="shared" si="2"/>
        <v>0</v>
      </c>
      <c r="AD41" s="469"/>
      <c r="AE41" s="348">
        <f t="shared" si="3"/>
        <v>0</v>
      </c>
      <c r="AF41" s="563">
        <f>'4'!AF41+'5'!AB41</f>
        <v>0</v>
      </c>
      <c r="AG41" s="234">
        <f>'4'!AG41+'5'!AD41</f>
        <v>0</v>
      </c>
    </row>
    <row r="42" spans="1:40" ht="27" customHeight="1" thickTop="1" thickBot="1">
      <c r="A42" s="715" t="str">
        <f>'4'!A42</f>
        <v>B.C</v>
      </c>
      <c r="B42" s="529"/>
      <c r="C42" s="348">
        <f>'4'!D42</f>
        <v>0</v>
      </c>
      <c r="D42" s="529">
        <f t="shared" si="5"/>
        <v>0</v>
      </c>
      <c r="F42" s="479" t="str">
        <f>'4'!F42</f>
        <v>HUZAFA KOTRI</v>
      </c>
      <c r="G42" s="409">
        <f>'CUSTOMERS REPORT'!Y1316</f>
        <v>0</v>
      </c>
      <c r="H42" s="507">
        <f>'CUSTOMERS REPORT'!Z1316</f>
        <v>0</v>
      </c>
      <c r="I42" s="409">
        <f>'CUSTOMERS REPORT'!AA1316</f>
        <v>0</v>
      </c>
      <c r="J42" s="501">
        <f>'CUSTOMERS REPORT'!AB1316</f>
        <v>0</v>
      </c>
      <c r="K42" s="501">
        <f>'CUSTOMERS REPORT'!AC1316</f>
        <v>0</v>
      </c>
      <c r="L42" s="512">
        <f>'CUSTOMERS REPORT'!AD1316</f>
        <v>0</v>
      </c>
      <c r="M42" s="414">
        <f>'4'!M42+'5'!G42</f>
        <v>0</v>
      </c>
      <c r="N42" s="412">
        <f>'4'!N42+'5'!J42</f>
        <v>0</v>
      </c>
      <c r="P42" s="1499" t="s">
        <v>157</v>
      </c>
      <c r="Q42" s="1500"/>
      <c r="S42" s="400">
        <f>'4'!S42</f>
        <v>0</v>
      </c>
      <c r="T42" s="446">
        <f>'4'!X42</f>
        <v>0</v>
      </c>
      <c r="U42" s="458"/>
      <c r="V42" s="453">
        <f t="shared" si="0"/>
        <v>0</v>
      </c>
      <c r="W42" s="454"/>
      <c r="X42" s="449">
        <f t="shared" si="1"/>
        <v>0</v>
      </c>
      <c r="Z42" s="375">
        <f>'4'!Z42</f>
        <v>0</v>
      </c>
      <c r="AA42" s="464">
        <f>'4'!AE42</f>
        <v>0</v>
      </c>
      <c r="AB42" s="461"/>
      <c r="AC42" s="462">
        <f>AA42+AB42</f>
        <v>0</v>
      </c>
      <c r="AD42" s="470"/>
      <c r="AE42" s="348">
        <f t="shared" si="3"/>
        <v>0</v>
      </c>
      <c r="AF42" s="564">
        <f>'4'!AF42+'5'!AB42</f>
        <v>0</v>
      </c>
      <c r="AG42" s="572">
        <f>'4'!AG42+'5'!AD42</f>
        <v>0</v>
      </c>
    </row>
    <row r="43" spans="1:40" ht="27" customHeight="1" thickTop="1" thickBot="1">
      <c r="A43" s="715" t="str">
        <f>'4'!A43</f>
        <v>AQEEL</v>
      </c>
      <c r="B43" s="539"/>
      <c r="C43" s="348">
        <f>'4'!D43</f>
        <v>0</v>
      </c>
      <c r="D43" s="529">
        <f t="shared" si="5"/>
        <v>0</v>
      </c>
      <c r="F43" s="479" t="str">
        <f>'4'!F43</f>
        <v>ZAHID LAHORE</v>
      </c>
      <c r="G43" s="409">
        <f>'CUSTOMERS REPORT'!Y1353</f>
        <v>0</v>
      </c>
      <c r="H43" s="507">
        <f>'CUSTOMERS REPORT'!Z1353</f>
        <v>0</v>
      </c>
      <c r="I43" s="409">
        <f>'CUSTOMERS REPORT'!AA1353</f>
        <v>0</v>
      </c>
      <c r="J43" s="501">
        <f>'CUSTOMERS REPORT'!AB1353</f>
        <v>0</v>
      </c>
      <c r="K43" s="501">
        <f>'CUSTOMERS REPORT'!AC1353</f>
        <v>0</v>
      </c>
      <c r="L43" s="512">
        <f>'CUSTOMERS REPORT'!AD1353</f>
        <v>0</v>
      </c>
      <c r="M43" s="414">
        <f>'4'!M43+'5'!G43</f>
        <v>0</v>
      </c>
      <c r="N43" s="412">
        <f>'4'!N43+'5'!J43</f>
        <v>0</v>
      </c>
      <c r="P43" s="220" t="s">
        <v>124</v>
      </c>
      <c r="Q43" s="223">
        <f>'4'!Q48</f>
        <v>0</v>
      </c>
      <c r="R43" t="s">
        <v>1</v>
      </c>
      <c r="S43" s="400">
        <f>'4'!S43</f>
        <v>0</v>
      </c>
      <c r="T43" s="446">
        <f>'4'!X43</f>
        <v>0</v>
      </c>
      <c r="U43" s="358"/>
      <c r="V43" s="453">
        <f t="shared" si="0"/>
        <v>0</v>
      </c>
      <c r="W43" s="403"/>
      <c r="X43" s="449">
        <f t="shared" si="1"/>
        <v>0</v>
      </c>
      <c r="Z43" s="383"/>
      <c r="AA43" s="356">
        <f>SUM(AA8:AA42)</f>
        <v>0</v>
      </c>
      <c r="AB43" s="385">
        <f>SUM(AB8:AB42)</f>
        <v>0</v>
      </c>
      <c r="AC43" s="357" t="s">
        <v>74</v>
      </c>
      <c r="AD43" s="387">
        <f>SUM(AD8:AD42)</f>
        <v>0</v>
      </c>
      <c r="AE43" s="358">
        <f>SUM(AE8:AE42)</f>
        <v>0</v>
      </c>
      <c r="AF43" s="565">
        <f>SUM(AF8:AF42)</f>
        <v>0</v>
      </c>
      <c r="AG43" s="571">
        <f>SUM(AG8:AG42)</f>
        <v>0</v>
      </c>
    </row>
    <row r="44" spans="1:40" ht="27" customHeight="1" thickTop="1">
      <c r="A44" s="715" t="str">
        <f>'4'!A44</f>
        <v>M.YOUSUF</v>
      </c>
      <c r="B44" s="234"/>
      <c r="C44" s="348">
        <f>'4'!D44</f>
        <v>0</v>
      </c>
      <c r="D44" s="234">
        <f t="shared" si="5"/>
        <v>0</v>
      </c>
      <c r="F44" s="479" t="str">
        <f>'4'!F44</f>
        <v>CASH SALE</v>
      </c>
      <c r="G44" s="409">
        <f>'CUSTOMERS REPORT'!Y1390</f>
        <v>0</v>
      </c>
      <c r="H44" s="507">
        <f>'CUSTOMERS REPORT'!Z1390</f>
        <v>0</v>
      </c>
      <c r="I44" s="409">
        <f>'CUSTOMERS REPORT'!AA1390</f>
        <v>0</v>
      </c>
      <c r="J44" s="501">
        <f>'CUSTOMERS REPORT'!AB1390</f>
        <v>0</v>
      </c>
      <c r="K44" s="501">
        <f>'CUSTOMERS REPORT'!AC1390</f>
        <v>0</v>
      </c>
      <c r="L44" s="512">
        <f>'CUSTOMERS REPORT'!AD1390</f>
        <v>0</v>
      </c>
      <c r="M44" s="414">
        <f>'4'!M44+'5'!G44</f>
        <v>0</v>
      </c>
      <c r="N44" s="412">
        <f>'4'!N44+'5'!J44</f>
        <v>0</v>
      </c>
      <c r="P44" s="222" t="s">
        <v>114</v>
      </c>
      <c r="Q44" s="377">
        <f>J46</f>
        <v>0</v>
      </c>
      <c r="S44" s="400"/>
      <c r="T44" s="348"/>
      <c r="U44" s="306"/>
      <c r="V44" s="349"/>
      <c r="W44" s="351"/>
      <c r="X44" s="350"/>
      <c r="Z44" s="375"/>
      <c r="AA44" s="339"/>
      <c r="AB44" s="386">
        <f>'4'!AB45</f>
        <v>0</v>
      </c>
      <c r="AC44" s="340" t="s">
        <v>126</v>
      </c>
      <c r="AD44" s="388">
        <f>'4'!AD45</f>
        <v>0</v>
      </c>
      <c r="AE44" s="341"/>
      <c r="AF44" s="561"/>
      <c r="AG44" s="83" t="s">
        <v>1</v>
      </c>
    </row>
    <row r="45" spans="1:40" ht="27" customHeight="1" thickBot="1">
      <c r="A45" s="715" t="str">
        <f>'4'!A45</f>
        <v>SHAKEEL</v>
      </c>
      <c r="B45" s="234"/>
      <c r="C45" s="348">
        <f>'4'!D45</f>
        <v>0</v>
      </c>
      <c r="D45" s="234">
        <f t="shared" si="5"/>
        <v>0</v>
      </c>
      <c r="F45" s="479" t="str">
        <f>'4'!F45</f>
        <v xml:space="preserve">FREE </v>
      </c>
      <c r="G45" s="410">
        <f>'CUSTOMERS REPORT'!Y1427</f>
        <v>0</v>
      </c>
      <c r="H45" s="362">
        <f>'CUSTOMERS REPORT'!Z1427</f>
        <v>0</v>
      </c>
      <c r="I45" s="410">
        <f>'CUSTOMERS REPORT'!AA1427</f>
        <v>0</v>
      </c>
      <c r="J45" s="502">
        <f>'CUSTOMERS REPORT'!AB1427</f>
        <v>0</v>
      </c>
      <c r="K45" s="502">
        <f>'CUSTOMERS REPORT'!AC1427</f>
        <v>0</v>
      </c>
      <c r="L45" s="513">
        <f>'CUSTOMERS REPORT'!AD1427</f>
        <v>0</v>
      </c>
      <c r="M45" s="414">
        <f>'4'!M45+'5'!G45</f>
        <v>0</v>
      </c>
      <c r="N45" s="412">
        <f>'4'!N45+'5'!J45</f>
        <v>0</v>
      </c>
      <c r="P45" s="222" t="s">
        <v>153</v>
      </c>
      <c r="Q45" s="378">
        <f>Q43+Q44</f>
        <v>0</v>
      </c>
      <c r="S45" s="401"/>
      <c r="T45" s="352"/>
      <c r="U45" s="307"/>
      <c r="V45" s="353"/>
      <c r="W45" s="354"/>
      <c r="X45" s="355"/>
      <c r="Z45" s="384"/>
      <c r="AA45" s="359"/>
      <c r="AB45" s="390">
        <f>SUM(AB43:AB44)</f>
        <v>0</v>
      </c>
      <c r="AC45" s="360" t="s">
        <v>74</v>
      </c>
      <c r="AD45" s="389">
        <f>SUM(AD43:AD44)</f>
        <v>0</v>
      </c>
      <c r="AE45" s="361"/>
      <c r="AF45" s="562"/>
      <c r="AG45" s="573"/>
    </row>
    <row r="46" spans="1:40" ht="27" customHeight="1" thickTop="1" thickBot="1">
      <c r="A46" s="715" t="str">
        <f>'4'!A46</f>
        <v>ZAHID HUSSAN</v>
      </c>
      <c r="B46" s="234"/>
      <c r="C46" s="348">
        <f>'4'!D46</f>
        <v>0</v>
      </c>
      <c r="D46" s="234">
        <f t="shared" si="5"/>
        <v>0</v>
      </c>
      <c r="F46" s="369"/>
      <c r="G46" s="424">
        <f>SUM(G8:G45)</f>
        <v>0</v>
      </c>
      <c r="H46" s="1497" t="s">
        <v>160</v>
      </c>
      <c r="I46" s="1498"/>
      <c r="J46" s="421">
        <f>SUM(J8:J45)</f>
        <v>0</v>
      </c>
      <c r="K46" s="427">
        <f>SUM(K8:K45)</f>
        <v>0</v>
      </c>
      <c r="L46" s="431">
        <f>SUM(L8:L45)</f>
        <v>0</v>
      </c>
      <c r="M46" s="429">
        <f>SUM(M8:M45)</f>
        <v>0</v>
      </c>
      <c r="N46" s="430">
        <f>SUM(N8:N45)</f>
        <v>0</v>
      </c>
      <c r="P46" s="222" t="s">
        <v>154</v>
      </c>
      <c r="Q46" s="378">
        <f>B48</f>
        <v>0</v>
      </c>
    </row>
    <row r="47" spans="1:40" ht="27" customHeight="1" thickTop="1" thickBot="1">
      <c r="A47" s="715" t="str">
        <f>'4'!A47</f>
        <v xml:space="preserve">INVESTOR </v>
      </c>
      <c r="B47" s="542"/>
      <c r="C47" s="348">
        <f>'4'!D47</f>
        <v>0</v>
      </c>
      <c r="D47" s="542">
        <f t="shared" si="5"/>
        <v>0</v>
      </c>
      <c r="F47" s="370"/>
      <c r="G47" s="425">
        <f>'4'!G48</f>
        <v>0</v>
      </c>
      <c r="H47" s="1512" t="s">
        <v>162</v>
      </c>
      <c r="I47" s="1513"/>
      <c r="J47" s="423">
        <f>'4'!J48</f>
        <v>0</v>
      </c>
      <c r="K47" s="423">
        <f>'4'!K48</f>
        <v>0</v>
      </c>
      <c r="L47" s="343"/>
      <c r="M47" s="344"/>
      <c r="N47" s="345"/>
      <c r="P47" s="375" t="s">
        <v>163</v>
      </c>
      <c r="Q47" s="378">
        <f>Q9+Q10+Q19+Q20+Q21+Q22</f>
        <v>0</v>
      </c>
      <c r="R47" s="19"/>
      <c r="S47" s="1489" t="s">
        <v>92</v>
      </c>
      <c r="T47" s="1402" t="s">
        <v>95</v>
      </c>
      <c r="U47" s="1403"/>
      <c r="V47" s="1403"/>
      <c r="W47" s="1404"/>
      <c r="X47" s="1402" t="s">
        <v>7</v>
      </c>
      <c r="Y47" s="1403"/>
      <c r="Z47" s="1404"/>
      <c r="AA47" s="1402" t="s">
        <v>8</v>
      </c>
      <c r="AB47" s="1404"/>
      <c r="AC47" s="1402" t="s">
        <v>9</v>
      </c>
      <c r="AD47" s="1403"/>
      <c r="AE47" s="1403"/>
      <c r="AF47" s="1403"/>
      <c r="AG47" s="1403"/>
      <c r="AH47" s="1403"/>
      <c r="AI47" s="1403"/>
      <c r="AJ47" s="1405" t="s">
        <v>10</v>
      </c>
      <c r="AK47" s="1406"/>
      <c r="AL47" s="1400" t="s">
        <v>289</v>
      </c>
      <c r="AM47" s="1401"/>
      <c r="AN47" s="842" t="s">
        <v>290</v>
      </c>
    </row>
    <row r="48" spans="1:40" ht="27" customHeight="1" thickTop="1" thickBot="1">
      <c r="A48" s="192" t="s">
        <v>74</v>
      </c>
      <c r="B48" s="544">
        <f>SUM(B22:B47)</f>
        <v>0</v>
      </c>
      <c r="C48" s="543">
        <f>'4'!D48</f>
        <v>0</v>
      </c>
      <c r="D48" s="544">
        <f t="shared" si="5"/>
        <v>0</v>
      </c>
      <c r="F48" s="371"/>
      <c r="G48" s="426">
        <f>G46+G47</f>
        <v>0</v>
      </c>
      <c r="H48" s="1495" t="s">
        <v>164</v>
      </c>
      <c r="I48" s="1496"/>
      <c r="J48" s="422">
        <f>J46+J47</f>
        <v>0</v>
      </c>
      <c r="K48" s="428">
        <f>K46+K47</f>
        <v>0</v>
      </c>
      <c r="L48" s="346"/>
      <c r="M48" s="347"/>
      <c r="N48" s="622">
        <f>G48-J48</f>
        <v>0</v>
      </c>
      <c r="P48" s="376" t="s">
        <v>155</v>
      </c>
      <c r="Q48" s="379">
        <f>Q45-Q46-Q47</f>
        <v>0</v>
      </c>
      <c r="R48" s="19"/>
      <c r="S48" s="1490"/>
      <c r="T48" s="482" t="s">
        <v>12</v>
      </c>
      <c r="U48" s="482" t="s">
        <v>13</v>
      </c>
      <c r="V48" s="482" t="s">
        <v>14</v>
      </c>
      <c r="W48" s="958" t="s">
        <v>263</v>
      </c>
      <c r="X48" s="482" t="s">
        <v>12</v>
      </c>
      <c r="Y48" s="482" t="s">
        <v>13</v>
      </c>
      <c r="Z48" s="482" t="s">
        <v>282</v>
      </c>
      <c r="AA48" s="482" t="s">
        <v>12</v>
      </c>
      <c r="AB48" s="482" t="s">
        <v>16</v>
      </c>
      <c r="AC48" s="482" t="s">
        <v>17</v>
      </c>
      <c r="AD48" s="482" t="s">
        <v>18</v>
      </c>
      <c r="AE48" s="482" t="s">
        <v>19</v>
      </c>
      <c r="AF48" s="484" t="s">
        <v>96</v>
      </c>
      <c r="AG48" s="484" t="s">
        <v>257</v>
      </c>
      <c r="AH48" s="482" t="s">
        <v>254</v>
      </c>
      <c r="AI48" s="482" t="s">
        <v>20</v>
      </c>
      <c r="AJ48" s="483" t="s">
        <v>14</v>
      </c>
      <c r="AK48" s="482" t="s">
        <v>13</v>
      </c>
      <c r="AL48" s="846" t="s">
        <v>284</v>
      </c>
      <c r="AM48" s="846" t="s">
        <v>288</v>
      </c>
      <c r="AN48" s="484" t="s">
        <v>291</v>
      </c>
    </row>
    <row r="49" spans="1:41" ht="24.95" customHeight="1" thickTop="1" thickBot="1">
      <c r="R49" s="19"/>
      <c r="S49" s="865" t="s">
        <v>165</v>
      </c>
      <c r="T49" s="866">
        <f>'4'!T55</f>
        <v>0</v>
      </c>
      <c r="U49" s="866">
        <f>'4'!U55</f>
        <v>0</v>
      </c>
      <c r="V49" s="866">
        <f>'4'!V55</f>
        <v>0</v>
      </c>
      <c r="W49" s="866">
        <f>'4'!W55</f>
        <v>0</v>
      </c>
      <c r="X49" s="866">
        <f>'4'!X55</f>
        <v>0</v>
      </c>
      <c r="Y49" s="866">
        <f>'4'!Y55</f>
        <v>0</v>
      </c>
      <c r="Z49" s="866">
        <f>'4'!Z55</f>
        <v>0</v>
      </c>
      <c r="AA49" s="866">
        <f>'4'!AA55</f>
        <v>0</v>
      </c>
      <c r="AB49" s="866">
        <f>'4'!AB55</f>
        <v>0</v>
      </c>
      <c r="AC49" s="866">
        <f>'4'!AC55</f>
        <v>0</v>
      </c>
      <c r="AD49" s="866">
        <f>'4'!AD55</f>
        <v>0</v>
      </c>
      <c r="AE49" s="866">
        <f>'4'!AE55</f>
        <v>0</v>
      </c>
      <c r="AF49" s="866">
        <f>'4'!AF55</f>
        <v>0</v>
      </c>
      <c r="AG49" s="866">
        <f>'4'!AG55</f>
        <v>0</v>
      </c>
      <c r="AH49" s="866">
        <f>'4'!AH55</f>
        <v>0</v>
      </c>
      <c r="AI49" s="866">
        <f>'4'!AI55</f>
        <v>0</v>
      </c>
      <c r="AJ49" s="866">
        <f>'4'!AJ55</f>
        <v>0</v>
      </c>
      <c r="AK49" s="866">
        <f>'4'!AK55</f>
        <v>0</v>
      </c>
      <c r="AL49" s="866" t="e">
        <f>'4'!AL55</f>
        <v>#VALUE!</v>
      </c>
      <c r="AM49" s="866" t="e">
        <f>'4'!AM55</f>
        <v>#VALUE!</v>
      </c>
      <c r="AN49" s="866" t="e">
        <f>'4'!AN55</f>
        <v>#VALUE!</v>
      </c>
    </row>
    <row r="50" spans="1:41" ht="24.95" customHeight="1" thickBot="1">
      <c r="C50" t="s">
        <v>1</v>
      </c>
      <c r="L50" s="417">
        <v>5000</v>
      </c>
      <c r="M50" s="417"/>
      <c r="N50" s="417">
        <f t="shared" ref="N50:N57" si="6">L50*M50</f>
        <v>0</v>
      </c>
      <c r="R50" s="19"/>
      <c r="S50" s="854" t="s">
        <v>166</v>
      </c>
      <c r="T50" s="852"/>
      <c r="U50" s="852"/>
      <c r="V50" s="852"/>
      <c r="W50" s="852"/>
      <c r="X50" s="852"/>
      <c r="Y50" s="852"/>
      <c r="Z50" s="852"/>
      <c r="AA50" s="852"/>
      <c r="AB50" s="852"/>
      <c r="AC50" s="852"/>
      <c r="AD50" s="852"/>
      <c r="AE50" s="852"/>
      <c r="AF50" s="852"/>
      <c r="AG50" s="855"/>
      <c r="AH50" s="852"/>
      <c r="AI50" s="852"/>
      <c r="AJ50" s="848"/>
      <c r="AK50" s="848"/>
      <c r="AL50" s="849"/>
      <c r="AM50" s="849"/>
      <c r="AN50" s="930"/>
    </row>
    <row r="51" spans="1:41" ht="24.95" customHeight="1" thickBot="1">
      <c r="L51" s="417">
        <v>1000</v>
      </c>
      <c r="M51" s="417"/>
      <c r="N51" s="417">
        <f t="shared" si="6"/>
        <v>0</v>
      </c>
      <c r="R51" s="19"/>
      <c r="S51" s="867" t="s">
        <v>91</v>
      </c>
      <c r="T51" s="868"/>
      <c r="U51" s="868"/>
      <c r="V51" s="868"/>
      <c r="W51" s="868"/>
      <c r="X51" s="868"/>
      <c r="Y51" s="868"/>
      <c r="Z51" s="868"/>
      <c r="AA51" s="868"/>
      <c r="AB51" s="868"/>
      <c r="AC51" s="868"/>
      <c r="AD51" s="868"/>
      <c r="AE51" s="868"/>
      <c r="AF51" s="868"/>
      <c r="AG51" s="869"/>
      <c r="AH51" s="868"/>
      <c r="AI51" s="870"/>
      <c r="AJ51" s="868"/>
      <c r="AK51" s="868"/>
      <c r="AL51" s="849"/>
      <c r="AM51" s="849"/>
      <c r="AN51" s="850"/>
    </row>
    <row r="52" spans="1:41" ht="24.95" customHeight="1" thickBot="1">
      <c r="L52" s="417">
        <v>500</v>
      </c>
      <c r="M52" s="417"/>
      <c r="N52" s="417">
        <f t="shared" si="6"/>
        <v>0</v>
      </c>
      <c r="O52" t="s">
        <v>1</v>
      </c>
      <c r="R52" s="19"/>
      <c r="S52" s="856" t="s">
        <v>167</v>
      </c>
      <c r="T52" s="857"/>
      <c r="U52" s="857"/>
      <c r="V52" s="857"/>
      <c r="W52" s="857"/>
      <c r="X52" s="857"/>
      <c r="Y52" s="857"/>
      <c r="Z52" s="857"/>
      <c r="AA52" s="857"/>
      <c r="AB52" s="857"/>
      <c r="AC52" s="857"/>
      <c r="AD52" s="857"/>
      <c r="AE52" s="857"/>
      <c r="AF52" s="857"/>
      <c r="AG52" s="858"/>
      <c r="AH52" s="859"/>
      <c r="AI52" s="860"/>
      <c r="AJ52" s="857"/>
      <c r="AK52" s="851"/>
      <c r="AL52" s="849"/>
      <c r="AM52" s="849"/>
      <c r="AN52" s="850"/>
    </row>
    <row r="53" spans="1:41" ht="24.95" customHeight="1" thickBot="1">
      <c r="L53" s="417">
        <v>100</v>
      </c>
      <c r="M53" s="417"/>
      <c r="N53" s="417">
        <f t="shared" si="6"/>
        <v>0</v>
      </c>
      <c r="R53" s="19"/>
      <c r="S53" s="871" t="s">
        <v>81</v>
      </c>
      <c r="T53" s="866">
        <f t="shared" ref="T53:AN53" si="7">SUM(T49+T50+T52)</f>
        <v>0</v>
      </c>
      <c r="U53" s="866">
        <f t="shared" si="7"/>
        <v>0</v>
      </c>
      <c r="V53" s="866">
        <f t="shared" si="7"/>
        <v>0</v>
      </c>
      <c r="W53" s="866">
        <f t="shared" si="7"/>
        <v>0</v>
      </c>
      <c r="X53" s="866">
        <f t="shared" si="7"/>
        <v>0</v>
      </c>
      <c r="Y53" s="866">
        <f t="shared" si="7"/>
        <v>0</v>
      </c>
      <c r="Z53" s="866">
        <f t="shared" si="7"/>
        <v>0</v>
      </c>
      <c r="AA53" s="866">
        <f t="shared" si="7"/>
        <v>0</v>
      </c>
      <c r="AB53" s="866">
        <f t="shared" si="7"/>
        <v>0</v>
      </c>
      <c r="AC53" s="866">
        <f t="shared" si="7"/>
        <v>0</v>
      </c>
      <c r="AD53" s="866">
        <f t="shared" si="7"/>
        <v>0</v>
      </c>
      <c r="AE53" s="866">
        <f t="shared" si="7"/>
        <v>0</v>
      </c>
      <c r="AF53" s="866">
        <f t="shared" si="7"/>
        <v>0</v>
      </c>
      <c r="AG53" s="866">
        <f t="shared" si="7"/>
        <v>0</v>
      </c>
      <c r="AH53" s="866">
        <f t="shared" si="7"/>
        <v>0</v>
      </c>
      <c r="AI53" s="866">
        <f t="shared" si="7"/>
        <v>0</v>
      </c>
      <c r="AJ53" s="866">
        <f t="shared" si="7"/>
        <v>0</v>
      </c>
      <c r="AK53" s="866">
        <f t="shared" si="7"/>
        <v>0</v>
      </c>
      <c r="AL53" s="866" t="e">
        <f t="shared" si="7"/>
        <v>#VALUE!</v>
      </c>
      <c r="AM53" s="866" t="e">
        <f t="shared" si="7"/>
        <v>#VALUE!</v>
      </c>
      <c r="AN53" s="872" t="e">
        <f t="shared" si="7"/>
        <v>#VALUE!</v>
      </c>
    </row>
    <row r="54" spans="1:41" ht="24.95" customHeight="1" thickBot="1">
      <c r="L54" s="417">
        <v>50</v>
      </c>
      <c r="M54" s="417"/>
      <c r="N54" s="417">
        <f t="shared" si="6"/>
        <v>0</v>
      </c>
      <c r="R54" s="19"/>
      <c r="S54" s="854" t="s">
        <v>168</v>
      </c>
      <c r="T54" s="852">
        <f>'CUSTOMERS REPORT'!B12+'CUSTOMERS REPORT'!B58+'CUSTOMERS REPORT'!B96+'CUSTOMERS REPORT'!B135+'CUSTOMERS REPORT'!B173+'CUSTOMERS REPORT'!B213+'CUSTOMERS REPORT'!B250+'CUSTOMERS REPORT'!B290+'CUSTOMERS REPORT'!B331+'CUSTOMERS REPORT'!B373+'CUSTOMERS REPORT'!B412+'CUSTOMERS REPORT'!B450+'CUSTOMERS REPORT'!B486+'CUSTOMERS REPORT'!B523+'CUSTOMERS REPORT'!B561+'CUSTOMERS REPORT'!B597+'CUSTOMERS REPORT'!B635+'CUSTOMERS REPORT'!B673+'CUSTOMERS REPORT'!B711+'CUSTOMERS REPORT'!B749+'CUSTOMERS REPORT'!B787+'CUSTOMERS REPORT'!B825+'CUSTOMERS REPORT'!B863+'CUSTOMERS REPORT'!B902+'CUSTOMERS REPORT'!B941+'CUSTOMERS REPORT'!B979+'CUSTOMERS REPORT'!B1017+'CUSTOMERS REPORT'!B1055+'CUSTOMERS REPORT'!B1093+'CUSTOMERS REPORT'!B1131+'CUSTOMERS REPORT'!B1168+'CUSTOMERS REPORT'!B1205+'CUSTOMERS REPORT'!B1242+'CUSTOMERS REPORT'!B1279+'CUSTOMERS REPORT'!B1316+'CUSTOMERS REPORT'!B1353+'CUSTOMERS REPORT'!B1390+'CUSTOMERS REPORT'!B1426</f>
        <v>0</v>
      </c>
      <c r="U54" s="852">
        <f>'CUSTOMERS REPORT'!C12+'CUSTOMERS REPORT'!C58+'CUSTOMERS REPORT'!C96+'CUSTOMERS REPORT'!C135+'CUSTOMERS REPORT'!C173+'CUSTOMERS REPORT'!C213+'CUSTOMERS REPORT'!C250+'CUSTOMERS REPORT'!C290+'CUSTOMERS REPORT'!C331+'CUSTOMERS REPORT'!C373+'CUSTOMERS REPORT'!C412+'CUSTOMERS REPORT'!C450+'CUSTOMERS REPORT'!C486+'CUSTOMERS REPORT'!C523+'CUSTOMERS REPORT'!C561+'CUSTOMERS REPORT'!C597+'CUSTOMERS REPORT'!C635+'CUSTOMERS REPORT'!C673+'CUSTOMERS REPORT'!C711+'CUSTOMERS REPORT'!C749+'CUSTOMERS REPORT'!C787+'CUSTOMERS REPORT'!C825+'CUSTOMERS REPORT'!C863+'CUSTOMERS REPORT'!C902+'CUSTOMERS REPORT'!C941+'CUSTOMERS REPORT'!C979+'CUSTOMERS REPORT'!C1017+'CUSTOMERS REPORT'!C1055+'CUSTOMERS REPORT'!C1093+'CUSTOMERS REPORT'!C1131+'CUSTOMERS REPORT'!C1168+'CUSTOMERS REPORT'!C1205+'CUSTOMERS REPORT'!C1242+'CUSTOMERS REPORT'!C1279+'CUSTOMERS REPORT'!C1316+'CUSTOMERS REPORT'!C1353+'CUSTOMERS REPORT'!C1390+'CUSTOMERS REPORT'!C1426</f>
        <v>0</v>
      </c>
      <c r="V54" s="852">
        <f>'CUSTOMERS REPORT'!D12+'CUSTOMERS REPORT'!D58+'CUSTOMERS REPORT'!D96+'CUSTOMERS REPORT'!D135+'CUSTOMERS REPORT'!D173+'CUSTOMERS REPORT'!D213+'CUSTOMERS REPORT'!D250+'CUSTOMERS REPORT'!D290+'CUSTOMERS REPORT'!D331+'CUSTOMERS REPORT'!D373+'CUSTOMERS REPORT'!D412+'CUSTOMERS REPORT'!D450+'CUSTOMERS REPORT'!D486+'CUSTOMERS REPORT'!D523+'CUSTOMERS REPORT'!D561+'CUSTOMERS REPORT'!D597+'CUSTOMERS REPORT'!D635+'CUSTOMERS REPORT'!D673+'CUSTOMERS REPORT'!D711+'CUSTOMERS REPORT'!D749+'CUSTOMERS REPORT'!D787+'CUSTOMERS REPORT'!D825+'CUSTOMERS REPORT'!D863+'CUSTOMERS REPORT'!D902+'CUSTOMERS REPORT'!D941+'CUSTOMERS REPORT'!D979+'CUSTOMERS REPORT'!D1017+'CUSTOMERS REPORT'!D1055+'CUSTOMERS REPORT'!D1093+'CUSTOMERS REPORT'!D1131+'CUSTOMERS REPORT'!D1168+'CUSTOMERS REPORT'!D1205+'CUSTOMERS REPORT'!D1242+'CUSTOMERS REPORT'!D1279+'CUSTOMERS REPORT'!D1316+'CUSTOMERS REPORT'!D1353+'CUSTOMERS REPORT'!D1390+'CUSTOMERS REPORT'!D1426</f>
        <v>0</v>
      </c>
      <c r="W54" s="852">
        <f>'CUSTOMERS REPORT'!E12+'CUSTOMERS REPORT'!E58+'CUSTOMERS REPORT'!E96+'CUSTOMERS REPORT'!E135+'CUSTOMERS REPORT'!E173+'CUSTOMERS REPORT'!E213+'CUSTOMERS REPORT'!E250+'CUSTOMERS REPORT'!E290+'CUSTOMERS REPORT'!E331+'CUSTOMERS REPORT'!E373+'CUSTOMERS REPORT'!E412+'CUSTOMERS REPORT'!E450+'CUSTOMERS REPORT'!E486+'CUSTOMERS REPORT'!E523+'CUSTOMERS REPORT'!E561+'CUSTOMERS REPORT'!E597+'CUSTOMERS REPORT'!E635+'CUSTOMERS REPORT'!E673+'CUSTOMERS REPORT'!E711+'CUSTOMERS REPORT'!E749+'CUSTOMERS REPORT'!E787+'CUSTOMERS REPORT'!E825+'CUSTOMERS REPORT'!E863+'CUSTOMERS REPORT'!E902+'CUSTOMERS REPORT'!E941+'CUSTOMERS REPORT'!E979+'CUSTOMERS REPORT'!E1017+'CUSTOMERS REPORT'!E1055+'CUSTOMERS REPORT'!E1093+'CUSTOMERS REPORT'!E1131+'CUSTOMERS REPORT'!E1168+'CUSTOMERS REPORT'!E1205+'CUSTOMERS REPORT'!E1242+'CUSTOMERS REPORT'!E1279+'CUSTOMERS REPORT'!E1316+'CUSTOMERS REPORT'!E1353+'CUSTOMERS REPORT'!E1390+'CUSTOMERS REPORT'!E1426</f>
        <v>0</v>
      </c>
      <c r="X54" s="852">
        <f>'CUSTOMERS REPORT'!F12+'CUSTOMERS REPORT'!F58+'CUSTOMERS REPORT'!F96+'CUSTOMERS REPORT'!F135+'CUSTOMERS REPORT'!F173+'CUSTOMERS REPORT'!F213+'CUSTOMERS REPORT'!F250+'CUSTOMERS REPORT'!F290+'CUSTOMERS REPORT'!F331+'CUSTOMERS REPORT'!F373+'CUSTOMERS REPORT'!F412+'CUSTOMERS REPORT'!F450+'CUSTOMERS REPORT'!F486+'CUSTOMERS REPORT'!F523+'CUSTOMERS REPORT'!F561+'CUSTOMERS REPORT'!F597+'CUSTOMERS REPORT'!F635+'CUSTOMERS REPORT'!F673+'CUSTOMERS REPORT'!F711+'CUSTOMERS REPORT'!F749+'CUSTOMERS REPORT'!F787+'CUSTOMERS REPORT'!F825+'CUSTOMERS REPORT'!F863+'CUSTOMERS REPORT'!F902+'CUSTOMERS REPORT'!F941+'CUSTOMERS REPORT'!F979+'CUSTOMERS REPORT'!F1017+'CUSTOMERS REPORT'!F1055+'CUSTOMERS REPORT'!F1093+'CUSTOMERS REPORT'!F1131+'CUSTOMERS REPORT'!F1168+'CUSTOMERS REPORT'!F1205+'CUSTOMERS REPORT'!F1242+'CUSTOMERS REPORT'!F1279+'CUSTOMERS REPORT'!F1316+'CUSTOMERS REPORT'!F1353+'CUSTOMERS REPORT'!F1390+'CUSTOMERS REPORT'!F1426</f>
        <v>0</v>
      </c>
      <c r="Y54" s="852">
        <f>'CUSTOMERS REPORT'!G12+'CUSTOMERS REPORT'!G58+'CUSTOMERS REPORT'!G96+'CUSTOMERS REPORT'!G135+'CUSTOMERS REPORT'!G173+'CUSTOMERS REPORT'!G213+'CUSTOMERS REPORT'!G250+'CUSTOMERS REPORT'!G290+'CUSTOMERS REPORT'!G331+'CUSTOMERS REPORT'!G373+'CUSTOMERS REPORT'!G412+'CUSTOMERS REPORT'!G450+'CUSTOMERS REPORT'!G486+'CUSTOMERS REPORT'!G523+'CUSTOMERS REPORT'!G561+'CUSTOMERS REPORT'!G597+'CUSTOMERS REPORT'!G635+'CUSTOMERS REPORT'!G673+'CUSTOMERS REPORT'!G711+'CUSTOMERS REPORT'!G749+'CUSTOMERS REPORT'!G787+'CUSTOMERS REPORT'!G825+'CUSTOMERS REPORT'!G863+'CUSTOMERS REPORT'!G902+'CUSTOMERS REPORT'!G941+'CUSTOMERS REPORT'!G979+'CUSTOMERS REPORT'!G1017+'CUSTOMERS REPORT'!G1055+'CUSTOMERS REPORT'!G1093+'CUSTOMERS REPORT'!G1131+'CUSTOMERS REPORT'!G1168+'CUSTOMERS REPORT'!G1205+'CUSTOMERS REPORT'!G1242+'CUSTOMERS REPORT'!G1279+'CUSTOMERS REPORT'!G1316+'CUSTOMERS REPORT'!G1353+'CUSTOMERS REPORT'!G1390+'CUSTOMERS REPORT'!G1426</f>
        <v>0</v>
      </c>
      <c r="Z54" s="852">
        <f>'CUSTOMERS REPORT'!H12+'CUSTOMERS REPORT'!H58+'CUSTOMERS REPORT'!H96+'CUSTOMERS REPORT'!H135+'CUSTOMERS REPORT'!H173+'CUSTOMERS REPORT'!H213+'CUSTOMERS REPORT'!H250+'CUSTOMERS REPORT'!H290+'CUSTOMERS REPORT'!H331+'CUSTOMERS REPORT'!H373+'CUSTOMERS REPORT'!H412+'CUSTOMERS REPORT'!H450+'CUSTOMERS REPORT'!H486+'CUSTOMERS REPORT'!H523+'CUSTOMERS REPORT'!H561+'CUSTOMERS REPORT'!H597+'CUSTOMERS REPORT'!H635+'CUSTOMERS REPORT'!H673+'CUSTOMERS REPORT'!H711+'CUSTOMERS REPORT'!H749+'CUSTOMERS REPORT'!H787+'CUSTOMERS REPORT'!H825+'CUSTOMERS REPORT'!H863+'CUSTOMERS REPORT'!H902+'CUSTOMERS REPORT'!H941+'CUSTOMERS REPORT'!H979+'CUSTOMERS REPORT'!H1017+'CUSTOMERS REPORT'!H1055+'CUSTOMERS REPORT'!H1093+'CUSTOMERS REPORT'!H1131+'CUSTOMERS REPORT'!H1168+'CUSTOMERS REPORT'!H1205+'CUSTOMERS REPORT'!H1242+'CUSTOMERS REPORT'!H1279+'CUSTOMERS REPORT'!H1316+'CUSTOMERS REPORT'!H1353+'CUSTOMERS REPORT'!H1390+'CUSTOMERS REPORT'!H1426</f>
        <v>0</v>
      </c>
      <c r="AA54" s="852">
        <f>'CUSTOMERS REPORT'!I12+'CUSTOMERS REPORT'!I58+'CUSTOMERS REPORT'!I96+'CUSTOMERS REPORT'!I135+'CUSTOMERS REPORT'!I173+'CUSTOMERS REPORT'!I213+'CUSTOMERS REPORT'!I250+'CUSTOMERS REPORT'!I290+'CUSTOMERS REPORT'!I331+'CUSTOMERS REPORT'!I373+'CUSTOMERS REPORT'!I412+'CUSTOMERS REPORT'!I450+'CUSTOMERS REPORT'!I486+'CUSTOMERS REPORT'!I523+'CUSTOMERS REPORT'!I561+'CUSTOMERS REPORT'!I597+'CUSTOMERS REPORT'!I635+'CUSTOMERS REPORT'!I673+'CUSTOMERS REPORT'!I711+'CUSTOMERS REPORT'!I749+'CUSTOMERS REPORT'!I787+'CUSTOMERS REPORT'!I825+'CUSTOMERS REPORT'!I863+'CUSTOMERS REPORT'!I902+'CUSTOMERS REPORT'!I941+'CUSTOMERS REPORT'!I979+'CUSTOMERS REPORT'!I1017+'CUSTOMERS REPORT'!I1055+'CUSTOMERS REPORT'!I1093+'CUSTOMERS REPORT'!I1131+'CUSTOMERS REPORT'!I1168+'CUSTOMERS REPORT'!I1205+'CUSTOMERS REPORT'!I1242+'CUSTOMERS REPORT'!I1279+'CUSTOMERS REPORT'!I1316+'CUSTOMERS REPORT'!I1353+'CUSTOMERS REPORT'!I1390+'CUSTOMERS REPORT'!I1426</f>
        <v>0</v>
      </c>
      <c r="AB54" s="852">
        <f>'CUSTOMERS REPORT'!J12+'CUSTOMERS REPORT'!J58+'CUSTOMERS REPORT'!J96+'CUSTOMERS REPORT'!J135+'CUSTOMERS REPORT'!J173+'CUSTOMERS REPORT'!J213+'CUSTOMERS REPORT'!J250+'CUSTOMERS REPORT'!J290+'CUSTOMERS REPORT'!J331+'CUSTOMERS REPORT'!J373+'CUSTOMERS REPORT'!J412+'CUSTOMERS REPORT'!J450+'CUSTOMERS REPORT'!J486+'CUSTOMERS REPORT'!J523+'CUSTOMERS REPORT'!J561+'CUSTOMERS REPORT'!J597+'CUSTOMERS REPORT'!J635+'CUSTOMERS REPORT'!J673+'CUSTOMERS REPORT'!J711+'CUSTOMERS REPORT'!J749+'CUSTOMERS REPORT'!J787+'CUSTOMERS REPORT'!J825+'CUSTOMERS REPORT'!J863+'CUSTOMERS REPORT'!J902+'CUSTOMERS REPORT'!J941+'CUSTOMERS REPORT'!J979+'CUSTOMERS REPORT'!J1017+'CUSTOMERS REPORT'!J1055+'CUSTOMERS REPORT'!J1093+'CUSTOMERS REPORT'!J1131+'CUSTOMERS REPORT'!J1168+'CUSTOMERS REPORT'!J1205+'CUSTOMERS REPORT'!J1242+'CUSTOMERS REPORT'!J1279+'CUSTOMERS REPORT'!J1316+'CUSTOMERS REPORT'!J1353+'CUSTOMERS REPORT'!J1390+'CUSTOMERS REPORT'!J1426</f>
        <v>0</v>
      </c>
      <c r="AC54" s="852">
        <f>'CUSTOMERS REPORT'!K12+'CUSTOMERS REPORT'!K58+'CUSTOMERS REPORT'!K96+'CUSTOMERS REPORT'!K135+'CUSTOMERS REPORT'!K173+'CUSTOMERS REPORT'!K213+'CUSTOMERS REPORT'!K250+'CUSTOMERS REPORT'!K290+'CUSTOMERS REPORT'!K331+'CUSTOMERS REPORT'!K373+'CUSTOMERS REPORT'!K412+'CUSTOMERS REPORT'!K450+'CUSTOMERS REPORT'!K486+'CUSTOMERS REPORT'!K523+'CUSTOMERS REPORT'!K561+'CUSTOMERS REPORT'!K597+'CUSTOMERS REPORT'!K635+'CUSTOMERS REPORT'!K673+'CUSTOMERS REPORT'!K711+'CUSTOMERS REPORT'!K749+'CUSTOMERS REPORT'!K787+'CUSTOMERS REPORT'!K825+'CUSTOMERS REPORT'!K863+'CUSTOMERS REPORT'!K902+'CUSTOMERS REPORT'!K941+'CUSTOMERS REPORT'!K979+'CUSTOMERS REPORT'!K1017+'CUSTOMERS REPORT'!K1055+'CUSTOMERS REPORT'!K1093+'CUSTOMERS REPORT'!K1131+'CUSTOMERS REPORT'!K1168+'CUSTOMERS REPORT'!K1205+'CUSTOMERS REPORT'!K1242+'CUSTOMERS REPORT'!K1279+'CUSTOMERS REPORT'!K1316+'CUSTOMERS REPORT'!K1353+'CUSTOMERS REPORT'!K1390+'CUSTOMERS REPORT'!K1426</f>
        <v>0</v>
      </c>
      <c r="AD54" s="852">
        <f>'CUSTOMERS REPORT'!L12+'CUSTOMERS REPORT'!L58+'CUSTOMERS REPORT'!L96+'CUSTOMERS REPORT'!L135+'CUSTOMERS REPORT'!L173+'CUSTOMERS REPORT'!L213+'CUSTOMERS REPORT'!L250+'CUSTOMERS REPORT'!L290+'CUSTOMERS REPORT'!L331+'CUSTOMERS REPORT'!L373+'CUSTOMERS REPORT'!L412+'CUSTOMERS REPORT'!L450+'CUSTOMERS REPORT'!L486+'CUSTOMERS REPORT'!L523+'CUSTOMERS REPORT'!L561+'CUSTOMERS REPORT'!L597+'CUSTOMERS REPORT'!L635+'CUSTOMERS REPORT'!L673+'CUSTOMERS REPORT'!L711+'CUSTOMERS REPORT'!L749+'CUSTOMERS REPORT'!L787+'CUSTOMERS REPORT'!L825+'CUSTOMERS REPORT'!L863+'CUSTOMERS REPORT'!L902+'CUSTOMERS REPORT'!L941+'CUSTOMERS REPORT'!L979+'CUSTOMERS REPORT'!L1017+'CUSTOMERS REPORT'!L1055+'CUSTOMERS REPORT'!L1093+'CUSTOMERS REPORT'!L1131+'CUSTOMERS REPORT'!L1168+'CUSTOMERS REPORT'!L1205+'CUSTOMERS REPORT'!L1242+'CUSTOMERS REPORT'!L1279+'CUSTOMERS REPORT'!L1316+'CUSTOMERS REPORT'!L1353+'CUSTOMERS REPORT'!L1390+'CUSTOMERS REPORT'!L1426</f>
        <v>0</v>
      </c>
      <c r="AE54" s="852">
        <f>'CUSTOMERS REPORT'!M12+'CUSTOMERS REPORT'!M58+'CUSTOMERS REPORT'!M96+'CUSTOMERS REPORT'!M135+'CUSTOMERS REPORT'!M173+'CUSTOMERS REPORT'!M213+'CUSTOMERS REPORT'!M250+'CUSTOMERS REPORT'!M290+'CUSTOMERS REPORT'!M331+'CUSTOMERS REPORT'!M373+'CUSTOMERS REPORT'!M412+'CUSTOMERS REPORT'!M450+'CUSTOMERS REPORT'!M486+'CUSTOMERS REPORT'!M523+'CUSTOMERS REPORT'!M561+'CUSTOMERS REPORT'!M597+'CUSTOMERS REPORT'!M635+'CUSTOMERS REPORT'!M673+'CUSTOMERS REPORT'!M711+'CUSTOMERS REPORT'!M749+'CUSTOMERS REPORT'!M787+'CUSTOMERS REPORT'!M825+'CUSTOMERS REPORT'!M863+'CUSTOMERS REPORT'!M902+'CUSTOMERS REPORT'!M941+'CUSTOMERS REPORT'!M979+'CUSTOMERS REPORT'!M1017+'CUSTOMERS REPORT'!M1055+'CUSTOMERS REPORT'!M1093+'CUSTOMERS REPORT'!M1131+'CUSTOMERS REPORT'!M1168+'CUSTOMERS REPORT'!M1205+'CUSTOMERS REPORT'!M1242+'CUSTOMERS REPORT'!M1279+'CUSTOMERS REPORT'!M1316+'CUSTOMERS REPORT'!M1353+'CUSTOMERS REPORT'!M1390+'CUSTOMERS REPORT'!M1426</f>
        <v>0</v>
      </c>
      <c r="AF54" s="852">
        <f>'CUSTOMERS REPORT'!N12+'CUSTOMERS REPORT'!N58+'CUSTOMERS REPORT'!N96+'CUSTOMERS REPORT'!N135+'CUSTOMERS REPORT'!N173+'CUSTOMERS REPORT'!N213+'CUSTOMERS REPORT'!N250+'CUSTOMERS REPORT'!N290+'CUSTOMERS REPORT'!N331+'CUSTOMERS REPORT'!N373+'CUSTOMERS REPORT'!N412+'CUSTOMERS REPORT'!N450+'CUSTOMERS REPORT'!N486+'CUSTOMERS REPORT'!N523+'CUSTOMERS REPORT'!N561+'CUSTOMERS REPORT'!N597+'CUSTOMERS REPORT'!N635+'CUSTOMERS REPORT'!N673+'CUSTOMERS REPORT'!N711+'CUSTOMERS REPORT'!N749+'CUSTOMERS REPORT'!N787+'CUSTOMERS REPORT'!N825+'CUSTOMERS REPORT'!N863+'CUSTOMERS REPORT'!N902+'CUSTOMERS REPORT'!N941+'CUSTOMERS REPORT'!N979+'CUSTOMERS REPORT'!N1017+'CUSTOMERS REPORT'!N1055+'CUSTOMERS REPORT'!N1093+'CUSTOMERS REPORT'!N1131+'CUSTOMERS REPORT'!N1168+'CUSTOMERS REPORT'!N1205+'CUSTOMERS REPORT'!N1242+'CUSTOMERS REPORT'!N1279+'CUSTOMERS REPORT'!N1316+'CUSTOMERS REPORT'!N1353+'CUSTOMERS REPORT'!N1390+'CUSTOMERS REPORT'!N1426</f>
        <v>0</v>
      </c>
      <c r="AG54" s="852">
        <f>'CUSTOMERS REPORT'!O12+'CUSTOMERS REPORT'!O58+'CUSTOMERS REPORT'!O96+'CUSTOMERS REPORT'!O135+'CUSTOMERS REPORT'!O173+'CUSTOMERS REPORT'!O213+'CUSTOMERS REPORT'!O250+'CUSTOMERS REPORT'!O290+'CUSTOMERS REPORT'!O331+'CUSTOMERS REPORT'!O373+'CUSTOMERS REPORT'!O412+'CUSTOMERS REPORT'!O450+'CUSTOMERS REPORT'!O486+'CUSTOMERS REPORT'!O523+'CUSTOMERS REPORT'!O561+'CUSTOMERS REPORT'!O597+'CUSTOMERS REPORT'!O635+'CUSTOMERS REPORT'!O673+'CUSTOMERS REPORT'!O711+'CUSTOMERS REPORT'!O749+'CUSTOMERS REPORT'!O787+'CUSTOMERS REPORT'!O825+'CUSTOMERS REPORT'!O863+'CUSTOMERS REPORT'!O902+'CUSTOMERS REPORT'!O941+'CUSTOMERS REPORT'!O979+'CUSTOMERS REPORT'!O1017+'CUSTOMERS REPORT'!O1055+'CUSTOMERS REPORT'!O1093+'CUSTOMERS REPORT'!O1131+'CUSTOMERS REPORT'!O1168+'CUSTOMERS REPORT'!O1205+'CUSTOMERS REPORT'!O1242+'CUSTOMERS REPORT'!O1279+'CUSTOMERS REPORT'!O1316+'CUSTOMERS REPORT'!O1353+'CUSTOMERS REPORT'!O1390+'CUSTOMERS REPORT'!O1426</f>
        <v>0</v>
      </c>
      <c r="AH54" s="852">
        <f>'CUSTOMERS REPORT'!P12+'CUSTOMERS REPORT'!P58+'CUSTOMERS REPORT'!P96+'CUSTOMERS REPORT'!P135+'CUSTOMERS REPORT'!P173+'CUSTOMERS REPORT'!P213+'CUSTOMERS REPORT'!P250+'CUSTOMERS REPORT'!P290+'CUSTOMERS REPORT'!P331+'CUSTOMERS REPORT'!P373+'CUSTOMERS REPORT'!P412+'CUSTOMERS REPORT'!P450+'CUSTOMERS REPORT'!P486+'CUSTOMERS REPORT'!P523+'CUSTOMERS REPORT'!P561+'CUSTOMERS REPORT'!P597+'CUSTOMERS REPORT'!P635+'CUSTOMERS REPORT'!P673+'CUSTOMERS REPORT'!P711+'CUSTOMERS REPORT'!P749+'CUSTOMERS REPORT'!P787+'CUSTOMERS REPORT'!P825+'CUSTOMERS REPORT'!P863+'CUSTOMERS REPORT'!P902+'CUSTOMERS REPORT'!P941+'CUSTOMERS REPORT'!P979+'CUSTOMERS REPORT'!P1017+'CUSTOMERS REPORT'!P1055+'CUSTOMERS REPORT'!P1093+'CUSTOMERS REPORT'!P1131+'CUSTOMERS REPORT'!P1168+'CUSTOMERS REPORT'!P1205+'CUSTOMERS REPORT'!P1242+'CUSTOMERS REPORT'!P1279+'CUSTOMERS REPORT'!P1316+'CUSTOMERS REPORT'!P1353+'CUSTOMERS REPORT'!P1390+'CUSTOMERS REPORT'!P1426</f>
        <v>0</v>
      </c>
      <c r="AI54" s="852">
        <f>'CUSTOMERS REPORT'!Q12+'CUSTOMERS REPORT'!Q58+'CUSTOMERS REPORT'!Q96+'CUSTOMERS REPORT'!Q135+'CUSTOMERS REPORT'!Q173+'CUSTOMERS REPORT'!Q213+'CUSTOMERS REPORT'!Q250+'CUSTOMERS REPORT'!Q290+'CUSTOMERS REPORT'!Q331+'CUSTOMERS REPORT'!Q373+'CUSTOMERS REPORT'!Q412+'CUSTOMERS REPORT'!Q450+'CUSTOMERS REPORT'!Q486+'CUSTOMERS REPORT'!Q523+'CUSTOMERS REPORT'!Q561+'CUSTOMERS REPORT'!Q597+'CUSTOMERS REPORT'!Q635+'CUSTOMERS REPORT'!Q673+'CUSTOMERS REPORT'!Q711+'CUSTOMERS REPORT'!Q749+'CUSTOMERS REPORT'!Q787+'CUSTOMERS REPORT'!Q825+'CUSTOMERS REPORT'!Q863+'CUSTOMERS REPORT'!Q902+'CUSTOMERS REPORT'!Q941+'CUSTOMERS REPORT'!Q979+'CUSTOMERS REPORT'!Q1017+'CUSTOMERS REPORT'!Q1055+'CUSTOMERS REPORT'!Q1093+'CUSTOMERS REPORT'!Q1131+'CUSTOMERS REPORT'!Q1168+'CUSTOMERS REPORT'!Q1205+'CUSTOMERS REPORT'!Q1242+'CUSTOMERS REPORT'!Q1279+'CUSTOMERS REPORT'!Q1316+'CUSTOMERS REPORT'!Q1353+'CUSTOMERS REPORT'!Q1390+'CUSTOMERS REPORT'!Q1426</f>
        <v>0</v>
      </c>
      <c r="AJ54" s="852">
        <f>'CUSTOMERS REPORT'!R12+'CUSTOMERS REPORT'!R58+'CUSTOMERS REPORT'!R96+'CUSTOMERS REPORT'!R135+'CUSTOMERS REPORT'!R173+'CUSTOMERS REPORT'!R213+'CUSTOMERS REPORT'!R250+'CUSTOMERS REPORT'!R290+'CUSTOMERS REPORT'!R331+'CUSTOMERS REPORT'!R373+'CUSTOMERS REPORT'!R412+'CUSTOMERS REPORT'!R450+'CUSTOMERS REPORT'!R486+'CUSTOMERS REPORT'!R523+'CUSTOMERS REPORT'!R561+'CUSTOMERS REPORT'!R597+'CUSTOMERS REPORT'!R635+'CUSTOMERS REPORT'!R673+'CUSTOMERS REPORT'!R711+'CUSTOMERS REPORT'!R749+'CUSTOMERS REPORT'!R787+'CUSTOMERS REPORT'!R825+'CUSTOMERS REPORT'!R863+'CUSTOMERS REPORT'!R902+'CUSTOMERS REPORT'!R941+'CUSTOMERS REPORT'!R979+'CUSTOMERS REPORT'!R1017+'CUSTOMERS REPORT'!R1055+'CUSTOMERS REPORT'!R1093+'CUSTOMERS REPORT'!R1131+'CUSTOMERS REPORT'!R1168+'CUSTOMERS REPORT'!R1205+'CUSTOMERS REPORT'!R1242+'CUSTOMERS REPORT'!R1279+'CUSTOMERS REPORT'!R1316+'CUSTOMERS REPORT'!R1353+'CUSTOMERS REPORT'!R1390+'CUSTOMERS REPORT'!R1426</f>
        <v>0</v>
      </c>
      <c r="AK54" s="852">
        <f>'CUSTOMERS REPORT'!S12+'CUSTOMERS REPORT'!S58+'CUSTOMERS REPORT'!S96+'CUSTOMERS REPORT'!S135+'CUSTOMERS REPORT'!S173+'CUSTOMERS REPORT'!S213+'CUSTOMERS REPORT'!S250+'CUSTOMERS REPORT'!S290+'CUSTOMERS REPORT'!S331+'CUSTOMERS REPORT'!S373+'CUSTOMERS REPORT'!S412+'CUSTOMERS REPORT'!S450+'CUSTOMERS REPORT'!S486+'CUSTOMERS REPORT'!S523+'CUSTOMERS REPORT'!S561+'CUSTOMERS REPORT'!S597+'CUSTOMERS REPORT'!S635+'CUSTOMERS REPORT'!S673+'CUSTOMERS REPORT'!S711+'CUSTOMERS REPORT'!S749+'CUSTOMERS REPORT'!S787+'CUSTOMERS REPORT'!S825+'CUSTOMERS REPORT'!S863+'CUSTOMERS REPORT'!S902+'CUSTOMERS REPORT'!S941+'CUSTOMERS REPORT'!S979+'CUSTOMERS REPORT'!S1017+'CUSTOMERS REPORT'!S1055+'CUSTOMERS REPORT'!S1093+'CUSTOMERS REPORT'!S1131+'CUSTOMERS REPORT'!S1168+'CUSTOMERS REPORT'!S1205+'CUSTOMERS REPORT'!S1242+'CUSTOMERS REPORT'!S1279+'CUSTOMERS REPORT'!S1316+'CUSTOMERS REPORT'!S1353+'CUSTOMERS REPORT'!S1390+'CUSTOMERS REPORT'!S1426</f>
        <v>0</v>
      </c>
      <c r="AL54" s="852" t="e">
        <f>'CUSTOMERS REPORT'!T12+'CUSTOMERS REPORT'!T58+'CUSTOMERS REPORT'!T96+'CUSTOMERS REPORT'!T135+'CUSTOMERS REPORT'!T173+'CUSTOMERS REPORT'!T213+'CUSTOMERS REPORT'!T250+'CUSTOMERS REPORT'!T290+'CUSTOMERS REPORT'!T331+'CUSTOMERS REPORT'!T373+'CUSTOMERS REPORT'!T412+'CUSTOMERS REPORT'!T450+'CUSTOMERS REPORT'!T486+'CUSTOMERS REPORT'!T523+'CUSTOMERS REPORT'!T561+'CUSTOMERS REPORT'!T597+'CUSTOMERS REPORT'!T635+'CUSTOMERS REPORT'!T673+'CUSTOMERS REPORT'!T711+'CUSTOMERS REPORT'!T749+'CUSTOMERS REPORT'!T787+'CUSTOMERS REPORT'!T825+'CUSTOMERS REPORT'!T863+'CUSTOMERS REPORT'!T902+'CUSTOMERS REPORT'!T941+'CUSTOMERS REPORT'!T979+'CUSTOMERS REPORT'!T1017+'CUSTOMERS REPORT'!T1055+'CUSTOMERS REPORT'!T1093+'CUSTOMERS REPORT'!T1131+'CUSTOMERS REPORT'!T1168+'CUSTOMERS REPORT'!T1205+'CUSTOMERS REPORT'!T1242+'CUSTOMERS REPORT'!T1279+'CUSTOMERS REPORT'!T1316+'CUSTOMERS REPORT'!T1353+'CUSTOMERS REPORT'!T1390+'CUSTOMERS REPORT'!T1426</f>
        <v>#VALUE!</v>
      </c>
      <c r="AM54" s="852" t="e">
        <f>'CUSTOMERS REPORT'!U12+'CUSTOMERS REPORT'!U58+'CUSTOMERS REPORT'!U96+'CUSTOMERS REPORT'!U135+'CUSTOMERS REPORT'!U173+'CUSTOMERS REPORT'!U213+'CUSTOMERS REPORT'!U250+'CUSTOMERS REPORT'!U290+'CUSTOMERS REPORT'!U331+'CUSTOMERS REPORT'!U373+'CUSTOMERS REPORT'!U412+'CUSTOMERS REPORT'!U450+'CUSTOMERS REPORT'!U486+'CUSTOMERS REPORT'!U523+'CUSTOMERS REPORT'!U561+'CUSTOMERS REPORT'!U597+'CUSTOMERS REPORT'!U635+'CUSTOMERS REPORT'!U673+'CUSTOMERS REPORT'!U711+'CUSTOMERS REPORT'!U749+'CUSTOMERS REPORT'!U787+'CUSTOMERS REPORT'!U825+'CUSTOMERS REPORT'!U863+'CUSTOMERS REPORT'!U902+'CUSTOMERS REPORT'!U941+'CUSTOMERS REPORT'!U979+'CUSTOMERS REPORT'!U1017+'CUSTOMERS REPORT'!U1055+'CUSTOMERS REPORT'!U1093+'CUSTOMERS REPORT'!U1131+'CUSTOMERS REPORT'!U1168+'CUSTOMERS REPORT'!U1205+'CUSTOMERS REPORT'!U1242+'CUSTOMERS REPORT'!U1279+'CUSTOMERS REPORT'!U1316+'CUSTOMERS REPORT'!U1353+'CUSTOMERS REPORT'!U1390+'CUSTOMERS REPORT'!U1426</f>
        <v>#VALUE!</v>
      </c>
      <c r="AN54" s="852" t="e">
        <f>'CUSTOMERS REPORT'!V12+'CUSTOMERS REPORT'!V58+'CUSTOMERS REPORT'!V96+'CUSTOMERS REPORT'!V135+'CUSTOMERS REPORT'!V173+'CUSTOMERS REPORT'!V213+'CUSTOMERS REPORT'!V250+'CUSTOMERS REPORT'!V290+'CUSTOMERS REPORT'!V331+'CUSTOMERS REPORT'!V373+'CUSTOMERS REPORT'!V412+'CUSTOMERS REPORT'!V450+'CUSTOMERS REPORT'!V486+'CUSTOMERS REPORT'!V523+'CUSTOMERS REPORT'!V561+'CUSTOMERS REPORT'!V597+'CUSTOMERS REPORT'!V635+'CUSTOMERS REPORT'!V673+'CUSTOMERS REPORT'!V711+'CUSTOMERS REPORT'!V749+'CUSTOMERS REPORT'!V787+'CUSTOMERS REPORT'!V825+'CUSTOMERS REPORT'!V863+'CUSTOMERS REPORT'!V902+'CUSTOMERS REPORT'!V941+'CUSTOMERS REPORT'!V979+'CUSTOMERS REPORT'!V1017+'CUSTOMERS REPORT'!V1055+'CUSTOMERS REPORT'!V1093+'CUSTOMERS REPORT'!V1131+'CUSTOMERS REPORT'!V1168+'CUSTOMERS REPORT'!V1205+'CUSTOMERS REPORT'!V1242+'CUSTOMERS REPORT'!V1279+'CUSTOMERS REPORT'!V1316+'CUSTOMERS REPORT'!V1353+'CUSTOMERS REPORT'!V1390+'CUSTOMERS REPORT'!V1426</f>
        <v>#VALUE!</v>
      </c>
      <c r="AO54" t="s">
        <v>1</v>
      </c>
    </row>
    <row r="55" spans="1:41" ht="24.95" customHeight="1" thickBot="1">
      <c r="L55" s="417">
        <v>20</v>
      </c>
      <c r="M55" s="417"/>
      <c r="N55" s="417">
        <f t="shared" si="6"/>
        <v>0</v>
      </c>
      <c r="R55" s="123">
        <f>'4'!R57</f>
        <v>0</v>
      </c>
      <c r="S55" s="865" t="s">
        <v>169</v>
      </c>
      <c r="T55" s="866">
        <f t="shared" ref="T55:AN55" si="8">T53-T54-T51</f>
        <v>0</v>
      </c>
      <c r="U55" s="866">
        <f t="shared" si="8"/>
        <v>0</v>
      </c>
      <c r="V55" s="866">
        <f t="shared" si="8"/>
        <v>0</v>
      </c>
      <c r="W55" s="866">
        <f t="shared" si="8"/>
        <v>0</v>
      </c>
      <c r="X55" s="866">
        <f t="shared" si="8"/>
        <v>0</v>
      </c>
      <c r="Y55" s="866">
        <f t="shared" si="8"/>
        <v>0</v>
      </c>
      <c r="Z55" s="866">
        <f t="shared" si="8"/>
        <v>0</v>
      </c>
      <c r="AA55" s="866">
        <f t="shared" si="8"/>
        <v>0</v>
      </c>
      <c r="AB55" s="866">
        <f t="shared" ref="AB55" si="9">AB53-AB54-AB51</f>
        <v>0</v>
      </c>
      <c r="AC55" s="866">
        <f t="shared" si="8"/>
        <v>0</v>
      </c>
      <c r="AD55" s="866">
        <f t="shared" si="8"/>
        <v>0</v>
      </c>
      <c r="AE55" s="866">
        <f t="shared" si="8"/>
        <v>0</v>
      </c>
      <c r="AF55" s="866">
        <f>AF53-AF54-AF51</f>
        <v>0</v>
      </c>
      <c r="AG55" s="866">
        <f t="shared" si="8"/>
        <v>0</v>
      </c>
      <c r="AH55" s="866">
        <f t="shared" si="8"/>
        <v>0</v>
      </c>
      <c r="AI55" s="866">
        <f t="shared" si="8"/>
        <v>0</v>
      </c>
      <c r="AJ55" s="866">
        <f t="shared" si="8"/>
        <v>0</v>
      </c>
      <c r="AK55" s="866">
        <f t="shared" si="8"/>
        <v>0</v>
      </c>
      <c r="AL55" s="866" t="e">
        <f t="shared" si="8"/>
        <v>#VALUE!</v>
      </c>
      <c r="AM55" s="866" t="e">
        <f t="shared" si="8"/>
        <v>#VALUE!</v>
      </c>
      <c r="AN55" s="872" t="e">
        <f t="shared" si="8"/>
        <v>#VALUE!</v>
      </c>
    </row>
    <row r="56" spans="1:41" ht="28.5" thickBot="1">
      <c r="A56" s="114"/>
      <c r="B56" s="120"/>
      <c r="C56" s="115"/>
      <c r="L56" s="417">
        <v>10</v>
      </c>
      <c r="M56" s="417"/>
      <c r="N56" s="417">
        <f t="shared" si="6"/>
        <v>0</v>
      </c>
      <c r="R56" s="123">
        <f>T56+U56+V56+W56+X56+Y56+Z56+AA56+AB56+AC56+AD56+AE56+AF56+AG56+AH56+AI56+AJ56+AK56+AL56+AM56+AN56</f>
        <v>0</v>
      </c>
      <c r="S56" s="874" t="s">
        <v>170</v>
      </c>
      <c r="T56" s="875"/>
      <c r="U56" s="875"/>
      <c r="V56" s="875"/>
      <c r="W56" s="875"/>
      <c r="X56" s="875"/>
      <c r="Y56" s="875"/>
      <c r="Z56" s="876"/>
      <c r="AA56" s="875"/>
      <c r="AB56" s="875"/>
      <c r="AC56" s="875"/>
      <c r="AD56" s="875"/>
      <c r="AE56" s="875"/>
      <c r="AF56" s="875"/>
      <c r="AG56" s="875"/>
      <c r="AH56" s="875"/>
      <c r="AI56" s="875"/>
      <c r="AJ56" s="877"/>
      <c r="AK56" s="877"/>
      <c r="AL56" s="52"/>
      <c r="AM56" s="52"/>
      <c r="AN56" s="928"/>
    </row>
    <row r="57" spans="1:41" ht="27" customHeight="1" thickBot="1">
      <c r="A57" s="114"/>
      <c r="B57" s="131"/>
      <c r="C57" s="115"/>
      <c r="D57" s="115"/>
      <c r="E57" s="19"/>
      <c r="F57" s="19"/>
      <c r="G57" s="19"/>
      <c r="H57" s="19"/>
      <c r="I57" s="19"/>
      <c r="J57" s="19"/>
      <c r="K57" s="19"/>
      <c r="L57" s="418">
        <v>1</v>
      </c>
      <c r="M57" s="418"/>
      <c r="N57" s="417">
        <f t="shared" si="6"/>
        <v>0</v>
      </c>
      <c r="O57" s="19"/>
      <c r="R57" s="123">
        <f>SUM(R55:R56)</f>
        <v>0</v>
      </c>
      <c r="S57" s="882" t="s">
        <v>23</v>
      </c>
      <c r="T57" s="883" t="e">
        <f t="shared" ref="T57:AI57" si="10">T50/T56</f>
        <v>#DIV/0!</v>
      </c>
      <c r="U57" s="883" t="e">
        <f t="shared" si="10"/>
        <v>#DIV/0!</v>
      </c>
      <c r="V57" s="883" t="e">
        <f t="shared" si="10"/>
        <v>#DIV/0!</v>
      </c>
      <c r="W57" s="883" t="e">
        <f t="shared" si="10"/>
        <v>#DIV/0!</v>
      </c>
      <c r="X57" s="883" t="e">
        <f t="shared" si="10"/>
        <v>#DIV/0!</v>
      </c>
      <c r="Y57" s="883" t="e">
        <f t="shared" si="10"/>
        <v>#DIV/0!</v>
      </c>
      <c r="Z57" s="883" t="e">
        <f t="shared" si="10"/>
        <v>#DIV/0!</v>
      </c>
      <c r="AA57" s="883" t="e">
        <f t="shared" si="10"/>
        <v>#DIV/0!</v>
      </c>
      <c r="AB57" s="883" t="e">
        <f t="shared" si="10"/>
        <v>#DIV/0!</v>
      </c>
      <c r="AC57" s="883" t="e">
        <f t="shared" si="10"/>
        <v>#DIV/0!</v>
      </c>
      <c r="AD57" s="883" t="e">
        <f t="shared" si="10"/>
        <v>#DIV/0!</v>
      </c>
      <c r="AE57" s="883" t="e">
        <f t="shared" si="10"/>
        <v>#DIV/0!</v>
      </c>
      <c r="AF57" s="883" t="e">
        <f t="shared" si="10"/>
        <v>#DIV/0!</v>
      </c>
      <c r="AG57" s="883" t="e">
        <f t="shared" si="10"/>
        <v>#DIV/0!</v>
      </c>
      <c r="AH57" s="883" t="e">
        <f t="shared" si="10"/>
        <v>#DIV/0!</v>
      </c>
      <c r="AI57" s="883" t="e">
        <f t="shared" si="10"/>
        <v>#DIV/0!</v>
      </c>
      <c r="AJ57" s="883" t="e">
        <f>AJ50/AJ56</f>
        <v>#DIV/0!</v>
      </c>
      <c r="AK57" s="883" t="e">
        <f>AK50/AK56</f>
        <v>#DIV/0!</v>
      </c>
      <c r="AL57" s="883" t="e">
        <f t="shared" ref="AL57:AN57" si="11">AL50/AL56</f>
        <v>#DIV/0!</v>
      </c>
      <c r="AM57" s="883" t="e">
        <f t="shared" si="11"/>
        <v>#DIV/0!</v>
      </c>
      <c r="AN57" s="884" t="e">
        <f t="shared" si="11"/>
        <v>#DIV/0!</v>
      </c>
    </row>
    <row r="58" spans="1:41" ht="27" customHeight="1" thickBot="1">
      <c r="A58" s="114"/>
      <c r="B58" s="131"/>
      <c r="C58" s="115"/>
      <c r="D58" s="115" t="s">
        <v>1</v>
      </c>
      <c r="L58" s="1501" t="s">
        <v>171</v>
      </c>
      <c r="M58" s="1501"/>
      <c r="N58" s="419">
        <f>SUM(N50:N57)</f>
        <v>0</v>
      </c>
      <c r="R58" s="19"/>
      <c r="S58" s="878" t="s">
        <v>172</v>
      </c>
      <c r="T58" s="879">
        <f>T54</f>
        <v>0</v>
      </c>
      <c r="U58" s="879">
        <f t="shared" ref="U58:AI58" si="12">U54</f>
        <v>0</v>
      </c>
      <c r="V58" s="879">
        <f t="shared" si="12"/>
        <v>0</v>
      </c>
      <c r="W58" s="879">
        <f t="shared" si="12"/>
        <v>0</v>
      </c>
      <c r="X58" s="879">
        <f t="shared" si="12"/>
        <v>0</v>
      </c>
      <c r="Y58" s="879">
        <f t="shared" si="12"/>
        <v>0</v>
      </c>
      <c r="Z58" s="879">
        <f t="shared" si="12"/>
        <v>0</v>
      </c>
      <c r="AA58" s="879">
        <f t="shared" si="12"/>
        <v>0</v>
      </c>
      <c r="AB58" s="879">
        <f t="shared" si="12"/>
        <v>0</v>
      </c>
      <c r="AC58" s="879">
        <f t="shared" si="12"/>
        <v>0</v>
      </c>
      <c r="AD58" s="879">
        <f t="shared" si="12"/>
        <v>0</v>
      </c>
      <c r="AE58" s="879">
        <f t="shared" si="12"/>
        <v>0</v>
      </c>
      <c r="AF58" s="879">
        <f t="shared" si="12"/>
        <v>0</v>
      </c>
      <c r="AG58" s="879">
        <f t="shared" si="12"/>
        <v>0</v>
      </c>
      <c r="AH58" s="879">
        <f t="shared" si="12"/>
        <v>0</v>
      </c>
      <c r="AI58" s="879">
        <f t="shared" si="12"/>
        <v>0</v>
      </c>
      <c r="AJ58" s="879">
        <f>AJ54</f>
        <v>0</v>
      </c>
      <c r="AK58" s="879">
        <f>AK54</f>
        <v>0</v>
      </c>
      <c r="AL58" s="880"/>
      <c r="AM58" s="880"/>
      <c r="AN58" s="881"/>
    </row>
    <row r="59" spans="1:41" ht="27" customHeight="1">
      <c r="A59" s="114"/>
      <c r="B59" s="132"/>
      <c r="C59" s="115"/>
      <c r="D59" s="115" t="s">
        <v>1</v>
      </c>
      <c r="K59" t="s">
        <v>1</v>
      </c>
      <c r="L59" s="1486" t="s">
        <v>173</v>
      </c>
      <c r="M59" s="1486"/>
      <c r="N59" s="420">
        <f>N58-Q48</f>
        <v>0</v>
      </c>
      <c r="R59" s="19"/>
      <c r="S59" s="114"/>
      <c r="T59" s="121"/>
      <c r="U59" s="121"/>
      <c r="V59" s="121"/>
      <c r="W59" s="121"/>
      <c r="X59" s="121"/>
      <c r="Y59" s="121"/>
      <c r="Z59" s="122"/>
      <c r="AA59" s="121"/>
      <c r="AB59" s="121"/>
      <c r="AC59" s="121"/>
      <c r="AD59" s="121"/>
      <c r="AE59" s="121"/>
      <c r="AF59" s="121"/>
      <c r="AG59" s="121"/>
      <c r="AH59" s="119"/>
      <c r="AI59" s="119"/>
    </row>
    <row r="60" spans="1:41" ht="23.25">
      <c r="A60" s="114"/>
      <c r="B60" s="132"/>
      <c r="C60" s="115"/>
      <c r="D60" s="115"/>
      <c r="P60" s="19"/>
      <c r="Q60" s="19"/>
      <c r="R60" s="19"/>
      <c r="S60" s="19"/>
    </row>
    <row r="61" spans="1:41" ht="23.25">
      <c r="A61" s="114"/>
      <c r="B61" s="132"/>
      <c r="C61" s="115"/>
      <c r="D61" s="116"/>
      <c r="M61" t="s">
        <v>1</v>
      </c>
      <c r="P61" s="185"/>
      <c r="Q61" s="186"/>
      <c r="R61" s="19"/>
      <c r="S61" s="19"/>
    </row>
    <row r="62" spans="1:41" ht="20.25">
      <c r="C62" s="116"/>
      <c r="P62" s="19"/>
      <c r="Q62" s="19"/>
      <c r="R62" s="19"/>
      <c r="S62" s="19"/>
      <c r="U62" t="s">
        <v>1</v>
      </c>
    </row>
    <row r="63" spans="1:41">
      <c r="E63" s="19"/>
    </row>
    <row r="64" spans="1:41">
      <c r="E64" s="19"/>
      <c r="J64" t="s">
        <v>3</v>
      </c>
    </row>
    <row r="65" spans="3:5" ht="21">
      <c r="C65" s="251"/>
      <c r="E65" s="19"/>
    </row>
    <row r="66" spans="3:5">
      <c r="E66" s="49"/>
    </row>
    <row r="67" spans="3:5" ht="23.25">
      <c r="E67" s="113"/>
    </row>
  </sheetData>
  <mergeCells count="21">
    <mergeCell ref="AL47:AM47"/>
    <mergeCell ref="L58:M58"/>
    <mergeCell ref="L59:M59"/>
    <mergeCell ref="T47:W47"/>
    <mergeCell ref="X47:Z47"/>
    <mergeCell ref="S47:S48"/>
    <mergeCell ref="AI7:AJ7"/>
    <mergeCell ref="AI20:AJ20"/>
    <mergeCell ref="AA47:AB47"/>
    <mergeCell ref="AC47:AI47"/>
    <mergeCell ref="AJ47:AK47"/>
    <mergeCell ref="A6:Q6"/>
    <mergeCell ref="S6:AE6"/>
    <mergeCell ref="A7:B7"/>
    <mergeCell ref="P7:Q7"/>
    <mergeCell ref="H48:I48"/>
    <mergeCell ref="P24:Q24"/>
    <mergeCell ref="P33:Q33"/>
    <mergeCell ref="P42:Q42"/>
    <mergeCell ref="H46:I46"/>
    <mergeCell ref="H47:I47"/>
  </mergeCells>
  <conditionalFormatting sqref="M48:N48">
    <cfRule type="duplicateValues" dxfId="560" priority="30"/>
    <cfRule type="duplicateValues" dxfId="559" priority="31"/>
    <cfRule type="duplicateValues" dxfId="558" priority="32"/>
    <cfRule type="duplicateValues" dxfId="557" priority="33"/>
  </conditionalFormatting>
  <conditionalFormatting sqref="L48 N48">
    <cfRule type="cellIs" dxfId="556" priority="29" operator="equal">
      <formula>66890</formula>
    </cfRule>
  </conditionalFormatting>
  <conditionalFormatting sqref="N48">
    <cfRule type="cellIs" dxfId="555" priority="28" operator="lessThan">
      <formula>1</formula>
    </cfRule>
  </conditionalFormatting>
  <conditionalFormatting sqref="AC61:AD61">
    <cfRule type="cellIs" dxfId="554" priority="27" operator="lessThan">
      <formula>52</formula>
    </cfRule>
  </conditionalFormatting>
  <conditionalFormatting sqref="T57">
    <cfRule type="cellIs" dxfId="553" priority="16" operator="lessThan">
      <formula>63</formula>
    </cfRule>
  </conditionalFormatting>
  <conditionalFormatting sqref="U57">
    <cfRule type="cellIs" dxfId="552" priority="14" operator="lessThan">
      <formula>63</formula>
    </cfRule>
    <cfRule type="cellIs" dxfId="551" priority="15" operator="lessThan">
      <formula>63</formula>
    </cfRule>
  </conditionalFormatting>
  <conditionalFormatting sqref="W57">
    <cfRule type="cellIs" dxfId="550" priority="13" operator="lessThan">
      <formula>140</formula>
    </cfRule>
  </conditionalFormatting>
  <conditionalFormatting sqref="X57">
    <cfRule type="cellIs" dxfId="549" priority="12" operator="lessThan">
      <formula>125</formula>
    </cfRule>
  </conditionalFormatting>
  <conditionalFormatting sqref="Y57">
    <cfRule type="cellIs" dxfId="548" priority="11" operator="lessThan">
      <formula>150</formula>
    </cfRule>
  </conditionalFormatting>
  <conditionalFormatting sqref="Z57">
    <cfRule type="cellIs" dxfId="547" priority="10" operator="lessThan">
      <formula>590</formula>
    </cfRule>
  </conditionalFormatting>
  <conditionalFormatting sqref="AA57">
    <cfRule type="cellIs" dxfId="546" priority="9" operator="lessThan">
      <formula>704</formula>
    </cfRule>
  </conditionalFormatting>
  <conditionalFormatting sqref="AC57">
    <cfRule type="cellIs" dxfId="545" priority="8" operator="lessThan">
      <formula>52</formula>
    </cfRule>
  </conditionalFormatting>
  <conditionalFormatting sqref="AD57">
    <cfRule type="cellIs" dxfId="544" priority="7" operator="lessThan">
      <formula>52</formula>
    </cfRule>
  </conditionalFormatting>
  <conditionalFormatting sqref="AH57">
    <cfRule type="cellIs" dxfId="543" priority="6" operator="lessThan">
      <formula>63</formula>
    </cfRule>
  </conditionalFormatting>
  <conditionalFormatting sqref="AI57">
    <cfRule type="cellIs" dxfId="542" priority="5" operator="lessThan">
      <formula>63</formula>
    </cfRule>
  </conditionalFormatting>
  <conditionalFormatting sqref="AK57">
    <cfRule type="cellIs" dxfId="541" priority="4" operator="lessThan">
      <formula>270</formula>
    </cfRule>
  </conditionalFormatting>
  <conditionalFormatting sqref="AJ57">
    <cfRule type="cellIs" dxfId="540" priority="3" operator="lessThan">
      <formula>270</formula>
    </cfRule>
  </conditionalFormatting>
  <conditionalFormatting sqref="AL57:AN57">
    <cfRule type="cellIs" dxfId="539" priority="1" operator="lessThan">
      <formula>270</formula>
    </cfRule>
  </conditionalFormatting>
  <printOptions horizontalCentered="1" verticalCentered="1"/>
  <pageMargins left="0" right="0.5" top="0" bottom="0" header="0" footer="0"/>
  <pageSetup paperSize="5" scale="45" orientation="landscape" cellComments="asDisplayed" r:id="rId1"/>
  <rowBreaks count="1" manualBreakCount="1">
    <brk id="5" max="16383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AP67"/>
  <sheetViews>
    <sheetView topLeftCell="Z46" zoomScale="90" zoomScaleNormal="90" workbookViewId="0">
      <selection activeCell="AA51" sqref="AA51"/>
    </sheetView>
  </sheetViews>
  <sheetFormatPr defaultRowHeight="15"/>
  <cols>
    <col min="1" max="1" width="32.7109375" bestFit="1" customWidth="1"/>
    <col min="2" max="2" width="17.7109375" customWidth="1"/>
    <col min="3" max="4" width="20.7109375" customWidth="1"/>
    <col min="5" max="5" width="4.7109375" customWidth="1"/>
    <col min="6" max="6" width="29.140625" bestFit="1" customWidth="1"/>
    <col min="7" max="7" width="17.7109375" customWidth="1"/>
    <col min="8" max="9" width="19.140625" bestFit="1" customWidth="1"/>
    <col min="10" max="11" width="17.7109375" customWidth="1"/>
    <col min="12" max="12" width="19.140625" bestFit="1" customWidth="1"/>
    <col min="13" max="14" width="17.7109375" customWidth="1"/>
    <col min="15" max="15" width="7.7109375" customWidth="1"/>
    <col min="16" max="16" width="28.7109375" customWidth="1"/>
    <col min="17" max="17" width="20.7109375" customWidth="1"/>
    <col min="18" max="18" width="7.7109375" customWidth="1"/>
    <col min="19" max="19" width="32.7109375" customWidth="1"/>
    <col min="20" max="20" width="20.28515625" bestFit="1" customWidth="1"/>
    <col min="21" max="21" width="17.7109375" customWidth="1"/>
    <col min="22" max="22" width="20.28515625" bestFit="1" customWidth="1"/>
    <col min="23" max="23" width="17.7109375" customWidth="1"/>
    <col min="24" max="24" width="20.28515625" bestFit="1" customWidth="1"/>
    <col min="25" max="25" width="14.7109375" customWidth="1"/>
    <col min="26" max="26" width="23.7109375" bestFit="1" customWidth="1"/>
    <col min="27" max="27" width="20.140625" bestFit="1" customWidth="1"/>
    <col min="28" max="28" width="17.7109375" customWidth="1"/>
    <col min="29" max="29" width="20.140625" bestFit="1" customWidth="1"/>
    <col min="30" max="30" width="17.7109375" customWidth="1"/>
    <col min="31" max="31" width="20.140625" bestFit="1" customWidth="1"/>
    <col min="32" max="33" width="20.7109375" customWidth="1"/>
    <col min="34" max="37" width="17.7109375" customWidth="1"/>
    <col min="38" max="40" width="19.85546875" hidden="1" customWidth="1"/>
  </cols>
  <sheetData>
    <row r="1" spans="1:36">
      <c r="E1" s="5"/>
    </row>
    <row r="2" spans="1:36">
      <c r="E2" s="5"/>
    </row>
    <row r="3" spans="1:36" ht="15.75" thickBot="1">
      <c r="C3" t="s">
        <v>1</v>
      </c>
      <c r="E3" s="5" t="s">
        <v>1</v>
      </c>
      <c r="F3" t="s">
        <v>1</v>
      </c>
      <c r="N3" t="s">
        <v>1</v>
      </c>
      <c r="S3" t="s">
        <v>1</v>
      </c>
      <c r="U3" t="s">
        <v>1</v>
      </c>
    </row>
    <row r="4" spans="1:36" ht="20.100000000000001" customHeight="1" thickTop="1">
      <c r="B4" t="s">
        <v>1</v>
      </c>
      <c r="D4" t="s">
        <v>1</v>
      </c>
      <c r="E4" t="s">
        <v>1</v>
      </c>
      <c r="P4" s="617" t="s">
        <v>108</v>
      </c>
      <c r="Q4" s="618">
        <f>'5'!Q4+'6'!Q9+'6'!Q10+'6'!Q19+'6'!Q20+'6'!Q21+'6'!Q22</f>
        <v>0</v>
      </c>
    </row>
    <row r="5" spans="1:36" ht="20.100000000000001" customHeight="1" thickBot="1">
      <c r="P5" s="619" t="s">
        <v>109</v>
      </c>
      <c r="Q5" s="620">
        <f>'5'!Q5+'6'!Q25+'6'!Q26+'6'!Q27+'6'!Q28+'6'!Q29+'6'!Q30+'6'!Q31</f>
        <v>0</v>
      </c>
    </row>
    <row r="6" spans="1:36" ht="48" thickTop="1" thickBot="1">
      <c r="A6" s="1502">
        <f>'Main Page'!E22</f>
        <v>44871</v>
      </c>
      <c r="B6" s="1507"/>
      <c r="C6" s="1507"/>
      <c r="D6" s="1507"/>
      <c r="E6" s="1507"/>
      <c r="F6" s="1507"/>
      <c r="G6" s="1507"/>
      <c r="H6" s="1507"/>
      <c r="I6" s="1507"/>
      <c r="J6" s="1507"/>
      <c r="K6" s="1507"/>
      <c r="L6" s="1507"/>
      <c r="M6" s="1507"/>
      <c r="N6" s="1507"/>
      <c r="O6" s="1507"/>
      <c r="P6" s="1507"/>
      <c r="Q6" s="1515"/>
      <c r="R6" t="s">
        <v>1</v>
      </c>
      <c r="S6" s="1502">
        <f>A6</f>
        <v>44871</v>
      </c>
      <c r="T6" s="1503"/>
      <c r="U6" s="1503"/>
      <c r="V6" s="1503"/>
      <c r="W6" s="1503"/>
      <c r="X6" s="1503"/>
      <c r="Y6" s="1503"/>
      <c r="Z6" s="1503"/>
      <c r="AA6" s="1503"/>
      <c r="AB6" s="1503"/>
      <c r="AC6" s="1503"/>
      <c r="AD6" s="1503"/>
      <c r="AE6" s="1504"/>
    </row>
    <row r="7" spans="1:36" ht="43.5" thickTop="1" thickBot="1">
      <c r="A7" s="1505" t="s">
        <v>110</v>
      </c>
      <c r="B7" s="1506"/>
      <c r="C7" s="367" t="s">
        <v>97</v>
      </c>
      <c r="D7" s="368" t="s">
        <v>74</v>
      </c>
      <c r="F7" s="363" t="s">
        <v>111</v>
      </c>
      <c r="G7" s="364" t="s">
        <v>112</v>
      </c>
      <c r="H7" s="365" t="s">
        <v>113</v>
      </c>
      <c r="I7" s="365" t="s">
        <v>26</v>
      </c>
      <c r="J7" s="365" t="s">
        <v>114</v>
      </c>
      <c r="K7" s="366" t="s">
        <v>115</v>
      </c>
      <c r="L7" s="365" t="s">
        <v>116</v>
      </c>
      <c r="M7" s="365" t="s">
        <v>117</v>
      </c>
      <c r="N7" s="365" t="s">
        <v>118</v>
      </c>
      <c r="P7" s="1510" t="s">
        <v>69</v>
      </c>
      <c r="Q7" s="1511"/>
      <c r="S7" s="380" t="s">
        <v>58</v>
      </c>
      <c r="T7" s="380" t="s">
        <v>59</v>
      </c>
      <c r="U7" s="380"/>
      <c r="V7" s="380" t="s">
        <v>74</v>
      </c>
      <c r="W7" s="380" t="s">
        <v>120</v>
      </c>
      <c r="X7" s="380" t="s">
        <v>59</v>
      </c>
      <c r="Z7" s="367" t="s">
        <v>121</v>
      </c>
      <c r="AA7" s="367" t="s">
        <v>97</v>
      </c>
      <c r="AB7" s="415" t="s">
        <v>122</v>
      </c>
      <c r="AC7" s="416" t="s">
        <v>90</v>
      </c>
      <c r="AD7" s="367" t="s">
        <v>56</v>
      </c>
      <c r="AE7" s="381" t="s">
        <v>100</v>
      </c>
      <c r="AF7" s="560" t="s">
        <v>122</v>
      </c>
      <c r="AG7" s="570" t="s">
        <v>56</v>
      </c>
      <c r="AI7" s="1487" t="s">
        <v>123</v>
      </c>
      <c r="AJ7" s="1488"/>
    </row>
    <row r="8" spans="1:36" ht="27" customHeight="1" thickTop="1" thickBot="1">
      <c r="A8" s="717"/>
      <c r="B8" s="233"/>
      <c r="C8" s="463"/>
      <c r="D8" s="233"/>
      <c r="F8" s="478" t="str">
        <f>'5'!F8</f>
        <v>ISHAQ ANSARI</v>
      </c>
      <c r="G8" s="405">
        <f>'CUSTOMERS REPORT'!Y13</f>
        <v>0</v>
      </c>
      <c r="H8" s="503">
        <f>'CUSTOMERS REPORT'!Z13</f>
        <v>0</v>
      </c>
      <c r="I8" s="405">
        <f>'CUSTOMERS REPORT'!AA13</f>
        <v>0</v>
      </c>
      <c r="J8" s="497">
        <f>'CUSTOMERS REPORT'!AB13</f>
        <v>0</v>
      </c>
      <c r="K8" s="497">
        <f>'CUSTOMERS REPORT'!AC13</f>
        <v>0</v>
      </c>
      <c r="L8" s="508">
        <f>'CUSTOMERS REPORT'!AD13</f>
        <v>0</v>
      </c>
      <c r="M8" s="413">
        <f>'5'!M8+'6'!G8</f>
        <v>0</v>
      </c>
      <c r="N8" s="411">
        <f>'5'!N8+'6'!J8</f>
        <v>0</v>
      </c>
      <c r="P8" s="191" t="s">
        <v>124</v>
      </c>
      <c r="Q8" s="223">
        <f>'5'!Q32</f>
        <v>0</v>
      </c>
      <c r="S8" s="399" t="str">
        <f>'5'!S8</f>
        <v>FLOUR</v>
      </c>
      <c r="T8" s="446">
        <f>'5'!X8</f>
        <v>0</v>
      </c>
      <c r="U8" s="455"/>
      <c r="V8" s="450">
        <f t="shared" ref="V8:V43" si="0">SUM(T8:U8)</f>
        <v>0</v>
      </c>
      <c r="W8" s="450"/>
      <c r="X8" s="446">
        <f t="shared" ref="X8:X43" si="1">V8-W8</f>
        <v>0</v>
      </c>
      <c r="Z8" s="382" t="str">
        <f>'5'!Z8</f>
        <v>GHAZI</v>
      </c>
      <c r="AA8" s="464">
        <f>'5'!AE8</f>
        <v>0</v>
      </c>
      <c r="AB8" s="459"/>
      <c r="AC8" s="233">
        <f t="shared" ref="AC8:AC41" si="2">AA8+AB8</f>
        <v>0</v>
      </c>
      <c r="AD8" s="468"/>
      <c r="AE8" s="463">
        <f t="shared" ref="AE8:AE42" si="3">AC8-AD8</f>
        <v>0</v>
      </c>
      <c r="AF8" s="563">
        <f>'5'!AF8+'6'!AB8</f>
        <v>0</v>
      </c>
      <c r="AG8" s="233">
        <f>'5'!AG8+'6'!AD8</f>
        <v>0</v>
      </c>
      <c r="AI8" s="391" t="s">
        <v>126</v>
      </c>
      <c r="AJ8" s="392">
        <f>'5'!AJ10</f>
        <v>0</v>
      </c>
    </row>
    <row r="9" spans="1:36" ht="27" customHeight="1" thickTop="1">
      <c r="A9" s="718"/>
      <c r="B9" s="526"/>
      <c r="C9" s="348"/>
      <c r="D9" s="550"/>
      <c r="F9" s="479" t="str">
        <f>'5'!F9</f>
        <v>MAKKI BAKERY</v>
      </c>
      <c r="G9" s="406">
        <f>'CUSTOMERS REPORT'!Y59</f>
        <v>0</v>
      </c>
      <c r="H9" s="504">
        <f>'CUSTOMERS REPORT'!Z59</f>
        <v>0</v>
      </c>
      <c r="I9" s="406">
        <f>'CUSTOMERS REPORT'!AA59</f>
        <v>0</v>
      </c>
      <c r="J9" s="498">
        <f>'CUSTOMERS REPORT'!AB59</f>
        <v>0</v>
      </c>
      <c r="K9" s="498">
        <f>'CUSTOMERS REPORT'!AC59</f>
        <v>0</v>
      </c>
      <c r="L9" s="509">
        <f>'CUSTOMERS REPORT'!AD59</f>
        <v>0</v>
      </c>
      <c r="M9" s="414">
        <f>'5'!M9+'6'!G9</f>
        <v>0</v>
      </c>
      <c r="N9" s="412">
        <f>'5'!N9+'6'!J9</f>
        <v>0</v>
      </c>
      <c r="P9" s="432"/>
      <c r="Q9" s="436"/>
      <c r="S9" s="400" t="str">
        <f>'5'!S9</f>
        <v>SUGAR</v>
      </c>
      <c r="T9" s="446">
        <f>'5'!X9</f>
        <v>0</v>
      </c>
      <c r="U9" s="456"/>
      <c r="V9" s="451">
        <f t="shared" si="0"/>
        <v>0</v>
      </c>
      <c r="W9" s="451"/>
      <c r="X9" s="447">
        <f t="shared" si="1"/>
        <v>0</v>
      </c>
      <c r="Z9" s="375" t="str">
        <f>'5'!Z9</f>
        <v>SOHNI</v>
      </c>
      <c r="AA9" s="464">
        <f>'5'!AE9</f>
        <v>0</v>
      </c>
      <c r="AB9" s="460"/>
      <c r="AC9" s="462">
        <f t="shared" si="2"/>
        <v>0</v>
      </c>
      <c r="AD9" s="469"/>
      <c r="AE9" s="348">
        <f t="shared" si="3"/>
        <v>0</v>
      </c>
      <c r="AF9" s="563">
        <f>'5'!AF9+'6'!AB9</f>
        <v>0</v>
      </c>
      <c r="AG9" s="234">
        <f>'5'!AG9+'6'!AD9</f>
        <v>0</v>
      </c>
      <c r="AI9" s="393" t="s">
        <v>128</v>
      </c>
      <c r="AJ9" s="394">
        <f>B26</f>
        <v>0</v>
      </c>
    </row>
    <row r="10" spans="1:36" ht="27" customHeight="1" thickBot="1">
      <c r="A10" s="718"/>
      <c r="B10" s="528"/>
      <c r="C10" s="350"/>
      <c r="D10" s="550"/>
      <c r="F10" s="479" t="str">
        <f>'5'!F10</f>
        <v>ABID HUSSAIN</v>
      </c>
      <c r="G10" s="406">
        <f>'CUSTOMERS REPORT'!Y97</f>
        <v>0</v>
      </c>
      <c r="H10" s="504">
        <f>'CUSTOMERS REPORT'!Z97</f>
        <v>0</v>
      </c>
      <c r="I10" s="406">
        <f>'CUSTOMERS REPORT'!AA97</f>
        <v>0</v>
      </c>
      <c r="J10" s="498">
        <f>'CUSTOMERS REPORT'!AB97</f>
        <v>0</v>
      </c>
      <c r="K10" s="498">
        <f>'CUSTOMERS REPORT'!AC97</f>
        <v>0</v>
      </c>
      <c r="L10" s="509">
        <f>'CUSTOMERS REPORT'!AD97</f>
        <v>0</v>
      </c>
      <c r="M10" s="414">
        <f>'5'!M10+'6'!G10</f>
        <v>0</v>
      </c>
      <c r="N10" s="412">
        <f>'5'!N10+'6'!J10</f>
        <v>0</v>
      </c>
      <c r="P10" s="433"/>
      <c r="Q10" s="437"/>
      <c r="S10" s="400" t="str">
        <f>'5'!S10</f>
        <v>GHEE</v>
      </c>
      <c r="T10" s="446">
        <f>'5'!X10</f>
        <v>0</v>
      </c>
      <c r="U10" s="456"/>
      <c r="V10" s="451">
        <f t="shared" si="0"/>
        <v>0</v>
      </c>
      <c r="W10" s="451"/>
      <c r="X10" s="447">
        <f t="shared" si="1"/>
        <v>0</v>
      </c>
      <c r="Z10" s="375" t="str">
        <f>'5'!Z10</f>
        <v>HUSSAINI</v>
      </c>
      <c r="AA10" s="464">
        <f>'5'!AE10</f>
        <v>0</v>
      </c>
      <c r="AB10" s="460"/>
      <c r="AC10" s="462">
        <f>AA10+AB10</f>
        <v>0</v>
      </c>
      <c r="AD10" s="469"/>
      <c r="AE10" s="348">
        <f>AC10-AD10</f>
        <v>0</v>
      </c>
      <c r="AF10" s="563">
        <f>'5'!AF10+'6'!AB10</f>
        <v>0</v>
      </c>
      <c r="AG10" s="234">
        <f>'5'!AG10+'6'!AD10</f>
        <v>0</v>
      </c>
      <c r="AI10" s="395" t="s">
        <v>74</v>
      </c>
      <c r="AJ10" s="396">
        <f>AJ8+AJ9</f>
        <v>0</v>
      </c>
    </row>
    <row r="11" spans="1:36" ht="27" customHeight="1" thickTop="1">
      <c r="A11" s="718"/>
      <c r="B11" s="528"/>
      <c r="C11" s="350"/>
      <c r="D11" s="550"/>
      <c r="F11" s="479" t="str">
        <f>'5'!F11</f>
        <v>SHAHID 5 #</v>
      </c>
      <c r="G11" s="406">
        <f>'CUSTOMERS REPORT'!Y136</f>
        <v>0</v>
      </c>
      <c r="H11" s="504">
        <f>'CUSTOMERS REPORT'!Z136</f>
        <v>0</v>
      </c>
      <c r="I11" s="406">
        <f>'CUSTOMERS REPORT'!AA136</f>
        <v>0</v>
      </c>
      <c r="J11" s="498">
        <f>'CUSTOMERS REPORT'!AB136</f>
        <v>0</v>
      </c>
      <c r="K11" s="498">
        <f>'CUSTOMERS REPORT'!AC136</f>
        <v>0</v>
      </c>
      <c r="L11" s="509">
        <f>'CUSTOMERS REPORT'!AD136</f>
        <v>0</v>
      </c>
      <c r="M11" s="414">
        <f>'5'!M11+'6'!G11</f>
        <v>0</v>
      </c>
      <c r="N11" s="412">
        <f>'5'!N11+'6'!J11</f>
        <v>0</v>
      </c>
      <c r="P11" s="433"/>
      <c r="Q11" s="437"/>
      <c r="S11" s="400" t="str">
        <f>'5'!S11</f>
        <v>YEAST</v>
      </c>
      <c r="T11" s="446">
        <f>'5'!X11</f>
        <v>0</v>
      </c>
      <c r="U11" s="456"/>
      <c r="V11" s="451">
        <f t="shared" si="0"/>
        <v>0</v>
      </c>
      <c r="W11" s="451"/>
      <c r="X11" s="447">
        <f t="shared" si="1"/>
        <v>0</v>
      </c>
      <c r="Z11" s="375" t="str">
        <f>'5'!Z11</f>
        <v>IMRAN ALAM</v>
      </c>
      <c r="AA11" s="464">
        <f>'5'!AE11</f>
        <v>0</v>
      </c>
      <c r="AB11" s="460"/>
      <c r="AC11" s="462">
        <f t="shared" ref="AC11:AC18" si="4">AA11+AB11</f>
        <v>0</v>
      </c>
      <c r="AD11" s="469"/>
      <c r="AE11" s="348">
        <f t="shared" ref="AE11:AE18" si="5">AC11-AD11</f>
        <v>0</v>
      </c>
      <c r="AF11" s="563">
        <f>'5'!AF11+'6'!AB11</f>
        <v>0</v>
      </c>
      <c r="AG11" s="234">
        <f>'5'!AG11+'6'!AD11</f>
        <v>0</v>
      </c>
      <c r="AI11" s="1031"/>
      <c r="AJ11" s="1032"/>
    </row>
    <row r="12" spans="1:36" ht="27" customHeight="1">
      <c r="A12" s="718"/>
      <c r="B12" s="528"/>
      <c r="C12" s="350"/>
      <c r="D12" s="550"/>
      <c r="F12" s="479" t="str">
        <f>'5'!F12</f>
        <v>ZULFIQAR</v>
      </c>
      <c r="G12" s="406">
        <f>'CUSTOMERS REPORT'!Y174</f>
        <v>0</v>
      </c>
      <c r="H12" s="504">
        <f>'CUSTOMERS REPORT'!Z174</f>
        <v>0</v>
      </c>
      <c r="I12" s="406">
        <f>'CUSTOMERS REPORT'!AA174</f>
        <v>0</v>
      </c>
      <c r="J12" s="498">
        <f>'CUSTOMERS REPORT'!AB174</f>
        <v>0</v>
      </c>
      <c r="K12" s="498">
        <f>'CUSTOMERS REPORT'!AC174</f>
        <v>0</v>
      </c>
      <c r="L12" s="509">
        <f>'CUSTOMERS REPORT'!AD174</f>
        <v>0</v>
      </c>
      <c r="M12" s="414">
        <f>'5'!M12+'6'!G12</f>
        <v>0</v>
      </c>
      <c r="N12" s="412">
        <f>'5'!N12+'6'!J12</f>
        <v>0</v>
      </c>
      <c r="P12" s="433"/>
      <c r="Q12" s="437"/>
      <c r="S12" s="400" t="str">
        <f>'5'!S12</f>
        <v xml:space="preserve">EKKA </v>
      </c>
      <c r="T12" s="446">
        <f>'5'!X12</f>
        <v>0</v>
      </c>
      <c r="U12" s="456"/>
      <c r="V12" s="451">
        <f t="shared" si="0"/>
        <v>0</v>
      </c>
      <c r="W12" s="451"/>
      <c r="X12" s="447">
        <f t="shared" si="1"/>
        <v>0</v>
      </c>
      <c r="Z12" s="375" t="str">
        <f>'5'!Z12</f>
        <v>ZAHEER</v>
      </c>
      <c r="AA12" s="464">
        <f>'5'!AE12</f>
        <v>0</v>
      </c>
      <c r="AB12" s="460"/>
      <c r="AC12" s="462">
        <f t="shared" si="4"/>
        <v>0</v>
      </c>
      <c r="AD12" s="469"/>
      <c r="AE12" s="348">
        <f t="shared" si="5"/>
        <v>0</v>
      </c>
      <c r="AF12" s="563">
        <f>'5'!AF12+'6'!AB12</f>
        <v>0</v>
      </c>
      <c r="AG12" s="234">
        <f>'5'!AG12+'6'!AD12</f>
        <v>0</v>
      </c>
      <c r="AI12" s="1031"/>
      <c r="AJ12" s="1032"/>
    </row>
    <row r="13" spans="1:36" ht="27" customHeight="1">
      <c r="A13" s="718"/>
      <c r="B13" s="528"/>
      <c r="C13" s="350"/>
      <c r="D13" s="550"/>
      <c r="F13" s="479" t="str">
        <f>'5'!F13</f>
        <v>QASIM ORANGI</v>
      </c>
      <c r="G13" s="406">
        <f>'CUSTOMERS REPORT'!Y214</f>
        <v>0</v>
      </c>
      <c r="H13" s="504">
        <f>'CUSTOMERS REPORT'!Z214</f>
        <v>0</v>
      </c>
      <c r="I13" s="406">
        <f>'CUSTOMERS REPORT'!AA214</f>
        <v>0</v>
      </c>
      <c r="J13" s="498">
        <f>'CUSTOMERS REPORT'!AB214</f>
        <v>0</v>
      </c>
      <c r="K13" s="498">
        <f>'CUSTOMERS REPORT'!AC214</f>
        <v>0</v>
      </c>
      <c r="L13" s="509">
        <f>'CUSTOMERS REPORT'!AD214</f>
        <v>0</v>
      </c>
      <c r="M13" s="414">
        <f>'5'!M13+'6'!G13</f>
        <v>0</v>
      </c>
      <c r="N13" s="412">
        <f>'5'!N13+'6'!J13</f>
        <v>0</v>
      </c>
      <c r="P13" s="433"/>
      <c r="Q13" s="437"/>
      <c r="S13" s="400" t="str">
        <f>'5'!S13</f>
        <v>VANILLA</v>
      </c>
      <c r="T13" s="446">
        <f>'5'!X13</f>
        <v>0</v>
      </c>
      <c r="U13" s="456"/>
      <c r="V13" s="451">
        <f t="shared" si="0"/>
        <v>0</v>
      </c>
      <c r="W13" s="451"/>
      <c r="X13" s="447">
        <f t="shared" si="1"/>
        <v>0</v>
      </c>
      <c r="Z13" s="375" t="str">
        <f>'5'!Z13</f>
        <v>FAISAL</v>
      </c>
      <c r="AA13" s="464">
        <f>'5'!AE13</f>
        <v>0</v>
      </c>
      <c r="AB13" s="460"/>
      <c r="AC13" s="462">
        <f t="shared" si="4"/>
        <v>0</v>
      </c>
      <c r="AD13" s="469"/>
      <c r="AE13" s="348">
        <f t="shared" si="5"/>
        <v>0</v>
      </c>
      <c r="AF13" s="563">
        <f>'5'!AF13+'6'!AB13</f>
        <v>0</v>
      </c>
      <c r="AG13" s="234">
        <f>'5'!AG13+'6'!AD13</f>
        <v>0</v>
      </c>
      <c r="AI13" s="1031"/>
      <c r="AJ13" s="1032"/>
    </row>
    <row r="14" spans="1:36" ht="27" customHeight="1">
      <c r="A14" s="718"/>
      <c r="B14" s="528"/>
      <c r="C14" s="350"/>
      <c r="D14" s="550"/>
      <c r="F14" s="479" t="str">
        <f>'5'!F14</f>
        <v>BADSHAH KHAN HYD</v>
      </c>
      <c r="G14" s="406">
        <f>'CUSTOMERS REPORT'!Y251</f>
        <v>0</v>
      </c>
      <c r="H14" s="504">
        <f>'CUSTOMERS REPORT'!Z251</f>
        <v>0</v>
      </c>
      <c r="I14" s="406">
        <f>'CUSTOMERS REPORT'!AA251</f>
        <v>0</v>
      </c>
      <c r="J14" s="498">
        <f>'CUSTOMERS REPORT'!AB251</f>
        <v>0</v>
      </c>
      <c r="K14" s="498">
        <f>'CUSTOMERS REPORT'!AC251</f>
        <v>0</v>
      </c>
      <c r="L14" s="509">
        <f>'CUSTOMERS REPORT'!AD251</f>
        <v>0</v>
      </c>
      <c r="M14" s="414">
        <f>'5'!M14+'6'!G14</f>
        <v>0</v>
      </c>
      <c r="N14" s="412">
        <f>'5'!N14+'6'!J14</f>
        <v>0</v>
      </c>
      <c r="P14" s="433"/>
      <c r="Q14" s="437"/>
      <c r="S14" s="400" t="str">
        <f>'5'!S14</f>
        <v>COLOUR</v>
      </c>
      <c r="T14" s="446">
        <f>'5'!X14</f>
        <v>0</v>
      </c>
      <c r="U14" s="456"/>
      <c r="V14" s="451">
        <f t="shared" si="0"/>
        <v>0</v>
      </c>
      <c r="W14" s="451"/>
      <c r="X14" s="447">
        <f t="shared" si="1"/>
        <v>0</v>
      </c>
      <c r="Z14" s="375" t="str">
        <f>'5'!Z14</f>
        <v>RANA EKKA</v>
      </c>
      <c r="AA14" s="464">
        <f>'5'!AE14</f>
        <v>0</v>
      </c>
      <c r="AB14" s="460"/>
      <c r="AC14" s="462">
        <f t="shared" si="4"/>
        <v>0</v>
      </c>
      <c r="AD14" s="469"/>
      <c r="AE14" s="348">
        <f t="shared" si="5"/>
        <v>0</v>
      </c>
      <c r="AF14" s="563">
        <f>'5'!AF14+'6'!AB14</f>
        <v>0</v>
      </c>
      <c r="AG14" s="234">
        <f>'5'!AG14+'6'!AD14</f>
        <v>0</v>
      </c>
      <c r="AI14" s="1031"/>
      <c r="AJ14" s="1032"/>
    </row>
    <row r="15" spans="1:36" ht="27" customHeight="1">
      <c r="A15" s="718"/>
      <c r="B15" s="528"/>
      <c r="C15" s="350"/>
      <c r="D15" s="550"/>
      <c r="F15" s="479" t="str">
        <f>'5'!F15</f>
        <v>SHAMOON</v>
      </c>
      <c r="G15" s="406">
        <f>'CUSTOMERS REPORT'!Y291</f>
        <v>0</v>
      </c>
      <c r="H15" s="504">
        <f>'CUSTOMERS REPORT'!Z291</f>
        <v>0</v>
      </c>
      <c r="I15" s="406">
        <f>'CUSTOMERS REPORT'!AA291</f>
        <v>0</v>
      </c>
      <c r="J15" s="498">
        <f>'CUSTOMERS REPORT'!AB291</f>
        <v>0</v>
      </c>
      <c r="K15" s="498">
        <f>'CUSTOMERS REPORT'!AC291</f>
        <v>0</v>
      </c>
      <c r="L15" s="509">
        <f>'CUSTOMERS REPORT'!AD291</f>
        <v>0</v>
      </c>
      <c r="M15" s="414">
        <f>'5'!M15+'6'!G15</f>
        <v>0</v>
      </c>
      <c r="N15" s="412">
        <f>'5'!N15+'6'!J15</f>
        <v>0</v>
      </c>
      <c r="P15" s="433"/>
      <c r="Q15" s="437"/>
      <c r="S15" s="400" t="str">
        <f>'5'!S15</f>
        <v>TILL</v>
      </c>
      <c r="T15" s="446">
        <f>'5'!X15</f>
        <v>0</v>
      </c>
      <c r="U15" s="456"/>
      <c r="V15" s="451">
        <f t="shared" si="0"/>
        <v>0</v>
      </c>
      <c r="W15" s="451"/>
      <c r="X15" s="447">
        <f t="shared" si="1"/>
        <v>0</v>
      </c>
      <c r="Z15" s="375" t="str">
        <f>'5'!Z15</f>
        <v>sheeba</v>
      </c>
      <c r="AA15" s="464">
        <f>'5'!AE15</f>
        <v>0</v>
      </c>
      <c r="AB15" s="460"/>
      <c r="AC15" s="462">
        <f t="shared" si="4"/>
        <v>0</v>
      </c>
      <c r="AD15" s="469"/>
      <c r="AE15" s="348">
        <f t="shared" si="5"/>
        <v>0</v>
      </c>
      <c r="AF15" s="563">
        <f>'5'!AF15+'6'!AB15</f>
        <v>0</v>
      </c>
      <c r="AG15" s="234">
        <f>'5'!AG15+'6'!AD15</f>
        <v>0</v>
      </c>
      <c r="AI15" s="1031"/>
      <c r="AJ15" s="1032"/>
    </row>
    <row r="16" spans="1:36" ht="27" customHeight="1">
      <c r="A16" s="718"/>
      <c r="B16" s="528"/>
      <c r="C16" s="350"/>
      <c r="D16" s="550"/>
      <c r="F16" s="479" t="str">
        <f>'5'!F16</f>
        <v>MATEEN</v>
      </c>
      <c r="G16" s="406">
        <f>'CUSTOMERS REPORT'!Y332</f>
        <v>0</v>
      </c>
      <c r="H16" s="504">
        <f>'CUSTOMERS REPORT'!Z332</f>
        <v>0</v>
      </c>
      <c r="I16" s="406">
        <f>'CUSTOMERS REPORT'!AA332</f>
        <v>0</v>
      </c>
      <c r="J16" s="498">
        <f>'CUSTOMERS REPORT'!AB332</f>
        <v>0</v>
      </c>
      <c r="K16" s="498">
        <f>'CUSTOMERS REPORT'!AC332</f>
        <v>0</v>
      </c>
      <c r="L16" s="509">
        <f>'CUSTOMERS REPORT'!AD332</f>
        <v>0</v>
      </c>
      <c r="M16" s="414">
        <f>'5'!M16+'6'!G16</f>
        <v>0</v>
      </c>
      <c r="N16" s="412">
        <f>'5'!N16+'6'!J16</f>
        <v>0</v>
      </c>
      <c r="P16" s="433"/>
      <c r="Q16" s="437"/>
      <c r="S16" s="400" t="str">
        <f>'5'!S16</f>
        <v>ILLAICHI</v>
      </c>
      <c r="T16" s="446">
        <f>'5'!X16</f>
        <v>0</v>
      </c>
      <c r="U16" s="456"/>
      <c r="V16" s="451">
        <f t="shared" si="0"/>
        <v>0</v>
      </c>
      <c r="W16" s="451"/>
      <c r="X16" s="447">
        <f t="shared" si="1"/>
        <v>0</v>
      </c>
      <c r="Z16" s="375" t="str">
        <f>'5'!Z16</f>
        <v>COTTON</v>
      </c>
      <c r="AA16" s="464">
        <f>'5'!AE16</f>
        <v>0</v>
      </c>
      <c r="AB16" s="460"/>
      <c r="AC16" s="462">
        <f t="shared" si="4"/>
        <v>0</v>
      </c>
      <c r="AD16" s="469"/>
      <c r="AE16" s="348">
        <f t="shared" si="5"/>
        <v>0</v>
      </c>
      <c r="AF16" s="563">
        <f>'5'!AF16+'6'!AB16</f>
        <v>0</v>
      </c>
      <c r="AG16" s="234">
        <f>'5'!AG16+'6'!AD16</f>
        <v>0</v>
      </c>
      <c r="AI16" s="1031"/>
      <c r="AJ16" s="1032"/>
    </row>
    <row r="17" spans="1:36" ht="27" customHeight="1">
      <c r="A17" s="718"/>
      <c r="B17" s="528"/>
      <c r="C17" s="350"/>
      <c r="D17" s="550"/>
      <c r="F17" s="479" t="str">
        <f>'5'!F17</f>
        <v>AMJAD ORANGI</v>
      </c>
      <c r="G17" s="406">
        <f>'CUSTOMERS REPORT'!Y374</f>
        <v>0</v>
      </c>
      <c r="H17" s="504">
        <f>'CUSTOMERS REPORT'!Z374</f>
        <v>0</v>
      </c>
      <c r="I17" s="406">
        <f>'CUSTOMERS REPORT'!AA374</f>
        <v>0</v>
      </c>
      <c r="J17" s="498">
        <f>'CUSTOMERS REPORT'!AB374</f>
        <v>0</v>
      </c>
      <c r="K17" s="498">
        <f>'CUSTOMERS REPORT'!AC374</f>
        <v>0</v>
      </c>
      <c r="L17" s="509">
        <f>'CUSTOMERS REPORT'!AD374</f>
        <v>0</v>
      </c>
      <c r="M17" s="414">
        <f>'5'!M17+'6'!G17</f>
        <v>0</v>
      </c>
      <c r="N17" s="412">
        <f>'5'!N17+'6'!J17</f>
        <v>0</v>
      </c>
      <c r="P17" s="433"/>
      <c r="Q17" s="437"/>
      <c r="S17" s="400" t="str">
        <f>'5'!S17</f>
        <v>S-THELLI</v>
      </c>
      <c r="T17" s="446">
        <f>'5'!X17</f>
        <v>0</v>
      </c>
      <c r="U17" s="456"/>
      <c r="V17" s="451">
        <f t="shared" si="0"/>
        <v>0</v>
      </c>
      <c r="W17" s="451"/>
      <c r="X17" s="447">
        <f t="shared" si="1"/>
        <v>0</v>
      </c>
      <c r="Z17" s="375" t="str">
        <f>'5'!Z17</f>
        <v>SHAHID UP</v>
      </c>
      <c r="AA17" s="464">
        <f>'5'!AE17</f>
        <v>0</v>
      </c>
      <c r="AB17" s="460"/>
      <c r="AC17" s="462">
        <f t="shared" si="4"/>
        <v>0</v>
      </c>
      <c r="AD17" s="469"/>
      <c r="AE17" s="348">
        <f t="shared" si="5"/>
        <v>0</v>
      </c>
      <c r="AF17" s="563">
        <f>'5'!AF17+'6'!AB17</f>
        <v>0</v>
      </c>
      <c r="AG17" s="234">
        <f>'5'!AG17+'6'!AD17</f>
        <v>0</v>
      </c>
      <c r="AI17" s="1031"/>
      <c r="AJ17" s="1032"/>
    </row>
    <row r="18" spans="1:36" ht="27" customHeight="1">
      <c r="A18" s="718"/>
      <c r="B18" s="528"/>
      <c r="C18" s="350"/>
      <c r="D18" s="550"/>
      <c r="F18" s="479" t="str">
        <f>'5'!F18</f>
        <v>HAFIZ DRIVER</v>
      </c>
      <c r="G18" s="406">
        <f>'CUSTOMERS REPORT'!Y413</f>
        <v>0</v>
      </c>
      <c r="H18" s="504">
        <f>'CUSTOMERS REPORT'!Z413</f>
        <v>0</v>
      </c>
      <c r="I18" s="406">
        <f>'CUSTOMERS REPORT'!AA413</f>
        <v>0</v>
      </c>
      <c r="J18" s="498">
        <f>'CUSTOMERS REPORT'!AB413</f>
        <v>0</v>
      </c>
      <c r="K18" s="498">
        <f>'CUSTOMERS REPORT'!AC413</f>
        <v>0</v>
      </c>
      <c r="L18" s="509">
        <f>'CUSTOMERS REPORT'!AD413</f>
        <v>0</v>
      </c>
      <c r="M18" s="414">
        <f>'5'!M18+'6'!G18</f>
        <v>0</v>
      </c>
      <c r="N18" s="412">
        <f>'5'!N18+'6'!J18</f>
        <v>0</v>
      </c>
      <c r="P18" s="433"/>
      <c r="Q18" s="437"/>
      <c r="S18" s="400" t="str">
        <f>'5'!S18</f>
        <v>P-THELLI</v>
      </c>
      <c r="T18" s="446">
        <f>'5'!X18</f>
        <v>0</v>
      </c>
      <c r="U18" s="456"/>
      <c r="V18" s="451">
        <f t="shared" si="0"/>
        <v>0</v>
      </c>
      <c r="W18" s="451"/>
      <c r="X18" s="447">
        <f t="shared" si="1"/>
        <v>0</v>
      </c>
      <c r="Z18" s="375" t="str">
        <f>'5'!Z18</f>
        <v>SALT</v>
      </c>
      <c r="AA18" s="464">
        <f>'5'!AE18</f>
        <v>0</v>
      </c>
      <c r="AB18" s="460"/>
      <c r="AC18" s="462">
        <f t="shared" si="4"/>
        <v>0</v>
      </c>
      <c r="AD18" s="469"/>
      <c r="AE18" s="348">
        <f t="shared" si="5"/>
        <v>0</v>
      </c>
      <c r="AF18" s="563">
        <f>'5'!AF18+'6'!AB18</f>
        <v>0</v>
      </c>
      <c r="AG18" s="234">
        <f>'5'!AG18+'6'!AD18</f>
        <v>0</v>
      </c>
      <c r="AI18" s="1031"/>
      <c r="AJ18" s="1032"/>
    </row>
    <row r="19" spans="1:36" ht="27" customHeight="1" thickBot="1">
      <c r="A19" s="719"/>
      <c r="B19" s="529"/>
      <c r="C19" s="350"/>
      <c r="D19" s="550"/>
      <c r="F19" s="479" t="str">
        <f>'5'!F19</f>
        <v>GHULAM QUETTA</v>
      </c>
      <c r="G19" s="406">
        <f>'CUSTOMERS REPORT'!Y451</f>
        <v>0</v>
      </c>
      <c r="H19" s="504">
        <f>'CUSTOMERS REPORT'!Z451</f>
        <v>0</v>
      </c>
      <c r="I19" s="406">
        <f>'CUSTOMERS REPORT'!AA451</f>
        <v>0</v>
      </c>
      <c r="J19" s="498">
        <f>'CUSTOMERS REPORT'!AB451</f>
        <v>0</v>
      </c>
      <c r="K19" s="498">
        <f>'CUSTOMERS REPORT'!AC451</f>
        <v>0</v>
      </c>
      <c r="L19" s="509">
        <f>'CUSTOMERS REPORT'!AD451</f>
        <v>0</v>
      </c>
      <c r="M19" s="414">
        <f>'5'!M19+'6'!G19</f>
        <v>0</v>
      </c>
      <c r="N19" s="412">
        <f>'5'!N19+'6'!J19</f>
        <v>0</v>
      </c>
      <c r="P19" s="433"/>
      <c r="Q19" s="437"/>
      <c r="S19" s="400" t="str">
        <f>'5'!S19</f>
        <v>RUBBER</v>
      </c>
      <c r="T19" s="446">
        <f>'5'!X19</f>
        <v>0</v>
      </c>
      <c r="U19" s="456"/>
      <c r="V19" s="451">
        <f t="shared" si="0"/>
        <v>0</v>
      </c>
      <c r="W19" s="451"/>
      <c r="X19" s="447">
        <f t="shared" si="1"/>
        <v>0</v>
      </c>
      <c r="Z19" s="375" t="str">
        <f>'5'!Z19</f>
        <v>NAVEED</v>
      </c>
      <c r="AA19" s="464">
        <f>'5'!AE19</f>
        <v>0</v>
      </c>
      <c r="AB19" s="460"/>
      <c r="AC19" s="462">
        <f t="shared" si="2"/>
        <v>0</v>
      </c>
      <c r="AD19" s="469"/>
      <c r="AE19" s="348">
        <f t="shared" si="3"/>
        <v>0</v>
      </c>
      <c r="AF19" s="563">
        <f>'5'!AF19+'6'!AB19</f>
        <v>0</v>
      </c>
      <c r="AG19" s="234">
        <f>'5'!AG19+'6'!AD19</f>
        <v>0</v>
      </c>
    </row>
    <row r="20" spans="1:36" ht="27" customHeight="1" thickTop="1" thickBot="1">
      <c r="A20" s="719"/>
      <c r="B20" s="529"/>
      <c r="C20" s="350"/>
      <c r="D20" s="550"/>
      <c r="F20" s="479" t="str">
        <f>'5'!F20</f>
        <v>HUSSAN GWADAR</v>
      </c>
      <c r="G20" s="406">
        <f>'CUSTOMERS REPORT'!Y487</f>
        <v>0</v>
      </c>
      <c r="H20" s="504">
        <f>'CUSTOMERS REPORT'!Z487</f>
        <v>0</v>
      </c>
      <c r="I20" s="406">
        <f>'CUSTOMERS REPORT'!AA487</f>
        <v>0</v>
      </c>
      <c r="J20" s="498">
        <f>'CUSTOMERS REPORT'!AB487</f>
        <v>0</v>
      </c>
      <c r="K20" s="498">
        <f>'CUSTOMERS REPORT'!AC487</f>
        <v>0</v>
      </c>
      <c r="L20" s="509">
        <f>'CUSTOMERS REPORT'!AD487</f>
        <v>0</v>
      </c>
      <c r="M20" s="414">
        <f>'5'!M20+'6'!G20</f>
        <v>0</v>
      </c>
      <c r="N20" s="412">
        <f>'5'!N20+'6'!J20</f>
        <v>0</v>
      </c>
      <c r="P20" s="433"/>
      <c r="Q20" s="437"/>
      <c r="S20" s="400" t="str">
        <f>'5'!S20</f>
        <v>SALT</v>
      </c>
      <c r="T20" s="446">
        <f>'5'!X20</f>
        <v>0</v>
      </c>
      <c r="U20" s="456"/>
      <c r="V20" s="451">
        <f t="shared" si="0"/>
        <v>0</v>
      </c>
      <c r="W20" s="451"/>
      <c r="X20" s="447">
        <f t="shared" si="1"/>
        <v>0</v>
      </c>
      <c r="Z20" s="375" t="str">
        <f>'5'!Z20</f>
        <v>YOUSUF BHAI</v>
      </c>
      <c r="AA20" s="464">
        <f>'5'!AE20</f>
        <v>0</v>
      </c>
      <c r="AB20" s="460"/>
      <c r="AC20" s="462">
        <f t="shared" si="2"/>
        <v>0</v>
      </c>
      <c r="AD20" s="469"/>
      <c r="AE20" s="348">
        <f t="shared" si="3"/>
        <v>0</v>
      </c>
      <c r="AF20" s="563">
        <f>'5'!AF20+'6'!AB20</f>
        <v>0</v>
      </c>
      <c r="AG20" s="234">
        <f>'5'!AG20+'6'!AD20</f>
        <v>0</v>
      </c>
      <c r="AI20" s="1487" t="s">
        <v>132</v>
      </c>
      <c r="AJ20" s="1488"/>
    </row>
    <row r="21" spans="1:36" ht="27" customHeight="1" thickTop="1" thickBot="1">
      <c r="A21" s="720"/>
      <c r="B21" s="530"/>
      <c r="C21" s="531"/>
      <c r="D21" s="553"/>
      <c r="F21" s="479" t="str">
        <f>'5'!F21</f>
        <v>AQASH S KOT</v>
      </c>
      <c r="G21" s="406">
        <f>'CUSTOMERS REPORT'!Y524</f>
        <v>0</v>
      </c>
      <c r="H21" s="504">
        <f>'CUSTOMERS REPORT'!Z524</f>
        <v>0</v>
      </c>
      <c r="I21" s="406">
        <f>'CUSTOMERS REPORT'!AA524</f>
        <v>0</v>
      </c>
      <c r="J21" s="498">
        <f>'CUSTOMERS REPORT'!AB524</f>
        <v>0</v>
      </c>
      <c r="K21" s="498">
        <f>'CUSTOMERS REPORT'!AC524</f>
        <v>0</v>
      </c>
      <c r="L21" s="509">
        <f>'CUSTOMERS REPORT'!AD524</f>
        <v>0</v>
      </c>
      <c r="M21" s="414">
        <f>'5'!M21+'6'!G21</f>
        <v>0</v>
      </c>
      <c r="N21" s="412">
        <f>'5'!N21+'6'!J21</f>
        <v>0</v>
      </c>
      <c r="P21" s="433"/>
      <c r="Q21" s="435"/>
      <c r="S21" s="400" t="str">
        <f>'5'!S21</f>
        <v>TAPE</v>
      </c>
      <c r="T21" s="446">
        <f>'5'!X21</f>
        <v>0</v>
      </c>
      <c r="U21" s="456"/>
      <c r="V21" s="451">
        <f t="shared" si="0"/>
        <v>0</v>
      </c>
      <c r="W21" s="451"/>
      <c r="X21" s="447">
        <f t="shared" si="1"/>
        <v>0</v>
      </c>
      <c r="Z21" s="375" t="str">
        <f>'5'!Z21</f>
        <v>SULEMAN  PRINT</v>
      </c>
      <c r="AA21" s="464">
        <f>'5'!AE21</f>
        <v>0</v>
      </c>
      <c r="AB21" s="460"/>
      <c r="AC21" s="462">
        <f t="shared" si="2"/>
        <v>0</v>
      </c>
      <c r="AD21" s="469"/>
      <c r="AE21" s="348">
        <f t="shared" si="3"/>
        <v>0</v>
      </c>
      <c r="AF21" s="563">
        <f>'5'!AF21+'6'!AB21</f>
        <v>0</v>
      </c>
      <c r="AG21" s="234">
        <f>'5'!AG21+'6'!AD21</f>
        <v>0</v>
      </c>
      <c r="AI21" s="391" t="s">
        <v>126</v>
      </c>
      <c r="AJ21" s="392">
        <f>'5'!AJ23</f>
        <v>0</v>
      </c>
    </row>
    <row r="22" spans="1:36" ht="27" customHeight="1" thickTop="1" thickBot="1">
      <c r="A22" s="486" t="s">
        <v>74</v>
      </c>
      <c r="B22" s="533">
        <f>SUM(B8:B21)</f>
        <v>0</v>
      </c>
      <c r="C22" s="534">
        <f>'5'!D22</f>
        <v>0</v>
      </c>
      <c r="D22" s="535">
        <f t="shared" ref="D22" si="6">B22+C22</f>
        <v>0</v>
      </c>
      <c r="F22" s="479" t="str">
        <f>'5'!F22</f>
        <v>SALEEM T JAM</v>
      </c>
      <c r="G22" s="406">
        <f>'CUSTOMERS REPORT'!Y562</f>
        <v>0</v>
      </c>
      <c r="H22" s="504">
        <f>'CUSTOMERS REPORT'!Z562</f>
        <v>0</v>
      </c>
      <c r="I22" s="406">
        <f>'CUSTOMERS REPORT'!AA562</f>
        <v>0</v>
      </c>
      <c r="J22" s="498">
        <f>'CUSTOMERS REPORT'!AB562</f>
        <v>0</v>
      </c>
      <c r="K22" s="498">
        <f>'CUSTOMERS REPORT'!AC562</f>
        <v>0</v>
      </c>
      <c r="L22" s="509">
        <f>'CUSTOMERS REPORT'!AD562</f>
        <v>0</v>
      </c>
      <c r="M22" s="414">
        <f>'5'!M22+'6'!G22</f>
        <v>0</v>
      </c>
      <c r="N22" s="412">
        <f>'5'!N22+'6'!J22</f>
        <v>0</v>
      </c>
      <c r="P22" s="433"/>
      <c r="Q22" s="438"/>
      <c r="S22" s="400" t="str">
        <f>'5'!S22</f>
        <v>COTTON</v>
      </c>
      <c r="T22" s="446">
        <f>'5'!X22</f>
        <v>0</v>
      </c>
      <c r="U22" s="456"/>
      <c r="V22" s="451">
        <f t="shared" si="0"/>
        <v>0</v>
      </c>
      <c r="W22" s="451"/>
      <c r="X22" s="447">
        <f t="shared" si="1"/>
        <v>0</v>
      </c>
      <c r="Z22" s="375" t="str">
        <f>'5'!Z22</f>
        <v>IRFAN VANILA</v>
      </c>
      <c r="AA22" s="464">
        <f>'5'!AE22</f>
        <v>0</v>
      </c>
      <c r="AB22" s="460"/>
      <c r="AC22" s="462">
        <f t="shared" si="2"/>
        <v>0</v>
      </c>
      <c r="AD22" s="469"/>
      <c r="AE22" s="348">
        <f t="shared" si="3"/>
        <v>0</v>
      </c>
      <c r="AF22" s="563">
        <f>'5'!AF22+'6'!AB22</f>
        <v>0</v>
      </c>
      <c r="AG22" s="234">
        <f>'5'!AG22+'6'!AD22</f>
        <v>0</v>
      </c>
      <c r="AI22" s="393">
        <f>R56</f>
        <v>0</v>
      </c>
      <c r="AJ22" s="394">
        <f>R56*1800</f>
        <v>0</v>
      </c>
    </row>
    <row r="23" spans="1:36" ht="27" customHeight="1" thickTop="1" thickBot="1">
      <c r="A23" s="715" t="str">
        <f>'5'!A23</f>
        <v>OFFICE FOOD</v>
      </c>
      <c r="B23" s="462"/>
      <c r="C23" s="536">
        <f>'5'!D23</f>
        <v>0</v>
      </c>
      <c r="D23" s="537">
        <f t="shared" ref="D23:D48" si="7">B23+C23</f>
        <v>0</v>
      </c>
      <c r="F23" s="479" t="str">
        <f>'5'!F23</f>
        <v>JAMSHAD BADEEN</v>
      </c>
      <c r="G23" s="406">
        <f>'CUSTOMERS REPORT'!Y598</f>
        <v>0</v>
      </c>
      <c r="H23" s="504">
        <f>'CUSTOMERS REPORT'!Z598</f>
        <v>0</v>
      </c>
      <c r="I23" s="406">
        <f>'CUSTOMERS REPORT'!AA598</f>
        <v>0</v>
      </c>
      <c r="J23" s="498">
        <f>'CUSTOMERS REPORT'!AB598</f>
        <v>0</v>
      </c>
      <c r="K23" s="498">
        <f>'CUSTOMERS REPORT'!AC598</f>
        <v>0</v>
      </c>
      <c r="L23" s="509">
        <f>'CUSTOMERS REPORT'!AD598</f>
        <v>0</v>
      </c>
      <c r="M23" s="414">
        <f>'5'!M23+'6'!G23</f>
        <v>0</v>
      </c>
      <c r="N23" s="412">
        <f>'5'!N23+'6'!J23</f>
        <v>0</v>
      </c>
      <c r="P23" s="190" t="s">
        <v>48</v>
      </c>
      <c r="Q23" s="439">
        <f>SUM(Q8:Q22)</f>
        <v>0</v>
      </c>
      <c r="S23" s="400" t="str">
        <f>'5'!S23</f>
        <v>WHITE 6</v>
      </c>
      <c r="T23" s="446">
        <f>'5'!X23</f>
        <v>0</v>
      </c>
      <c r="U23" s="456"/>
      <c r="V23" s="451">
        <f t="shared" si="0"/>
        <v>0</v>
      </c>
      <c r="W23" s="451"/>
      <c r="X23" s="447">
        <f t="shared" si="1"/>
        <v>0</v>
      </c>
      <c r="Z23" s="375" t="str">
        <f>'5'!Z23</f>
        <v>IRANI GHEE</v>
      </c>
      <c r="AA23" s="464">
        <f>'5'!AE23</f>
        <v>0</v>
      </c>
      <c r="AB23" s="460"/>
      <c r="AC23" s="462">
        <f t="shared" si="2"/>
        <v>0</v>
      </c>
      <c r="AD23" s="469"/>
      <c r="AE23" s="348">
        <f t="shared" si="3"/>
        <v>0</v>
      </c>
      <c r="AF23" s="563">
        <f>'5'!AF23+'6'!AB23</f>
        <v>0</v>
      </c>
      <c r="AG23" s="234">
        <f>'5'!AG23+'6'!AD23</f>
        <v>0</v>
      </c>
      <c r="AI23" s="395" t="s">
        <v>74</v>
      </c>
      <c r="AJ23" s="396">
        <f>AJ21+AJ22</f>
        <v>0</v>
      </c>
    </row>
    <row r="24" spans="1:36" ht="27" customHeight="1" thickTop="1" thickBot="1">
      <c r="A24" s="715" t="str">
        <f>'5'!A24</f>
        <v>LABOUR FOOD EXP</v>
      </c>
      <c r="B24" s="234"/>
      <c r="C24" s="348">
        <f>'5'!D24</f>
        <v>0</v>
      </c>
      <c r="D24" s="234">
        <f t="shared" si="7"/>
        <v>0</v>
      </c>
      <c r="F24" s="479" t="str">
        <f>'5'!F24</f>
        <v>SARFAZ MP</v>
      </c>
      <c r="G24" s="406">
        <f>'CUSTOMERS REPORT'!Y636</f>
        <v>0</v>
      </c>
      <c r="H24" s="504">
        <f>'CUSTOMERS REPORT'!Z636</f>
        <v>0</v>
      </c>
      <c r="I24" s="406">
        <f>'CUSTOMERS REPORT'!AA636</f>
        <v>0</v>
      </c>
      <c r="J24" s="498">
        <f>'CUSTOMERS REPORT'!AB636</f>
        <v>0</v>
      </c>
      <c r="K24" s="498">
        <f>'CUSTOMERS REPORT'!AC636</f>
        <v>0</v>
      </c>
      <c r="L24" s="509">
        <f>'CUSTOMERS REPORT'!AD636</f>
        <v>0</v>
      </c>
      <c r="M24" s="414">
        <f>'5'!M24+'6'!G24</f>
        <v>0</v>
      </c>
      <c r="N24" s="412">
        <f>'5'!N24+'6'!J24</f>
        <v>0</v>
      </c>
      <c r="P24" s="1514" t="s">
        <v>137</v>
      </c>
      <c r="Q24" s="1514"/>
      <c r="R24" t="s">
        <v>1</v>
      </c>
      <c r="S24" s="400" t="str">
        <f>'5'!S24</f>
        <v>ORANGE</v>
      </c>
      <c r="T24" s="446">
        <f>'5'!X24</f>
        <v>0</v>
      </c>
      <c r="U24" s="456"/>
      <c r="V24" s="451">
        <f t="shared" si="0"/>
        <v>0</v>
      </c>
      <c r="W24" s="451"/>
      <c r="X24" s="447">
        <f t="shared" si="1"/>
        <v>0</v>
      </c>
      <c r="Z24" s="375">
        <f>'5'!Z24</f>
        <v>0</v>
      </c>
      <c r="AA24" s="464">
        <f>'5'!AE24</f>
        <v>0</v>
      </c>
      <c r="AB24" s="460"/>
      <c r="AC24" s="462">
        <f t="shared" si="2"/>
        <v>0</v>
      </c>
      <c r="AD24" s="469"/>
      <c r="AE24" s="348">
        <f t="shared" si="3"/>
        <v>0</v>
      </c>
      <c r="AF24" s="563">
        <f>'5'!AF24+'6'!AB24</f>
        <v>0</v>
      </c>
      <c r="AG24" s="234">
        <f>'5'!AG24+'6'!AD24</f>
        <v>0</v>
      </c>
    </row>
    <row r="25" spans="1:36" ht="27" customHeight="1" thickTop="1" thickBot="1">
      <c r="A25" s="715" t="str">
        <f>'5'!A25</f>
        <v>OFFICE SALARY</v>
      </c>
      <c r="B25" s="234">
        <f>ATTENDANCE!M28</f>
        <v>0</v>
      </c>
      <c r="C25" s="348">
        <f>'5'!D25</f>
        <v>0</v>
      </c>
      <c r="D25" s="234">
        <f t="shared" si="7"/>
        <v>0</v>
      </c>
      <c r="F25" s="479" t="str">
        <f>'5'!F25</f>
        <v>AFZAL MATLI</v>
      </c>
      <c r="G25" s="406">
        <f>'CUSTOMERS REPORT'!Y674</f>
        <v>0</v>
      </c>
      <c r="H25" s="504">
        <f>'CUSTOMERS REPORT'!Z674</f>
        <v>0</v>
      </c>
      <c r="I25" s="406">
        <f>'CUSTOMERS REPORT'!AA674</f>
        <v>0</v>
      </c>
      <c r="J25" s="498">
        <f>'CUSTOMERS REPORT'!AB674</f>
        <v>0</v>
      </c>
      <c r="K25" s="498">
        <f>'CUSTOMERS REPORT'!AC674</f>
        <v>0</v>
      </c>
      <c r="L25" s="509">
        <f>'CUSTOMERS REPORT'!AD674</f>
        <v>0</v>
      </c>
      <c r="M25" s="414">
        <f>'5'!M25+'6'!G25</f>
        <v>0</v>
      </c>
      <c r="N25" s="412">
        <f>'5'!N25+'6'!J25</f>
        <v>0</v>
      </c>
      <c r="P25" s="434"/>
      <c r="Q25" s="440"/>
      <c r="S25" s="400" t="str">
        <f>'5'!S25</f>
        <v>MAKKI 7</v>
      </c>
      <c r="T25" s="446">
        <f>'5'!X25</f>
        <v>0</v>
      </c>
      <c r="U25" s="456"/>
      <c r="V25" s="451">
        <f t="shared" si="0"/>
        <v>0</v>
      </c>
      <c r="W25" s="451"/>
      <c r="X25" s="447">
        <f t="shared" si="1"/>
        <v>0</v>
      </c>
      <c r="Z25" s="375">
        <f>'5'!Z25</f>
        <v>0</v>
      </c>
      <c r="AA25" s="464">
        <f>'5'!AE25</f>
        <v>0</v>
      </c>
      <c r="AB25" s="460"/>
      <c r="AC25" s="462">
        <f t="shared" si="2"/>
        <v>0</v>
      </c>
      <c r="AD25" s="469"/>
      <c r="AE25" s="348">
        <f t="shared" si="3"/>
        <v>0</v>
      </c>
      <c r="AF25" s="563">
        <f>'5'!AF25+'6'!AB25</f>
        <v>0</v>
      </c>
      <c r="AG25" s="234">
        <f>'5'!AG25+'6'!AD25</f>
        <v>0</v>
      </c>
      <c r="AI25" s="397" t="s">
        <v>59</v>
      </c>
      <c r="AJ25" s="398">
        <f>AJ23-AJ10</f>
        <v>0</v>
      </c>
    </row>
    <row r="26" spans="1:36" ht="27" customHeight="1" thickTop="1">
      <c r="A26" s="715" t="str">
        <f>'5'!A26</f>
        <v>LABOUR SALARY</v>
      </c>
      <c r="B26" s="234">
        <f>SUM('SALERY SHEET'!N97:O97)</f>
        <v>0</v>
      </c>
      <c r="C26" s="348">
        <f>'5'!D26</f>
        <v>0</v>
      </c>
      <c r="D26" s="234">
        <f t="shared" si="7"/>
        <v>0</v>
      </c>
      <c r="F26" s="479" t="str">
        <f>'5'!F26</f>
        <v xml:space="preserve">ABDUL RASHEED </v>
      </c>
      <c r="G26" s="406">
        <f>'CUSTOMERS REPORT'!Y712</f>
        <v>0</v>
      </c>
      <c r="H26" s="504">
        <f>'CUSTOMERS REPORT'!Z712</f>
        <v>0</v>
      </c>
      <c r="I26" s="406">
        <f>'CUSTOMERS REPORT'!AA712</f>
        <v>0</v>
      </c>
      <c r="J26" s="498">
        <f>'CUSTOMERS REPORT'!AB712</f>
        <v>0</v>
      </c>
      <c r="K26" s="498">
        <f>'CUSTOMERS REPORT'!AC712</f>
        <v>0</v>
      </c>
      <c r="L26" s="509">
        <f>'CUSTOMERS REPORT'!AD712</f>
        <v>0</v>
      </c>
      <c r="M26" s="414">
        <f>'5'!M26+'6'!G26</f>
        <v>0</v>
      </c>
      <c r="N26" s="412">
        <f>'5'!N26+'6'!J26</f>
        <v>0</v>
      </c>
      <c r="P26" s="433"/>
      <c r="Q26" s="438"/>
      <c r="R26" t="s">
        <v>1</v>
      </c>
      <c r="S26" s="400" t="str">
        <f>'5'!S26</f>
        <v>BLUE 125 GM</v>
      </c>
      <c r="T26" s="446">
        <f>'5'!X26</f>
        <v>0</v>
      </c>
      <c r="U26" s="456"/>
      <c r="V26" s="451">
        <f t="shared" si="0"/>
        <v>0</v>
      </c>
      <c r="W26" s="451"/>
      <c r="X26" s="447">
        <f t="shared" si="1"/>
        <v>0</v>
      </c>
      <c r="Z26" s="375">
        <f>'5'!Z26</f>
        <v>0</v>
      </c>
      <c r="AA26" s="464">
        <f>'5'!AE26</f>
        <v>0</v>
      </c>
      <c r="AB26" s="460"/>
      <c r="AC26" s="462">
        <f t="shared" si="2"/>
        <v>0</v>
      </c>
      <c r="AD26" s="469"/>
      <c r="AE26" s="348">
        <f t="shared" si="3"/>
        <v>0</v>
      </c>
      <c r="AF26" s="563">
        <f>'5'!AF26+'6'!AB26</f>
        <v>0</v>
      </c>
      <c r="AG26" s="234">
        <f>'5'!AG26+'6'!AD26</f>
        <v>0</v>
      </c>
    </row>
    <row r="27" spans="1:36" ht="27" customHeight="1">
      <c r="A27" s="715" t="str">
        <f>'5'!A27</f>
        <v>SHAHZORE</v>
      </c>
      <c r="B27" s="234"/>
      <c r="C27" s="348">
        <f>'5'!D27</f>
        <v>0</v>
      </c>
      <c r="D27" s="234">
        <f t="shared" si="7"/>
        <v>0</v>
      </c>
      <c r="F27" s="479" t="str">
        <f>'5'!F27</f>
        <v>SALEEM ORANGI</v>
      </c>
      <c r="G27" s="406">
        <f>'CUSTOMERS REPORT'!Y750</f>
        <v>0</v>
      </c>
      <c r="H27" s="504">
        <f>'CUSTOMERS REPORT'!Z750</f>
        <v>0</v>
      </c>
      <c r="I27" s="406">
        <f>'CUSTOMERS REPORT'!AA750</f>
        <v>0</v>
      </c>
      <c r="J27" s="498">
        <f>'CUSTOMERS REPORT'!AB750</f>
        <v>0</v>
      </c>
      <c r="K27" s="498">
        <f>'CUSTOMERS REPORT'!AC750</f>
        <v>0</v>
      </c>
      <c r="L27" s="509">
        <f>'CUSTOMERS REPORT'!AD750</f>
        <v>0</v>
      </c>
      <c r="M27" s="414">
        <f>'5'!M27+'6'!G27</f>
        <v>0</v>
      </c>
      <c r="N27" s="412">
        <f>'5'!N27+'6'!J27</f>
        <v>0</v>
      </c>
      <c r="P27" s="433"/>
      <c r="Q27" s="435"/>
      <c r="R27" t="s">
        <v>1</v>
      </c>
      <c r="S27" s="400" t="str">
        <f>'5'!S27</f>
        <v>MAKKI 5</v>
      </c>
      <c r="T27" s="446">
        <f>'5'!X27</f>
        <v>0</v>
      </c>
      <c r="U27" s="456"/>
      <c r="V27" s="451">
        <f t="shared" si="0"/>
        <v>0</v>
      </c>
      <c r="W27" s="451"/>
      <c r="X27" s="447">
        <f t="shared" si="1"/>
        <v>0</v>
      </c>
      <c r="Z27" s="375">
        <f>'5'!Z27</f>
        <v>0</v>
      </c>
      <c r="AA27" s="464">
        <f>'5'!AE27</f>
        <v>0</v>
      </c>
      <c r="AB27" s="460"/>
      <c r="AC27" s="462">
        <f t="shared" si="2"/>
        <v>0</v>
      </c>
      <c r="AD27" s="469"/>
      <c r="AE27" s="348">
        <f t="shared" si="3"/>
        <v>0</v>
      </c>
      <c r="AF27" s="563">
        <f>'5'!AF27+'6'!AB27</f>
        <v>0</v>
      </c>
      <c r="AG27" s="234">
        <f>'5'!AG27+'6'!AD27</f>
        <v>0</v>
      </c>
    </row>
    <row r="28" spans="1:36" ht="27" customHeight="1">
      <c r="A28" s="715" t="str">
        <f>'5'!A28</f>
        <v>GENERATOR</v>
      </c>
      <c r="B28" s="234"/>
      <c r="C28" s="348">
        <f>'5'!D28</f>
        <v>0</v>
      </c>
      <c r="D28" s="234">
        <f t="shared" si="7"/>
        <v>0</v>
      </c>
      <c r="F28" s="479" t="str">
        <f>'5'!F28</f>
        <v>AYAZ OUSTA</v>
      </c>
      <c r="G28" s="406">
        <f>'CUSTOMERS REPORT'!Y788</f>
        <v>0</v>
      </c>
      <c r="H28" s="504">
        <f>'CUSTOMERS REPORT'!Z788</f>
        <v>0</v>
      </c>
      <c r="I28" s="406">
        <f>'CUSTOMERS REPORT'!AA788</f>
        <v>0</v>
      </c>
      <c r="J28" s="498">
        <f>'CUSTOMERS REPORT'!AB788</f>
        <v>0</v>
      </c>
      <c r="K28" s="498">
        <f>'CUSTOMERS REPORT'!AC788</f>
        <v>0</v>
      </c>
      <c r="L28" s="509">
        <f>'CUSTOMERS REPORT'!AD788</f>
        <v>0</v>
      </c>
      <c r="M28" s="414">
        <f>'5'!M28+'6'!G28</f>
        <v>0</v>
      </c>
      <c r="N28" s="412">
        <f>'5'!N28+'6'!J28</f>
        <v>0</v>
      </c>
      <c r="P28" s="433"/>
      <c r="Q28" s="438"/>
      <c r="S28" s="400" t="str">
        <f>'5'!S28</f>
        <v>MAKKI 2 PES</v>
      </c>
      <c r="T28" s="446">
        <f>'5'!X28</f>
        <v>0</v>
      </c>
      <c r="U28" s="456"/>
      <c r="V28" s="451">
        <f t="shared" si="0"/>
        <v>0</v>
      </c>
      <c r="W28" s="451"/>
      <c r="X28" s="447">
        <f t="shared" si="1"/>
        <v>0</v>
      </c>
      <c r="Z28" s="375">
        <f>'5'!Z28</f>
        <v>0</v>
      </c>
      <c r="AA28" s="464">
        <f>'5'!AE28</f>
        <v>0</v>
      </c>
      <c r="AB28" s="460"/>
      <c r="AC28" s="462">
        <f t="shared" si="2"/>
        <v>0</v>
      </c>
      <c r="AD28" s="469"/>
      <c r="AE28" s="348">
        <f t="shared" si="3"/>
        <v>0</v>
      </c>
      <c r="AF28" s="563">
        <f>'5'!AF28+'6'!AB28</f>
        <v>0</v>
      </c>
      <c r="AG28" s="234">
        <f>'5'!AG28+'6'!AD28</f>
        <v>0</v>
      </c>
    </row>
    <row r="29" spans="1:36" ht="27" customHeight="1">
      <c r="A29" s="715" t="str">
        <f>'5'!A29</f>
        <v>PATROL FAW</v>
      </c>
      <c r="B29" s="234"/>
      <c r="C29" s="348">
        <f>'5'!D29</f>
        <v>0</v>
      </c>
      <c r="D29" s="234">
        <f t="shared" si="7"/>
        <v>0</v>
      </c>
      <c r="F29" s="479" t="str">
        <f>'5'!F29</f>
        <v>AZHAR BADEEN</v>
      </c>
      <c r="G29" s="406">
        <f>'CUSTOMERS REPORT'!Y826</f>
        <v>0</v>
      </c>
      <c r="H29" s="504">
        <f>'CUSTOMERS REPORT'!Z826</f>
        <v>0</v>
      </c>
      <c r="I29" s="406">
        <f>'CUSTOMERS REPORT'!AA826</f>
        <v>0</v>
      </c>
      <c r="J29" s="498">
        <f>'CUSTOMERS REPORT'!AB826</f>
        <v>0</v>
      </c>
      <c r="K29" s="498">
        <f>'CUSTOMERS REPORT'!AC826</f>
        <v>0</v>
      </c>
      <c r="L29" s="509">
        <f>'CUSTOMERS REPORT'!AD826</f>
        <v>0</v>
      </c>
      <c r="M29" s="414">
        <f>'5'!M29+'6'!G29</f>
        <v>0</v>
      </c>
      <c r="N29" s="412">
        <f>'5'!N29+'6'!J29</f>
        <v>0</v>
      </c>
      <c r="P29" s="433"/>
      <c r="Q29" s="441"/>
      <c r="S29" s="400" t="str">
        <f>'5'!S29</f>
        <v xml:space="preserve">PRIME </v>
      </c>
      <c r="T29" s="446">
        <f>'5'!X29</f>
        <v>0</v>
      </c>
      <c r="U29" s="456"/>
      <c r="V29" s="451">
        <f t="shared" si="0"/>
        <v>0</v>
      </c>
      <c r="W29" s="451"/>
      <c r="X29" s="447">
        <f t="shared" si="1"/>
        <v>0</v>
      </c>
      <c r="Z29" s="375">
        <f>'5'!Z29</f>
        <v>0</v>
      </c>
      <c r="AA29" s="464">
        <f>'5'!AE29</f>
        <v>0</v>
      </c>
      <c r="AB29" s="460"/>
      <c r="AC29" s="462">
        <f t="shared" si="2"/>
        <v>0</v>
      </c>
      <c r="AD29" s="469"/>
      <c r="AE29" s="348">
        <f t="shared" si="3"/>
        <v>0</v>
      </c>
      <c r="AF29" s="563">
        <f>'5'!AF29+'6'!AB29</f>
        <v>0</v>
      </c>
      <c r="AG29" s="234">
        <f>'5'!AG29+'6'!AD29</f>
        <v>0</v>
      </c>
    </row>
    <row r="30" spans="1:36" ht="27" customHeight="1">
      <c r="A30" s="715" t="str">
        <f>'5'!A30</f>
        <v>FOTON DIESEL</v>
      </c>
      <c r="B30" s="234"/>
      <c r="C30" s="348">
        <f>'5'!D30</f>
        <v>0</v>
      </c>
      <c r="D30" s="234">
        <f t="shared" si="7"/>
        <v>0</v>
      </c>
      <c r="F30" s="479" t="str">
        <f>'5'!F30</f>
        <v>FAISAL HUB</v>
      </c>
      <c r="G30" s="406">
        <f>'CUSTOMERS REPORT'!Y864</f>
        <v>0</v>
      </c>
      <c r="H30" s="504">
        <f>'CUSTOMERS REPORT'!Z864</f>
        <v>0</v>
      </c>
      <c r="I30" s="406">
        <f>'CUSTOMERS REPORT'!AA864</f>
        <v>0</v>
      </c>
      <c r="J30" s="498">
        <f>'CUSTOMERS REPORT'!AB864</f>
        <v>0</v>
      </c>
      <c r="K30" s="498">
        <f>'CUSTOMERS REPORT'!AC864</f>
        <v>0</v>
      </c>
      <c r="L30" s="509">
        <f>'CUSTOMERS REPORT'!AD864</f>
        <v>0</v>
      </c>
      <c r="M30" s="414">
        <f>'5'!M30+'6'!G30</f>
        <v>0</v>
      </c>
      <c r="N30" s="412">
        <f>'5'!N30+'6'!J30</f>
        <v>0</v>
      </c>
      <c r="P30" s="433"/>
      <c r="Q30" s="442"/>
      <c r="S30" s="400" t="str">
        <f>'5'!S30</f>
        <v>PRIMR 15</v>
      </c>
      <c r="T30" s="446">
        <f>'5'!X30</f>
        <v>0</v>
      </c>
      <c r="U30" s="456"/>
      <c r="V30" s="451">
        <f t="shared" si="0"/>
        <v>0</v>
      </c>
      <c r="W30" s="451"/>
      <c r="X30" s="447">
        <f t="shared" si="1"/>
        <v>0</v>
      </c>
      <c r="Z30" s="375">
        <f>'5'!Z30</f>
        <v>0</v>
      </c>
      <c r="AA30" s="464">
        <f>'5'!AE30</f>
        <v>0</v>
      </c>
      <c r="AB30" s="460"/>
      <c r="AC30" s="462">
        <f t="shared" si="2"/>
        <v>0</v>
      </c>
      <c r="AD30" s="469"/>
      <c r="AE30" s="348">
        <f t="shared" si="3"/>
        <v>0</v>
      </c>
      <c r="AF30" s="563">
        <f>'5'!AF30+'6'!AB30</f>
        <v>0</v>
      </c>
      <c r="AG30" s="234">
        <f>'5'!AG30+'6'!AD30</f>
        <v>0</v>
      </c>
    </row>
    <row r="31" spans="1:36" ht="27" customHeight="1" thickBot="1">
      <c r="A31" s="715" t="str">
        <f>'5'!A31</f>
        <v>UTILITY BILLS</v>
      </c>
      <c r="B31" s="234"/>
      <c r="C31" s="348">
        <f>'5'!D31</f>
        <v>0</v>
      </c>
      <c r="D31" s="234">
        <f t="shared" si="7"/>
        <v>0</v>
      </c>
      <c r="F31" s="479" t="str">
        <f>'5'!F31</f>
        <v>ABDUL RAHMAN</v>
      </c>
      <c r="G31" s="406">
        <f>'CUSTOMERS REPORT'!Y903</f>
        <v>0</v>
      </c>
      <c r="H31" s="504">
        <f>'CUSTOMERS REPORT'!Z903</f>
        <v>0</v>
      </c>
      <c r="I31" s="406">
        <f>'CUSTOMERS REPORT'!AA903</f>
        <v>0</v>
      </c>
      <c r="J31" s="498">
        <f>'CUSTOMERS REPORT'!AB903</f>
        <v>0</v>
      </c>
      <c r="K31" s="498">
        <f>'CUSTOMERS REPORT'!AC903</f>
        <v>0</v>
      </c>
      <c r="L31" s="509">
        <f>'CUSTOMERS REPORT'!AD903</f>
        <v>0</v>
      </c>
      <c r="M31" s="414">
        <f>'5'!M31+'6'!G31</f>
        <v>0</v>
      </c>
      <c r="N31" s="412">
        <f>'5'!N31+'6'!J31</f>
        <v>0</v>
      </c>
      <c r="P31" s="433"/>
      <c r="Q31" s="435"/>
      <c r="S31" s="400" t="str">
        <f>'5'!S31</f>
        <v>KARACHI</v>
      </c>
      <c r="T31" s="446">
        <f>'5'!X31</f>
        <v>0</v>
      </c>
      <c r="U31" s="456"/>
      <c r="V31" s="451">
        <f t="shared" si="0"/>
        <v>0</v>
      </c>
      <c r="W31" s="451"/>
      <c r="X31" s="447">
        <f t="shared" si="1"/>
        <v>0</v>
      </c>
      <c r="Z31" s="375">
        <f>'5'!Z31</f>
        <v>0</v>
      </c>
      <c r="AA31" s="464">
        <f>'5'!AE31</f>
        <v>0</v>
      </c>
      <c r="AB31" s="460"/>
      <c r="AC31" s="462">
        <f t="shared" si="2"/>
        <v>0</v>
      </c>
      <c r="AD31" s="469"/>
      <c r="AE31" s="348">
        <f t="shared" si="3"/>
        <v>0</v>
      </c>
      <c r="AF31" s="563">
        <f>'5'!AF31+'6'!AB31</f>
        <v>0</v>
      </c>
      <c r="AG31" s="234">
        <f>'5'!AG31+'6'!AD31</f>
        <v>0</v>
      </c>
      <c r="AI31" t="s">
        <v>1</v>
      </c>
    </row>
    <row r="32" spans="1:36" ht="27" customHeight="1" thickTop="1" thickBot="1">
      <c r="A32" s="715" t="str">
        <f>'5'!A32</f>
        <v>WOOD</v>
      </c>
      <c r="B32" s="234"/>
      <c r="C32" s="348">
        <f>'5'!D32</f>
        <v>0</v>
      </c>
      <c r="D32" s="234">
        <f t="shared" si="7"/>
        <v>0</v>
      </c>
      <c r="F32" s="479" t="str">
        <f>'5'!F32</f>
        <v>HAJI JAN GIWANI</v>
      </c>
      <c r="G32" s="406">
        <f>'CUSTOMERS REPORT'!Y942</f>
        <v>0</v>
      </c>
      <c r="H32" s="504">
        <f>'CUSTOMERS REPORT'!Z942</f>
        <v>0</v>
      </c>
      <c r="I32" s="406">
        <f>'CUSTOMERS REPORT'!AA942</f>
        <v>0</v>
      </c>
      <c r="J32" s="498">
        <f>'CUSTOMERS REPORT'!AB942</f>
        <v>0</v>
      </c>
      <c r="K32" s="498">
        <f>'CUSTOMERS REPORT'!AC942</f>
        <v>0</v>
      </c>
      <c r="L32" s="509">
        <f>'CUSTOMERS REPORT'!AD942</f>
        <v>0</v>
      </c>
      <c r="M32" s="414">
        <f>'5'!M32+'6'!G32</f>
        <v>0</v>
      </c>
      <c r="N32" s="412">
        <f>'5'!N32+'6'!J32</f>
        <v>0</v>
      </c>
      <c r="P32" s="190" t="s">
        <v>51</v>
      </c>
      <c r="Q32" s="439">
        <f>Q23-Q25-Q26-Q27-Q28-Q29-Q30-Q31</f>
        <v>0</v>
      </c>
      <c r="R32" t="s">
        <v>1</v>
      </c>
      <c r="S32" s="400" t="str">
        <f>'5'!S32</f>
        <v>MARVI</v>
      </c>
      <c r="T32" s="446">
        <f>'5'!X32</f>
        <v>0</v>
      </c>
      <c r="U32" s="456"/>
      <c r="V32" s="451">
        <f t="shared" si="0"/>
        <v>0</v>
      </c>
      <c r="W32" s="451"/>
      <c r="X32" s="447">
        <f t="shared" si="1"/>
        <v>0</v>
      </c>
      <c r="Z32" s="375">
        <f>'5'!Z32</f>
        <v>0</v>
      </c>
      <c r="AA32" s="464">
        <f>'5'!AE32</f>
        <v>0</v>
      </c>
      <c r="AB32" s="460"/>
      <c r="AC32" s="462">
        <f t="shared" si="2"/>
        <v>0</v>
      </c>
      <c r="AD32" s="469"/>
      <c r="AE32" s="348">
        <f t="shared" si="3"/>
        <v>0</v>
      </c>
      <c r="AF32" s="563">
        <f>'5'!AF32+'6'!AB32</f>
        <v>0</v>
      </c>
      <c r="AG32" s="234">
        <f>'5'!AG32+'6'!AD32</f>
        <v>0</v>
      </c>
    </row>
    <row r="33" spans="1:40" ht="27" customHeight="1" thickTop="1" thickBot="1">
      <c r="A33" s="715" t="str">
        <f>'5'!A33</f>
        <v>TOLL</v>
      </c>
      <c r="B33" s="538"/>
      <c r="C33" s="548">
        <f>'5'!D33</f>
        <v>0</v>
      </c>
      <c r="D33" s="234">
        <f t="shared" si="7"/>
        <v>0</v>
      </c>
      <c r="F33" s="479" t="str">
        <f>'5'!F33</f>
        <v>ALI QURESHI HYD</v>
      </c>
      <c r="G33" s="406">
        <f>'CUSTOMERS REPORT'!Y980</f>
        <v>0</v>
      </c>
      <c r="H33" s="504">
        <f>'CUSTOMERS REPORT'!Z980</f>
        <v>0</v>
      </c>
      <c r="I33" s="406">
        <f>'CUSTOMERS REPORT'!AA980</f>
        <v>0</v>
      </c>
      <c r="J33" s="498">
        <f>'CUSTOMERS REPORT'!AB980</f>
        <v>0</v>
      </c>
      <c r="K33" s="498">
        <f>'CUSTOMERS REPORT'!AC980</f>
        <v>0</v>
      </c>
      <c r="L33" s="509">
        <f>'CUSTOMERS REPORT'!AD980</f>
        <v>0</v>
      </c>
      <c r="M33" s="414">
        <f>'5'!M33+'6'!G33</f>
        <v>0</v>
      </c>
      <c r="N33" s="412">
        <f>'5'!N33+'6'!J33</f>
        <v>0</v>
      </c>
      <c r="P33" s="1499" t="s">
        <v>149</v>
      </c>
      <c r="Q33" s="1500"/>
      <c r="S33" s="400" t="str">
        <f>'5'!S33</f>
        <v>TS</v>
      </c>
      <c r="T33" s="446">
        <f>'5'!X33</f>
        <v>0</v>
      </c>
      <c r="U33" s="456"/>
      <c r="V33" s="451">
        <f t="shared" si="0"/>
        <v>0</v>
      </c>
      <c r="W33" s="451"/>
      <c r="X33" s="447">
        <f t="shared" si="1"/>
        <v>0</v>
      </c>
      <c r="Z33" s="375">
        <f>'5'!Z33</f>
        <v>0</v>
      </c>
      <c r="AA33" s="464">
        <f>'5'!AE33</f>
        <v>0</v>
      </c>
      <c r="AB33" s="460"/>
      <c r="AC33" s="462">
        <f t="shared" si="2"/>
        <v>0</v>
      </c>
      <c r="AD33" s="469"/>
      <c r="AE33" s="348">
        <f t="shared" si="3"/>
        <v>0</v>
      </c>
      <c r="AF33" s="563">
        <f>'5'!AF33+'6'!AB33</f>
        <v>0</v>
      </c>
      <c r="AG33" s="234">
        <f>'5'!AG33+'6'!AD33</f>
        <v>0</v>
      </c>
    </row>
    <row r="34" spans="1:40" ht="27" customHeight="1" thickTop="1" thickBot="1">
      <c r="A34" s="716" t="str">
        <f>'5'!A34</f>
        <v>FLOUR / SHGER</v>
      </c>
      <c r="B34" s="538"/>
      <c r="C34" s="348">
        <f>'5'!D34</f>
        <v>0</v>
      </c>
      <c r="D34" s="234">
        <f t="shared" si="7"/>
        <v>0</v>
      </c>
      <c r="F34" s="479" t="str">
        <f>'5'!F34</f>
        <v>ALI RAZA KAND KOT</v>
      </c>
      <c r="G34" s="406">
        <f>'CUSTOMERS REPORT'!Y1018</f>
        <v>0</v>
      </c>
      <c r="H34" s="504">
        <f>'CUSTOMERS REPORT'!Z1018</f>
        <v>0</v>
      </c>
      <c r="I34" s="406">
        <f>'CUSTOMERS REPORT'!AA1018</f>
        <v>0</v>
      </c>
      <c r="J34" s="498">
        <f>'CUSTOMERS REPORT'!AB1018</f>
        <v>0</v>
      </c>
      <c r="K34" s="498">
        <f>'CUSTOMERS REPORT'!AC1018</f>
        <v>0</v>
      </c>
      <c r="L34" s="509">
        <f>'CUSTOMERS REPORT'!AD1018</f>
        <v>0</v>
      </c>
      <c r="M34" s="414">
        <f>'5'!M34+'6'!G34</f>
        <v>0</v>
      </c>
      <c r="N34" s="412">
        <f>'5'!N34+'6'!J34</f>
        <v>0</v>
      </c>
      <c r="P34" s="220" t="s">
        <v>150</v>
      </c>
      <c r="Q34" s="223">
        <f>'5'!Q34</f>
        <v>0</v>
      </c>
      <c r="S34" s="400" t="str">
        <f>'5'!S34</f>
        <v>MAXI</v>
      </c>
      <c r="T34" s="446">
        <f>'5'!X34</f>
        <v>0</v>
      </c>
      <c r="U34" s="457"/>
      <c r="V34" s="452">
        <f t="shared" si="0"/>
        <v>0</v>
      </c>
      <c r="W34" s="452"/>
      <c r="X34" s="448">
        <f t="shared" si="1"/>
        <v>0</v>
      </c>
      <c r="Z34" s="375">
        <f>'5'!Z34</f>
        <v>0</v>
      </c>
      <c r="AA34" s="464">
        <f>'5'!AE34</f>
        <v>0</v>
      </c>
      <c r="AB34" s="460"/>
      <c r="AC34" s="462">
        <f t="shared" si="2"/>
        <v>0</v>
      </c>
      <c r="AD34" s="469"/>
      <c r="AE34" s="348">
        <f t="shared" si="3"/>
        <v>0</v>
      </c>
      <c r="AF34" s="563">
        <f>'5'!AF34+'6'!AB34</f>
        <v>0</v>
      </c>
      <c r="AG34" s="234">
        <f>'5'!AG34+'6'!AD34</f>
        <v>0</v>
      </c>
    </row>
    <row r="35" spans="1:40" ht="27" customHeight="1" thickTop="1">
      <c r="A35" s="716" t="str">
        <f>'5'!A35</f>
        <v>OVEN &amp; PP MACHINE</v>
      </c>
      <c r="B35" s="529"/>
      <c r="C35" s="348">
        <f>'5'!D35</f>
        <v>0</v>
      </c>
      <c r="D35" s="529">
        <f t="shared" si="7"/>
        <v>0</v>
      </c>
      <c r="F35" s="479" t="str">
        <f>'5'!F35</f>
        <v>IQBAL MORO</v>
      </c>
      <c r="G35" s="407">
        <f>'CUSTOMERS REPORT'!Y1056</f>
        <v>0</v>
      </c>
      <c r="H35" s="505">
        <f>'CUSTOMERS REPORT'!Z1056</f>
        <v>0</v>
      </c>
      <c r="I35" s="407">
        <f>'CUSTOMERS REPORT'!AA1056</f>
        <v>0</v>
      </c>
      <c r="J35" s="499">
        <f>'CUSTOMERS REPORT'!AB1056</f>
        <v>0</v>
      </c>
      <c r="K35" s="499">
        <f>'CUSTOMERS REPORT'!AC1056</f>
        <v>0</v>
      </c>
      <c r="L35" s="510">
        <f>'CUSTOMERS REPORT'!AD1056</f>
        <v>0</v>
      </c>
      <c r="M35" s="414">
        <f>'5'!M35+'6'!G35</f>
        <v>0</v>
      </c>
      <c r="N35" s="412">
        <f>'5'!N35+'6'!J35</f>
        <v>0</v>
      </c>
      <c r="P35" s="252" t="s">
        <v>151</v>
      </c>
      <c r="Q35" s="443">
        <f>'5'!Q35</f>
        <v>0</v>
      </c>
      <c r="R35" t="s">
        <v>1</v>
      </c>
      <c r="S35" s="400" t="str">
        <f>'5'!S35</f>
        <v>M A WHITE</v>
      </c>
      <c r="T35" s="446">
        <f>'5'!X35</f>
        <v>0</v>
      </c>
      <c r="U35" s="457"/>
      <c r="V35" s="452">
        <f t="shared" si="0"/>
        <v>0</v>
      </c>
      <c r="W35" s="452"/>
      <c r="X35" s="448">
        <f t="shared" si="1"/>
        <v>0</v>
      </c>
      <c r="Z35" s="375">
        <f>'5'!Z35</f>
        <v>0</v>
      </c>
      <c r="AA35" s="464">
        <f>'5'!AE35</f>
        <v>0</v>
      </c>
      <c r="AB35" s="460"/>
      <c r="AC35" s="462">
        <f t="shared" si="2"/>
        <v>0</v>
      </c>
      <c r="AD35" s="469"/>
      <c r="AE35" s="348">
        <f t="shared" si="3"/>
        <v>0</v>
      </c>
      <c r="AF35" s="563">
        <f>'5'!AF35+'6'!AB35</f>
        <v>0</v>
      </c>
      <c r="AG35" s="234">
        <f>'5'!AG35+'6'!AD35</f>
        <v>0</v>
      </c>
    </row>
    <row r="36" spans="1:40" ht="27" customHeight="1">
      <c r="A36" s="716" t="str">
        <f>'5'!A36</f>
        <v>zakat</v>
      </c>
      <c r="B36" s="539"/>
      <c r="C36" s="348">
        <f>'5'!D36</f>
        <v>0</v>
      </c>
      <c r="D36" s="529">
        <f t="shared" si="7"/>
        <v>0</v>
      </c>
      <c r="F36" s="479" t="str">
        <f>'5'!F36</f>
        <v>SARFARAZ T ADAM</v>
      </c>
      <c r="G36" s="407">
        <f>'CUSTOMERS REPORT'!Y1094</f>
        <v>0</v>
      </c>
      <c r="H36" s="505">
        <f>'CUSTOMERS REPORT'!Z1094</f>
        <v>0</v>
      </c>
      <c r="I36" s="407">
        <f>'CUSTOMERS REPORT'!AA1094</f>
        <v>0</v>
      </c>
      <c r="J36" s="499">
        <f>'CUSTOMERS REPORT'!AB1094</f>
        <v>0</v>
      </c>
      <c r="K36" s="499">
        <f>'CUSTOMERS REPORT'!AC1094</f>
        <v>0</v>
      </c>
      <c r="L36" s="510">
        <f>'CUSTOMERS REPORT'!AD1094</f>
        <v>0</v>
      </c>
      <c r="M36" s="414">
        <f>'5'!M36+'6'!G36</f>
        <v>0</v>
      </c>
      <c r="N36" s="412">
        <f>'5'!N36+'6'!J36</f>
        <v>0</v>
      </c>
      <c r="P36" s="372" t="s">
        <v>152</v>
      </c>
      <c r="Q36" s="444">
        <f>J48</f>
        <v>0</v>
      </c>
      <c r="R36" t="s">
        <v>1</v>
      </c>
      <c r="S36" s="400" t="str">
        <f>'5'!S36</f>
        <v>M A ORING</v>
      </c>
      <c r="T36" s="446">
        <f>'5'!X36</f>
        <v>0</v>
      </c>
      <c r="U36" s="456"/>
      <c r="V36" s="451">
        <f t="shared" si="0"/>
        <v>0</v>
      </c>
      <c r="W36" s="452"/>
      <c r="X36" s="448">
        <f t="shared" si="1"/>
        <v>0</v>
      </c>
      <c r="Z36" s="375">
        <f>'5'!Z36</f>
        <v>0</v>
      </c>
      <c r="AA36" s="464">
        <f>'5'!AE36</f>
        <v>0</v>
      </c>
      <c r="AB36" s="460"/>
      <c r="AC36" s="462">
        <f t="shared" si="2"/>
        <v>0</v>
      </c>
      <c r="AD36" s="469"/>
      <c r="AE36" s="348">
        <f t="shared" si="3"/>
        <v>0</v>
      </c>
      <c r="AF36" s="563">
        <f>'5'!AF36+'6'!AB36</f>
        <v>0</v>
      </c>
      <c r="AG36" s="234">
        <f>'5'!AG36+'6'!AD36</f>
        <v>0</v>
      </c>
    </row>
    <row r="37" spans="1:40" ht="27" customHeight="1">
      <c r="A37" s="715" t="str">
        <f>'5'!A37</f>
        <v>javeed manghopir</v>
      </c>
      <c r="B37" s="234"/>
      <c r="C37" s="348">
        <f>'5'!D37</f>
        <v>0</v>
      </c>
      <c r="D37" s="234">
        <f t="shared" si="7"/>
        <v>0</v>
      </c>
      <c r="F37" s="479" t="str">
        <f>'5'!F37</f>
        <v>MUMTAZ K N SHAH</v>
      </c>
      <c r="G37" s="406">
        <f>'CUSTOMERS REPORT'!Y1132</f>
        <v>0</v>
      </c>
      <c r="H37" s="504">
        <f>'CUSTOMERS REPORT'!Z1132</f>
        <v>0</v>
      </c>
      <c r="I37" s="406">
        <f>'CUSTOMERS REPORT'!AA1132</f>
        <v>0</v>
      </c>
      <c r="J37" s="498">
        <f>'CUSTOMERS REPORT'!AB1132</f>
        <v>0</v>
      </c>
      <c r="K37" s="498">
        <f>'CUSTOMERS REPORT'!AC1132</f>
        <v>0</v>
      </c>
      <c r="L37" s="509">
        <f>'CUSTOMERS REPORT'!AD1132</f>
        <v>0</v>
      </c>
      <c r="M37" s="414">
        <f>'5'!M37+'6'!G37</f>
        <v>0</v>
      </c>
      <c r="N37" s="412">
        <f>'5'!N37+'6'!J37</f>
        <v>0</v>
      </c>
      <c r="P37" s="373" t="s">
        <v>153</v>
      </c>
      <c r="Q37" s="445">
        <f>Q34+Q35+Q36</f>
        <v>0</v>
      </c>
      <c r="R37" t="s">
        <v>1</v>
      </c>
      <c r="S37" s="400">
        <f>'5'!S37</f>
        <v>0</v>
      </c>
      <c r="T37" s="446">
        <f>'5'!X37</f>
        <v>0</v>
      </c>
      <c r="U37" s="456"/>
      <c r="V37" s="451">
        <f t="shared" si="0"/>
        <v>0</v>
      </c>
      <c r="W37" s="452"/>
      <c r="X37" s="448">
        <f t="shared" si="1"/>
        <v>0</v>
      </c>
      <c r="Z37" s="375">
        <f>'5'!Z37</f>
        <v>0</v>
      </c>
      <c r="AA37" s="464">
        <f>'5'!AE37</f>
        <v>0</v>
      </c>
      <c r="AB37" s="460"/>
      <c r="AC37" s="462">
        <f t="shared" si="2"/>
        <v>0</v>
      </c>
      <c r="AD37" s="469"/>
      <c r="AE37" s="348">
        <f t="shared" si="3"/>
        <v>0</v>
      </c>
      <c r="AF37" s="563">
        <f>'5'!AF37+'6'!AB37</f>
        <v>0</v>
      </c>
      <c r="AG37" s="234">
        <f>'5'!AG37+'6'!AD37</f>
        <v>0</v>
      </c>
    </row>
    <row r="38" spans="1:40" ht="27" customHeight="1">
      <c r="A38" s="715" t="str">
        <f>'5'!A38</f>
        <v>EXSIS CASH</v>
      </c>
      <c r="B38" s="234"/>
      <c r="C38" s="348">
        <f>'5'!D38</f>
        <v>0</v>
      </c>
      <c r="D38" s="234">
        <f t="shared" si="7"/>
        <v>0</v>
      </c>
      <c r="F38" s="479" t="str">
        <f>'5'!F38</f>
        <v>GHULAM RASOOL QU</v>
      </c>
      <c r="G38" s="408">
        <f>'CUSTOMERS REPORT'!Y1169</f>
        <v>0</v>
      </c>
      <c r="H38" s="506">
        <f>'CUSTOMERS REPORT'!Z1169</f>
        <v>0</v>
      </c>
      <c r="I38" s="408">
        <f>'CUSTOMERS REPORT'!AA1169</f>
        <v>0</v>
      </c>
      <c r="J38" s="500">
        <f>'CUSTOMERS REPORT'!AB1169</f>
        <v>0</v>
      </c>
      <c r="K38" s="500">
        <f>'CUSTOMERS REPORT'!AC1169</f>
        <v>0</v>
      </c>
      <c r="L38" s="511">
        <f>'CUSTOMERS REPORT'!AD1169</f>
        <v>0</v>
      </c>
      <c r="M38" s="414">
        <f>'5'!M38+'6'!G38</f>
        <v>0</v>
      </c>
      <c r="N38" s="412">
        <f>'5'!N38+'6'!J38</f>
        <v>0</v>
      </c>
      <c r="P38" s="373" t="s">
        <v>154</v>
      </c>
      <c r="Q38" s="445">
        <f>D48</f>
        <v>0</v>
      </c>
      <c r="S38" s="400">
        <f>'5'!S38</f>
        <v>0</v>
      </c>
      <c r="T38" s="446">
        <f>'5'!X38</f>
        <v>0</v>
      </c>
      <c r="U38" s="456"/>
      <c r="V38" s="451">
        <f t="shared" si="0"/>
        <v>0</v>
      </c>
      <c r="W38" s="452"/>
      <c r="X38" s="448">
        <f t="shared" si="1"/>
        <v>0</v>
      </c>
      <c r="Z38" s="375">
        <f>'5'!Z38</f>
        <v>0</v>
      </c>
      <c r="AA38" s="464">
        <f>'5'!AE38</f>
        <v>0</v>
      </c>
      <c r="AB38" s="460"/>
      <c r="AC38" s="462">
        <f t="shared" si="2"/>
        <v>0</v>
      </c>
      <c r="AD38" s="469"/>
      <c r="AE38" s="348">
        <f t="shared" si="3"/>
        <v>0</v>
      </c>
      <c r="AF38" s="563">
        <f>'5'!AF38+'6'!AB38</f>
        <v>0</v>
      </c>
      <c r="AG38" s="234">
        <f>'5'!AG38+'6'!AD38</f>
        <v>0</v>
      </c>
    </row>
    <row r="39" spans="1:40" ht="27" customHeight="1">
      <c r="A39" s="715" t="str">
        <f>'5'!A39</f>
        <v>SHORT CASH</v>
      </c>
      <c r="B39" s="234"/>
      <c r="C39" s="348">
        <f>'5'!D39</f>
        <v>0</v>
      </c>
      <c r="D39" s="234">
        <f t="shared" si="7"/>
        <v>0</v>
      </c>
      <c r="F39" s="479" t="str">
        <f>'5'!F39</f>
        <v>SHAMSHAD UNCLE</v>
      </c>
      <c r="G39" s="406">
        <f>'CUSTOMERS REPORT'!Y1206</f>
        <v>0</v>
      </c>
      <c r="H39" s="504">
        <f>'CUSTOMERS REPORT'!Z1206</f>
        <v>0</v>
      </c>
      <c r="I39" s="406">
        <f>'CUSTOMERS REPORT'!AA1206</f>
        <v>0</v>
      </c>
      <c r="J39" s="498">
        <f>'CUSTOMERS REPORT'!AB1206</f>
        <v>0</v>
      </c>
      <c r="K39" s="498">
        <f>'CUSTOMERS REPORT'!AC1206</f>
        <v>0</v>
      </c>
      <c r="L39" s="509">
        <f>'CUSTOMERS REPORT'!AD1206</f>
        <v>0</v>
      </c>
      <c r="M39" s="414">
        <f>'5'!M39+'6'!G39</f>
        <v>0</v>
      </c>
      <c r="N39" s="412">
        <f>'5'!N39+'6'!J39</f>
        <v>0</v>
      </c>
      <c r="P39" s="373" t="s">
        <v>109</v>
      </c>
      <c r="Q39" s="445">
        <f>'5'!Q39+'6'!Q25+'6'!Q26+'6'!Q27+'6'!Q28+'6'!Q29+'6'!Q30+'6'!Q31</f>
        <v>0</v>
      </c>
      <c r="R39" t="s">
        <v>1</v>
      </c>
      <c r="S39" s="400">
        <f>'5'!S39</f>
        <v>0</v>
      </c>
      <c r="T39" s="446">
        <f>'5'!X39</f>
        <v>0</v>
      </c>
      <c r="U39" s="456"/>
      <c r="V39" s="451">
        <f t="shared" si="0"/>
        <v>0</v>
      </c>
      <c r="W39" s="452"/>
      <c r="X39" s="448">
        <f t="shared" si="1"/>
        <v>0</v>
      </c>
      <c r="Z39" s="375">
        <f>'5'!Z39</f>
        <v>0</v>
      </c>
      <c r="AA39" s="464">
        <f>'5'!AE39</f>
        <v>0</v>
      </c>
      <c r="AB39" s="460"/>
      <c r="AC39" s="462">
        <f t="shared" si="2"/>
        <v>0</v>
      </c>
      <c r="AD39" s="469"/>
      <c r="AE39" s="348">
        <f t="shared" si="3"/>
        <v>0</v>
      </c>
      <c r="AF39" s="563">
        <f>'5'!AF39+'6'!AB39</f>
        <v>0</v>
      </c>
      <c r="AG39" s="234">
        <f>'5'!AG39+'6'!AD39</f>
        <v>0</v>
      </c>
    </row>
    <row r="40" spans="1:40" ht="27" customHeight="1" thickBot="1">
      <c r="A40" s="715" t="str">
        <f>'5'!A40</f>
        <v>ASSETS</v>
      </c>
      <c r="B40" s="234"/>
      <c r="C40" s="348">
        <f>'5'!D40</f>
        <v>0</v>
      </c>
      <c r="D40" s="234">
        <f t="shared" si="7"/>
        <v>0</v>
      </c>
      <c r="F40" s="479" t="str">
        <f>'5'!F40</f>
        <v>IBRAHEEM D.G KHAN</v>
      </c>
      <c r="G40" s="406">
        <f>'CUSTOMERS REPORT'!Y1243</f>
        <v>0</v>
      </c>
      <c r="H40" s="504">
        <f>'CUSTOMERS REPORT'!Z1243</f>
        <v>0</v>
      </c>
      <c r="I40" s="406">
        <f>'CUSTOMERS REPORT'!AA1243</f>
        <v>0</v>
      </c>
      <c r="J40" s="498">
        <f>'CUSTOMERS REPORT'!AB1243</f>
        <v>0</v>
      </c>
      <c r="K40" s="498">
        <f>'CUSTOMERS REPORT'!AC1243</f>
        <v>0</v>
      </c>
      <c r="L40" s="509">
        <f>'CUSTOMERS REPORT'!AD1243</f>
        <v>0</v>
      </c>
      <c r="M40" s="414">
        <f>'5'!M40+'6'!G40</f>
        <v>0</v>
      </c>
      <c r="N40" s="412">
        <f>'5'!N40+'6'!J40</f>
        <v>0</v>
      </c>
      <c r="P40" s="374" t="s">
        <v>155</v>
      </c>
      <c r="Q40" s="445">
        <f>Q48</f>
        <v>0</v>
      </c>
      <c r="S40" s="400">
        <f>'5'!S40</f>
        <v>0</v>
      </c>
      <c r="T40" s="446">
        <f>'5'!X40</f>
        <v>0</v>
      </c>
      <c r="U40" s="456"/>
      <c r="V40" s="451">
        <f t="shared" si="0"/>
        <v>0</v>
      </c>
      <c r="W40" s="452"/>
      <c r="X40" s="448">
        <f t="shared" si="1"/>
        <v>0</v>
      </c>
      <c r="Z40" s="375">
        <f>'5'!Z40</f>
        <v>0</v>
      </c>
      <c r="AA40" s="464">
        <f>'5'!AE40</f>
        <v>0</v>
      </c>
      <c r="AB40" s="460"/>
      <c r="AC40" s="462">
        <f t="shared" si="2"/>
        <v>0</v>
      </c>
      <c r="AD40" s="469"/>
      <c r="AE40" s="348">
        <f t="shared" si="3"/>
        <v>0</v>
      </c>
      <c r="AF40" s="563">
        <f>'5'!AF40+'6'!AB40</f>
        <v>0</v>
      </c>
      <c r="AG40" s="234">
        <f>'5'!AG40+'6'!AD40</f>
        <v>0</v>
      </c>
    </row>
    <row r="41" spans="1:40" ht="27" customHeight="1" thickTop="1" thickBot="1">
      <c r="A41" s="715" t="str">
        <f>'5'!A41</f>
        <v>BIKE.INSTALMINT</v>
      </c>
      <c r="B41" s="234"/>
      <c r="C41" s="348">
        <f>'5'!D41</f>
        <v>0</v>
      </c>
      <c r="D41" s="234">
        <f t="shared" si="7"/>
        <v>0</v>
      </c>
      <c r="E41" t="s">
        <v>1</v>
      </c>
      <c r="F41" s="479" t="str">
        <f>'5'!F41</f>
        <v>PISHAWAR</v>
      </c>
      <c r="G41" s="409">
        <f>'CUSTOMERS REPORT'!Y1280</f>
        <v>0</v>
      </c>
      <c r="H41" s="507">
        <f>'CUSTOMERS REPORT'!Z1280</f>
        <v>0</v>
      </c>
      <c r="I41" s="409">
        <f>'CUSTOMERS REPORT'!AA1280</f>
        <v>0</v>
      </c>
      <c r="J41" s="501">
        <f>'CUSTOMERS REPORT'!AB1280</f>
        <v>0</v>
      </c>
      <c r="K41" s="501">
        <f>'CUSTOMERS REPORT'!AC1280</f>
        <v>0</v>
      </c>
      <c r="L41" s="512">
        <f>'CUSTOMERS REPORT'!AD1280</f>
        <v>0</v>
      </c>
      <c r="M41" s="414">
        <f>'5'!M41+'6'!G41</f>
        <v>0</v>
      </c>
      <c r="N41" s="412">
        <f>'5'!N41+'6'!J41</f>
        <v>0</v>
      </c>
      <c r="P41" s="221" t="s">
        <v>51</v>
      </c>
      <c r="Q41" s="223">
        <f>Q37-Q38-Q39-Q40</f>
        <v>0</v>
      </c>
      <c r="S41" s="400">
        <f>'5'!S41</f>
        <v>0</v>
      </c>
      <c r="T41" s="446">
        <f>'5'!X41</f>
        <v>0</v>
      </c>
      <c r="U41" s="456"/>
      <c r="V41" s="451">
        <f t="shared" si="0"/>
        <v>0</v>
      </c>
      <c r="W41" s="452"/>
      <c r="X41" s="448">
        <f t="shared" si="1"/>
        <v>0</v>
      </c>
      <c r="Z41" s="375">
        <f>'5'!Z41</f>
        <v>0</v>
      </c>
      <c r="AA41" s="464">
        <f>'5'!AE41</f>
        <v>0</v>
      </c>
      <c r="AB41" s="460"/>
      <c r="AC41" s="462">
        <f t="shared" si="2"/>
        <v>0</v>
      </c>
      <c r="AD41" s="469"/>
      <c r="AE41" s="348">
        <f t="shared" si="3"/>
        <v>0</v>
      </c>
      <c r="AF41" s="563">
        <f>'5'!AF41+'6'!AB41</f>
        <v>0</v>
      </c>
      <c r="AG41" s="234">
        <f>'5'!AG41+'6'!AD41</f>
        <v>0</v>
      </c>
    </row>
    <row r="42" spans="1:40" ht="27" customHeight="1" thickTop="1" thickBot="1">
      <c r="A42" s="715" t="str">
        <f>'5'!A42</f>
        <v>B.C</v>
      </c>
      <c r="B42" s="529"/>
      <c r="C42" s="348">
        <f>'5'!D42</f>
        <v>0</v>
      </c>
      <c r="D42" s="529">
        <f t="shared" si="7"/>
        <v>0</v>
      </c>
      <c r="F42" s="479" t="str">
        <f>'5'!F42</f>
        <v>HUZAFA KOTRI</v>
      </c>
      <c r="G42" s="409">
        <f>'CUSTOMERS REPORT'!Y1317</f>
        <v>0</v>
      </c>
      <c r="H42" s="507">
        <f>'CUSTOMERS REPORT'!Z1317</f>
        <v>0</v>
      </c>
      <c r="I42" s="409">
        <f>'CUSTOMERS REPORT'!AA1317</f>
        <v>0</v>
      </c>
      <c r="J42" s="501">
        <f>'CUSTOMERS REPORT'!AB1317</f>
        <v>0</v>
      </c>
      <c r="K42" s="501">
        <f>'CUSTOMERS REPORT'!AC1317</f>
        <v>0</v>
      </c>
      <c r="L42" s="512">
        <f>'CUSTOMERS REPORT'!AD1317</f>
        <v>0</v>
      </c>
      <c r="M42" s="414">
        <f>'5'!M42+'6'!G42</f>
        <v>0</v>
      </c>
      <c r="N42" s="412">
        <f>'5'!N42+'6'!J42</f>
        <v>0</v>
      </c>
      <c r="P42" s="1499" t="s">
        <v>157</v>
      </c>
      <c r="Q42" s="1500"/>
      <c r="S42" s="400">
        <f>'5'!S42</f>
        <v>0</v>
      </c>
      <c r="T42" s="446">
        <f>'5'!X42</f>
        <v>0</v>
      </c>
      <c r="U42" s="458"/>
      <c r="V42" s="453">
        <f t="shared" si="0"/>
        <v>0</v>
      </c>
      <c r="W42" s="454"/>
      <c r="X42" s="449">
        <f t="shared" si="1"/>
        <v>0</v>
      </c>
      <c r="Z42" s="375">
        <f>'5'!Z42</f>
        <v>0</v>
      </c>
      <c r="AA42" s="464">
        <f>'5'!AE42</f>
        <v>0</v>
      </c>
      <c r="AB42" s="461"/>
      <c r="AC42" s="462">
        <f>AA42+AB42</f>
        <v>0</v>
      </c>
      <c r="AD42" s="470"/>
      <c r="AE42" s="348">
        <f t="shared" si="3"/>
        <v>0</v>
      </c>
      <c r="AF42" s="564">
        <f>'5'!AF42+'6'!AB42</f>
        <v>0</v>
      </c>
      <c r="AG42" s="572">
        <f>'5'!AG42+'6'!AD42</f>
        <v>0</v>
      </c>
    </row>
    <row r="43" spans="1:40" ht="27" customHeight="1" thickTop="1" thickBot="1">
      <c r="A43" s="715" t="str">
        <f>'5'!A43</f>
        <v>AQEEL</v>
      </c>
      <c r="B43" s="539"/>
      <c r="C43" s="348">
        <f>'5'!D43</f>
        <v>0</v>
      </c>
      <c r="D43" s="529">
        <f t="shared" si="7"/>
        <v>0</v>
      </c>
      <c r="F43" s="479" t="str">
        <f>'5'!F43</f>
        <v>ZAHID LAHORE</v>
      </c>
      <c r="G43" s="409">
        <f>'CUSTOMERS REPORT'!Y1354</f>
        <v>0</v>
      </c>
      <c r="H43" s="507">
        <f>'CUSTOMERS REPORT'!Z1354</f>
        <v>0</v>
      </c>
      <c r="I43" s="409">
        <f>'CUSTOMERS REPORT'!AA1354</f>
        <v>0</v>
      </c>
      <c r="J43" s="501">
        <f>'CUSTOMERS REPORT'!AB1354</f>
        <v>0</v>
      </c>
      <c r="K43" s="501">
        <f>'CUSTOMERS REPORT'!AC1354</f>
        <v>0</v>
      </c>
      <c r="L43" s="512">
        <f>'CUSTOMERS REPORT'!AD1354</f>
        <v>0</v>
      </c>
      <c r="M43" s="414">
        <f>'5'!M43+'6'!G43</f>
        <v>0</v>
      </c>
      <c r="N43" s="412">
        <f>'5'!N43+'6'!J43</f>
        <v>0</v>
      </c>
      <c r="P43" s="220" t="s">
        <v>124</v>
      </c>
      <c r="Q43" s="223">
        <f>'5'!Q48</f>
        <v>0</v>
      </c>
      <c r="R43" t="s">
        <v>1</v>
      </c>
      <c r="S43" s="400">
        <f>'5'!S43</f>
        <v>0</v>
      </c>
      <c r="T43" s="446">
        <f>'5'!X43</f>
        <v>0</v>
      </c>
      <c r="U43" s="358"/>
      <c r="V43" s="453">
        <f t="shared" si="0"/>
        <v>0</v>
      </c>
      <c r="W43" s="403"/>
      <c r="X43" s="449">
        <f t="shared" si="1"/>
        <v>0</v>
      </c>
      <c r="Z43" s="383"/>
      <c r="AA43" s="356">
        <f>SUM(AA8:AA42)</f>
        <v>0</v>
      </c>
      <c r="AB43" s="385">
        <f>SUM(AB8:AB42)</f>
        <v>0</v>
      </c>
      <c r="AC43" s="357" t="s">
        <v>74</v>
      </c>
      <c r="AD43" s="387">
        <f>SUM(AD8:AD42)</f>
        <v>0</v>
      </c>
      <c r="AE43" s="358">
        <f>SUM(AE8:AE42)</f>
        <v>0</v>
      </c>
      <c r="AF43" s="565">
        <f>SUM(AF8:AF42)</f>
        <v>0</v>
      </c>
      <c r="AG43" s="571">
        <f>SUM(AG8:AG42)</f>
        <v>0</v>
      </c>
    </row>
    <row r="44" spans="1:40" ht="27" customHeight="1" thickTop="1">
      <c r="A44" s="715" t="str">
        <f>'5'!A44</f>
        <v>M.YOUSUF</v>
      </c>
      <c r="B44" s="234"/>
      <c r="C44" s="348">
        <f>'5'!D44</f>
        <v>0</v>
      </c>
      <c r="D44" s="234">
        <f t="shared" si="7"/>
        <v>0</v>
      </c>
      <c r="F44" s="479" t="str">
        <f>'5'!F44</f>
        <v>CASH SALE</v>
      </c>
      <c r="G44" s="409">
        <f>'CUSTOMERS REPORT'!Y1391</f>
        <v>0</v>
      </c>
      <c r="H44" s="507">
        <f>'CUSTOMERS REPORT'!Z1391</f>
        <v>0</v>
      </c>
      <c r="I44" s="409">
        <f>'CUSTOMERS REPORT'!AA1391</f>
        <v>0</v>
      </c>
      <c r="J44" s="501">
        <f>'CUSTOMERS REPORT'!AB1391</f>
        <v>0</v>
      </c>
      <c r="K44" s="501">
        <f>'CUSTOMERS REPORT'!AC1391</f>
        <v>0</v>
      </c>
      <c r="L44" s="512">
        <f>'CUSTOMERS REPORT'!AD1391</f>
        <v>0</v>
      </c>
      <c r="M44" s="414">
        <f>'5'!M44+'6'!G44</f>
        <v>0</v>
      </c>
      <c r="N44" s="412">
        <f>'5'!N44+'6'!J44</f>
        <v>0</v>
      </c>
      <c r="P44" s="222" t="s">
        <v>114</v>
      </c>
      <c r="Q44" s="377">
        <f>J46</f>
        <v>0</v>
      </c>
      <c r="S44" s="400"/>
      <c r="T44" s="348"/>
      <c r="U44" s="306"/>
      <c r="V44" s="349"/>
      <c r="W44" s="351"/>
      <c r="X44" s="350"/>
      <c r="Z44" s="375"/>
      <c r="AA44" s="339"/>
      <c r="AB44" s="386">
        <f>'5'!AB45</f>
        <v>0</v>
      </c>
      <c r="AC44" s="340" t="s">
        <v>126</v>
      </c>
      <c r="AD44" s="388">
        <f>'5'!AD45</f>
        <v>0</v>
      </c>
      <c r="AE44" s="341"/>
      <c r="AF44" s="561"/>
      <c r="AG44" s="83" t="s">
        <v>1</v>
      </c>
    </row>
    <row r="45" spans="1:40" ht="27" customHeight="1" thickBot="1">
      <c r="A45" s="715" t="str">
        <f>'5'!A45</f>
        <v>SHAKEEL</v>
      </c>
      <c r="B45" s="234"/>
      <c r="C45" s="348">
        <f>'5'!D45</f>
        <v>0</v>
      </c>
      <c r="D45" s="234">
        <f t="shared" si="7"/>
        <v>0</v>
      </c>
      <c r="F45" s="479" t="str">
        <f>'5'!F45</f>
        <v xml:space="preserve">FREE </v>
      </c>
      <c r="G45" s="410">
        <f>'CUSTOMERS REPORT'!Y1428</f>
        <v>0</v>
      </c>
      <c r="H45" s="362">
        <f>'CUSTOMERS REPORT'!Z1428</f>
        <v>0</v>
      </c>
      <c r="I45" s="410">
        <f>'CUSTOMERS REPORT'!AA1428</f>
        <v>0</v>
      </c>
      <c r="J45" s="502">
        <f>'CUSTOMERS REPORT'!AB1428</f>
        <v>0</v>
      </c>
      <c r="K45" s="502">
        <f>'CUSTOMERS REPORT'!AC1428</f>
        <v>0</v>
      </c>
      <c r="L45" s="513">
        <f>'CUSTOMERS REPORT'!AD1428</f>
        <v>0</v>
      </c>
      <c r="M45" s="414">
        <f>'5'!M45+'6'!G45</f>
        <v>0</v>
      </c>
      <c r="N45" s="412">
        <f>'5'!N45+'6'!J45</f>
        <v>0</v>
      </c>
      <c r="P45" s="222" t="s">
        <v>153</v>
      </c>
      <c r="Q45" s="378">
        <f>Q43+Q44</f>
        <v>0</v>
      </c>
      <c r="S45" s="401"/>
      <c r="T45" s="352"/>
      <c r="U45" s="307"/>
      <c r="V45" s="353"/>
      <c r="W45" s="354"/>
      <c r="X45" s="355"/>
      <c r="Z45" s="384"/>
      <c r="AA45" s="359"/>
      <c r="AB45" s="390">
        <f>SUM(AB43:AB44)</f>
        <v>0</v>
      </c>
      <c r="AC45" s="360" t="s">
        <v>74</v>
      </c>
      <c r="AD45" s="389">
        <f>SUM(AD43:AD44)</f>
        <v>0</v>
      </c>
      <c r="AE45" s="361"/>
      <c r="AF45" s="562"/>
      <c r="AG45" s="573"/>
    </row>
    <row r="46" spans="1:40" ht="27" customHeight="1" thickTop="1" thickBot="1">
      <c r="A46" s="715" t="str">
        <f>'5'!A46</f>
        <v>ZAHID HUSSAN</v>
      </c>
      <c r="B46" s="234"/>
      <c r="C46" s="348">
        <f>'5'!D46</f>
        <v>0</v>
      </c>
      <c r="D46" s="234">
        <f t="shared" si="7"/>
        <v>0</v>
      </c>
      <c r="F46" s="369"/>
      <c r="G46" s="424">
        <f>SUM(G8:G45)</f>
        <v>0</v>
      </c>
      <c r="H46" s="1497" t="s">
        <v>160</v>
      </c>
      <c r="I46" s="1498"/>
      <c r="J46" s="421">
        <f>SUM(J8:J45)</f>
        <v>0</v>
      </c>
      <c r="K46" s="427">
        <f>SUM(K8:K45)</f>
        <v>0</v>
      </c>
      <c r="L46" s="431">
        <f>SUM(L8:L45)</f>
        <v>0</v>
      </c>
      <c r="M46" s="429">
        <f>SUM(M8:M45)</f>
        <v>0</v>
      </c>
      <c r="N46" s="430">
        <f>SUM(N8:N45)</f>
        <v>0</v>
      </c>
      <c r="P46" s="222" t="s">
        <v>154</v>
      </c>
      <c r="Q46" s="378">
        <f>B48</f>
        <v>0</v>
      </c>
    </row>
    <row r="47" spans="1:40" ht="27" customHeight="1" thickTop="1" thickBot="1">
      <c r="A47" s="715" t="str">
        <f>'5'!A47</f>
        <v xml:space="preserve">INVESTOR </v>
      </c>
      <c r="B47" s="540"/>
      <c r="C47" s="348">
        <f>'5'!D47</f>
        <v>0</v>
      </c>
      <c r="D47" s="542">
        <f t="shared" si="7"/>
        <v>0</v>
      </c>
      <c r="F47" s="370"/>
      <c r="G47" s="425">
        <f>'5'!G48</f>
        <v>0</v>
      </c>
      <c r="H47" s="1512" t="s">
        <v>162</v>
      </c>
      <c r="I47" s="1513"/>
      <c r="J47" s="423">
        <f>'5'!J48</f>
        <v>0</v>
      </c>
      <c r="K47" s="423">
        <f>'5'!K48</f>
        <v>0</v>
      </c>
      <c r="L47" s="343"/>
      <c r="M47" s="344"/>
      <c r="N47" s="345"/>
      <c r="P47" s="375" t="s">
        <v>163</v>
      </c>
      <c r="Q47" s="378">
        <f>Q9+Q10+Q19+Q20+Q21+Q22</f>
        <v>0</v>
      </c>
      <c r="R47" s="19"/>
      <c r="S47" s="1489" t="s">
        <v>92</v>
      </c>
      <c r="T47" s="1402" t="s">
        <v>95</v>
      </c>
      <c r="U47" s="1403"/>
      <c r="V47" s="1403"/>
      <c r="W47" s="1404"/>
      <c r="X47" s="1402" t="s">
        <v>7</v>
      </c>
      <c r="Y47" s="1403"/>
      <c r="Z47" s="1404"/>
      <c r="AA47" s="1402" t="s">
        <v>8</v>
      </c>
      <c r="AB47" s="1404"/>
      <c r="AC47" s="1402" t="s">
        <v>9</v>
      </c>
      <c r="AD47" s="1403"/>
      <c r="AE47" s="1403"/>
      <c r="AF47" s="1403"/>
      <c r="AG47" s="1403"/>
      <c r="AH47" s="1403"/>
      <c r="AI47" s="1403"/>
      <c r="AJ47" s="1405" t="s">
        <v>10</v>
      </c>
      <c r="AK47" s="1406"/>
      <c r="AL47" s="1400" t="s">
        <v>289</v>
      </c>
      <c r="AM47" s="1401"/>
      <c r="AN47" s="842" t="s">
        <v>290</v>
      </c>
    </row>
    <row r="48" spans="1:40" ht="27" customHeight="1" thickTop="1" thickBot="1">
      <c r="A48" s="192" t="s">
        <v>74</v>
      </c>
      <c r="B48" s="544">
        <f>SUM(B22:B47)</f>
        <v>0</v>
      </c>
      <c r="C48" s="543">
        <f>'5'!D48</f>
        <v>0</v>
      </c>
      <c r="D48" s="544">
        <f t="shared" si="7"/>
        <v>0</v>
      </c>
      <c r="F48" s="371"/>
      <c r="G48" s="426">
        <f>G46+G47</f>
        <v>0</v>
      </c>
      <c r="H48" s="1495" t="s">
        <v>164</v>
      </c>
      <c r="I48" s="1496"/>
      <c r="J48" s="422">
        <f>J46+J47</f>
        <v>0</v>
      </c>
      <c r="K48" s="428">
        <f>K46+K47</f>
        <v>0</v>
      </c>
      <c r="L48" s="346"/>
      <c r="M48" s="347"/>
      <c r="N48" s="622">
        <f>G48-J48</f>
        <v>0</v>
      </c>
      <c r="P48" s="376" t="s">
        <v>155</v>
      </c>
      <c r="Q48" s="379">
        <f>Q45-Q46-Q47</f>
        <v>0</v>
      </c>
      <c r="R48" s="19"/>
      <c r="S48" s="1490"/>
      <c r="T48" s="482" t="s">
        <v>12</v>
      </c>
      <c r="U48" s="482" t="s">
        <v>13</v>
      </c>
      <c r="V48" s="482" t="s">
        <v>14</v>
      </c>
      <c r="W48" s="958" t="s">
        <v>263</v>
      </c>
      <c r="X48" s="482" t="s">
        <v>12</v>
      </c>
      <c r="Y48" s="482" t="s">
        <v>13</v>
      </c>
      <c r="Z48" s="482" t="s">
        <v>282</v>
      </c>
      <c r="AA48" s="482" t="s">
        <v>12</v>
      </c>
      <c r="AB48" s="482" t="s">
        <v>16</v>
      </c>
      <c r="AC48" s="482" t="s">
        <v>17</v>
      </c>
      <c r="AD48" s="482" t="s">
        <v>18</v>
      </c>
      <c r="AE48" s="482" t="s">
        <v>19</v>
      </c>
      <c r="AF48" s="484" t="s">
        <v>96</v>
      </c>
      <c r="AG48" s="484" t="s">
        <v>257</v>
      </c>
      <c r="AH48" s="482" t="s">
        <v>254</v>
      </c>
      <c r="AI48" s="482" t="s">
        <v>20</v>
      </c>
      <c r="AJ48" s="483" t="s">
        <v>14</v>
      </c>
      <c r="AK48" s="482" t="s">
        <v>13</v>
      </c>
      <c r="AL48" s="846" t="s">
        <v>284</v>
      </c>
      <c r="AM48" s="846" t="s">
        <v>292</v>
      </c>
      <c r="AN48" s="484" t="s">
        <v>291</v>
      </c>
    </row>
    <row r="49" spans="1:42" ht="24.95" customHeight="1" thickTop="1" thickBot="1">
      <c r="Q49" s="111">
        <f>Q48+Q41</f>
        <v>0</v>
      </c>
      <c r="R49" s="19"/>
      <c r="S49" s="865" t="s">
        <v>165</v>
      </c>
      <c r="T49" s="866">
        <f>'5'!T55</f>
        <v>0</v>
      </c>
      <c r="U49" s="866">
        <f>'5'!U55</f>
        <v>0</v>
      </c>
      <c r="V49" s="866">
        <f>'5'!V55</f>
        <v>0</v>
      </c>
      <c r="W49" s="866">
        <f>'5'!W55</f>
        <v>0</v>
      </c>
      <c r="X49" s="866">
        <f>'5'!X55</f>
        <v>0</v>
      </c>
      <c r="Y49" s="866">
        <f>'5'!Y55</f>
        <v>0</v>
      </c>
      <c r="Z49" s="866">
        <f>'5'!Z55</f>
        <v>0</v>
      </c>
      <c r="AA49" s="866">
        <f>'5'!AA55</f>
        <v>0</v>
      </c>
      <c r="AB49" s="866">
        <f>'5'!AB55</f>
        <v>0</v>
      </c>
      <c r="AC49" s="866">
        <f>'5'!AC55</f>
        <v>0</v>
      </c>
      <c r="AD49" s="866">
        <f>'5'!AD55</f>
        <v>0</v>
      </c>
      <c r="AE49" s="866">
        <f>'5'!AE55</f>
        <v>0</v>
      </c>
      <c r="AF49" s="866">
        <f>'5'!AF55</f>
        <v>0</v>
      </c>
      <c r="AG49" s="866">
        <f>'5'!AG55</f>
        <v>0</v>
      </c>
      <c r="AH49" s="866">
        <f>'5'!AH55</f>
        <v>0</v>
      </c>
      <c r="AI49" s="866">
        <f>'5'!AI55</f>
        <v>0</v>
      </c>
      <c r="AJ49" s="866">
        <f>'5'!AJ55</f>
        <v>0</v>
      </c>
      <c r="AK49" s="866">
        <f>'5'!AK55</f>
        <v>0</v>
      </c>
      <c r="AL49" s="866" t="e">
        <f>'5'!AL55</f>
        <v>#VALUE!</v>
      </c>
      <c r="AM49" s="866" t="e">
        <f>'5'!AM55</f>
        <v>#VALUE!</v>
      </c>
      <c r="AN49" s="866" t="e">
        <f>'5'!AN55</f>
        <v>#VALUE!</v>
      </c>
    </row>
    <row r="50" spans="1:42" ht="24.95" customHeight="1" thickBot="1">
      <c r="C50" t="s">
        <v>1</v>
      </c>
      <c r="L50" s="417">
        <v>5000</v>
      </c>
      <c r="M50" s="417"/>
      <c r="N50" s="417">
        <f t="shared" ref="N50:N57" si="8">L50*M50</f>
        <v>0</v>
      </c>
      <c r="Q50" s="111"/>
      <c r="R50" s="19"/>
      <c r="S50" s="854" t="s">
        <v>166</v>
      </c>
      <c r="T50" s="852"/>
      <c r="U50" s="852"/>
      <c r="V50" s="852"/>
      <c r="W50" s="852"/>
      <c r="X50" s="852"/>
      <c r="Y50" s="852"/>
      <c r="Z50" s="852"/>
      <c r="AA50" s="852"/>
      <c r="AB50" s="852"/>
      <c r="AC50" s="852"/>
      <c r="AD50" s="852"/>
      <c r="AE50" s="852"/>
      <c r="AF50" s="852"/>
      <c r="AG50" s="855"/>
      <c r="AH50" s="852"/>
      <c r="AI50" s="852"/>
      <c r="AJ50" s="848"/>
      <c r="AK50" s="848"/>
      <c r="AL50" s="848"/>
      <c r="AM50" s="849"/>
      <c r="AN50" s="930"/>
    </row>
    <row r="51" spans="1:42" ht="24.95" customHeight="1" thickBot="1">
      <c r="L51" s="417">
        <v>1000</v>
      </c>
      <c r="M51" s="417"/>
      <c r="N51" s="417">
        <f t="shared" si="8"/>
        <v>0</v>
      </c>
      <c r="R51" s="19"/>
      <c r="S51" s="867" t="s">
        <v>91</v>
      </c>
      <c r="T51" s="868"/>
      <c r="U51" s="868"/>
      <c r="V51" s="868"/>
      <c r="W51" s="868"/>
      <c r="X51" s="868"/>
      <c r="Y51" s="868"/>
      <c r="Z51" s="868"/>
      <c r="AA51" s="868"/>
      <c r="AB51" s="868"/>
      <c r="AC51" s="868"/>
      <c r="AD51" s="868"/>
      <c r="AE51" s="868"/>
      <c r="AF51" s="868"/>
      <c r="AG51" s="869"/>
      <c r="AH51" s="868"/>
      <c r="AI51" s="870"/>
      <c r="AJ51" s="868"/>
      <c r="AK51" s="868"/>
      <c r="AL51" s="849"/>
      <c r="AM51" s="849"/>
      <c r="AN51" s="850"/>
    </row>
    <row r="52" spans="1:42" ht="24.95" customHeight="1" thickBot="1">
      <c r="L52" s="417">
        <v>500</v>
      </c>
      <c r="M52" s="417"/>
      <c r="N52" s="417">
        <f t="shared" si="8"/>
        <v>0</v>
      </c>
      <c r="O52" t="s">
        <v>1</v>
      </c>
      <c r="R52" s="19"/>
      <c r="S52" s="856" t="s">
        <v>167</v>
      </c>
      <c r="T52" s="857"/>
      <c r="U52" s="857"/>
      <c r="V52" s="857"/>
      <c r="W52" s="857"/>
      <c r="X52" s="857"/>
      <c r="Y52" s="857"/>
      <c r="Z52" s="857"/>
      <c r="AA52" s="857"/>
      <c r="AB52" s="857"/>
      <c r="AC52" s="857"/>
      <c r="AD52" s="857"/>
      <c r="AE52" s="857"/>
      <c r="AF52" s="857"/>
      <c r="AG52" s="858"/>
      <c r="AH52" s="859"/>
      <c r="AI52" s="860"/>
      <c r="AJ52" s="851"/>
      <c r="AK52" s="851"/>
      <c r="AL52" s="849"/>
      <c r="AM52" s="849"/>
      <c r="AN52" s="850"/>
    </row>
    <row r="53" spans="1:42" ht="24.95" customHeight="1" thickBot="1">
      <c r="L53" s="417">
        <v>100</v>
      </c>
      <c r="M53" s="417"/>
      <c r="N53" s="417">
        <f t="shared" si="8"/>
        <v>0</v>
      </c>
      <c r="R53" s="19"/>
      <c r="S53" s="871" t="s">
        <v>81</v>
      </c>
      <c r="T53" s="866">
        <f t="shared" ref="T53:AN53" si="9">SUM(T49+T50+T52)</f>
        <v>0</v>
      </c>
      <c r="U53" s="866">
        <f t="shared" si="9"/>
        <v>0</v>
      </c>
      <c r="V53" s="866">
        <f t="shared" si="9"/>
        <v>0</v>
      </c>
      <c r="W53" s="866">
        <f t="shared" si="9"/>
        <v>0</v>
      </c>
      <c r="X53" s="866">
        <f t="shared" si="9"/>
        <v>0</v>
      </c>
      <c r="Y53" s="866">
        <f t="shared" si="9"/>
        <v>0</v>
      </c>
      <c r="Z53" s="866">
        <f t="shared" si="9"/>
        <v>0</v>
      </c>
      <c r="AA53" s="866">
        <f t="shared" si="9"/>
        <v>0</v>
      </c>
      <c r="AB53" s="866">
        <f t="shared" si="9"/>
        <v>0</v>
      </c>
      <c r="AC53" s="866">
        <f t="shared" si="9"/>
        <v>0</v>
      </c>
      <c r="AD53" s="866">
        <f t="shared" si="9"/>
        <v>0</v>
      </c>
      <c r="AE53" s="866">
        <f t="shared" si="9"/>
        <v>0</v>
      </c>
      <c r="AF53" s="866">
        <f t="shared" si="9"/>
        <v>0</v>
      </c>
      <c r="AG53" s="866">
        <f t="shared" si="9"/>
        <v>0</v>
      </c>
      <c r="AH53" s="866">
        <f t="shared" si="9"/>
        <v>0</v>
      </c>
      <c r="AI53" s="866">
        <f t="shared" si="9"/>
        <v>0</v>
      </c>
      <c r="AJ53" s="866">
        <f t="shared" si="9"/>
        <v>0</v>
      </c>
      <c r="AK53" s="866">
        <f t="shared" si="9"/>
        <v>0</v>
      </c>
      <c r="AL53" s="866" t="e">
        <f t="shared" si="9"/>
        <v>#VALUE!</v>
      </c>
      <c r="AM53" s="866" t="e">
        <f t="shared" si="9"/>
        <v>#VALUE!</v>
      </c>
      <c r="AN53" s="872" t="e">
        <f t="shared" si="9"/>
        <v>#VALUE!</v>
      </c>
    </row>
    <row r="54" spans="1:42" ht="24.95" customHeight="1" thickBot="1">
      <c r="L54" s="417">
        <v>50</v>
      </c>
      <c r="M54" s="417"/>
      <c r="N54" s="417">
        <f t="shared" si="8"/>
        <v>0</v>
      </c>
      <c r="R54" s="19"/>
      <c r="S54" s="854" t="s">
        <v>168</v>
      </c>
      <c r="T54" s="852">
        <f>'CUSTOMERS REPORT'!B13+'CUSTOMERS REPORT'!B59+'CUSTOMERS REPORT'!B97+'CUSTOMERS REPORT'!B136+'CUSTOMERS REPORT'!B174+'CUSTOMERS REPORT'!B214+'CUSTOMERS REPORT'!B251+'CUSTOMERS REPORT'!B291+'CUSTOMERS REPORT'!B332+'CUSTOMERS REPORT'!B374+'CUSTOMERS REPORT'!B413+'CUSTOMERS REPORT'!B451+'CUSTOMERS REPORT'!B487+'CUSTOMERS REPORT'!B524+'CUSTOMERS REPORT'!B562+'CUSTOMERS REPORT'!B598+'CUSTOMERS REPORT'!B636+'CUSTOMERS REPORT'!B674+'CUSTOMERS REPORT'!B712+'CUSTOMERS REPORT'!B750+'CUSTOMERS REPORT'!B788+'CUSTOMERS REPORT'!B826+'CUSTOMERS REPORT'!B864+'CUSTOMERS REPORT'!B903+'CUSTOMERS REPORT'!B942+'CUSTOMERS REPORT'!B980+'CUSTOMERS REPORT'!B1018+'CUSTOMERS REPORT'!B1056+'CUSTOMERS REPORT'!B1094+'CUSTOMERS REPORT'!B1132+'CUSTOMERS REPORT'!B1168+'CUSTOMERS REPORT'!B1206+'CUSTOMERS REPORT'!B1243+'CUSTOMERS REPORT'!B1280+'CUSTOMERS REPORT'!B1317+'CUSTOMERS REPORT'!B1354+'CUSTOMERS REPORT'!B1391+'CUSTOMERS REPORT'!B1427</f>
        <v>0</v>
      </c>
      <c r="U54" s="852">
        <f>'CUSTOMERS REPORT'!C13+'CUSTOMERS REPORT'!C59+'CUSTOMERS REPORT'!C97+'CUSTOMERS REPORT'!C136+'CUSTOMERS REPORT'!C174+'CUSTOMERS REPORT'!C214+'CUSTOMERS REPORT'!C251+'CUSTOMERS REPORT'!C291+'CUSTOMERS REPORT'!C332+'CUSTOMERS REPORT'!C374+'CUSTOMERS REPORT'!C413+'CUSTOMERS REPORT'!C451+'CUSTOMERS REPORT'!C487+'CUSTOMERS REPORT'!C524+'CUSTOMERS REPORT'!C562+'CUSTOMERS REPORT'!C598+'CUSTOMERS REPORT'!C636+'CUSTOMERS REPORT'!C674+'CUSTOMERS REPORT'!C712+'CUSTOMERS REPORT'!C750+'CUSTOMERS REPORT'!C788+'CUSTOMERS REPORT'!C826+'CUSTOMERS REPORT'!C864+'CUSTOMERS REPORT'!C903+'CUSTOMERS REPORT'!C942+'CUSTOMERS REPORT'!C980+'CUSTOMERS REPORT'!C1018+'CUSTOMERS REPORT'!C1056+'CUSTOMERS REPORT'!C1094+'CUSTOMERS REPORT'!C1132+'CUSTOMERS REPORT'!C1168+'CUSTOMERS REPORT'!C1206+'CUSTOMERS REPORT'!C1243+'CUSTOMERS REPORT'!C1280+'CUSTOMERS REPORT'!C1317+'CUSTOMERS REPORT'!C1354+'CUSTOMERS REPORT'!C1391+'CUSTOMERS REPORT'!C1427</f>
        <v>0</v>
      </c>
      <c r="V54" s="852">
        <f>'CUSTOMERS REPORT'!D13+'CUSTOMERS REPORT'!D59+'CUSTOMERS REPORT'!D97+'CUSTOMERS REPORT'!D136+'CUSTOMERS REPORT'!D174+'CUSTOMERS REPORT'!D214+'CUSTOMERS REPORT'!D251+'CUSTOMERS REPORT'!D291+'CUSTOMERS REPORT'!D332+'CUSTOMERS REPORT'!D374+'CUSTOMERS REPORT'!D413+'CUSTOMERS REPORT'!D451+'CUSTOMERS REPORT'!D487+'CUSTOMERS REPORT'!D524+'CUSTOMERS REPORT'!D562+'CUSTOMERS REPORT'!D598+'CUSTOMERS REPORT'!D636+'CUSTOMERS REPORT'!D674+'CUSTOMERS REPORT'!D712+'CUSTOMERS REPORT'!D750+'CUSTOMERS REPORT'!D788+'CUSTOMERS REPORT'!D826+'CUSTOMERS REPORT'!D864+'CUSTOMERS REPORT'!D903+'CUSTOMERS REPORT'!D942+'CUSTOMERS REPORT'!D980+'CUSTOMERS REPORT'!D1018+'CUSTOMERS REPORT'!D1056+'CUSTOMERS REPORT'!D1094+'CUSTOMERS REPORT'!D1132+'CUSTOMERS REPORT'!D1168+'CUSTOMERS REPORT'!D1206+'CUSTOMERS REPORT'!D1243+'CUSTOMERS REPORT'!D1280+'CUSTOMERS REPORT'!D1317+'CUSTOMERS REPORT'!D1354+'CUSTOMERS REPORT'!D1391+'CUSTOMERS REPORT'!D1427</f>
        <v>0</v>
      </c>
      <c r="W54" s="852">
        <f>'CUSTOMERS REPORT'!E13+'CUSTOMERS REPORT'!E59+'CUSTOMERS REPORT'!E97+'CUSTOMERS REPORT'!E136+'CUSTOMERS REPORT'!E174+'CUSTOMERS REPORT'!E214+'CUSTOMERS REPORT'!E251+'CUSTOMERS REPORT'!E291+'CUSTOMERS REPORT'!E332+'CUSTOMERS REPORT'!E374+'CUSTOMERS REPORT'!E413+'CUSTOMERS REPORT'!E451+'CUSTOMERS REPORT'!E487+'CUSTOMERS REPORT'!E524+'CUSTOMERS REPORT'!E562+'CUSTOMERS REPORT'!E598+'CUSTOMERS REPORT'!E636+'CUSTOMERS REPORT'!E674+'CUSTOMERS REPORT'!E712+'CUSTOMERS REPORT'!E750+'CUSTOMERS REPORT'!E788+'CUSTOMERS REPORT'!E826+'CUSTOMERS REPORT'!E864+'CUSTOMERS REPORT'!E903+'CUSTOMERS REPORT'!E942+'CUSTOMERS REPORT'!E980+'CUSTOMERS REPORT'!E1018+'CUSTOMERS REPORT'!E1056+'CUSTOMERS REPORT'!E1094+'CUSTOMERS REPORT'!E1132+'CUSTOMERS REPORT'!E1168+'CUSTOMERS REPORT'!E1206+'CUSTOMERS REPORT'!E1243+'CUSTOMERS REPORT'!E1280+'CUSTOMERS REPORT'!E1317+'CUSTOMERS REPORT'!E1354+'CUSTOMERS REPORT'!E1391+'CUSTOMERS REPORT'!E1427</f>
        <v>0</v>
      </c>
      <c r="X54" s="852">
        <f>'CUSTOMERS REPORT'!F13+'CUSTOMERS REPORT'!F59+'CUSTOMERS REPORT'!F97+'CUSTOMERS REPORT'!F136+'CUSTOMERS REPORT'!F174+'CUSTOMERS REPORT'!F214+'CUSTOMERS REPORT'!F251+'CUSTOMERS REPORT'!F291+'CUSTOMERS REPORT'!F332+'CUSTOMERS REPORT'!F374+'CUSTOMERS REPORT'!F413+'CUSTOMERS REPORT'!F451+'CUSTOMERS REPORT'!F487+'CUSTOMERS REPORT'!F524+'CUSTOMERS REPORT'!F562+'CUSTOMERS REPORT'!F598+'CUSTOMERS REPORT'!F636+'CUSTOMERS REPORT'!F674+'CUSTOMERS REPORT'!F712+'CUSTOMERS REPORT'!F750+'CUSTOMERS REPORT'!F788+'CUSTOMERS REPORT'!F826+'CUSTOMERS REPORT'!F864+'CUSTOMERS REPORT'!F903+'CUSTOMERS REPORT'!F942+'CUSTOMERS REPORT'!F980+'CUSTOMERS REPORT'!F1018+'CUSTOMERS REPORT'!F1056+'CUSTOMERS REPORT'!F1094+'CUSTOMERS REPORT'!F1132+'CUSTOMERS REPORT'!F1168+'CUSTOMERS REPORT'!F1206+'CUSTOMERS REPORT'!F1243+'CUSTOMERS REPORT'!F1280+'CUSTOMERS REPORT'!F1317+'CUSTOMERS REPORT'!F1354+'CUSTOMERS REPORT'!F1391+'CUSTOMERS REPORT'!F1427</f>
        <v>0</v>
      </c>
      <c r="Y54" s="852">
        <f>'CUSTOMERS REPORT'!G13+'CUSTOMERS REPORT'!G59+'CUSTOMERS REPORT'!G97+'CUSTOMERS REPORT'!G136+'CUSTOMERS REPORT'!G174+'CUSTOMERS REPORT'!G214+'CUSTOMERS REPORT'!G251+'CUSTOMERS REPORT'!G291+'CUSTOMERS REPORT'!G332+'CUSTOMERS REPORT'!G374+'CUSTOMERS REPORT'!G413+'CUSTOMERS REPORT'!G451+'CUSTOMERS REPORT'!G487+'CUSTOMERS REPORT'!G524+'CUSTOMERS REPORT'!G562+'CUSTOMERS REPORT'!G598+'CUSTOMERS REPORT'!G636+'CUSTOMERS REPORT'!G674+'CUSTOMERS REPORT'!G712+'CUSTOMERS REPORT'!G750+'CUSTOMERS REPORT'!G788+'CUSTOMERS REPORT'!G826+'CUSTOMERS REPORT'!G864+'CUSTOMERS REPORT'!G903+'CUSTOMERS REPORT'!G942+'CUSTOMERS REPORT'!G980+'CUSTOMERS REPORT'!G1018+'CUSTOMERS REPORT'!G1056+'CUSTOMERS REPORT'!G1094+'CUSTOMERS REPORT'!G1132+'CUSTOMERS REPORT'!G1168+'CUSTOMERS REPORT'!G1206+'CUSTOMERS REPORT'!G1243+'CUSTOMERS REPORT'!G1280+'CUSTOMERS REPORT'!G1317+'CUSTOMERS REPORT'!G1354+'CUSTOMERS REPORT'!G1391+'CUSTOMERS REPORT'!G1427</f>
        <v>0</v>
      </c>
      <c r="Z54" s="852">
        <f>'CUSTOMERS REPORT'!H13+'CUSTOMERS REPORT'!H59+'CUSTOMERS REPORT'!H97+'CUSTOMERS REPORT'!H136+'CUSTOMERS REPORT'!H174+'CUSTOMERS REPORT'!H214+'CUSTOMERS REPORT'!H251+'CUSTOMERS REPORT'!H291+'CUSTOMERS REPORT'!H332+'CUSTOMERS REPORT'!H374+'CUSTOMERS REPORT'!H413+'CUSTOMERS REPORT'!H451+'CUSTOMERS REPORT'!H487+'CUSTOMERS REPORT'!H524+'CUSTOMERS REPORT'!H562+'CUSTOMERS REPORT'!H598+'CUSTOMERS REPORT'!H636+'CUSTOMERS REPORT'!H674+'CUSTOMERS REPORT'!H712+'CUSTOMERS REPORT'!H750+'CUSTOMERS REPORT'!H788+'CUSTOMERS REPORT'!H826+'CUSTOMERS REPORT'!H864+'CUSTOMERS REPORT'!H903+'CUSTOMERS REPORT'!H942+'CUSTOMERS REPORT'!H980+'CUSTOMERS REPORT'!H1018+'CUSTOMERS REPORT'!H1056+'CUSTOMERS REPORT'!H1094+'CUSTOMERS REPORT'!H1132+'CUSTOMERS REPORT'!H1168+'CUSTOMERS REPORT'!H1206+'CUSTOMERS REPORT'!H1243+'CUSTOMERS REPORT'!H1280+'CUSTOMERS REPORT'!H1317+'CUSTOMERS REPORT'!H1354+'CUSTOMERS REPORT'!H1391+'CUSTOMERS REPORT'!H1427</f>
        <v>0</v>
      </c>
      <c r="AA54" s="852">
        <f>'CUSTOMERS REPORT'!I13+'CUSTOMERS REPORT'!I59+'CUSTOMERS REPORT'!I97+'CUSTOMERS REPORT'!I136+'CUSTOMERS REPORT'!I174+'CUSTOMERS REPORT'!I214+'CUSTOMERS REPORT'!I251+'CUSTOMERS REPORT'!I291+'CUSTOMERS REPORT'!I332+'CUSTOMERS REPORT'!I374+'CUSTOMERS REPORT'!I413+'CUSTOMERS REPORT'!I451+'CUSTOMERS REPORT'!I487+'CUSTOMERS REPORT'!I524+'CUSTOMERS REPORT'!I562+'CUSTOMERS REPORT'!I598+'CUSTOMERS REPORT'!I636+'CUSTOMERS REPORT'!I674+'CUSTOMERS REPORT'!I712+'CUSTOMERS REPORT'!I750+'CUSTOMERS REPORT'!I788+'CUSTOMERS REPORT'!I826+'CUSTOMERS REPORT'!I864+'CUSTOMERS REPORT'!I903+'CUSTOMERS REPORT'!I942+'CUSTOMERS REPORT'!I980+'CUSTOMERS REPORT'!I1018+'CUSTOMERS REPORT'!I1056+'CUSTOMERS REPORT'!I1094+'CUSTOMERS REPORT'!I1132+'CUSTOMERS REPORT'!I1168+'CUSTOMERS REPORT'!I1206+'CUSTOMERS REPORT'!I1243+'CUSTOMERS REPORT'!I1280+'CUSTOMERS REPORT'!I1317+'CUSTOMERS REPORT'!I1354+'CUSTOMERS REPORT'!I1391+'CUSTOMERS REPORT'!I1427</f>
        <v>0</v>
      </c>
      <c r="AB54" s="852">
        <f>'CUSTOMERS REPORT'!J13+'CUSTOMERS REPORT'!J59+'CUSTOMERS REPORT'!J97+'CUSTOMERS REPORT'!J136+'CUSTOMERS REPORT'!J174+'CUSTOMERS REPORT'!J214+'CUSTOMERS REPORT'!J251+'CUSTOMERS REPORT'!J291+'CUSTOMERS REPORT'!J332+'CUSTOMERS REPORT'!J374+'CUSTOMERS REPORT'!J413+'CUSTOMERS REPORT'!J451+'CUSTOMERS REPORT'!J487+'CUSTOMERS REPORT'!J524+'CUSTOMERS REPORT'!J562+'CUSTOMERS REPORT'!J598+'CUSTOMERS REPORT'!J636+'CUSTOMERS REPORT'!J674+'CUSTOMERS REPORT'!J712+'CUSTOMERS REPORT'!J750+'CUSTOMERS REPORT'!J788+'CUSTOMERS REPORT'!J826+'CUSTOMERS REPORT'!J864+'CUSTOMERS REPORT'!J903+'CUSTOMERS REPORT'!J942+'CUSTOMERS REPORT'!J980+'CUSTOMERS REPORT'!J1018+'CUSTOMERS REPORT'!J1056+'CUSTOMERS REPORT'!J1094+'CUSTOMERS REPORT'!J1132+'CUSTOMERS REPORT'!J1168+'CUSTOMERS REPORT'!J1206+'CUSTOMERS REPORT'!J1243+'CUSTOMERS REPORT'!J1280+'CUSTOMERS REPORT'!J1317+'CUSTOMERS REPORT'!J1354+'CUSTOMERS REPORT'!J1391+'CUSTOMERS REPORT'!J1427</f>
        <v>0</v>
      </c>
      <c r="AC54" s="852">
        <f>'CUSTOMERS REPORT'!K13+'CUSTOMERS REPORT'!K59+'CUSTOMERS REPORT'!K97+'CUSTOMERS REPORT'!K136+'CUSTOMERS REPORT'!K174+'CUSTOMERS REPORT'!K214+'CUSTOMERS REPORT'!K251+'CUSTOMERS REPORT'!K291+'CUSTOMERS REPORT'!K332+'CUSTOMERS REPORT'!K374+'CUSTOMERS REPORT'!K413+'CUSTOMERS REPORT'!K451+'CUSTOMERS REPORT'!K487+'CUSTOMERS REPORT'!K524+'CUSTOMERS REPORT'!K562+'CUSTOMERS REPORT'!K598+'CUSTOMERS REPORT'!K636+'CUSTOMERS REPORT'!K674+'CUSTOMERS REPORT'!K712+'CUSTOMERS REPORT'!K750+'CUSTOMERS REPORT'!K788+'CUSTOMERS REPORT'!K826+'CUSTOMERS REPORT'!K864+'CUSTOMERS REPORT'!K903+'CUSTOMERS REPORT'!K942+'CUSTOMERS REPORT'!K980+'CUSTOMERS REPORT'!K1018+'CUSTOMERS REPORT'!K1056+'CUSTOMERS REPORT'!K1094+'CUSTOMERS REPORT'!K1132+'CUSTOMERS REPORT'!K1168+'CUSTOMERS REPORT'!K1206+'CUSTOMERS REPORT'!K1243+'CUSTOMERS REPORT'!K1280+'CUSTOMERS REPORT'!K1317+'CUSTOMERS REPORT'!K1354+'CUSTOMERS REPORT'!K1391+'CUSTOMERS REPORT'!K1427</f>
        <v>0</v>
      </c>
      <c r="AD54" s="852">
        <f>'CUSTOMERS REPORT'!L13+'CUSTOMERS REPORT'!L59+'CUSTOMERS REPORT'!L97+'CUSTOMERS REPORT'!L136+'CUSTOMERS REPORT'!L174+'CUSTOMERS REPORT'!L214+'CUSTOMERS REPORT'!L251+'CUSTOMERS REPORT'!L291+'CUSTOMERS REPORT'!L332+'CUSTOMERS REPORT'!L374+'CUSTOMERS REPORT'!L413+'CUSTOMERS REPORT'!L451+'CUSTOMERS REPORT'!L487+'CUSTOMERS REPORT'!L524+'CUSTOMERS REPORT'!L562+'CUSTOMERS REPORT'!L598+'CUSTOMERS REPORT'!L636+'CUSTOMERS REPORT'!L674+'CUSTOMERS REPORT'!L712+'CUSTOMERS REPORT'!L750+'CUSTOMERS REPORT'!L788+'CUSTOMERS REPORT'!L826+'CUSTOMERS REPORT'!L864+'CUSTOMERS REPORT'!L903+'CUSTOMERS REPORT'!L942+'CUSTOMERS REPORT'!L980+'CUSTOMERS REPORT'!L1018+'CUSTOMERS REPORT'!L1056+'CUSTOMERS REPORT'!L1094+'CUSTOMERS REPORT'!L1132+'CUSTOMERS REPORT'!L1168+'CUSTOMERS REPORT'!L1206+'CUSTOMERS REPORT'!L1243+'CUSTOMERS REPORT'!L1280+'CUSTOMERS REPORT'!L1317+'CUSTOMERS REPORT'!L1354+'CUSTOMERS REPORT'!L1391+'CUSTOMERS REPORT'!L1427</f>
        <v>0</v>
      </c>
      <c r="AE54" s="852">
        <f>'CUSTOMERS REPORT'!M13+'CUSTOMERS REPORT'!M59+'CUSTOMERS REPORT'!M97+'CUSTOMERS REPORT'!M136+'CUSTOMERS REPORT'!M174+'CUSTOMERS REPORT'!M214+'CUSTOMERS REPORT'!M251+'CUSTOMERS REPORT'!M291+'CUSTOMERS REPORT'!M332+'CUSTOMERS REPORT'!M374+'CUSTOMERS REPORT'!M413+'CUSTOMERS REPORT'!M451+'CUSTOMERS REPORT'!M487+'CUSTOMERS REPORT'!M524+'CUSTOMERS REPORT'!M562+'CUSTOMERS REPORT'!M598+'CUSTOMERS REPORT'!M636+'CUSTOMERS REPORT'!M674+'CUSTOMERS REPORT'!M712+'CUSTOMERS REPORT'!M750+'CUSTOMERS REPORT'!M788+'CUSTOMERS REPORT'!M826+'CUSTOMERS REPORT'!M864+'CUSTOMERS REPORT'!M903+'CUSTOMERS REPORT'!M942+'CUSTOMERS REPORT'!M980+'CUSTOMERS REPORT'!M1018+'CUSTOMERS REPORT'!M1056+'CUSTOMERS REPORT'!M1094+'CUSTOMERS REPORT'!M1132+'CUSTOMERS REPORT'!M1168+'CUSTOMERS REPORT'!M1206+'CUSTOMERS REPORT'!M1243+'CUSTOMERS REPORT'!M1280+'CUSTOMERS REPORT'!M1317+'CUSTOMERS REPORT'!M1354+'CUSTOMERS REPORT'!M1391+'CUSTOMERS REPORT'!M1427</f>
        <v>0</v>
      </c>
      <c r="AF54" s="852">
        <f>'CUSTOMERS REPORT'!N13+'CUSTOMERS REPORT'!N59+'CUSTOMERS REPORT'!N97+'CUSTOMERS REPORT'!N136+'CUSTOMERS REPORT'!N174+'CUSTOMERS REPORT'!N214+'CUSTOMERS REPORT'!N251+'CUSTOMERS REPORT'!N291+'CUSTOMERS REPORT'!N332+'CUSTOMERS REPORT'!N374+'CUSTOMERS REPORT'!N413+'CUSTOMERS REPORT'!N451+'CUSTOMERS REPORT'!N487+'CUSTOMERS REPORT'!N524+'CUSTOMERS REPORT'!N562+'CUSTOMERS REPORT'!N598+'CUSTOMERS REPORT'!N636+'CUSTOMERS REPORT'!N674+'CUSTOMERS REPORT'!N712+'CUSTOMERS REPORT'!N750+'CUSTOMERS REPORT'!N788+'CUSTOMERS REPORT'!N826+'CUSTOMERS REPORT'!N864+'CUSTOMERS REPORT'!N903+'CUSTOMERS REPORT'!N942+'CUSTOMERS REPORT'!N980+'CUSTOMERS REPORT'!N1018+'CUSTOMERS REPORT'!N1056+'CUSTOMERS REPORT'!N1094+'CUSTOMERS REPORT'!N1132+'CUSTOMERS REPORT'!N1168+'CUSTOMERS REPORT'!N1206+'CUSTOMERS REPORT'!N1243+'CUSTOMERS REPORT'!N1280+'CUSTOMERS REPORT'!N1317+'CUSTOMERS REPORT'!N1354+'CUSTOMERS REPORT'!N1391+'CUSTOMERS REPORT'!N1427</f>
        <v>0</v>
      </c>
      <c r="AG54" s="852">
        <f>'CUSTOMERS REPORT'!O13+'CUSTOMERS REPORT'!O59+'CUSTOMERS REPORT'!O97+'CUSTOMERS REPORT'!O136+'CUSTOMERS REPORT'!O174+'CUSTOMERS REPORT'!O214+'CUSTOMERS REPORT'!O251+'CUSTOMERS REPORT'!O291+'CUSTOMERS REPORT'!O332+'CUSTOMERS REPORT'!O374+'CUSTOMERS REPORT'!O413+'CUSTOMERS REPORT'!O451+'CUSTOMERS REPORT'!O487+'CUSTOMERS REPORT'!O524+'CUSTOMERS REPORT'!O562+'CUSTOMERS REPORT'!O598+'CUSTOMERS REPORT'!O636+'CUSTOMERS REPORT'!O674+'CUSTOMERS REPORT'!O712+'CUSTOMERS REPORT'!O750+'CUSTOMERS REPORT'!O788+'CUSTOMERS REPORT'!O826+'CUSTOMERS REPORT'!O864+'CUSTOMERS REPORT'!O903+'CUSTOMERS REPORT'!O942+'CUSTOMERS REPORT'!O980+'CUSTOMERS REPORT'!O1018+'CUSTOMERS REPORT'!O1056+'CUSTOMERS REPORT'!O1094+'CUSTOMERS REPORT'!O1132+'CUSTOMERS REPORT'!O1168+'CUSTOMERS REPORT'!O1206+'CUSTOMERS REPORT'!O1243+'CUSTOMERS REPORT'!O1280+'CUSTOMERS REPORT'!O1317+'CUSTOMERS REPORT'!O1354+'CUSTOMERS REPORT'!O1391+'CUSTOMERS REPORT'!O1427</f>
        <v>0</v>
      </c>
      <c r="AH54" s="852">
        <f>'CUSTOMERS REPORT'!P13+'CUSTOMERS REPORT'!P59+'CUSTOMERS REPORT'!P97+'CUSTOMERS REPORT'!P136+'CUSTOMERS REPORT'!P174+'CUSTOMERS REPORT'!P214+'CUSTOMERS REPORT'!P251+'CUSTOMERS REPORT'!P291+'CUSTOMERS REPORT'!P332+'CUSTOMERS REPORT'!P374+'CUSTOMERS REPORT'!P413+'CUSTOMERS REPORT'!P451+'CUSTOMERS REPORT'!P487+'CUSTOMERS REPORT'!P524+'CUSTOMERS REPORT'!P562+'CUSTOMERS REPORT'!P598+'CUSTOMERS REPORT'!P636+'CUSTOMERS REPORT'!P674+'CUSTOMERS REPORT'!P712+'CUSTOMERS REPORT'!P750+'CUSTOMERS REPORT'!P788+'CUSTOMERS REPORT'!P826+'CUSTOMERS REPORT'!P864+'CUSTOMERS REPORT'!P903+'CUSTOMERS REPORT'!P942+'CUSTOMERS REPORT'!P980+'CUSTOMERS REPORT'!P1018+'CUSTOMERS REPORT'!P1056+'CUSTOMERS REPORT'!P1094+'CUSTOMERS REPORT'!P1132+'CUSTOMERS REPORT'!P1168+'CUSTOMERS REPORT'!P1206+'CUSTOMERS REPORT'!P1243+'CUSTOMERS REPORT'!P1280+'CUSTOMERS REPORT'!P1317+'CUSTOMERS REPORT'!P1354+'CUSTOMERS REPORT'!P1391+'CUSTOMERS REPORT'!P1427</f>
        <v>0</v>
      </c>
      <c r="AI54" s="852">
        <f>'CUSTOMERS REPORT'!Q13+'CUSTOMERS REPORT'!Q59+'CUSTOMERS REPORT'!Q97+'CUSTOMERS REPORT'!Q136+'CUSTOMERS REPORT'!Q174+'CUSTOMERS REPORT'!Q214+'CUSTOMERS REPORT'!Q251+'CUSTOMERS REPORT'!Q291+'CUSTOMERS REPORT'!Q332+'CUSTOMERS REPORT'!Q374+'CUSTOMERS REPORT'!Q413+'CUSTOMERS REPORT'!Q451+'CUSTOMERS REPORT'!Q487+'CUSTOMERS REPORT'!Q524+'CUSTOMERS REPORT'!Q562+'CUSTOMERS REPORT'!Q598+'CUSTOMERS REPORT'!Q636+'CUSTOMERS REPORT'!Q674+'CUSTOMERS REPORT'!Q712+'CUSTOMERS REPORT'!Q750+'CUSTOMERS REPORT'!Q788+'CUSTOMERS REPORT'!Q826+'CUSTOMERS REPORT'!Q864+'CUSTOMERS REPORT'!Q903+'CUSTOMERS REPORT'!Q942+'CUSTOMERS REPORT'!Q980+'CUSTOMERS REPORT'!Q1018+'CUSTOMERS REPORT'!Q1056+'CUSTOMERS REPORT'!Q1094+'CUSTOMERS REPORT'!Q1132+'CUSTOMERS REPORT'!Q1168+'CUSTOMERS REPORT'!Q1206+'CUSTOMERS REPORT'!Q1243+'CUSTOMERS REPORT'!Q1280+'CUSTOMERS REPORT'!Q1317+'CUSTOMERS REPORT'!Q1354+'CUSTOMERS REPORT'!Q1391+'CUSTOMERS REPORT'!Q1427</f>
        <v>0</v>
      </c>
      <c r="AJ54" s="852">
        <f>'CUSTOMERS REPORT'!R13+'CUSTOMERS REPORT'!R59+'CUSTOMERS REPORT'!R97+'CUSTOMERS REPORT'!R136+'CUSTOMERS REPORT'!R174+'CUSTOMERS REPORT'!R214+'CUSTOMERS REPORT'!R251+'CUSTOMERS REPORT'!R291+'CUSTOMERS REPORT'!R332+'CUSTOMERS REPORT'!R374+'CUSTOMERS REPORT'!R413+'CUSTOMERS REPORT'!R451+'CUSTOMERS REPORT'!R487+'CUSTOMERS REPORT'!R524+'CUSTOMERS REPORT'!R562+'CUSTOMERS REPORT'!R598+'CUSTOMERS REPORT'!R636+'CUSTOMERS REPORT'!R674+'CUSTOMERS REPORT'!R712+'CUSTOMERS REPORT'!R750+'CUSTOMERS REPORT'!R788+'CUSTOMERS REPORT'!R826+'CUSTOMERS REPORT'!R864+'CUSTOMERS REPORT'!R903+'CUSTOMERS REPORT'!R942+'CUSTOMERS REPORT'!R980+'CUSTOMERS REPORT'!R1018+'CUSTOMERS REPORT'!R1056+'CUSTOMERS REPORT'!R1094+'CUSTOMERS REPORT'!R1132+'CUSTOMERS REPORT'!R1168+'CUSTOMERS REPORT'!R1206+'CUSTOMERS REPORT'!R1243+'CUSTOMERS REPORT'!R1280+'CUSTOMERS REPORT'!R1317+'CUSTOMERS REPORT'!R1354+'CUSTOMERS REPORT'!R1391+'CUSTOMERS REPORT'!R1427</f>
        <v>0</v>
      </c>
      <c r="AK54" s="852">
        <f>'CUSTOMERS REPORT'!S13+'CUSTOMERS REPORT'!S59+'CUSTOMERS REPORT'!S97+'CUSTOMERS REPORT'!S136+'CUSTOMERS REPORT'!S174+'CUSTOMERS REPORT'!S214+'CUSTOMERS REPORT'!S251+'CUSTOMERS REPORT'!S291+'CUSTOMERS REPORT'!S332+'CUSTOMERS REPORT'!S374+'CUSTOMERS REPORT'!S413+'CUSTOMERS REPORT'!S451+'CUSTOMERS REPORT'!S487+'CUSTOMERS REPORT'!S524+'CUSTOMERS REPORT'!S562+'CUSTOMERS REPORT'!S598+'CUSTOMERS REPORT'!S636+'CUSTOMERS REPORT'!S674+'CUSTOMERS REPORT'!S712+'CUSTOMERS REPORT'!S750+'CUSTOMERS REPORT'!S788+'CUSTOMERS REPORT'!S826+'CUSTOMERS REPORT'!S864+'CUSTOMERS REPORT'!S903+'CUSTOMERS REPORT'!S942+'CUSTOMERS REPORT'!S980+'CUSTOMERS REPORT'!S1018+'CUSTOMERS REPORT'!S1056+'CUSTOMERS REPORT'!S1094+'CUSTOMERS REPORT'!S1132+'CUSTOMERS REPORT'!S1168+'CUSTOMERS REPORT'!S1206+'CUSTOMERS REPORT'!S1243+'CUSTOMERS REPORT'!S1280+'CUSTOMERS REPORT'!S1317+'CUSTOMERS REPORT'!S1354+'CUSTOMERS REPORT'!S1391+'CUSTOMERS REPORT'!S1427</f>
        <v>0</v>
      </c>
      <c r="AL54" s="852" t="e">
        <f>'CUSTOMERS REPORT'!T13+'CUSTOMERS REPORT'!T59+'CUSTOMERS REPORT'!T97+'CUSTOMERS REPORT'!T136+'CUSTOMERS REPORT'!T174+'CUSTOMERS REPORT'!T214+'CUSTOMERS REPORT'!T251+'CUSTOMERS REPORT'!T291+'CUSTOMERS REPORT'!T332+'CUSTOMERS REPORT'!T374+'CUSTOMERS REPORT'!T413+'CUSTOMERS REPORT'!T451+'CUSTOMERS REPORT'!T487+'CUSTOMERS REPORT'!T524+'CUSTOMERS REPORT'!T562+'CUSTOMERS REPORT'!T598+'CUSTOMERS REPORT'!T636+'CUSTOMERS REPORT'!T674+'CUSTOMERS REPORT'!T712+'CUSTOMERS REPORT'!T750+'CUSTOMERS REPORT'!T788+'CUSTOMERS REPORT'!T826+'CUSTOMERS REPORT'!T864+'CUSTOMERS REPORT'!T903+'CUSTOMERS REPORT'!T942+'CUSTOMERS REPORT'!T980+'CUSTOMERS REPORT'!T1018+'CUSTOMERS REPORT'!T1056+'CUSTOMERS REPORT'!T1094+'CUSTOMERS REPORT'!T1132+'CUSTOMERS REPORT'!T1168+'CUSTOMERS REPORT'!T1206+'CUSTOMERS REPORT'!T1243+'CUSTOMERS REPORT'!T1280+'CUSTOMERS REPORT'!T1317+'CUSTOMERS REPORT'!T1354+'CUSTOMERS REPORT'!T1391+'CUSTOMERS REPORT'!T1427</f>
        <v>#VALUE!</v>
      </c>
      <c r="AM54" s="852" t="e">
        <f>'CUSTOMERS REPORT'!U13+'CUSTOMERS REPORT'!U59+'CUSTOMERS REPORT'!U97+'CUSTOMERS REPORT'!U136+'CUSTOMERS REPORT'!U174+'CUSTOMERS REPORT'!U214+'CUSTOMERS REPORT'!U251+'CUSTOMERS REPORT'!U291+'CUSTOMERS REPORT'!U332+'CUSTOMERS REPORT'!U374+'CUSTOMERS REPORT'!U413+'CUSTOMERS REPORT'!U451+'CUSTOMERS REPORT'!U487+'CUSTOMERS REPORT'!U524+'CUSTOMERS REPORT'!U562+'CUSTOMERS REPORT'!U598+'CUSTOMERS REPORT'!U636+'CUSTOMERS REPORT'!U674+'CUSTOMERS REPORT'!U712+'CUSTOMERS REPORT'!U750+'CUSTOMERS REPORT'!U788+'CUSTOMERS REPORT'!U826+'CUSTOMERS REPORT'!U864+'CUSTOMERS REPORT'!U903+'CUSTOMERS REPORT'!U942+'CUSTOMERS REPORT'!U980+'CUSTOMERS REPORT'!U1018+'CUSTOMERS REPORT'!U1056+'CUSTOMERS REPORT'!U1094+'CUSTOMERS REPORT'!U1132+'CUSTOMERS REPORT'!U1168+'CUSTOMERS REPORT'!U1206+'CUSTOMERS REPORT'!U1243+'CUSTOMERS REPORT'!U1280+'CUSTOMERS REPORT'!U1317+'CUSTOMERS REPORT'!U1354+'CUSTOMERS REPORT'!U1391+'CUSTOMERS REPORT'!U1427</f>
        <v>#VALUE!</v>
      </c>
      <c r="AN54" s="852" t="e">
        <f>'CUSTOMERS REPORT'!V13+'CUSTOMERS REPORT'!V59+'CUSTOMERS REPORT'!V97+'CUSTOMERS REPORT'!V136+'CUSTOMERS REPORT'!V174+'CUSTOMERS REPORT'!V214+'CUSTOMERS REPORT'!V251+'CUSTOMERS REPORT'!V291+'CUSTOMERS REPORT'!V332+'CUSTOMERS REPORT'!V374+'CUSTOMERS REPORT'!V413+'CUSTOMERS REPORT'!V451+'CUSTOMERS REPORT'!V487+'CUSTOMERS REPORT'!V524+'CUSTOMERS REPORT'!V562+'CUSTOMERS REPORT'!V598+'CUSTOMERS REPORT'!V636+'CUSTOMERS REPORT'!V674+'CUSTOMERS REPORT'!V712+'CUSTOMERS REPORT'!V750+'CUSTOMERS REPORT'!V788+'CUSTOMERS REPORT'!V826+'CUSTOMERS REPORT'!V864+'CUSTOMERS REPORT'!V903+'CUSTOMERS REPORT'!V942+'CUSTOMERS REPORT'!V980+'CUSTOMERS REPORT'!V1018+'CUSTOMERS REPORT'!V1056+'CUSTOMERS REPORT'!V1094+'CUSTOMERS REPORT'!V1132+'CUSTOMERS REPORT'!V1168+'CUSTOMERS REPORT'!V1206+'CUSTOMERS REPORT'!V1243+'CUSTOMERS REPORT'!V1280+'CUSTOMERS REPORT'!V1317+'CUSTOMERS REPORT'!V1354+'CUSTOMERS REPORT'!V1391+'CUSTOMERS REPORT'!V1427</f>
        <v>#VALUE!</v>
      </c>
      <c r="AP54" t="s">
        <v>1</v>
      </c>
    </row>
    <row r="55" spans="1:42" ht="24.95" customHeight="1" thickBot="1">
      <c r="L55" s="417">
        <v>20</v>
      </c>
      <c r="M55" s="417"/>
      <c r="N55" s="417">
        <f t="shared" si="8"/>
        <v>0</v>
      </c>
      <c r="R55" s="123">
        <f>'5'!R57</f>
        <v>0</v>
      </c>
      <c r="S55" s="865" t="s">
        <v>169</v>
      </c>
      <c r="T55" s="866">
        <f t="shared" ref="T55:AN55" si="10">T53-T54-T51</f>
        <v>0</v>
      </c>
      <c r="U55" s="866">
        <f t="shared" si="10"/>
        <v>0</v>
      </c>
      <c r="V55" s="866">
        <f t="shared" si="10"/>
        <v>0</v>
      </c>
      <c r="W55" s="866">
        <f t="shared" si="10"/>
        <v>0</v>
      </c>
      <c r="X55" s="866">
        <f t="shared" si="10"/>
        <v>0</v>
      </c>
      <c r="Y55" s="866">
        <f t="shared" si="10"/>
        <v>0</v>
      </c>
      <c r="Z55" s="866">
        <f t="shared" si="10"/>
        <v>0</v>
      </c>
      <c r="AA55" s="866">
        <f t="shared" si="10"/>
        <v>0</v>
      </c>
      <c r="AB55" s="866">
        <f t="shared" ref="AB55" si="11">AB53-AB54-AB51</f>
        <v>0</v>
      </c>
      <c r="AC55" s="866">
        <f t="shared" si="10"/>
        <v>0</v>
      </c>
      <c r="AD55" s="866">
        <f t="shared" si="10"/>
        <v>0</v>
      </c>
      <c r="AE55" s="866">
        <f t="shared" si="10"/>
        <v>0</v>
      </c>
      <c r="AF55" s="866">
        <f>AF53-AF54-AF51</f>
        <v>0</v>
      </c>
      <c r="AG55" s="866">
        <f t="shared" si="10"/>
        <v>0</v>
      </c>
      <c r="AH55" s="866">
        <f t="shared" si="10"/>
        <v>0</v>
      </c>
      <c r="AI55" s="866">
        <f t="shared" si="10"/>
        <v>0</v>
      </c>
      <c r="AJ55" s="866">
        <f t="shared" si="10"/>
        <v>0</v>
      </c>
      <c r="AK55" s="866">
        <f t="shared" si="10"/>
        <v>0</v>
      </c>
      <c r="AL55" s="866" t="e">
        <f t="shared" si="10"/>
        <v>#VALUE!</v>
      </c>
      <c r="AM55" s="866" t="e">
        <f t="shared" si="10"/>
        <v>#VALUE!</v>
      </c>
      <c r="AN55" s="872" t="e">
        <f t="shared" si="10"/>
        <v>#VALUE!</v>
      </c>
    </row>
    <row r="56" spans="1:42" ht="28.5" thickBot="1">
      <c r="A56" s="114"/>
      <c r="B56" s="120"/>
      <c r="C56" s="115"/>
      <c r="L56" s="417">
        <v>10</v>
      </c>
      <c r="M56" s="417"/>
      <c r="N56" s="417">
        <f t="shared" si="8"/>
        <v>0</v>
      </c>
      <c r="R56" s="123">
        <f>T56+U56+V56+W56+X56+Y56+Z56+AA56+AB56+AC56+AD56+AE56+AF56+AG56+AH56+AI56+AJ56+AK56+AL56+AM56+AN56</f>
        <v>0</v>
      </c>
      <c r="S56" s="874" t="s">
        <v>170</v>
      </c>
      <c r="T56" s="875"/>
      <c r="U56" s="875"/>
      <c r="V56" s="875"/>
      <c r="W56" s="875"/>
      <c r="X56" s="875"/>
      <c r="Y56" s="875"/>
      <c r="Z56" s="876"/>
      <c r="AA56" s="875"/>
      <c r="AB56" s="875"/>
      <c r="AC56" s="875"/>
      <c r="AD56" s="875"/>
      <c r="AE56" s="875"/>
      <c r="AF56" s="875"/>
      <c r="AG56" s="875"/>
      <c r="AH56" s="875"/>
      <c r="AI56" s="875"/>
      <c r="AJ56" s="877"/>
      <c r="AK56" s="877"/>
      <c r="AL56" s="877"/>
      <c r="AM56" s="52"/>
      <c r="AN56" s="928"/>
    </row>
    <row r="57" spans="1:42" ht="27" customHeight="1" thickBot="1">
      <c r="A57" s="114"/>
      <c r="B57" s="131"/>
      <c r="C57" s="115"/>
      <c r="D57" s="115"/>
      <c r="E57" s="19"/>
      <c r="F57" s="19"/>
      <c r="G57" s="19"/>
      <c r="H57" s="19"/>
      <c r="I57" s="19"/>
      <c r="J57" s="19"/>
      <c r="K57" s="19"/>
      <c r="L57" s="418">
        <v>1</v>
      </c>
      <c r="M57" s="418"/>
      <c r="N57" s="417">
        <f t="shared" si="8"/>
        <v>0</v>
      </c>
      <c r="O57" s="19"/>
      <c r="R57" s="123">
        <f>SUM(R55:R56)</f>
        <v>0</v>
      </c>
      <c r="S57" s="882" t="s">
        <v>23</v>
      </c>
      <c r="T57" s="883" t="e">
        <f t="shared" ref="T57:AI57" si="12">T50/T56</f>
        <v>#DIV/0!</v>
      </c>
      <c r="U57" s="883" t="e">
        <f t="shared" si="12"/>
        <v>#DIV/0!</v>
      </c>
      <c r="V57" s="883" t="e">
        <f t="shared" si="12"/>
        <v>#DIV/0!</v>
      </c>
      <c r="W57" s="883" t="e">
        <f t="shared" si="12"/>
        <v>#DIV/0!</v>
      </c>
      <c r="X57" s="883" t="e">
        <f t="shared" si="12"/>
        <v>#DIV/0!</v>
      </c>
      <c r="Y57" s="883" t="e">
        <f t="shared" si="12"/>
        <v>#DIV/0!</v>
      </c>
      <c r="Z57" s="883" t="e">
        <f t="shared" si="12"/>
        <v>#DIV/0!</v>
      </c>
      <c r="AA57" s="883" t="e">
        <f t="shared" si="12"/>
        <v>#DIV/0!</v>
      </c>
      <c r="AB57" s="883" t="e">
        <f t="shared" si="12"/>
        <v>#DIV/0!</v>
      </c>
      <c r="AC57" s="883" t="e">
        <f t="shared" si="12"/>
        <v>#DIV/0!</v>
      </c>
      <c r="AD57" s="883" t="e">
        <f t="shared" si="12"/>
        <v>#DIV/0!</v>
      </c>
      <c r="AE57" s="883" t="e">
        <f t="shared" si="12"/>
        <v>#DIV/0!</v>
      </c>
      <c r="AF57" s="883" t="e">
        <f t="shared" si="12"/>
        <v>#DIV/0!</v>
      </c>
      <c r="AG57" s="883" t="e">
        <f t="shared" si="12"/>
        <v>#DIV/0!</v>
      </c>
      <c r="AH57" s="883" t="e">
        <f t="shared" si="12"/>
        <v>#DIV/0!</v>
      </c>
      <c r="AI57" s="883" t="e">
        <f t="shared" si="12"/>
        <v>#DIV/0!</v>
      </c>
      <c r="AJ57" s="883" t="e">
        <f>AJ50/AJ56</f>
        <v>#DIV/0!</v>
      </c>
      <c r="AK57" s="883" t="e">
        <f>AK50/AK56</f>
        <v>#DIV/0!</v>
      </c>
      <c r="AL57" s="883" t="e">
        <f t="shared" ref="AL57:AN57" si="13">AL50/AL56</f>
        <v>#DIV/0!</v>
      </c>
      <c r="AM57" s="883" t="e">
        <f t="shared" si="13"/>
        <v>#DIV/0!</v>
      </c>
      <c r="AN57" s="884" t="e">
        <f t="shared" si="13"/>
        <v>#DIV/0!</v>
      </c>
    </row>
    <row r="58" spans="1:42" ht="27" customHeight="1" thickBot="1">
      <c r="A58" s="114"/>
      <c r="B58" s="131"/>
      <c r="C58" s="115"/>
      <c r="D58" s="115" t="s">
        <v>1</v>
      </c>
      <c r="L58" s="1501" t="s">
        <v>171</v>
      </c>
      <c r="M58" s="1501"/>
      <c r="N58" s="419">
        <f>SUM(N50:N57)</f>
        <v>0</v>
      </c>
      <c r="R58" s="19"/>
      <c r="S58" s="878" t="s">
        <v>172</v>
      </c>
      <c r="T58" s="879">
        <f>T54</f>
        <v>0</v>
      </c>
      <c r="U58" s="879">
        <f t="shared" ref="U58:AI58" si="14">U54</f>
        <v>0</v>
      </c>
      <c r="V58" s="879">
        <f t="shared" si="14"/>
        <v>0</v>
      </c>
      <c r="W58" s="879">
        <f t="shared" si="14"/>
        <v>0</v>
      </c>
      <c r="X58" s="879">
        <f t="shared" si="14"/>
        <v>0</v>
      </c>
      <c r="Y58" s="879">
        <f t="shared" si="14"/>
        <v>0</v>
      </c>
      <c r="Z58" s="879">
        <f t="shared" si="14"/>
        <v>0</v>
      </c>
      <c r="AA58" s="879">
        <f t="shared" si="14"/>
        <v>0</v>
      </c>
      <c r="AB58" s="879">
        <f t="shared" si="14"/>
        <v>0</v>
      </c>
      <c r="AC58" s="879">
        <f t="shared" si="14"/>
        <v>0</v>
      </c>
      <c r="AD58" s="879">
        <f t="shared" si="14"/>
        <v>0</v>
      </c>
      <c r="AE58" s="879">
        <f t="shared" si="14"/>
        <v>0</v>
      </c>
      <c r="AF58" s="879">
        <f t="shared" si="14"/>
        <v>0</v>
      </c>
      <c r="AG58" s="879">
        <f t="shared" si="14"/>
        <v>0</v>
      </c>
      <c r="AH58" s="879">
        <f t="shared" si="14"/>
        <v>0</v>
      </c>
      <c r="AI58" s="879">
        <f t="shared" si="14"/>
        <v>0</v>
      </c>
      <c r="AJ58" s="879">
        <f>AJ54</f>
        <v>0</v>
      </c>
      <c r="AK58" s="879">
        <f>AK54</f>
        <v>0</v>
      </c>
      <c r="AL58" s="880"/>
      <c r="AM58" s="880"/>
      <c r="AN58" s="881"/>
    </row>
    <row r="59" spans="1:42" ht="27" customHeight="1">
      <c r="A59" s="114"/>
      <c r="B59" s="132"/>
      <c r="C59" s="115"/>
      <c r="D59" s="115" t="s">
        <v>1</v>
      </c>
      <c r="K59" t="s">
        <v>1</v>
      </c>
      <c r="L59" s="1486" t="s">
        <v>173</v>
      </c>
      <c r="M59" s="1486"/>
      <c r="N59" s="420">
        <f>N58-Q48</f>
        <v>0</v>
      </c>
      <c r="R59" s="19"/>
      <c r="S59" s="114"/>
      <c r="T59" s="121"/>
      <c r="U59" s="121"/>
      <c r="V59" s="121"/>
      <c r="W59" s="121"/>
      <c r="X59" s="121"/>
      <c r="Y59" s="121"/>
      <c r="Z59" s="122"/>
      <c r="AA59" s="121"/>
      <c r="AB59" s="121"/>
      <c r="AC59" s="121"/>
      <c r="AD59" s="121"/>
      <c r="AE59" s="121"/>
      <c r="AF59" s="121"/>
      <c r="AG59" s="121"/>
      <c r="AH59" s="119"/>
      <c r="AI59" s="119"/>
    </row>
    <row r="60" spans="1:42" ht="1.5" customHeight="1">
      <c r="A60" s="114"/>
      <c r="B60" s="132"/>
      <c r="C60" s="115"/>
      <c r="D60" s="115"/>
      <c r="P60" s="19"/>
      <c r="Q60" s="19"/>
      <c r="R60" s="19"/>
      <c r="S60" s="19"/>
      <c r="U60" t="s">
        <v>1</v>
      </c>
    </row>
    <row r="61" spans="1:42" ht="23.25">
      <c r="A61" s="114"/>
      <c r="B61" s="132"/>
      <c r="C61" s="115"/>
      <c r="D61" s="116"/>
      <c r="M61" t="s">
        <v>1</v>
      </c>
      <c r="P61" s="185"/>
      <c r="Q61" s="186"/>
      <c r="R61" s="19"/>
      <c r="S61" s="19"/>
    </row>
    <row r="62" spans="1:42" ht="20.25">
      <c r="C62" s="116"/>
      <c r="P62" s="19"/>
      <c r="Q62" s="19"/>
      <c r="R62" s="19"/>
      <c r="S62" s="19"/>
    </row>
    <row r="63" spans="1:42">
      <c r="E63" s="19"/>
    </row>
    <row r="64" spans="1:42">
      <c r="E64" s="19"/>
      <c r="J64" t="s">
        <v>3</v>
      </c>
    </row>
    <row r="65" spans="3:5" ht="21">
      <c r="C65" s="251"/>
      <c r="E65" s="19"/>
    </row>
    <row r="66" spans="3:5">
      <c r="E66" s="49"/>
    </row>
    <row r="67" spans="3:5" ht="23.25">
      <c r="E67" s="113"/>
    </row>
  </sheetData>
  <mergeCells count="21">
    <mergeCell ref="AL47:AM47"/>
    <mergeCell ref="L58:M58"/>
    <mergeCell ref="L59:M59"/>
    <mergeCell ref="T47:W47"/>
    <mergeCell ref="X47:Z47"/>
    <mergeCell ref="S47:S48"/>
    <mergeCell ref="AI7:AJ7"/>
    <mergeCell ref="AI20:AJ20"/>
    <mergeCell ref="AA47:AB47"/>
    <mergeCell ref="AC47:AI47"/>
    <mergeCell ref="AJ47:AK47"/>
    <mergeCell ref="A6:Q6"/>
    <mergeCell ref="S6:AE6"/>
    <mergeCell ref="A7:B7"/>
    <mergeCell ref="P7:Q7"/>
    <mergeCell ref="H48:I48"/>
    <mergeCell ref="P24:Q24"/>
    <mergeCell ref="P33:Q33"/>
    <mergeCell ref="P42:Q42"/>
    <mergeCell ref="H46:I46"/>
    <mergeCell ref="H47:I47"/>
  </mergeCells>
  <conditionalFormatting sqref="M48:N48">
    <cfRule type="duplicateValues" dxfId="538" priority="29"/>
    <cfRule type="duplicateValues" dxfId="537" priority="30"/>
    <cfRule type="duplicateValues" dxfId="536" priority="31"/>
    <cfRule type="duplicateValues" dxfId="535" priority="32"/>
  </conditionalFormatting>
  <conditionalFormatting sqref="L48 N48">
    <cfRule type="cellIs" dxfId="534" priority="28" operator="equal">
      <formula>66890</formula>
    </cfRule>
  </conditionalFormatting>
  <conditionalFormatting sqref="N48">
    <cfRule type="cellIs" dxfId="533" priority="27" operator="lessThan">
      <formula>1</formula>
    </cfRule>
  </conditionalFormatting>
  <conditionalFormatting sqref="T57">
    <cfRule type="cellIs" dxfId="532" priority="16" operator="lessThan">
      <formula>63</formula>
    </cfRule>
  </conditionalFormatting>
  <conditionalFormatting sqref="U57">
    <cfRule type="cellIs" dxfId="531" priority="14" operator="lessThan">
      <formula>63</formula>
    </cfRule>
    <cfRule type="cellIs" dxfId="530" priority="15" operator="lessThan">
      <formula>63</formula>
    </cfRule>
  </conditionalFormatting>
  <conditionalFormatting sqref="W57">
    <cfRule type="cellIs" dxfId="529" priority="13" operator="lessThan">
      <formula>140</formula>
    </cfRule>
  </conditionalFormatting>
  <conditionalFormatting sqref="X57">
    <cfRule type="cellIs" dxfId="528" priority="12" operator="lessThan">
      <formula>125</formula>
    </cfRule>
  </conditionalFormatting>
  <conditionalFormatting sqref="Y57">
    <cfRule type="cellIs" dxfId="527" priority="11" operator="lessThan">
      <formula>150</formula>
    </cfRule>
  </conditionalFormatting>
  <conditionalFormatting sqref="Z57">
    <cfRule type="cellIs" dxfId="526" priority="10" operator="lessThan">
      <formula>590</formula>
    </cfRule>
  </conditionalFormatting>
  <conditionalFormatting sqref="AA57">
    <cfRule type="cellIs" dxfId="525" priority="9" operator="lessThan">
      <formula>704</formula>
    </cfRule>
  </conditionalFormatting>
  <conditionalFormatting sqref="AC57">
    <cfRule type="cellIs" dxfId="524" priority="8" operator="lessThan">
      <formula>52</formula>
    </cfRule>
  </conditionalFormatting>
  <conditionalFormatting sqref="AD57">
    <cfRule type="cellIs" dxfId="523" priority="7" operator="lessThan">
      <formula>52</formula>
    </cfRule>
  </conditionalFormatting>
  <conditionalFormatting sqref="AH57">
    <cfRule type="cellIs" dxfId="522" priority="6" operator="lessThan">
      <formula>63</formula>
    </cfRule>
  </conditionalFormatting>
  <conditionalFormatting sqref="AI57">
    <cfRule type="cellIs" dxfId="521" priority="5" operator="lessThan">
      <formula>63</formula>
    </cfRule>
  </conditionalFormatting>
  <conditionalFormatting sqref="AK57">
    <cfRule type="cellIs" dxfId="520" priority="4" operator="lessThan">
      <formula>270</formula>
    </cfRule>
  </conditionalFormatting>
  <conditionalFormatting sqref="AJ57">
    <cfRule type="cellIs" dxfId="519" priority="3" operator="lessThan">
      <formula>270</formula>
    </cfRule>
  </conditionalFormatting>
  <conditionalFormatting sqref="AL57:AN57">
    <cfRule type="cellIs" dxfId="518" priority="1" operator="lessThan">
      <formula>270</formula>
    </cfRule>
  </conditionalFormatting>
  <printOptions horizontalCentered="1" verticalCentered="1"/>
  <pageMargins left="0" right="0.5" top="0" bottom="0" header="0" footer="0"/>
  <pageSetup paperSize="5" scale="45" orientation="landscape" cellComments="asDisplayed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AQ67"/>
  <sheetViews>
    <sheetView topLeftCell="A46" zoomScale="90" zoomScaleNormal="90" workbookViewId="0">
      <selection activeCell="A60" sqref="A60"/>
    </sheetView>
  </sheetViews>
  <sheetFormatPr defaultRowHeight="15"/>
  <cols>
    <col min="1" max="1" width="32.7109375" bestFit="1" customWidth="1"/>
    <col min="2" max="2" width="20.140625" bestFit="1" customWidth="1"/>
    <col min="3" max="4" width="20.7109375" customWidth="1"/>
    <col min="5" max="5" width="4.7109375" customWidth="1"/>
    <col min="6" max="6" width="29.140625" bestFit="1" customWidth="1"/>
    <col min="7" max="7" width="17.7109375" customWidth="1"/>
    <col min="8" max="9" width="19.140625" bestFit="1" customWidth="1"/>
    <col min="10" max="11" width="17.7109375" customWidth="1"/>
    <col min="12" max="12" width="19.140625" bestFit="1" customWidth="1"/>
    <col min="13" max="14" width="17.7109375" customWidth="1"/>
    <col min="15" max="15" width="7.7109375" customWidth="1"/>
    <col min="16" max="16" width="28.7109375" customWidth="1"/>
    <col min="17" max="17" width="20.7109375" customWidth="1"/>
    <col min="18" max="18" width="7.7109375" customWidth="1"/>
    <col min="19" max="19" width="32.7109375" customWidth="1"/>
    <col min="20" max="20" width="20.28515625" bestFit="1" customWidth="1"/>
    <col min="21" max="21" width="17.7109375" customWidth="1"/>
    <col min="22" max="22" width="20.28515625" bestFit="1" customWidth="1"/>
    <col min="23" max="23" width="17.7109375" customWidth="1"/>
    <col min="24" max="24" width="20.28515625" bestFit="1" customWidth="1"/>
    <col min="25" max="25" width="14.7109375" customWidth="1"/>
    <col min="26" max="26" width="16.28515625" bestFit="1" customWidth="1"/>
    <col min="27" max="27" width="20.140625" bestFit="1" customWidth="1"/>
    <col min="28" max="28" width="18.140625" bestFit="1" customWidth="1"/>
    <col min="29" max="29" width="20.140625" bestFit="1" customWidth="1"/>
    <col min="30" max="30" width="17.7109375" customWidth="1"/>
    <col min="31" max="32" width="20.140625" bestFit="1" customWidth="1"/>
    <col min="33" max="33" width="20.7109375" customWidth="1"/>
    <col min="34" max="37" width="17.7109375" customWidth="1"/>
    <col min="38" max="40" width="13" hidden="1" customWidth="1"/>
  </cols>
  <sheetData>
    <row r="1" spans="1:36">
      <c r="E1" s="5"/>
    </row>
    <row r="2" spans="1:36">
      <c r="E2" s="5"/>
    </row>
    <row r="3" spans="1:36" ht="15.75" thickBot="1">
      <c r="C3" t="s">
        <v>1</v>
      </c>
      <c r="E3" s="5" t="s">
        <v>1</v>
      </c>
      <c r="F3" t="s">
        <v>1</v>
      </c>
      <c r="N3" t="s">
        <v>1</v>
      </c>
      <c r="S3" t="s">
        <v>1</v>
      </c>
      <c r="U3" t="s">
        <v>1</v>
      </c>
    </row>
    <row r="4" spans="1:36" ht="21.75" thickTop="1">
      <c r="B4" t="s">
        <v>1</v>
      </c>
      <c r="D4" t="s">
        <v>1</v>
      </c>
      <c r="E4" t="s">
        <v>1</v>
      </c>
      <c r="P4" s="617" t="s">
        <v>108</v>
      </c>
      <c r="Q4" s="618">
        <f>'6'!Q4+'7'!Q9+'7'!Q10+'7'!Q19+'7'!Q20+'7'!Q21+'7'!Q22</f>
        <v>0</v>
      </c>
    </row>
    <row r="5" spans="1:36" ht="21.75" thickBot="1">
      <c r="P5" s="619" t="s">
        <v>109</v>
      </c>
      <c r="Q5" s="620">
        <f>'6'!Q5+'7'!Q25+'7'!Q26+'7'!Q27+'7'!Q28+'7'!Q29+'7'!Q30+'7'!Q31</f>
        <v>0</v>
      </c>
    </row>
    <row r="6" spans="1:36" ht="48" thickTop="1" thickBot="1">
      <c r="A6" s="1502">
        <f>'Main Page'!E23</f>
        <v>44872</v>
      </c>
      <c r="B6" s="1507"/>
      <c r="C6" s="1507"/>
      <c r="D6" s="1507"/>
      <c r="E6" s="1507"/>
      <c r="F6" s="1507"/>
      <c r="G6" s="1507"/>
      <c r="H6" s="1507"/>
      <c r="I6" s="1507"/>
      <c r="J6" s="1507"/>
      <c r="K6" s="1507"/>
      <c r="L6" s="1507"/>
      <c r="M6" s="1507"/>
      <c r="N6" s="1507"/>
      <c r="O6" s="1507"/>
      <c r="P6" s="1507"/>
      <c r="Q6" s="1515"/>
      <c r="R6" t="s">
        <v>1</v>
      </c>
      <c r="S6" s="1502">
        <f>A6</f>
        <v>44872</v>
      </c>
      <c r="T6" s="1503"/>
      <c r="U6" s="1503"/>
      <c r="V6" s="1503"/>
      <c r="W6" s="1503"/>
      <c r="X6" s="1503"/>
      <c r="Y6" s="1503"/>
      <c r="Z6" s="1503"/>
      <c r="AA6" s="1503"/>
      <c r="AB6" s="1503"/>
      <c r="AC6" s="1503"/>
      <c r="AD6" s="1503"/>
      <c r="AE6" s="1504"/>
    </row>
    <row r="7" spans="1:36" ht="39.950000000000003" customHeight="1" thickTop="1" thickBot="1">
      <c r="A7" s="1505" t="s">
        <v>110</v>
      </c>
      <c r="B7" s="1506"/>
      <c r="C7" s="367" t="s">
        <v>97</v>
      </c>
      <c r="D7" s="368" t="s">
        <v>74</v>
      </c>
      <c r="F7" s="363" t="s">
        <v>111</v>
      </c>
      <c r="G7" s="364" t="s">
        <v>112</v>
      </c>
      <c r="H7" s="365" t="s">
        <v>113</v>
      </c>
      <c r="I7" s="365" t="s">
        <v>26</v>
      </c>
      <c r="J7" s="365" t="s">
        <v>114</v>
      </c>
      <c r="K7" s="366" t="s">
        <v>115</v>
      </c>
      <c r="L7" s="365" t="s">
        <v>116</v>
      </c>
      <c r="M7" s="365" t="s">
        <v>117</v>
      </c>
      <c r="N7" s="365" t="s">
        <v>118</v>
      </c>
      <c r="P7" s="1510" t="s">
        <v>69</v>
      </c>
      <c r="Q7" s="1511"/>
      <c r="S7" s="380" t="s">
        <v>58</v>
      </c>
      <c r="T7" s="380" t="s">
        <v>59</v>
      </c>
      <c r="U7" s="380" t="s">
        <v>119</v>
      </c>
      <c r="V7" s="380" t="s">
        <v>74</v>
      </c>
      <c r="W7" s="380" t="s">
        <v>120</v>
      </c>
      <c r="X7" s="380" t="s">
        <v>59</v>
      </c>
      <c r="Z7" s="367" t="s">
        <v>121</v>
      </c>
      <c r="AA7" s="367" t="s">
        <v>97</v>
      </c>
      <c r="AB7" s="415" t="s">
        <v>122</v>
      </c>
      <c r="AC7" s="416" t="s">
        <v>90</v>
      </c>
      <c r="AD7" s="367" t="s">
        <v>56</v>
      </c>
      <c r="AE7" s="381" t="s">
        <v>100</v>
      </c>
      <c r="AF7" s="560" t="s">
        <v>122</v>
      </c>
      <c r="AG7" s="570" t="s">
        <v>56</v>
      </c>
      <c r="AI7" s="1487" t="s">
        <v>123</v>
      </c>
      <c r="AJ7" s="1488"/>
    </row>
    <row r="8" spans="1:36" ht="27" customHeight="1" thickTop="1" thickBot="1">
      <c r="A8" s="717"/>
      <c r="B8" s="233"/>
      <c r="C8" s="463"/>
      <c r="D8" s="233"/>
      <c r="F8" s="478" t="str">
        <f>'6'!F8</f>
        <v>ISHAQ ANSARI</v>
      </c>
      <c r="G8" s="405">
        <f>'CUSTOMERS REPORT'!Y14</f>
        <v>0</v>
      </c>
      <c r="H8" s="503">
        <f>'CUSTOMERS REPORT'!Z14</f>
        <v>0</v>
      </c>
      <c r="I8" s="405">
        <f>'CUSTOMERS REPORT'!AA14</f>
        <v>0</v>
      </c>
      <c r="J8" s="497">
        <f>'CUSTOMERS REPORT'!AB14</f>
        <v>0</v>
      </c>
      <c r="K8" s="497">
        <f>'CUSTOMERS REPORT'!AC14</f>
        <v>0</v>
      </c>
      <c r="L8" s="508">
        <f>'CUSTOMERS REPORT'!AD14</f>
        <v>0</v>
      </c>
      <c r="M8" s="413">
        <f>'6'!M8+'7'!G8</f>
        <v>0</v>
      </c>
      <c r="N8" s="411">
        <f>'6'!N8+'7'!J8</f>
        <v>0</v>
      </c>
      <c r="P8" s="191" t="s">
        <v>124</v>
      </c>
      <c r="Q8" s="223">
        <f>'6'!Q32</f>
        <v>0</v>
      </c>
      <c r="S8" s="399" t="str">
        <f>'6'!S8</f>
        <v>FLOUR</v>
      </c>
      <c r="T8" s="446">
        <f>'6'!X8</f>
        <v>0</v>
      </c>
      <c r="U8" s="455"/>
      <c r="V8" s="450">
        <f t="shared" ref="V8:V43" si="0">SUM(T8:U8)</f>
        <v>0</v>
      </c>
      <c r="W8" s="450"/>
      <c r="X8" s="446">
        <f t="shared" ref="X8:X43" si="1">V8-W8</f>
        <v>0</v>
      </c>
      <c r="Z8" s="382" t="str">
        <f>'6'!Z8</f>
        <v>GHAZI</v>
      </c>
      <c r="AA8" s="464">
        <f>'6'!AE8</f>
        <v>0</v>
      </c>
      <c r="AB8" s="459"/>
      <c r="AC8" s="233">
        <f t="shared" ref="AC8:AC41" si="2">AA8+AB8</f>
        <v>0</v>
      </c>
      <c r="AD8" s="468"/>
      <c r="AE8" s="463">
        <f t="shared" ref="AE8:AE42" si="3">AC8-AD8</f>
        <v>0</v>
      </c>
      <c r="AF8" s="563">
        <f>'6'!AF8+'7'!AB8</f>
        <v>0</v>
      </c>
      <c r="AG8" s="233">
        <f>'6'!AG8+'7'!AD8</f>
        <v>0</v>
      </c>
      <c r="AI8" s="391" t="s">
        <v>126</v>
      </c>
      <c r="AJ8" s="392">
        <f>'6'!AJ10</f>
        <v>0</v>
      </c>
    </row>
    <row r="9" spans="1:36" ht="27" customHeight="1" thickTop="1">
      <c r="A9" s="717"/>
      <c r="B9" s="526"/>
      <c r="C9" s="348"/>
      <c r="D9" s="550"/>
      <c r="F9" s="479" t="str">
        <f>'6'!F9</f>
        <v>MAKKI BAKERY</v>
      </c>
      <c r="G9" s="406">
        <f>'CUSTOMERS REPORT'!Y60</f>
        <v>0</v>
      </c>
      <c r="H9" s="504">
        <f>'CUSTOMERS REPORT'!Z60</f>
        <v>0</v>
      </c>
      <c r="I9" s="406">
        <f>'CUSTOMERS REPORT'!AA60</f>
        <v>0</v>
      </c>
      <c r="J9" s="498">
        <f>'CUSTOMERS REPORT'!AB60</f>
        <v>0</v>
      </c>
      <c r="K9" s="498">
        <f>'CUSTOMERS REPORT'!AC60</f>
        <v>0</v>
      </c>
      <c r="L9" s="509">
        <f>'CUSTOMERS REPORT'!AD60</f>
        <v>0</v>
      </c>
      <c r="M9" s="414">
        <f>'6'!M9+'7'!G9</f>
        <v>0</v>
      </c>
      <c r="N9" s="412">
        <f>'6'!N9+'7'!J9</f>
        <v>0</v>
      </c>
      <c r="P9" s="432"/>
      <c r="Q9" s="436"/>
      <c r="S9" s="400" t="str">
        <f>'6'!S9</f>
        <v>SUGAR</v>
      </c>
      <c r="T9" s="446">
        <f>'6'!X9</f>
        <v>0</v>
      </c>
      <c r="U9" s="456"/>
      <c r="V9" s="451">
        <f t="shared" si="0"/>
        <v>0</v>
      </c>
      <c r="W9" s="451"/>
      <c r="X9" s="447">
        <f t="shared" si="1"/>
        <v>0</v>
      </c>
      <c r="Z9" s="375" t="str">
        <f>'6'!Z9</f>
        <v>SOHNI</v>
      </c>
      <c r="AA9" s="464">
        <f>'6'!AE9</f>
        <v>0</v>
      </c>
      <c r="AB9" s="460"/>
      <c r="AC9" s="462">
        <f t="shared" si="2"/>
        <v>0</v>
      </c>
      <c r="AD9" s="469"/>
      <c r="AE9" s="348">
        <f t="shared" si="3"/>
        <v>0</v>
      </c>
      <c r="AF9" s="563">
        <f>'6'!AF9+'7'!AB9</f>
        <v>0</v>
      </c>
      <c r="AG9" s="234">
        <f>'6'!AG9+'7'!AD9</f>
        <v>0</v>
      </c>
      <c r="AI9" s="393" t="s">
        <v>128</v>
      </c>
      <c r="AJ9" s="394">
        <f>B26</f>
        <v>0</v>
      </c>
    </row>
    <row r="10" spans="1:36" ht="27" customHeight="1" thickBot="1">
      <c r="A10" s="718"/>
      <c r="B10" s="528"/>
      <c r="C10" s="350"/>
      <c r="D10" s="550"/>
      <c r="F10" s="479" t="str">
        <f>'6'!F10</f>
        <v>ABID HUSSAIN</v>
      </c>
      <c r="G10" s="406">
        <f>'CUSTOMERS REPORT'!Y98</f>
        <v>0</v>
      </c>
      <c r="H10" s="504">
        <f>'CUSTOMERS REPORT'!Z98</f>
        <v>0</v>
      </c>
      <c r="I10" s="406">
        <f>'CUSTOMERS REPORT'!AA98</f>
        <v>0</v>
      </c>
      <c r="J10" s="498">
        <f>'CUSTOMERS REPORT'!AB98</f>
        <v>0</v>
      </c>
      <c r="K10" s="498">
        <f>'CUSTOMERS REPORT'!AC98</f>
        <v>0</v>
      </c>
      <c r="L10" s="509">
        <f>'CUSTOMERS REPORT'!AD98</f>
        <v>0</v>
      </c>
      <c r="M10" s="414">
        <f>'6'!M10+'7'!G10</f>
        <v>0</v>
      </c>
      <c r="N10" s="412">
        <f>'6'!N10+'7'!J10</f>
        <v>0</v>
      </c>
      <c r="P10" s="433"/>
      <c r="Q10" s="437"/>
      <c r="S10" s="400" t="str">
        <f>'6'!S10</f>
        <v>GHEE</v>
      </c>
      <c r="T10" s="446">
        <f>'6'!X10</f>
        <v>0</v>
      </c>
      <c r="U10" s="456"/>
      <c r="V10" s="451">
        <f t="shared" si="0"/>
        <v>0</v>
      </c>
      <c r="W10" s="451"/>
      <c r="X10" s="447">
        <f t="shared" si="1"/>
        <v>0</v>
      </c>
      <c r="Z10" s="375" t="str">
        <f>'6'!Z10</f>
        <v>HUSSAINI</v>
      </c>
      <c r="AA10" s="464">
        <f>'6'!AE10</f>
        <v>0</v>
      </c>
      <c r="AB10" s="460"/>
      <c r="AC10" s="462">
        <f t="shared" si="2"/>
        <v>0</v>
      </c>
      <c r="AD10" s="469"/>
      <c r="AE10" s="348">
        <f t="shared" si="3"/>
        <v>0</v>
      </c>
      <c r="AF10" s="563">
        <f>'6'!AF10+'7'!AB10</f>
        <v>0</v>
      </c>
      <c r="AG10" s="234">
        <f>'6'!AG10+'7'!AD10</f>
        <v>0</v>
      </c>
      <c r="AI10" s="395" t="s">
        <v>74</v>
      </c>
      <c r="AJ10" s="396">
        <f>AJ8+AJ9</f>
        <v>0</v>
      </c>
    </row>
    <row r="11" spans="1:36" ht="27" customHeight="1" thickTop="1">
      <c r="A11" s="718"/>
      <c r="B11" s="528"/>
      <c r="C11" s="350"/>
      <c r="D11" s="550"/>
      <c r="F11" s="479" t="str">
        <f>'6'!F11</f>
        <v>SHAHID 5 #</v>
      </c>
      <c r="G11" s="406">
        <f>'CUSTOMERS REPORT'!Y137</f>
        <v>0</v>
      </c>
      <c r="H11" s="504">
        <f>'CUSTOMERS REPORT'!Z137</f>
        <v>0</v>
      </c>
      <c r="I11" s="406">
        <f>'CUSTOMERS REPORT'!AA137</f>
        <v>0</v>
      </c>
      <c r="J11" s="498">
        <f>'CUSTOMERS REPORT'!AB137</f>
        <v>0</v>
      </c>
      <c r="K11" s="498">
        <f>'CUSTOMERS REPORT'!AC137</f>
        <v>0</v>
      </c>
      <c r="L11" s="509">
        <f>'CUSTOMERS REPORT'!AD137</f>
        <v>0</v>
      </c>
      <c r="M11" s="414">
        <f>'6'!M11+'7'!G11</f>
        <v>0</v>
      </c>
      <c r="N11" s="412">
        <f>'6'!N11+'7'!J11</f>
        <v>0</v>
      </c>
      <c r="P11" s="433"/>
      <c r="Q11" s="437"/>
      <c r="S11" s="400" t="str">
        <f>'6'!S11</f>
        <v>YEAST</v>
      </c>
      <c r="T11" s="446">
        <f>'6'!X11</f>
        <v>0</v>
      </c>
      <c r="U11" s="456"/>
      <c r="V11" s="451">
        <f t="shared" si="0"/>
        <v>0</v>
      </c>
      <c r="W11" s="451"/>
      <c r="X11" s="447">
        <f t="shared" si="1"/>
        <v>0</v>
      </c>
      <c r="Z11" s="375" t="str">
        <f>'6'!Z11</f>
        <v>IMRAN ALAM</v>
      </c>
      <c r="AA11" s="464">
        <f>'6'!AE11</f>
        <v>0</v>
      </c>
      <c r="AB11" s="460"/>
      <c r="AC11" s="462">
        <f t="shared" si="2"/>
        <v>0</v>
      </c>
      <c r="AD11" s="469"/>
      <c r="AE11" s="348">
        <f t="shared" si="3"/>
        <v>0</v>
      </c>
      <c r="AF11" s="563">
        <f>'6'!AF11+'7'!AB11</f>
        <v>0</v>
      </c>
      <c r="AG11" s="234">
        <f>'6'!AG11+'7'!AD11</f>
        <v>0</v>
      </c>
      <c r="AI11" s="1031"/>
      <c r="AJ11" s="1032"/>
    </row>
    <row r="12" spans="1:36" ht="27" customHeight="1">
      <c r="A12" s="718"/>
      <c r="B12" s="528"/>
      <c r="C12" s="350"/>
      <c r="D12" s="550"/>
      <c r="F12" s="479" t="str">
        <f>'6'!F12</f>
        <v>ZULFIQAR</v>
      </c>
      <c r="G12" s="406">
        <f>'CUSTOMERS REPORT'!Y175</f>
        <v>0</v>
      </c>
      <c r="H12" s="504">
        <f>'CUSTOMERS REPORT'!Z175</f>
        <v>0</v>
      </c>
      <c r="I12" s="406">
        <f>'CUSTOMERS REPORT'!AA175</f>
        <v>0</v>
      </c>
      <c r="J12" s="498">
        <f>'CUSTOMERS REPORT'!AB175</f>
        <v>0</v>
      </c>
      <c r="K12" s="498">
        <f>'CUSTOMERS REPORT'!AC175</f>
        <v>0</v>
      </c>
      <c r="L12" s="509">
        <f>'CUSTOMERS REPORT'!AD175</f>
        <v>0</v>
      </c>
      <c r="M12" s="414">
        <f>'6'!M12+'7'!G12</f>
        <v>0</v>
      </c>
      <c r="N12" s="412">
        <f>'6'!N12+'7'!J12</f>
        <v>0</v>
      </c>
      <c r="P12" s="433"/>
      <c r="Q12" s="437"/>
      <c r="S12" s="400" t="str">
        <f>'6'!S12</f>
        <v xml:space="preserve">EKKA </v>
      </c>
      <c r="T12" s="446">
        <f>'6'!X12</f>
        <v>0</v>
      </c>
      <c r="U12" s="456"/>
      <c r="V12" s="451">
        <f t="shared" si="0"/>
        <v>0</v>
      </c>
      <c r="W12" s="451"/>
      <c r="X12" s="447">
        <f t="shared" si="1"/>
        <v>0</v>
      </c>
      <c r="Z12" s="375" t="str">
        <f>'6'!Z12</f>
        <v>ZAHEER</v>
      </c>
      <c r="AA12" s="464">
        <f>'6'!AE12</f>
        <v>0</v>
      </c>
      <c r="AB12" s="460"/>
      <c r="AC12" s="462">
        <f t="shared" si="2"/>
        <v>0</v>
      </c>
      <c r="AD12" s="469"/>
      <c r="AE12" s="348">
        <f t="shared" si="3"/>
        <v>0</v>
      </c>
      <c r="AF12" s="563">
        <f>'6'!AF12+'7'!AB12</f>
        <v>0</v>
      </c>
      <c r="AG12" s="234">
        <f>'6'!AG12+'7'!AD12</f>
        <v>0</v>
      </c>
      <c r="AI12" s="1031"/>
      <c r="AJ12" s="1032"/>
    </row>
    <row r="13" spans="1:36" ht="27" customHeight="1">
      <c r="A13" s="718"/>
      <c r="B13" s="528"/>
      <c r="C13" s="350"/>
      <c r="D13" s="550"/>
      <c r="F13" s="479" t="str">
        <f>'6'!F13</f>
        <v>QASIM ORANGI</v>
      </c>
      <c r="G13" s="406">
        <f>'CUSTOMERS REPORT'!Y215</f>
        <v>0</v>
      </c>
      <c r="H13" s="504">
        <f>'CUSTOMERS REPORT'!Z215</f>
        <v>0</v>
      </c>
      <c r="I13" s="406">
        <f>'CUSTOMERS REPORT'!AA215</f>
        <v>0</v>
      </c>
      <c r="J13" s="498">
        <f>'CUSTOMERS REPORT'!AB215</f>
        <v>0</v>
      </c>
      <c r="K13" s="498">
        <f>'CUSTOMERS REPORT'!AC215</f>
        <v>0</v>
      </c>
      <c r="L13" s="509">
        <f>'CUSTOMERS REPORT'!AD215</f>
        <v>0</v>
      </c>
      <c r="M13" s="414">
        <f>'6'!M13+'7'!G13</f>
        <v>0</v>
      </c>
      <c r="N13" s="412">
        <f>'6'!N13+'7'!J13</f>
        <v>0</v>
      </c>
      <c r="P13" s="433"/>
      <c r="Q13" s="437"/>
      <c r="S13" s="400" t="str">
        <f>'6'!S13</f>
        <v>VANILLA</v>
      </c>
      <c r="T13" s="446">
        <f>'6'!X13</f>
        <v>0</v>
      </c>
      <c r="U13" s="456"/>
      <c r="V13" s="451">
        <f t="shared" si="0"/>
        <v>0</v>
      </c>
      <c r="W13" s="451"/>
      <c r="X13" s="447">
        <f t="shared" si="1"/>
        <v>0</v>
      </c>
      <c r="Z13" s="375" t="str">
        <f>'6'!Z13</f>
        <v>FAISAL</v>
      </c>
      <c r="AA13" s="464">
        <f>'6'!AE13</f>
        <v>0</v>
      </c>
      <c r="AB13" s="460"/>
      <c r="AC13" s="462">
        <f t="shared" si="2"/>
        <v>0</v>
      </c>
      <c r="AD13" s="469"/>
      <c r="AE13" s="348">
        <f t="shared" si="3"/>
        <v>0</v>
      </c>
      <c r="AF13" s="563">
        <f>'6'!AF13+'7'!AB13</f>
        <v>0</v>
      </c>
      <c r="AG13" s="234">
        <f>'6'!AG13+'7'!AD13</f>
        <v>0</v>
      </c>
      <c r="AI13" s="1031"/>
      <c r="AJ13" s="1032"/>
    </row>
    <row r="14" spans="1:36" ht="27" customHeight="1">
      <c r="A14" s="718"/>
      <c r="B14" s="528"/>
      <c r="C14" s="350"/>
      <c r="D14" s="550"/>
      <c r="F14" s="479" t="str">
        <f>'6'!F14</f>
        <v>BADSHAH KHAN HYD</v>
      </c>
      <c r="G14" s="406">
        <f>'CUSTOMERS REPORT'!Y252</f>
        <v>0</v>
      </c>
      <c r="H14" s="504">
        <f>'CUSTOMERS REPORT'!Z252</f>
        <v>0</v>
      </c>
      <c r="I14" s="406">
        <f>'CUSTOMERS REPORT'!AA252</f>
        <v>0</v>
      </c>
      <c r="J14" s="498">
        <f>'CUSTOMERS REPORT'!AB252</f>
        <v>0</v>
      </c>
      <c r="K14" s="498">
        <f>'CUSTOMERS REPORT'!AC252</f>
        <v>0</v>
      </c>
      <c r="L14" s="509">
        <f>'CUSTOMERS REPORT'!AD252</f>
        <v>0</v>
      </c>
      <c r="M14" s="414">
        <f>'6'!M14+'7'!G14</f>
        <v>0</v>
      </c>
      <c r="N14" s="412">
        <f>'6'!N14+'7'!J14</f>
        <v>0</v>
      </c>
      <c r="P14" s="433"/>
      <c r="Q14" s="437"/>
      <c r="S14" s="400" t="str">
        <f>'6'!S14</f>
        <v>COLOUR</v>
      </c>
      <c r="T14" s="446">
        <f>'6'!X14</f>
        <v>0</v>
      </c>
      <c r="U14" s="456"/>
      <c r="V14" s="451">
        <f t="shared" si="0"/>
        <v>0</v>
      </c>
      <c r="W14" s="451"/>
      <c r="X14" s="447">
        <f t="shared" si="1"/>
        <v>0</v>
      </c>
      <c r="Z14" s="375" t="str">
        <f>'6'!Z14</f>
        <v>RANA EKKA</v>
      </c>
      <c r="AA14" s="464">
        <f>'6'!AE14</f>
        <v>0</v>
      </c>
      <c r="AB14" s="460"/>
      <c r="AC14" s="462">
        <f t="shared" si="2"/>
        <v>0</v>
      </c>
      <c r="AD14" s="469"/>
      <c r="AE14" s="348">
        <f t="shared" si="3"/>
        <v>0</v>
      </c>
      <c r="AF14" s="563">
        <f>'6'!AF14+'7'!AB14</f>
        <v>0</v>
      </c>
      <c r="AG14" s="234">
        <f>'6'!AG14+'7'!AD14</f>
        <v>0</v>
      </c>
      <c r="AI14" s="1031"/>
      <c r="AJ14" s="1032"/>
    </row>
    <row r="15" spans="1:36" ht="27" customHeight="1">
      <c r="A15" s="718"/>
      <c r="B15" s="528"/>
      <c r="C15" s="350"/>
      <c r="D15" s="550"/>
      <c r="F15" s="479" t="str">
        <f>'6'!F15</f>
        <v>SHAMOON</v>
      </c>
      <c r="G15" s="406">
        <f>'CUSTOMERS REPORT'!Y292</f>
        <v>0</v>
      </c>
      <c r="H15" s="504">
        <f>'CUSTOMERS REPORT'!Z292</f>
        <v>0</v>
      </c>
      <c r="I15" s="406">
        <f>'CUSTOMERS REPORT'!AA292</f>
        <v>0</v>
      </c>
      <c r="J15" s="498">
        <f>'CUSTOMERS REPORT'!AB292</f>
        <v>0</v>
      </c>
      <c r="K15" s="498">
        <f>'CUSTOMERS REPORT'!AC292</f>
        <v>0</v>
      </c>
      <c r="L15" s="509">
        <f>'CUSTOMERS REPORT'!AD292</f>
        <v>0</v>
      </c>
      <c r="M15" s="414">
        <f>'6'!M15+'7'!G15</f>
        <v>0</v>
      </c>
      <c r="N15" s="412">
        <f>'6'!N15+'7'!J15</f>
        <v>0</v>
      </c>
      <c r="P15" s="433"/>
      <c r="Q15" s="437"/>
      <c r="S15" s="400" t="str">
        <f>'6'!S15</f>
        <v>TILL</v>
      </c>
      <c r="T15" s="446">
        <f>'6'!X15</f>
        <v>0</v>
      </c>
      <c r="U15" s="456"/>
      <c r="V15" s="451">
        <f t="shared" si="0"/>
        <v>0</v>
      </c>
      <c r="W15" s="451"/>
      <c r="X15" s="447">
        <f t="shared" si="1"/>
        <v>0</v>
      </c>
      <c r="Z15" s="375" t="str">
        <f>'6'!Z15</f>
        <v>sheeba</v>
      </c>
      <c r="AA15" s="464">
        <f>'6'!AE15</f>
        <v>0</v>
      </c>
      <c r="AB15" s="460"/>
      <c r="AC15" s="462">
        <f t="shared" si="2"/>
        <v>0</v>
      </c>
      <c r="AD15" s="469"/>
      <c r="AE15" s="348">
        <f t="shared" si="3"/>
        <v>0</v>
      </c>
      <c r="AF15" s="563">
        <f>'6'!AF15+'7'!AB15</f>
        <v>0</v>
      </c>
      <c r="AG15" s="234">
        <f>'6'!AG15+'7'!AD15</f>
        <v>0</v>
      </c>
      <c r="AI15" s="1031"/>
      <c r="AJ15" s="1032"/>
    </row>
    <row r="16" spans="1:36" ht="27" customHeight="1">
      <c r="A16" s="718"/>
      <c r="B16" s="528"/>
      <c r="C16" s="350"/>
      <c r="D16" s="550"/>
      <c r="F16" s="479" t="str">
        <f>'6'!F16</f>
        <v>MATEEN</v>
      </c>
      <c r="G16" s="406">
        <f>'CUSTOMERS REPORT'!Y333</f>
        <v>0</v>
      </c>
      <c r="H16" s="504">
        <f>'CUSTOMERS REPORT'!Z333</f>
        <v>0</v>
      </c>
      <c r="I16" s="406">
        <f>'CUSTOMERS REPORT'!AA333</f>
        <v>0</v>
      </c>
      <c r="J16" s="498">
        <f>'CUSTOMERS REPORT'!AB333</f>
        <v>0</v>
      </c>
      <c r="K16" s="498">
        <f>'CUSTOMERS REPORT'!AC333</f>
        <v>0</v>
      </c>
      <c r="L16" s="509">
        <f>'CUSTOMERS REPORT'!AD333</f>
        <v>0</v>
      </c>
      <c r="M16" s="414">
        <f>'6'!M16+'7'!G16</f>
        <v>0</v>
      </c>
      <c r="N16" s="412">
        <f>'6'!N16+'7'!J16</f>
        <v>0</v>
      </c>
      <c r="P16" s="433"/>
      <c r="Q16" s="437"/>
      <c r="S16" s="400" t="str">
        <f>'6'!S16</f>
        <v>ILLAICHI</v>
      </c>
      <c r="T16" s="446">
        <f>'6'!X16</f>
        <v>0</v>
      </c>
      <c r="U16" s="456"/>
      <c r="V16" s="451">
        <f t="shared" si="0"/>
        <v>0</v>
      </c>
      <c r="W16" s="451"/>
      <c r="X16" s="447">
        <f t="shared" si="1"/>
        <v>0</v>
      </c>
      <c r="Z16" s="375" t="str">
        <f>'6'!Z16</f>
        <v>COTTON</v>
      </c>
      <c r="AA16" s="464">
        <f>'6'!AE16</f>
        <v>0</v>
      </c>
      <c r="AB16" s="460"/>
      <c r="AC16" s="462">
        <f t="shared" si="2"/>
        <v>0</v>
      </c>
      <c r="AD16" s="469"/>
      <c r="AE16" s="348">
        <f t="shared" si="3"/>
        <v>0</v>
      </c>
      <c r="AF16" s="563">
        <f>'6'!AF16+'7'!AB16</f>
        <v>0</v>
      </c>
      <c r="AG16" s="234">
        <f>'6'!AG16+'7'!AD16</f>
        <v>0</v>
      </c>
      <c r="AI16" s="1031"/>
      <c r="AJ16" s="1032"/>
    </row>
    <row r="17" spans="1:36" ht="27" customHeight="1">
      <c r="A17" s="718"/>
      <c r="B17" s="528"/>
      <c r="C17" s="350"/>
      <c r="D17" s="550"/>
      <c r="F17" s="479" t="str">
        <f>'6'!F17</f>
        <v>AMJAD ORANGI</v>
      </c>
      <c r="G17" s="406">
        <f>'CUSTOMERS REPORT'!Y375</f>
        <v>0</v>
      </c>
      <c r="H17" s="504">
        <f>'CUSTOMERS REPORT'!Z375</f>
        <v>0</v>
      </c>
      <c r="I17" s="406">
        <f>'CUSTOMERS REPORT'!AA375</f>
        <v>0</v>
      </c>
      <c r="J17" s="498">
        <f>'CUSTOMERS REPORT'!AB375</f>
        <v>0</v>
      </c>
      <c r="K17" s="498">
        <f>'CUSTOMERS REPORT'!AC375</f>
        <v>0</v>
      </c>
      <c r="L17" s="509">
        <f>'CUSTOMERS REPORT'!AD375</f>
        <v>0</v>
      </c>
      <c r="M17" s="414">
        <f>'6'!M17+'7'!G17</f>
        <v>0</v>
      </c>
      <c r="N17" s="412">
        <f>'6'!N17+'7'!J17</f>
        <v>0</v>
      </c>
      <c r="P17" s="433"/>
      <c r="Q17" s="437"/>
      <c r="S17" s="400" t="str">
        <f>'6'!S17</f>
        <v>S-THELLI</v>
      </c>
      <c r="T17" s="446">
        <f>'6'!X17</f>
        <v>0</v>
      </c>
      <c r="U17" s="456"/>
      <c r="V17" s="451">
        <f t="shared" si="0"/>
        <v>0</v>
      </c>
      <c r="W17" s="451"/>
      <c r="X17" s="447">
        <f t="shared" si="1"/>
        <v>0</v>
      </c>
      <c r="Z17" s="375" t="str">
        <f>'6'!Z17</f>
        <v>SHAHID UP</v>
      </c>
      <c r="AA17" s="464">
        <f>'6'!AE17</f>
        <v>0</v>
      </c>
      <c r="AB17" s="460"/>
      <c r="AC17" s="462">
        <f t="shared" si="2"/>
        <v>0</v>
      </c>
      <c r="AD17" s="469"/>
      <c r="AE17" s="348">
        <f t="shared" si="3"/>
        <v>0</v>
      </c>
      <c r="AF17" s="563">
        <f>'6'!AF17+'7'!AB17</f>
        <v>0</v>
      </c>
      <c r="AG17" s="234">
        <f>'6'!AG17+'7'!AD17</f>
        <v>0</v>
      </c>
      <c r="AI17" s="1031"/>
      <c r="AJ17" s="1032"/>
    </row>
    <row r="18" spans="1:36" ht="27" customHeight="1">
      <c r="A18" s="718"/>
      <c r="B18" s="528"/>
      <c r="C18" s="350"/>
      <c r="D18" s="550"/>
      <c r="F18" s="479" t="str">
        <f>'6'!F18</f>
        <v>HAFIZ DRIVER</v>
      </c>
      <c r="G18" s="406">
        <f>'CUSTOMERS REPORT'!Y414</f>
        <v>0</v>
      </c>
      <c r="H18" s="504">
        <f>'CUSTOMERS REPORT'!Z414</f>
        <v>0</v>
      </c>
      <c r="I18" s="406">
        <f>'CUSTOMERS REPORT'!AA414</f>
        <v>0</v>
      </c>
      <c r="J18" s="498">
        <f>'CUSTOMERS REPORT'!AB414</f>
        <v>0</v>
      </c>
      <c r="K18" s="498">
        <f>'CUSTOMERS REPORT'!AC414</f>
        <v>0</v>
      </c>
      <c r="L18" s="509">
        <f>'CUSTOMERS REPORT'!AD414</f>
        <v>0</v>
      </c>
      <c r="M18" s="414">
        <f>'6'!M18+'7'!G18</f>
        <v>0</v>
      </c>
      <c r="N18" s="412">
        <f>'6'!N18+'7'!J18</f>
        <v>0</v>
      </c>
      <c r="P18" s="433"/>
      <c r="Q18" s="437"/>
      <c r="S18" s="400" t="str">
        <f>'6'!S18</f>
        <v>P-THELLI</v>
      </c>
      <c r="T18" s="446">
        <f>'6'!X18</f>
        <v>0</v>
      </c>
      <c r="U18" s="456"/>
      <c r="V18" s="451">
        <f t="shared" si="0"/>
        <v>0</v>
      </c>
      <c r="W18" s="451"/>
      <c r="X18" s="447">
        <f t="shared" si="1"/>
        <v>0</v>
      </c>
      <c r="Z18" s="375" t="str">
        <f>'6'!Z18</f>
        <v>SALT</v>
      </c>
      <c r="AA18" s="464">
        <f>'6'!AE18</f>
        <v>0</v>
      </c>
      <c r="AB18" s="460"/>
      <c r="AC18" s="462">
        <f t="shared" si="2"/>
        <v>0</v>
      </c>
      <c r="AD18" s="469"/>
      <c r="AE18" s="348">
        <f t="shared" si="3"/>
        <v>0</v>
      </c>
      <c r="AF18" s="563">
        <f>'6'!AF18+'7'!AB18</f>
        <v>0</v>
      </c>
      <c r="AG18" s="234">
        <f>'6'!AG18+'7'!AD18</f>
        <v>0</v>
      </c>
      <c r="AI18" s="1031"/>
      <c r="AJ18" s="1032"/>
    </row>
    <row r="19" spans="1:36" ht="27" customHeight="1" thickBot="1">
      <c r="A19" s="719"/>
      <c r="B19" s="529"/>
      <c r="C19" s="350"/>
      <c r="D19" s="550"/>
      <c r="F19" s="479" t="str">
        <f>'6'!F19</f>
        <v>GHULAM QUETTA</v>
      </c>
      <c r="G19" s="406">
        <f>'CUSTOMERS REPORT'!Y452</f>
        <v>0</v>
      </c>
      <c r="H19" s="504">
        <f>'CUSTOMERS REPORT'!Z452</f>
        <v>0</v>
      </c>
      <c r="I19" s="406">
        <f>'CUSTOMERS REPORT'!AA452</f>
        <v>0</v>
      </c>
      <c r="J19" s="498">
        <f>'CUSTOMERS REPORT'!AB452</f>
        <v>0</v>
      </c>
      <c r="K19" s="498">
        <f>'CUSTOMERS REPORT'!AC452</f>
        <v>0</v>
      </c>
      <c r="L19" s="509">
        <f>'CUSTOMERS REPORT'!AD452</f>
        <v>0</v>
      </c>
      <c r="M19" s="414">
        <f>'6'!M19+'7'!G19</f>
        <v>0</v>
      </c>
      <c r="N19" s="412">
        <f>'6'!N19+'7'!J19</f>
        <v>0</v>
      </c>
      <c r="P19" s="433"/>
      <c r="Q19" s="437"/>
      <c r="S19" s="400" t="str">
        <f>'6'!S19</f>
        <v>RUBBER</v>
      </c>
      <c r="T19" s="446">
        <f>'6'!X19</f>
        <v>0</v>
      </c>
      <c r="U19" s="456"/>
      <c r="V19" s="451">
        <f t="shared" si="0"/>
        <v>0</v>
      </c>
      <c r="W19" s="451"/>
      <c r="X19" s="447">
        <f t="shared" si="1"/>
        <v>0</v>
      </c>
      <c r="Z19" s="375" t="str">
        <f>'6'!Z19</f>
        <v>NAVEED</v>
      </c>
      <c r="AA19" s="464">
        <f>'6'!AE19</f>
        <v>0</v>
      </c>
      <c r="AB19" s="460"/>
      <c r="AC19" s="462">
        <f t="shared" si="2"/>
        <v>0</v>
      </c>
      <c r="AD19" s="469"/>
      <c r="AE19" s="348">
        <f t="shared" si="3"/>
        <v>0</v>
      </c>
      <c r="AF19" s="563">
        <f>'6'!AF19+'7'!AB19</f>
        <v>0</v>
      </c>
      <c r="AG19" s="234">
        <f>'6'!AG19+'7'!AD19</f>
        <v>0</v>
      </c>
    </row>
    <row r="20" spans="1:36" ht="27" customHeight="1" thickTop="1" thickBot="1">
      <c r="A20" s="719"/>
      <c r="B20" s="529"/>
      <c r="C20" s="350"/>
      <c r="D20" s="550"/>
      <c r="F20" s="479" t="str">
        <f>'6'!F20</f>
        <v>HUSSAN GWADAR</v>
      </c>
      <c r="G20" s="406">
        <f>'CUSTOMERS REPORT'!Y488</f>
        <v>0</v>
      </c>
      <c r="H20" s="504">
        <f>'CUSTOMERS REPORT'!Z488</f>
        <v>0</v>
      </c>
      <c r="I20" s="406">
        <f>'CUSTOMERS REPORT'!AA488</f>
        <v>0</v>
      </c>
      <c r="J20" s="498">
        <f>'CUSTOMERS REPORT'!AB488</f>
        <v>0</v>
      </c>
      <c r="K20" s="498">
        <f>'CUSTOMERS REPORT'!AC488</f>
        <v>0</v>
      </c>
      <c r="L20" s="509">
        <f>'CUSTOMERS REPORT'!AD488</f>
        <v>0</v>
      </c>
      <c r="M20" s="414">
        <f>'6'!M20+'7'!G20</f>
        <v>0</v>
      </c>
      <c r="N20" s="412">
        <f>'6'!N20+'7'!J20</f>
        <v>0</v>
      </c>
      <c r="P20" s="433"/>
      <c r="Q20" s="437"/>
      <c r="S20" s="400" t="str">
        <f>'6'!S20</f>
        <v>SALT</v>
      </c>
      <c r="T20" s="446">
        <f>'6'!X20</f>
        <v>0</v>
      </c>
      <c r="U20" s="456"/>
      <c r="V20" s="451">
        <f t="shared" si="0"/>
        <v>0</v>
      </c>
      <c r="W20" s="451"/>
      <c r="X20" s="447">
        <f t="shared" si="1"/>
        <v>0</v>
      </c>
      <c r="Z20" s="375" t="str">
        <f>'6'!Z20</f>
        <v>YOUSUF BHAI</v>
      </c>
      <c r="AA20" s="464">
        <f>'6'!AE20</f>
        <v>0</v>
      </c>
      <c r="AB20" s="460"/>
      <c r="AC20" s="462">
        <f t="shared" si="2"/>
        <v>0</v>
      </c>
      <c r="AD20" s="469"/>
      <c r="AE20" s="348">
        <f t="shared" si="3"/>
        <v>0</v>
      </c>
      <c r="AF20" s="563">
        <f>'6'!AF20+'7'!AB20</f>
        <v>0</v>
      </c>
      <c r="AG20" s="234">
        <f>'6'!AG20+'7'!AD20</f>
        <v>0</v>
      </c>
      <c r="AI20" s="1487" t="s">
        <v>132</v>
      </c>
      <c r="AJ20" s="1488"/>
    </row>
    <row r="21" spans="1:36" ht="27" customHeight="1" thickTop="1" thickBot="1">
      <c r="A21" s="720"/>
      <c r="B21" s="530"/>
      <c r="C21" s="531"/>
      <c r="D21" s="553"/>
      <c r="F21" s="479" t="str">
        <f>'6'!F21</f>
        <v>AQASH S KOT</v>
      </c>
      <c r="G21" s="406">
        <f>'CUSTOMERS REPORT'!Y525</f>
        <v>0</v>
      </c>
      <c r="H21" s="504">
        <f>'CUSTOMERS REPORT'!Z525</f>
        <v>0</v>
      </c>
      <c r="I21" s="406">
        <f>'CUSTOMERS REPORT'!AA525</f>
        <v>0</v>
      </c>
      <c r="J21" s="498">
        <f>'CUSTOMERS REPORT'!AB525</f>
        <v>0</v>
      </c>
      <c r="K21" s="498">
        <f>'CUSTOMERS REPORT'!AC525</f>
        <v>0</v>
      </c>
      <c r="L21" s="509">
        <f>'CUSTOMERS REPORT'!AD525</f>
        <v>0</v>
      </c>
      <c r="M21" s="414">
        <f>'6'!M21+'7'!G21</f>
        <v>0</v>
      </c>
      <c r="N21" s="412">
        <f>'6'!N21+'7'!J21</f>
        <v>0</v>
      </c>
      <c r="P21" s="433"/>
      <c r="Q21" s="435"/>
      <c r="S21" s="400" t="str">
        <f>'6'!S21</f>
        <v>TAPE</v>
      </c>
      <c r="T21" s="446">
        <f>'6'!X21</f>
        <v>0</v>
      </c>
      <c r="U21" s="456"/>
      <c r="V21" s="451">
        <f t="shared" si="0"/>
        <v>0</v>
      </c>
      <c r="W21" s="451"/>
      <c r="X21" s="447">
        <f t="shared" si="1"/>
        <v>0</v>
      </c>
      <c r="Z21" s="375" t="str">
        <f>'6'!Z21</f>
        <v>SULEMAN  PRINT</v>
      </c>
      <c r="AA21" s="464">
        <f>'6'!AE21</f>
        <v>0</v>
      </c>
      <c r="AB21" s="460"/>
      <c r="AC21" s="462">
        <f t="shared" si="2"/>
        <v>0</v>
      </c>
      <c r="AD21" s="469"/>
      <c r="AE21" s="348">
        <f t="shared" si="3"/>
        <v>0</v>
      </c>
      <c r="AF21" s="563">
        <f>'6'!AF21+'7'!AB21</f>
        <v>0</v>
      </c>
      <c r="AG21" s="234">
        <f>'6'!AG21+'7'!AD21</f>
        <v>0</v>
      </c>
      <c r="AI21" s="391" t="s">
        <v>126</v>
      </c>
      <c r="AJ21" s="392">
        <f>'6'!AJ23</f>
        <v>0</v>
      </c>
    </row>
    <row r="22" spans="1:36" ht="27" customHeight="1" thickTop="1" thickBot="1">
      <c r="A22" s="486" t="s">
        <v>74</v>
      </c>
      <c r="B22" s="533">
        <f>SUM(B8:B21)</f>
        <v>0</v>
      </c>
      <c r="C22" s="534">
        <f>'6'!D22</f>
        <v>0</v>
      </c>
      <c r="D22" s="535">
        <f t="shared" ref="D22" si="4">B22+C22</f>
        <v>0</v>
      </c>
      <c r="F22" s="479" t="str">
        <f>'6'!F22</f>
        <v>SALEEM T JAM</v>
      </c>
      <c r="G22" s="406">
        <f>'CUSTOMERS REPORT'!Y563</f>
        <v>0</v>
      </c>
      <c r="H22" s="504">
        <f>'CUSTOMERS REPORT'!Z563</f>
        <v>0</v>
      </c>
      <c r="I22" s="406">
        <f>'CUSTOMERS REPORT'!AA563</f>
        <v>0</v>
      </c>
      <c r="J22" s="498">
        <f>'CUSTOMERS REPORT'!AB563</f>
        <v>0</v>
      </c>
      <c r="K22" s="498">
        <f>'CUSTOMERS REPORT'!AC563</f>
        <v>0</v>
      </c>
      <c r="L22" s="509">
        <f>'CUSTOMERS REPORT'!AD563</f>
        <v>0</v>
      </c>
      <c r="M22" s="414">
        <f>'6'!M22+'7'!G22</f>
        <v>0</v>
      </c>
      <c r="N22" s="412">
        <f>'6'!N22+'7'!J22</f>
        <v>0</v>
      </c>
      <c r="P22" s="433"/>
      <c r="Q22" s="438"/>
      <c r="S22" s="400" t="str">
        <f>'6'!S22</f>
        <v>COTTON</v>
      </c>
      <c r="T22" s="446">
        <f>'6'!X22</f>
        <v>0</v>
      </c>
      <c r="U22" s="456"/>
      <c r="V22" s="451">
        <f t="shared" si="0"/>
        <v>0</v>
      </c>
      <c r="W22" s="451"/>
      <c r="X22" s="447">
        <f t="shared" si="1"/>
        <v>0</v>
      </c>
      <c r="Z22" s="375" t="str">
        <f>'6'!Z22</f>
        <v>IRFAN VANILA</v>
      </c>
      <c r="AA22" s="464">
        <f>'6'!AE22</f>
        <v>0</v>
      </c>
      <c r="AB22" s="460"/>
      <c r="AC22" s="462">
        <f t="shared" si="2"/>
        <v>0</v>
      </c>
      <c r="AD22" s="469"/>
      <c r="AE22" s="348">
        <f t="shared" si="3"/>
        <v>0</v>
      </c>
      <c r="AF22" s="563">
        <f>'6'!AF22+'7'!AB22</f>
        <v>0</v>
      </c>
      <c r="AG22" s="234">
        <f>'6'!AG22+'7'!AD22</f>
        <v>0</v>
      </c>
      <c r="AI22" s="393">
        <f>R56</f>
        <v>0</v>
      </c>
      <c r="AJ22" s="394">
        <f>R56*1800</f>
        <v>0</v>
      </c>
    </row>
    <row r="23" spans="1:36" ht="27" customHeight="1" thickTop="1" thickBot="1">
      <c r="A23" s="715" t="str">
        <f>'6'!A23</f>
        <v>OFFICE FOOD</v>
      </c>
      <c r="B23" s="462"/>
      <c r="C23" s="536">
        <f>'6'!D23</f>
        <v>0</v>
      </c>
      <c r="D23" s="537">
        <f t="shared" ref="D23:D48" si="5">B23+C23</f>
        <v>0</v>
      </c>
      <c r="F23" s="479" t="str">
        <f>'6'!F23</f>
        <v>JAMSHAD BADEEN</v>
      </c>
      <c r="G23" s="406">
        <f>'CUSTOMERS REPORT'!Y599</f>
        <v>0</v>
      </c>
      <c r="H23" s="504">
        <f>'CUSTOMERS REPORT'!Z599</f>
        <v>0</v>
      </c>
      <c r="I23" s="406">
        <f>'CUSTOMERS REPORT'!AA599</f>
        <v>0</v>
      </c>
      <c r="J23" s="498">
        <f>'CUSTOMERS REPORT'!AB599</f>
        <v>0</v>
      </c>
      <c r="K23" s="498">
        <f>'CUSTOMERS REPORT'!AC599</f>
        <v>0</v>
      </c>
      <c r="L23" s="509">
        <f>'CUSTOMERS REPORT'!AD599</f>
        <v>0</v>
      </c>
      <c r="M23" s="414">
        <f>'6'!M23+'7'!G23</f>
        <v>0</v>
      </c>
      <c r="N23" s="412">
        <f>'6'!N23+'7'!J23</f>
        <v>0</v>
      </c>
      <c r="P23" s="190" t="s">
        <v>48</v>
      </c>
      <c r="Q23" s="439">
        <f>SUM(Q8:Q22)</f>
        <v>0</v>
      </c>
      <c r="S23" s="400" t="str">
        <f>'6'!S23</f>
        <v>WHITE 6</v>
      </c>
      <c r="T23" s="446">
        <f>'6'!X23</f>
        <v>0</v>
      </c>
      <c r="U23" s="456"/>
      <c r="V23" s="451">
        <f t="shared" si="0"/>
        <v>0</v>
      </c>
      <c r="W23" s="451"/>
      <c r="X23" s="447">
        <f t="shared" si="1"/>
        <v>0</v>
      </c>
      <c r="Z23" s="375" t="str">
        <f>'6'!Z23</f>
        <v>IRANI GHEE</v>
      </c>
      <c r="AA23" s="464">
        <f>'6'!AE23</f>
        <v>0</v>
      </c>
      <c r="AB23" s="460"/>
      <c r="AC23" s="462">
        <f t="shared" si="2"/>
        <v>0</v>
      </c>
      <c r="AD23" s="469"/>
      <c r="AE23" s="348">
        <f t="shared" si="3"/>
        <v>0</v>
      </c>
      <c r="AF23" s="563">
        <f>'6'!AF23+'7'!AB23</f>
        <v>0</v>
      </c>
      <c r="AG23" s="234">
        <f>'6'!AG23+'7'!AD23</f>
        <v>0</v>
      </c>
      <c r="AI23" s="395" t="s">
        <v>74</v>
      </c>
      <c r="AJ23" s="396">
        <f>AJ21+AJ22</f>
        <v>0</v>
      </c>
    </row>
    <row r="24" spans="1:36" ht="27" customHeight="1" thickTop="1" thickBot="1">
      <c r="A24" s="715" t="str">
        <f>'6'!A24</f>
        <v>LABOUR FOOD EXP</v>
      </c>
      <c r="B24" s="234"/>
      <c r="C24" s="348">
        <f>'6'!D24</f>
        <v>0</v>
      </c>
      <c r="D24" s="234">
        <f t="shared" si="5"/>
        <v>0</v>
      </c>
      <c r="F24" s="479" t="str">
        <f>'6'!F24</f>
        <v>SARFAZ MP</v>
      </c>
      <c r="G24" s="406">
        <f>'CUSTOMERS REPORT'!Y637</f>
        <v>0</v>
      </c>
      <c r="H24" s="504">
        <f>'CUSTOMERS REPORT'!Z637</f>
        <v>0</v>
      </c>
      <c r="I24" s="406">
        <f>'CUSTOMERS REPORT'!AA637</f>
        <v>0</v>
      </c>
      <c r="J24" s="498">
        <f>'CUSTOMERS REPORT'!AB637</f>
        <v>0</v>
      </c>
      <c r="K24" s="498">
        <f>'CUSTOMERS REPORT'!AC637</f>
        <v>0</v>
      </c>
      <c r="L24" s="509">
        <f>'CUSTOMERS REPORT'!AD637</f>
        <v>0</v>
      </c>
      <c r="M24" s="414">
        <f>'6'!M24+'7'!G24</f>
        <v>0</v>
      </c>
      <c r="N24" s="412">
        <f>'6'!N24+'7'!J24</f>
        <v>0</v>
      </c>
      <c r="P24" s="1514" t="s">
        <v>137</v>
      </c>
      <c r="Q24" s="1514"/>
      <c r="R24" t="s">
        <v>1</v>
      </c>
      <c r="S24" s="400" t="str">
        <f>'6'!S24</f>
        <v>ORANGE</v>
      </c>
      <c r="T24" s="446">
        <f>'6'!X24</f>
        <v>0</v>
      </c>
      <c r="U24" s="456"/>
      <c r="V24" s="451">
        <f t="shared" si="0"/>
        <v>0</v>
      </c>
      <c r="W24" s="451"/>
      <c r="X24" s="447">
        <f t="shared" si="1"/>
        <v>0</v>
      </c>
      <c r="Z24" s="375">
        <f>'6'!Z24</f>
        <v>0</v>
      </c>
      <c r="AA24" s="464">
        <f>'6'!AE24</f>
        <v>0</v>
      </c>
      <c r="AB24" s="460"/>
      <c r="AC24" s="462">
        <f t="shared" si="2"/>
        <v>0</v>
      </c>
      <c r="AD24" s="469"/>
      <c r="AE24" s="348">
        <f t="shared" si="3"/>
        <v>0</v>
      </c>
      <c r="AF24" s="563">
        <f>'6'!AF24+'7'!AB24</f>
        <v>0</v>
      </c>
      <c r="AG24" s="234">
        <f>'6'!AG24+'7'!AD24</f>
        <v>0</v>
      </c>
    </row>
    <row r="25" spans="1:36" ht="27" customHeight="1" thickTop="1" thickBot="1">
      <c r="A25" s="715" t="str">
        <f>'6'!A25</f>
        <v>OFFICE SALARY</v>
      </c>
      <c r="B25" s="234">
        <f>ATTENDANCE!O28</f>
        <v>0</v>
      </c>
      <c r="C25" s="348">
        <f>'6'!D25</f>
        <v>0</v>
      </c>
      <c r="D25" s="234">
        <f t="shared" si="5"/>
        <v>0</v>
      </c>
      <c r="F25" s="479" t="str">
        <f>'6'!F25</f>
        <v>AFZAL MATLI</v>
      </c>
      <c r="G25" s="406">
        <f>'CUSTOMERS REPORT'!Y675</f>
        <v>0</v>
      </c>
      <c r="H25" s="504">
        <f>'CUSTOMERS REPORT'!Z675</f>
        <v>0</v>
      </c>
      <c r="I25" s="406">
        <f>'CUSTOMERS REPORT'!AA675</f>
        <v>0</v>
      </c>
      <c r="J25" s="498">
        <f>'CUSTOMERS REPORT'!AB675</f>
        <v>0</v>
      </c>
      <c r="K25" s="498">
        <f>'CUSTOMERS REPORT'!AC675</f>
        <v>0</v>
      </c>
      <c r="L25" s="509">
        <f>'CUSTOMERS REPORT'!AD675</f>
        <v>0</v>
      </c>
      <c r="M25" s="414">
        <f>'6'!M25+'7'!G25</f>
        <v>0</v>
      </c>
      <c r="N25" s="412">
        <f>'6'!N25+'7'!J25</f>
        <v>0</v>
      </c>
      <c r="P25" s="434"/>
      <c r="Q25" s="440"/>
      <c r="S25" s="400" t="str">
        <f>'6'!S25</f>
        <v>MAKKI 7</v>
      </c>
      <c r="T25" s="446">
        <f>'6'!X25</f>
        <v>0</v>
      </c>
      <c r="U25" s="456"/>
      <c r="V25" s="451">
        <f t="shared" si="0"/>
        <v>0</v>
      </c>
      <c r="W25" s="451"/>
      <c r="X25" s="447">
        <f t="shared" si="1"/>
        <v>0</v>
      </c>
      <c r="Z25" s="375">
        <f>'6'!Z25</f>
        <v>0</v>
      </c>
      <c r="AA25" s="464">
        <f>'6'!AE25</f>
        <v>0</v>
      </c>
      <c r="AB25" s="734">
        <f>U39*490</f>
        <v>0</v>
      </c>
      <c r="AC25" s="462">
        <f t="shared" si="2"/>
        <v>0</v>
      </c>
      <c r="AD25" s="469"/>
      <c r="AE25" s="348">
        <f t="shared" si="3"/>
        <v>0</v>
      </c>
      <c r="AF25" s="563">
        <f>'6'!AF25+'7'!AB25</f>
        <v>0</v>
      </c>
      <c r="AG25" s="234">
        <f>'6'!AG25+'7'!AD25</f>
        <v>0</v>
      </c>
      <c r="AI25" s="397" t="s">
        <v>59</v>
      </c>
      <c r="AJ25" s="398">
        <f>AJ23-AJ10</f>
        <v>0</v>
      </c>
    </row>
    <row r="26" spans="1:36" ht="27" customHeight="1" thickTop="1">
      <c r="A26" s="715" t="str">
        <f>'6'!A26</f>
        <v>LABOUR SALARY</v>
      </c>
      <c r="B26" s="234"/>
      <c r="C26" s="348">
        <f>'6'!D26</f>
        <v>0</v>
      </c>
      <c r="D26" s="234">
        <f t="shared" si="5"/>
        <v>0</v>
      </c>
      <c r="F26" s="479" t="str">
        <f>'6'!F26</f>
        <v xml:space="preserve">ABDUL RASHEED </v>
      </c>
      <c r="G26" s="406">
        <f>'CUSTOMERS REPORT'!Y713</f>
        <v>0</v>
      </c>
      <c r="H26" s="504">
        <f>'CUSTOMERS REPORT'!Z713</f>
        <v>0</v>
      </c>
      <c r="I26" s="406">
        <f>'CUSTOMERS REPORT'!AA713</f>
        <v>0</v>
      </c>
      <c r="J26" s="498">
        <f>'CUSTOMERS REPORT'!AB713</f>
        <v>0</v>
      </c>
      <c r="K26" s="498">
        <f>'CUSTOMERS REPORT'!AC713</f>
        <v>0</v>
      </c>
      <c r="L26" s="509">
        <f>'CUSTOMERS REPORT'!AD713</f>
        <v>0</v>
      </c>
      <c r="M26" s="414">
        <f>'6'!M26+'7'!G26</f>
        <v>0</v>
      </c>
      <c r="N26" s="412">
        <f>'6'!N26+'7'!J26</f>
        <v>0</v>
      </c>
      <c r="P26" s="433"/>
      <c r="Q26" s="438"/>
      <c r="R26" t="s">
        <v>1</v>
      </c>
      <c r="S26" s="400" t="str">
        <f>'6'!S26</f>
        <v>BLUE 125 GM</v>
      </c>
      <c r="T26" s="446">
        <f>'6'!X26</f>
        <v>0</v>
      </c>
      <c r="U26" s="456"/>
      <c r="V26" s="451">
        <f t="shared" si="0"/>
        <v>0</v>
      </c>
      <c r="W26" s="451"/>
      <c r="X26" s="447">
        <f t="shared" si="1"/>
        <v>0</v>
      </c>
      <c r="Z26" s="375">
        <f>'6'!Z26</f>
        <v>0</v>
      </c>
      <c r="AA26" s="464">
        <f>'6'!AE26</f>
        <v>0</v>
      </c>
      <c r="AB26" s="460"/>
      <c r="AC26" s="462">
        <f t="shared" si="2"/>
        <v>0</v>
      </c>
      <c r="AD26" s="469"/>
      <c r="AE26" s="348">
        <f t="shared" si="3"/>
        <v>0</v>
      </c>
      <c r="AF26" s="563">
        <f>'6'!AF26+'7'!AB26</f>
        <v>0</v>
      </c>
      <c r="AG26" s="234">
        <f>'6'!AG26+'7'!AD26</f>
        <v>0</v>
      </c>
    </row>
    <row r="27" spans="1:36" ht="27" customHeight="1">
      <c r="A27" s="715" t="str">
        <f>'6'!A27</f>
        <v>SHAHZORE</v>
      </c>
      <c r="B27" s="234"/>
      <c r="C27" s="348">
        <f>'6'!D27</f>
        <v>0</v>
      </c>
      <c r="D27" s="234">
        <f t="shared" si="5"/>
        <v>0</v>
      </c>
      <c r="F27" s="479" t="str">
        <f>'6'!F27</f>
        <v>SALEEM ORANGI</v>
      </c>
      <c r="G27" s="406">
        <f>'CUSTOMERS REPORT'!Y751</f>
        <v>0</v>
      </c>
      <c r="H27" s="504">
        <f>'CUSTOMERS REPORT'!Z751</f>
        <v>0</v>
      </c>
      <c r="I27" s="406">
        <f>'CUSTOMERS REPORT'!AA751</f>
        <v>0</v>
      </c>
      <c r="J27" s="498">
        <f>'CUSTOMERS REPORT'!AB751</f>
        <v>0</v>
      </c>
      <c r="K27" s="498">
        <f>'CUSTOMERS REPORT'!AC751</f>
        <v>0</v>
      </c>
      <c r="L27" s="509">
        <f>'CUSTOMERS REPORT'!AD751</f>
        <v>0</v>
      </c>
      <c r="M27" s="414">
        <f>'6'!M27+'7'!G27</f>
        <v>0</v>
      </c>
      <c r="N27" s="412">
        <f>'6'!N27+'7'!J27</f>
        <v>0</v>
      </c>
      <c r="P27" s="433"/>
      <c r="Q27" s="435"/>
      <c r="R27" t="s">
        <v>1</v>
      </c>
      <c r="S27" s="400" t="str">
        <f>'6'!S27</f>
        <v>MAKKI 5</v>
      </c>
      <c r="T27" s="446">
        <f>'6'!X27</f>
        <v>0</v>
      </c>
      <c r="U27" s="456"/>
      <c r="V27" s="451">
        <f t="shared" si="0"/>
        <v>0</v>
      </c>
      <c r="W27" s="451"/>
      <c r="X27" s="447">
        <f t="shared" si="1"/>
        <v>0</v>
      </c>
      <c r="Z27" s="375">
        <f>'6'!Z27</f>
        <v>0</v>
      </c>
      <c r="AA27" s="464">
        <f>'6'!AE27</f>
        <v>0</v>
      </c>
      <c r="AB27" s="460"/>
      <c r="AC27" s="462">
        <f t="shared" si="2"/>
        <v>0</v>
      </c>
      <c r="AD27" s="469"/>
      <c r="AE27" s="348">
        <f t="shared" si="3"/>
        <v>0</v>
      </c>
      <c r="AF27" s="563">
        <f>'6'!AF27+'7'!AB27</f>
        <v>0</v>
      </c>
      <c r="AG27" s="234">
        <f>'6'!AG27+'7'!AD27</f>
        <v>0</v>
      </c>
    </row>
    <row r="28" spans="1:36" ht="27" customHeight="1">
      <c r="A28" s="715" t="str">
        <f>'6'!A28</f>
        <v>GENERATOR</v>
      </c>
      <c r="B28" s="234"/>
      <c r="C28" s="348">
        <f>'6'!D28</f>
        <v>0</v>
      </c>
      <c r="D28" s="234">
        <f t="shared" si="5"/>
        <v>0</v>
      </c>
      <c r="F28" s="479" t="str">
        <f>'6'!F28</f>
        <v>AYAZ OUSTA</v>
      </c>
      <c r="G28" s="406">
        <f>'CUSTOMERS REPORT'!Y789</f>
        <v>0</v>
      </c>
      <c r="H28" s="504">
        <f>'CUSTOMERS REPORT'!Z789</f>
        <v>0</v>
      </c>
      <c r="I28" s="406">
        <f>'CUSTOMERS REPORT'!AA789</f>
        <v>0</v>
      </c>
      <c r="J28" s="498">
        <f>'CUSTOMERS REPORT'!AB789</f>
        <v>0</v>
      </c>
      <c r="K28" s="498">
        <f>'CUSTOMERS REPORT'!AC789</f>
        <v>0</v>
      </c>
      <c r="L28" s="509">
        <f>'CUSTOMERS REPORT'!AD789</f>
        <v>0</v>
      </c>
      <c r="M28" s="414">
        <f>'6'!M28+'7'!G28</f>
        <v>0</v>
      </c>
      <c r="N28" s="412">
        <f>'6'!N28+'7'!J28</f>
        <v>0</v>
      </c>
      <c r="P28" s="433"/>
      <c r="Q28" s="438"/>
      <c r="S28" s="400" t="str">
        <f>'6'!S28</f>
        <v>MAKKI 2 PES</v>
      </c>
      <c r="T28" s="446">
        <f>'6'!X28</f>
        <v>0</v>
      </c>
      <c r="U28" s="456"/>
      <c r="V28" s="451">
        <f t="shared" si="0"/>
        <v>0</v>
      </c>
      <c r="W28" s="451"/>
      <c r="X28" s="447">
        <f t="shared" si="1"/>
        <v>0</v>
      </c>
      <c r="Z28" s="375">
        <f>'6'!Z28</f>
        <v>0</v>
      </c>
      <c r="AA28" s="464">
        <f>'6'!AE28</f>
        <v>0</v>
      </c>
      <c r="AB28" s="460"/>
      <c r="AC28" s="462">
        <f t="shared" si="2"/>
        <v>0</v>
      </c>
      <c r="AD28" s="469"/>
      <c r="AE28" s="348">
        <f t="shared" si="3"/>
        <v>0</v>
      </c>
      <c r="AF28" s="563">
        <f>'6'!AF28+'7'!AB28</f>
        <v>0</v>
      </c>
      <c r="AG28" s="234">
        <f>'6'!AG28+'7'!AD28</f>
        <v>0</v>
      </c>
    </row>
    <row r="29" spans="1:36" ht="27" customHeight="1">
      <c r="A29" s="715" t="str">
        <f>'6'!A29</f>
        <v>PATROL FAW</v>
      </c>
      <c r="B29" s="234"/>
      <c r="C29" s="348">
        <f>'6'!D29</f>
        <v>0</v>
      </c>
      <c r="D29" s="234">
        <f t="shared" si="5"/>
        <v>0</v>
      </c>
      <c r="F29" s="479" t="str">
        <f>'6'!F29</f>
        <v>AZHAR BADEEN</v>
      </c>
      <c r="G29" s="406">
        <f>'CUSTOMERS REPORT'!Y827</f>
        <v>0</v>
      </c>
      <c r="H29" s="504">
        <f>'CUSTOMERS REPORT'!Z827</f>
        <v>0</v>
      </c>
      <c r="I29" s="406">
        <f>'CUSTOMERS REPORT'!AA827</f>
        <v>0</v>
      </c>
      <c r="J29" s="498">
        <f>'CUSTOMERS REPORT'!AB827</f>
        <v>0</v>
      </c>
      <c r="K29" s="498">
        <f>'CUSTOMERS REPORT'!AC827</f>
        <v>0</v>
      </c>
      <c r="L29" s="509">
        <f>'CUSTOMERS REPORT'!AD827</f>
        <v>0</v>
      </c>
      <c r="M29" s="414">
        <f>'6'!M29+'7'!G29</f>
        <v>0</v>
      </c>
      <c r="N29" s="412">
        <f>'6'!N29+'7'!J29</f>
        <v>0</v>
      </c>
      <c r="P29" s="433"/>
      <c r="Q29" s="441"/>
      <c r="S29" s="400" t="str">
        <f>'6'!S29</f>
        <v xml:space="preserve">PRIME </v>
      </c>
      <c r="T29" s="446">
        <f>'6'!X29</f>
        <v>0</v>
      </c>
      <c r="U29" s="456"/>
      <c r="V29" s="451">
        <f t="shared" si="0"/>
        <v>0</v>
      </c>
      <c r="W29" s="451"/>
      <c r="X29" s="447">
        <f t="shared" si="1"/>
        <v>0</v>
      </c>
      <c r="Z29" s="375">
        <f>'6'!Z29</f>
        <v>0</v>
      </c>
      <c r="AA29" s="464">
        <f>'6'!AE29</f>
        <v>0</v>
      </c>
      <c r="AB29" s="460"/>
      <c r="AC29" s="462">
        <f t="shared" si="2"/>
        <v>0</v>
      </c>
      <c r="AD29" s="469"/>
      <c r="AE29" s="348">
        <f t="shared" si="3"/>
        <v>0</v>
      </c>
      <c r="AF29" s="563">
        <f>'6'!AF29+'7'!AB29</f>
        <v>0</v>
      </c>
      <c r="AG29" s="234">
        <f>'6'!AG29+'7'!AD29</f>
        <v>0</v>
      </c>
    </row>
    <row r="30" spans="1:36" ht="27" customHeight="1">
      <c r="A30" s="715" t="str">
        <f>'6'!A30</f>
        <v>FOTON DIESEL</v>
      </c>
      <c r="B30" s="234"/>
      <c r="C30" s="348">
        <f>'6'!D30</f>
        <v>0</v>
      </c>
      <c r="D30" s="234">
        <f t="shared" si="5"/>
        <v>0</v>
      </c>
      <c r="F30" s="479" t="str">
        <f>'6'!F30</f>
        <v>FAISAL HUB</v>
      </c>
      <c r="G30" s="406">
        <f>'CUSTOMERS REPORT'!Y865</f>
        <v>0</v>
      </c>
      <c r="H30" s="504">
        <f>'CUSTOMERS REPORT'!Z865</f>
        <v>0</v>
      </c>
      <c r="I30" s="406">
        <f>'CUSTOMERS REPORT'!AA865</f>
        <v>0</v>
      </c>
      <c r="J30" s="498">
        <f>'CUSTOMERS REPORT'!AB865</f>
        <v>0</v>
      </c>
      <c r="K30" s="498">
        <f>'CUSTOMERS REPORT'!AC865</f>
        <v>0</v>
      </c>
      <c r="L30" s="509">
        <f>'CUSTOMERS REPORT'!AD865</f>
        <v>0</v>
      </c>
      <c r="M30" s="414">
        <f>'6'!M30+'7'!G30</f>
        <v>0</v>
      </c>
      <c r="N30" s="412">
        <f>'6'!N30+'7'!J30</f>
        <v>0</v>
      </c>
      <c r="P30" s="433"/>
      <c r="Q30" s="442"/>
      <c r="S30" s="400" t="str">
        <f>'6'!S30</f>
        <v>PRIMR 15</v>
      </c>
      <c r="T30" s="446">
        <f>'6'!X30</f>
        <v>0</v>
      </c>
      <c r="U30" s="456"/>
      <c r="V30" s="451">
        <f t="shared" si="0"/>
        <v>0</v>
      </c>
      <c r="W30" s="451"/>
      <c r="X30" s="447">
        <f t="shared" si="1"/>
        <v>0</v>
      </c>
      <c r="Z30" s="375">
        <f>'6'!Z30</f>
        <v>0</v>
      </c>
      <c r="AA30" s="464">
        <f>'6'!AE30</f>
        <v>0</v>
      </c>
      <c r="AB30" s="460"/>
      <c r="AC30" s="462">
        <f t="shared" si="2"/>
        <v>0</v>
      </c>
      <c r="AD30" s="469"/>
      <c r="AE30" s="348">
        <f t="shared" si="3"/>
        <v>0</v>
      </c>
      <c r="AF30" s="563">
        <f>'6'!AF30+'7'!AB30</f>
        <v>0</v>
      </c>
      <c r="AG30" s="234">
        <f>'6'!AG30+'7'!AD30</f>
        <v>0</v>
      </c>
    </row>
    <row r="31" spans="1:36" ht="27" customHeight="1" thickBot="1">
      <c r="A31" s="715" t="str">
        <f>'6'!A31</f>
        <v>UTILITY BILLS</v>
      </c>
      <c r="B31" s="234"/>
      <c r="C31" s="348">
        <f>'6'!D31</f>
        <v>0</v>
      </c>
      <c r="D31" s="234">
        <f t="shared" si="5"/>
        <v>0</v>
      </c>
      <c r="F31" s="479" t="str">
        <f>'6'!F31</f>
        <v>ABDUL RAHMAN</v>
      </c>
      <c r="G31" s="406">
        <f>'CUSTOMERS REPORT'!Y904</f>
        <v>0</v>
      </c>
      <c r="H31" s="504">
        <f>'CUSTOMERS REPORT'!Z904</f>
        <v>0</v>
      </c>
      <c r="I31" s="406">
        <f>'CUSTOMERS REPORT'!AA904</f>
        <v>0</v>
      </c>
      <c r="J31" s="498">
        <f>'CUSTOMERS REPORT'!AB904</f>
        <v>0</v>
      </c>
      <c r="K31" s="498">
        <f>'CUSTOMERS REPORT'!AC904</f>
        <v>0</v>
      </c>
      <c r="L31" s="509">
        <f>'CUSTOMERS REPORT'!AD904</f>
        <v>0</v>
      </c>
      <c r="M31" s="414">
        <f>'6'!M31+'7'!G31</f>
        <v>0</v>
      </c>
      <c r="N31" s="412">
        <f>'6'!N31+'7'!J31</f>
        <v>0</v>
      </c>
      <c r="P31" s="433"/>
      <c r="Q31" s="435"/>
      <c r="S31" s="400" t="str">
        <f>'6'!S31</f>
        <v>KARACHI</v>
      </c>
      <c r="T31" s="446">
        <f>'6'!X31</f>
        <v>0</v>
      </c>
      <c r="U31" s="456"/>
      <c r="V31" s="451">
        <f t="shared" si="0"/>
        <v>0</v>
      </c>
      <c r="W31" s="451"/>
      <c r="X31" s="447">
        <f t="shared" si="1"/>
        <v>0</v>
      </c>
      <c r="Z31" s="375">
        <f>'6'!Z31</f>
        <v>0</v>
      </c>
      <c r="AA31" s="464">
        <f>'6'!AE31</f>
        <v>0</v>
      </c>
      <c r="AB31" s="460"/>
      <c r="AC31" s="462">
        <f t="shared" si="2"/>
        <v>0</v>
      </c>
      <c r="AD31" s="469"/>
      <c r="AE31" s="348">
        <f t="shared" si="3"/>
        <v>0</v>
      </c>
      <c r="AF31" s="563">
        <f>'6'!AF31+'7'!AB31</f>
        <v>0</v>
      </c>
      <c r="AG31" s="234">
        <f>'6'!AG31+'7'!AD31</f>
        <v>0</v>
      </c>
      <c r="AI31" t="s">
        <v>1</v>
      </c>
    </row>
    <row r="32" spans="1:36" ht="27" customHeight="1" thickTop="1" thickBot="1">
      <c r="A32" s="715" t="str">
        <f>'6'!A32</f>
        <v>WOOD</v>
      </c>
      <c r="B32" s="234"/>
      <c r="C32" s="348">
        <f>'6'!D32</f>
        <v>0</v>
      </c>
      <c r="D32" s="234">
        <f t="shared" si="5"/>
        <v>0</v>
      </c>
      <c r="F32" s="479" t="str">
        <f>'6'!F32</f>
        <v>HAJI JAN GIWANI</v>
      </c>
      <c r="G32" s="406">
        <f>'CUSTOMERS REPORT'!Y943</f>
        <v>0</v>
      </c>
      <c r="H32" s="504">
        <f>'CUSTOMERS REPORT'!Z943</f>
        <v>0</v>
      </c>
      <c r="I32" s="406">
        <f>'CUSTOMERS REPORT'!AA943</f>
        <v>0</v>
      </c>
      <c r="J32" s="498">
        <f>'CUSTOMERS REPORT'!AB943</f>
        <v>0</v>
      </c>
      <c r="K32" s="498">
        <f>'CUSTOMERS REPORT'!AC943</f>
        <v>0</v>
      </c>
      <c r="L32" s="509">
        <f>'CUSTOMERS REPORT'!AD943</f>
        <v>0</v>
      </c>
      <c r="M32" s="414">
        <f>'6'!M32+'7'!G32</f>
        <v>0</v>
      </c>
      <c r="N32" s="412">
        <f>'6'!N32+'7'!J32</f>
        <v>0</v>
      </c>
      <c r="P32" s="190" t="s">
        <v>51</v>
      </c>
      <c r="Q32" s="439">
        <f>Q23-Q25-Q26-Q27-Q28-Q29-Q30-Q31</f>
        <v>0</v>
      </c>
      <c r="R32" t="s">
        <v>1</v>
      </c>
      <c r="S32" s="400" t="str">
        <f>'6'!S32</f>
        <v>MARVI</v>
      </c>
      <c r="T32" s="446">
        <f>'6'!X32</f>
        <v>0</v>
      </c>
      <c r="U32" s="456"/>
      <c r="V32" s="451">
        <f t="shared" si="0"/>
        <v>0</v>
      </c>
      <c r="W32" s="451"/>
      <c r="X32" s="447">
        <f t="shared" si="1"/>
        <v>0</v>
      </c>
      <c r="Z32" s="375">
        <f>'6'!Z32</f>
        <v>0</v>
      </c>
      <c r="AA32" s="464">
        <f>'6'!AE32</f>
        <v>0</v>
      </c>
      <c r="AB32" s="460"/>
      <c r="AC32" s="462">
        <f t="shared" si="2"/>
        <v>0</v>
      </c>
      <c r="AD32" s="469"/>
      <c r="AE32" s="348">
        <f t="shared" si="3"/>
        <v>0</v>
      </c>
      <c r="AF32" s="563">
        <f>'6'!AF32+'7'!AB32</f>
        <v>0</v>
      </c>
      <c r="AG32" s="234">
        <f>'6'!AG32+'7'!AD32</f>
        <v>0</v>
      </c>
    </row>
    <row r="33" spans="1:40" ht="27" customHeight="1" thickTop="1" thickBot="1">
      <c r="A33" s="715" t="str">
        <f>'6'!A33</f>
        <v>TOLL</v>
      </c>
      <c r="B33" s="538"/>
      <c r="C33" s="348">
        <f>'6'!D33</f>
        <v>0</v>
      </c>
      <c r="D33" s="550">
        <f t="shared" si="5"/>
        <v>0</v>
      </c>
      <c r="F33" s="479" t="str">
        <f>'6'!F33</f>
        <v>ALI QURESHI HYD</v>
      </c>
      <c r="G33" s="406">
        <f>'CUSTOMERS REPORT'!Y981</f>
        <v>0</v>
      </c>
      <c r="H33" s="504">
        <f>'CUSTOMERS REPORT'!Z981</f>
        <v>0</v>
      </c>
      <c r="I33" s="406">
        <f>'CUSTOMERS REPORT'!AA981</f>
        <v>0</v>
      </c>
      <c r="J33" s="498">
        <f>'CUSTOMERS REPORT'!AB981</f>
        <v>0</v>
      </c>
      <c r="K33" s="498">
        <f>'CUSTOMERS REPORT'!AC981</f>
        <v>0</v>
      </c>
      <c r="L33" s="509">
        <f>'CUSTOMERS REPORT'!AD981</f>
        <v>0</v>
      </c>
      <c r="M33" s="414">
        <f>'6'!M33+'7'!G33</f>
        <v>0</v>
      </c>
      <c r="N33" s="412">
        <f>'6'!N33+'7'!J33</f>
        <v>0</v>
      </c>
      <c r="P33" s="1499" t="s">
        <v>149</v>
      </c>
      <c r="Q33" s="1500"/>
      <c r="S33" s="400" t="str">
        <f>'6'!S33</f>
        <v>TS</v>
      </c>
      <c r="T33" s="446">
        <f>'6'!X33</f>
        <v>0</v>
      </c>
      <c r="U33" s="456"/>
      <c r="V33" s="451">
        <f t="shared" si="0"/>
        <v>0</v>
      </c>
      <c r="W33" s="451"/>
      <c r="X33" s="447">
        <f t="shared" si="1"/>
        <v>0</v>
      </c>
      <c r="Z33" s="375">
        <f>'6'!Z33</f>
        <v>0</v>
      </c>
      <c r="AA33" s="464">
        <f>'6'!AE33</f>
        <v>0</v>
      </c>
      <c r="AB33" s="460"/>
      <c r="AC33" s="462">
        <f t="shared" si="2"/>
        <v>0</v>
      </c>
      <c r="AD33" s="469"/>
      <c r="AE33" s="348">
        <f t="shared" si="3"/>
        <v>0</v>
      </c>
      <c r="AF33" s="563">
        <f>'6'!AF33+'7'!AB33</f>
        <v>0</v>
      </c>
      <c r="AG33" s="234">
        <f>'6'!AG33+'7'!AD33</f>
        <v>0</v>
      </c>
    </row>
    <row r="34" spans="1:40" ht="27" customHeight="1" thickTop="1" thickBot="1">
      <c r="A34" s="716" t="str">
        <f>'6'!A34</f>
        <v>FLOUR / SHGER</v>
      </c>
      <c r="B34" s="538"/>
      <c r="C34" s="348">
        <f>'6'!D34</f>
        <v>0</v>
      </c>
      <c r="D34" s="234">
        <f t="shared" si="5"/>
        <v>0</v>
      </c>
      <c r="F34" s="479" t="str">
        <f>'6'!F34</f>
        <v>ALI RAZA KAND KOT</v>
      </c>
      <c r="G34" s="406">
        <f>'CUSTOMERS REPORT'!Y1019</f>
        <v>0</v>
      </c>
      <c r="H34" s="504">
        <f>'CUSTOMERS REPORT'!Z1019</f>
        <v>0</v>
      </c>
      <c r="I34" s="406">
        <f>'CUSTOMERS REPORT'!AA1019</f>
        <v>0</v>
      </c>
      <c r="J34" s="498">
        <f>'CUSTOMERS REPORT'!AB1019</f>
        <v>0</v>
      </c>
      <c r="K34" s="498">
        <f>'CUSTOMERS REPORT'!AC1019</f>
        <v>0</v>
      </c>
      <c r="L34" s="509">
        <f>'CUSTOMERS REPORT'!AD1019</f>
        <v>0</v>
      </c>
      <c r="M34" s="414">
        <f>'6'!M34+'7'!G34</f>
        <v>0</v>
      </c>
      <c r="N34" s="412">
        <f>'6'!N34+'7'!J34</f>
        <v>0</v>
      </c>
      <c r="P34" s="220" t="s">
        <v>150</v>
      </c>
      <c r="Q34" s="223">
        <f>'6'!Q34</f>
        <v>0</v>
      </c>
      <c r="S34" s="400" t="str">
        <f>'6'!S34</f>
        <v>MAXI</v>
      </c>
      <c r="T34" s="446">
        <f>'6'!X34</f>
        <v>0</v>
      </c>
      <c r="U34" s="457"/>
      <c r="V34" s="452">
        <f t="shared" si="0"/>
        <v>0</v>
      </c>
      <c r="W34" s="452"/>
      <c r="X34" s="448">
        <f t="shared" si="1"/>
        <v>0</v>
      </c>
      <c r="Z34" s="375">
        <f>'6'!Z34</f>
        <v>0</v>
      </c>
      <c r="AA34" s="464">
        <f>'6'!AE34</f>
        <v>0</v>
      </c>
      <c r="AB34" s="460"/>
      <c r="AC34" s="462">
        <f t="shared" si="2"/>
        <v>0</v>
      </c>
      <c r="AD34" s="469"/>
      <c r="AE34" s="348">
        <f t="shared" si="3"/>
        <v>0</v>
      </c>
      <c r="AF34" s="563">
        <f>'6'!AF34+'7'!AB34</f>
        <v>0</v>
      </c>
      <c r="AG34" s="234">
        <f>'6'!AG34+'7'!AD34</f>
        <v>0</v>
      </c>
    </row>
    <row r="35" spans="1:40" ht="27" customHeight="1" thickTop="1">
      <c r="A35" s="716" t="str">
        <f>'6'!A35</f>
        <v>OVEN &amp; PP MACHINE</v>
      </c>
      <c r="B35" s="529"/>
      <c r="C35" s="348">
        <f>'6'!D35</f>
        <v>0</v>
      </c>
      <c r="D35" s="529">
        <f t="shared" si="5"/>
        <v>0</v>
      </c>
      <c r="F35" s="479" t="str">
        <f>'6'!F35</f>
        <v>IQBAL MORO</v>
      </c>
      <c r="G35" s="407">
        <f>'CUSTOMERS REPORT'!Y1057</f>
        <v>0</v>
      </c>
      <c r="H35" s="505">
        <f>'CUSTOMERS REPORT'!Z1057</f>
        <v>0</v>
      </c>
      <c r="I35" s="407">
        <f>'CUSTOMERS REPORT'!AA1057</f>
        <v>0</v>
      </c>
      <c r="J35" s="499">
        <f>'CUSTOMERS REPORT'!AB1057</f>
        <v>0</v>
      </c>
      <c r="K35" s="499">
        <f>'CUSTOMERS REPORT'!AC1057</f>
        <v>0</v>
      </c>
      <c r="L35" s="510">
        <f>'CUSTOMERS REPORT'!AD1057</f>
        <v>0</v>
      </c>
      <c r="M35" s="414">
        <f>'6'!M35+'7'!G35</f>
        <v>0</v>
      </c>
      <c r="N35" s="412">
        <f>'6'!N35+'7'!J35</f>
        <v>0</v>
      </c>
      <c r="P35" s="252" t="s">
        <v>151</v>
      </c>
      <c r="Q35" s="443">
        <f>'6'!Q35:Q35</f>
        <v>0</v>
      </c>
      <c r="R35" t="s">
        <v>1</v>
      </c>
      <c r="S35" s="400" t="str">
        <f>'6'!S35</f>
        <v>M A WHITE</v>
      </c>
      <c r="T35" s="446">
        <f>'6'!X35</f>
        <v>0</v>
      </c>
      <c r="U35" s="457"/>
      <c r="V35" s="452">
        <f t="shared" si="0"/>
        <v>0</v>
      </c>
      <c r="W35" s="452"/>
      <c r="X35" s="448">
        <f t="shared" si="1"/>
        <v>0</v>
      </c>
      <c r="Z35" s="375">
        <f>'6'!Z35</f>
        <v>0</v>
      </c>
      <c r="AA35" s="464">
        <f>'6'!AE35</f>
        <v>0</v>
      </c>
      <c r="AB35" s="460"/>
      <c r="AC35" s="462">
        <f t="shared" si="2"/>
        <v>0</v>
      </c>
      <c r="AD35" s="469"/>
      <c r="AE35" s="348">
        <f t="shared" si="3"/>
        <v>0</v>
      </c>
      <c r="AF35" s="563">
        <f>'6'!AF35+'7'!AB35</f>
        <v>0</v>
      </c>
      <c r="AG35" s="234">
        <f>'6'!AG35+'7'!AD35</f>
        <v>0</v>
      </c>
    </row>
    <row r="36" spans="1:40" ht="27" customHeight="1">
      <c r="A36" s="716" t="str">
        <f>'6'!A36</f>
        <v>zakat</v>
      </c>
      <c r="B36" s="539"/>
      <c r="C36" s="348">
        <f>'6'!D36</f>
        <v>0</v>
      </c>
      <c r="D36" s="529">
        <f t="shared" si="5"/>
        <v>0</v>
      </c>
      <c r="F36" s="479" t="str">
        <f>'6'!F36</f>
        <v>SARFARAZ T ADAM</v>
      </c>
      <c r="G36" s="407">
        <f>'CUSTOMERS REPORT'!Y1095</f>
        <v>0</v>
      </c>
      <c r="H36" s="505">
        <f>'CUSTOMERS REPORT'!Z1095</f>
        <v>0</v>
      </c>
      <c r="I36" s="407">
        <f>'CUSTOMERS REPORT'!AA1095</f>
        <v>0</v>
      </c>
      <c r="J36" s="499">
        <f>'CUSTOMERS REPORT'!AB1095</f>
        <v>0</v>
      </c>
      <c r="K36" s="499">
        <f>'CUSTOMERS REPORT'!AC1095</f>
        <v>0</v>
      </c>
      <c r="L36" s="510">
        <f>'CUSTOMERS REPORT'!AD1095</f>
        <v>0</v>
      </c>
      <c r="M36" s="414">
        <f>'6'!M36+'7'!G36</f>
        <v>0</v>
      </c>
      <c r="N36" s="412">
        <f>'6'!N36+'7'!J36</f>
        <v>0</v>
      </c>
      <c r="P36" s="372" t="s">
        <v>152</v>
      </c>
      <c r="Q36" s="444">
        <f>J48</f>
        <v>0</v>
      </c>
      <c r="R36" t="s">
        <v>1</v>
      </c>
      <c r="S36" s="400" t="str">
        <f>'6'!S36</f>
        <v>M A ORING</v>
      </c>
      <c r="T36" s="446">
        <f>'6'!X36</f>
        <v>0</v>
      </c>
      <c r="U36" s="456"/>
      <c r="V36" s="451">
        <f t="shared" si="0"/>
        <v>0</v>
      </c>
      <c r="W36" s="452"/>
      <c r="X36" s="448">
        <f t="shared" si="1"/>
        <v>0</v>
      </c>
      <c r="Z36" s="375">
        <f>'6'!Z36</f>
        <v>0</v>
      </c>
      <c r="AA36" s="464">
        <f>'6'!AE36</f>
        <v>0</v>
      </c>
      <c r="AB36" s="460"/>
      <c r="AC36" s="462">
        <f t="shared" si="2"/>
        <v>0</v>
      </c>
      <c r="AD36" s="469"/>
      <c r="AE36" s="348">
        <f t="shared" si="3"/>
        <v>0</v>
      </c>
      <c r="AF36" s="563">
        <f>'6'!AF36+'7'!AB36</f>
        <v>0</v>
      </c>
      <c r="AG36" s="234">
        <f>'6'!AG36+'7'!AD36</f>
        <v>0</v>
      </c>
    </row>
    <row r="37" spans="1:40" ht="27" customHeight="1">
      <c r="A37" s="715" t="str">
        <f>'6'!A37</f>
        <v>javeed manghopir</v>
      </c>
      <c r="B37" s="234"/>
      <c r="C37" s="348">
        <f>'6'!D37</f>
        <v>0</v>
      </c>
      <c r="D37" s="234">
        <f t="shared" si="5"/>
        <v>0</v>
      </c>
      <c r="F37" s="479" t="str">
        <f>'6'!F37</f>
        <v>MUMTAZ K N SHAH</v>
      </c>
      <c r="G37" s="406">
        <f>'CUSTOMERS REPORT'!Y1133</f>
        <v>0</v>
      </c>
      <c r="H37" s="504">
        <f>'CUSTOMERS REPORT'!Z1133</f>
        <v>0</v>
      </c>
      <c r="I37" s="406">
        <f>'CUSTOMERS REPORT'!AA1133</f>
        <v>0</v>
      </c>
      <c r="J37" s="498">
        <f>'CUSTOMERS REPORT'!AB1133</f>
        <v>0</v>
      </c>
      <c r="K37" s="498">
        <f>'CUSTOMERS REPORT'!AC1133</f>
        <v>0</v>
      </c>
      <c r="L37" s="509">
        <f>'CUSTOMERS REPORT'!AD1133</f>
        <v>0</v>
      </c>
      <c r="M37" s="414">
        <f>'6'!M37+'7'!G37</f>
        <v>0</v>
      </c>
      <c r="N37" s="412">
        <f>'6'!N37+'7'!J37</f>
        <v>0</v>
      </c>
      <c r="P37" s="373" t="s">
        <v>153</v>
      </c>
      <c r="Q37" s="445">
        <f>Q34+Q35+Q36</f>
        <v>0</v>
      </c>
      <c r="R37" t="s">
        <v>1</v>
      </c>
      <c r="S37" s="400">
        <f>'6'!S37</f>
        <v>0</v>
      </c>
      <c r="T37" s="446">
        <f>'6'!X37</f>
        <v>0</v>
      </c>
      <c r="U37" s="456"/>
      <c r="V37" s="451">
        <f t="shared" si="0"/>
        <v>0</v>
      </c>
      <c r="W37" s="452"/>
      <c r="X37" s="448">
        <f t="shared" si="1"/>
        <v>0</v>
      </c>
      <c r="Z37" s="375">
        <f>'6'!Z37</f>
        <v>0</v>
      </c>
      <c r="AA37" s="464">
        <f>'6'!AE37</f>
        <v>0</v>
      </c>
      <c r="AB37" s="460"/>
      <c r="AC37" s="462">
        <f t="shared" si="2"/>
        <v>0</v>
      </c>
      <c r="AD37" s="469"/>
      <c r="AE37" s="348">
        <f t="shared" si="3"/>
        <v>0</v>
      </c>
      <c r="AF37" s="563">
        <f>'6'!AF37+'7'!AB37</f>
        <v>0</v>
      </c>
      <c r="AG37" s="234">
        <f>'6'!AG37+'7'!AD37</f>
        <v>0</v>
      </c>
    </row>
    <row r="38" spans="1:40" ht="27" customHeight="1">
      <c r="A38" s="715" t="str">
        <f>'6'!A38</f>
        <v>EXSIS CASH</v>
      </c>
      <c r="B38" s="234"/>
      <c r="C38" s="348">
        <f>'6'!D38</f>
        <v>0</v>
      </c>
      <c r="D38" s="550">
        <f t="shared" si="5"/>
        <v>0</v>
      </c>
      <c r="F38" s="479" t="str">
        <f>'6'!F38</f>
        <v>GHULAM RASOOL QU</v>
      </c>
      <c r="G38" s="408">
        <f>'CUSTOMERS REPORT'!Y1170</f>
        <v>0</v>
      </c>
      <c r="H38" s="506">
        <f>'CUSTOMERS REPORT'!Z1170</f>
        <v>0</v>
      </c>
      <c r="I38" s="408">
        <f>'CUSTOMERS REPORT'!AA1170</f>
        <v>0</v>
      </c>
      <c r="J38" s="500">
        <f>'CUSTOMERS REPORT'!AB1170</f>
        <v>0</v>
      </c>
      <c r="K38" s="500">
        <f>'CUSTOMERS REPORT'!AC1170</f>
        <v>0</v>
      </c>
      <c r="L38" s="511">
        <f>'CUSTOMERS REPORT'!AD1170</f>
        <v>0</v>
      </c>
      <c r="M38" s="414">
        <f>'6'!M38+'7'!G38</f>
        <v>0</v>
      </c>
      <c r="N38" s="412">
        <f>'6'!N38+'7'!J38</f>
        <v>0</v>
      </c>
      <c r="P38" s="373" t="s">
        <v>154</v>
      </c>
      <c r="Q38" s="445">
        <f>D48</f>
        <v>0</v>
      </c>
      <c r="S38" s="400">
        <f>'6'!S38</f>
        <v>0</v>
      </c>
      <c r="T38" s="446">
        <f>'6'!X38</f>
        <v>0</v>
      </c>
      <c r="U38" s="456"/>
      <c r="V38" s="451">
        <f t="shared" si="0"/>
        <v>0</v>
      </c>
      <c r="W38" s="452"/>
      <c r="X38" s="448">
        <f t="shared" si="1"/>
        <v>0</v>
      </c>
      <c r="Z38" s="375">
        <f>'6'!Z38</f>
        <v>0</v>
      </c>
      <c r="AA38" s="464">
        <f>'6'!AE38</f>
        <v>0</v>
      </c>
      <c r="AB38" s="460"/>
      <c r="AC38" s="462">
        <f t="shared" si="2"/>
        <v>0</v>
      </c>
      <c r="AD38" s="469"/>
      <c r="AE38" s="348">
        <f t="shared" si="3"/>
        <v>0</v>
      </c>
      <c r="AF38" s="563">
        <f>'6'!AF38+'7'!AB38</f>
        <v>0</v>
      </c>
      <c r="AG38" s="234">
        <f>'6'!AG38+'7'!AD38</f>
        <v>0</v>
      </c>
    </row>
    <row r="39" spans="1:40" ht="27" customHeight="1">
      <c r="A39" s="715" t="str">
        <f>'6'!A39</f>
        <v>SHORT CASH</v>
      </c>
      <c r="B39" s="550"/>
      <c r="C39" s="348">
        <f>'6'!D39</f>
        <v>0</v>
      </c>
      <c r="D39" s="234">
        <f t="shared" si="5"/>
        <v>0</v>
      </c>
      <c r="F39" s="479" t="str">
        <f>'6'!F39</f>
        <v>SHAMSHAD UNCLE</v>
      </c>
      <c r="G39" s="406">
        <f>'CUSTOMERS REPORT'!Y1207</f>
        <v>0</v>
      </c>
      <c r="H39" s="504">
        <f>'CUSTOMERS REPORT'!Z1207</f>
        <v>0</v>
      </c>
      <c r="I39" s="406">
        <f>'CUSTOMERS REPORT'!AA1207</f>
        <v>0</v>
      </c>
      <c r="J39" s="498">
        <f>'CUSTOMERS REPORT'!AB1207</f>
        <v>0</v>
      </c>
      <c r="K39" s="498">
        <f>'CUSTOMERS REPORT'!AC1207</f>
        <v>0</v>
      </c>
      <c r="L39" s="509">
        <f>'CUSTOMERS REPORT'!AD1207</f>
        <v>0</v>
      </c>
      <c r="M39" s="414">
        <f>'6'!M39+'7'!G39</f>
        <v>0</v>
      </c>
      <c r="N39" s="412">
        <f>'6'!N39+'7'!J39</f>
        <v>0</v>
      </c>
      <c r="P39" s="373" t="s">
        <v>109</v>
      </c>
      <c r="Q39" s="445">
        <f>'6'!Q39+'7'!Q25+'7'!Q26+'7'!Q27+'7'!Q28+'7'!Q29+'7'!Q30+'7'!Q31</f>
        <v>0</v>
      </c>
      <c r="R39" t="s">
        <v>1</v>
      </c>
      <c r="S39" s="400">
        <f>'6'!S39</f>
        <v>0</v>
      </c>
      <c r="T39" s="446">
        <f>'6'!X39</f>
        <v>0</v>
      </c>
      <c r="U39" s="456"/>
      <c r="V39" s="451">
        <f t="shared" si="0"/>
        <v>0</v>
      </c>
      <c r="W39" s="452"/>
      <c r="X39" s="448">
        <f t="shared" si="1"/>
        <v>0</v>
      </c>
      <c r="Z39" s="375">
        <f>'6'!Z39</f>
        <v>0</v>
      </c>
      <c r="AA39" s="464">
        <f>'6'!AE39</f>
        <v>0</v>
      </c>
      <c r="AB39" s="460"/>
      <c r="AC39" s="462">
        <f t="shared" si="2"/>
        <v>0</v>
      </c>
      <c r="AD39" s="469"/>
      <c r="AE39" s="348">
        <f t="shared" si="3"/>
        <v>0</v>
      </c>
      <c r="AF39" s="563">
        <f>'6'!AF39+'7'!AB39</f>
        <v>0</v>
      </c>
      <c r="AG39" s="234">
        <f>'6'!AG39+'7'!AD39</f>
        <v>0</v>
      </c>
    </row>
    <row r="40" spans="1:40" ht="27" customHeight="1" thickBot="1">
      <c r="A40" s="715" t="str">
        <f>'6'!A40</f>
        <v>ASSETS</v>
      </c>
      <c r="B40" s="234"/>
      <c r="C40" s="348">
        <f>'6'!D40</f>
        <v>0</v>
      </c>
      <c r="D40" s="234">
        <f t="shared" si="5"/>
        <v>0</v>
      </c>
      <c r="F40" s="479" t="str">
        <f>'6'!F40</f>
        <v>IBRAHEEM D.G KHAN</v>
      </c>
      <c r="G40" s="406">
        <f>'CUSTOMERS REPORT'!Y1244</f>
        <v>0</v>
      </c>
      <c r="H40" s="504">
        <f>'CUSTOMERS REPORT'!Z1244</f>
        <v>0</v>
      </c>
      <c r="I40" s="406">
        <f>'CUSTOMERS REPORT'!AA1244</f>
        <v>0</v>
      </c>
      <c r="J40" s="498">
        <f>'CUSTOMERS REPORT'!AB1244</f>
        <v>0</v>
      </c>
      <c r="K40" s="498">
        <f>'CUSTOMERS REPORT'!AC1244</f>
        <v>0</v>
      </c>
      <c r="L40" s="509">
        <f>'CUSTOMERS REPORT'!AD1244</f>
        <v>0</v>
      </c>
      <c r="M40" s="414">
        <f>'6'!M40+'7'!G40</f>
        <v>0</v>
      </c>
      <c r="N40" s="412">
        <f>'6'!N40+'7'!J40</f>
        <v>0</v>
      </c>
      <c r="P40" s="374" t="s">
        <v>155</v>
      </c>
      <c r="Q40" s="445">
        <f>Q48</f>
        <v>0</v>
      </c>
      <c r="S40" s="400">
        <f>'6'!S40</f>
        <v>0</v>
      </c>
      <c r="T40" s="446">
        <f>'6'!X40</f>
        <v>0</v>
      </c>
      <c r="U40" s="456"/>
      <c r="V40" s="451">
        <f t="shared" si="0"/>
        <v>0</v>
      </c>
      <c r="W40" s="452"/>
      <c r="X40" s="448">
        <f t="shared" si="1"/>
        <v>0</v>
      </c>
      <c r="Z40" s="375">
        <f>'6'!Z40</f>
        <v>0</v>
      </c>
      <c r="AA40" s="464">
        <f>'6'!AE40</f>
        <v>0</v>
      </c>
      <c r="AB40" s="460"/>
      <c r="AC40" s="462">
        <f t="shared" si="2"/>
        <v>0</v>
      </c>
      <c r="AD40" s="469"/>
      <c r="AE40" s="348">
        <f t="shared" si="3"/>
        <v>0</v>
      </c>
      <c r="AF40" s="563">
        <f>'6'!AF40+'7'!AB40</f>
        <v>0</v>
      </c>
      <c r="AG40" s="234">
        <f>'6'!AG40+'7'!AD40</f>
        <v>0</v>
      </c>
    </row>
    <row r="41" spans="1:40" ht="27" customHeight="1" thickTop="1" thickBot="1">
      <c r="A41" s="715" t="str">
        <f>'6'!A41</f>
        <v>BIKE.INSTALMINT</v>
      </c>
      <c r="B41" s="234"/>
      <c r="C41" s="348">
        <f>'6'!D41</f>
        <v>0</v>
      </c>
      <c r="D41" s="234">
        <f t="shared" si="5"/>
        <v>0</v>
      </c>
      <c r="E41" t="s">
        <v>1</v>
      </c>
      <c r="F41" s="479" t="str">
        <f>'6'!F41</f>
        <v>PISHAWAR</v>
      </c>
      <c r="G41" s="409">
        <f>'CUSTOMERS REPORT'!Y1281</f>
        <v>0</v>
      </c>
      <c r="H41" s="507">
        <f>'CUSTOMERS REPORT'!Z1281</f>
        <v>0</v>
      </c>
      <c r="I41" s="409">
        <f>'CUSTOMERS REPORT'!AA1281</f>
        <v>0</v>
      </c>
      <c r="J41" s="501">
        <f>'CUSTOMERS REPORT'!AB1281</f>
        <v>0</v>
      </c>
      <c r="K41" s="501">
        <f>'CUSTOMERS REPORT'!AC1281</f>
        <v>0</v>
      </c>
      <c r="L41" s="512">
        <f>'CUSTOMERS REPORT'!AD1281</f>
        <v>0</v>
      </c>
      <c r="M41" s="414">
        <f>'6'!M41+'7'!G41</f>
        <v>0</v>
      </c>
      <c r="N41" s="412">
        <f>'6'!N41+'7'!J41</f>
        <v>0</v>
      </c>
      <c r="P41" s="221" t="s">
        <v>51</v>
      </c>
      <c r="Q41" s="223">
        <f>Q37-Q38-Q39-Q40</f>
        <v>0</v>
      </c>
      <c r="S41" s="400">
        <f>'6'!S41</f>
        <v>0</v>
      </c>
      <c r="T41" s="446">
        <f>'6'!X41</f>
        <v>0</v>
      </c>
      <c r="U41" s="456"/>
      <c r="V41" s="451">
        <f t="shared" si="0"/>
        <v>0</v>
      </c>
      <c r="W41" s="452"/>
      <c r="X41" s="448">
        <f t="shared" si="1"/>
        <v>0</v>
      </c>
      <c r="Z41" s="375">
        <f>'6'!Z41</f>
        <v>0</v>
      </c>
      <c r="AA41" s="464">
        <f>'6'!AE41</f>
        <v>0</v>
      </c>
      <c r="AB41" s="460"/>
      <c r="AC41" s="462">
        <f t="shared" si="2"/>
        <v>0</v>
      </c>
      <c r="AD41" s="469"/>
      <c r="AE41" s="348">
        <f t="shared" si="3"/>
        <v>0</v>
      </c>
      <c r="AF41" s="563">
        <f>'6'!AF41+'7'!AB41</f>
        <v>0</v>
      </c>
      <c r="AG41" s="234">
        <f>'6'!AG41+'7'!AD41</f>
        <v>0</v>
      </c>
    </row>
    <row r="42" spans="1:40" ht="27" customHeight="1" thickTop="1" thickBot="1">
      <c r="A42" s="715" t="str">
        <f>'6'!A42</f>
        <v>B.C</v>
      </c>
      <c r="B42" s="529"/>
      <c r="C42" s="348">
        <f>'6'!D42</f>
        <v>0</v>
      </c>
      <c r="D42" s="529">
        <f t="shared" si="5"/>
        <v>0</v>
      </c>
      <c r="F42" s="479" t="str">
        <f>'6'!F42</f>
        <v>HUZAFA KOTRI</v>
      </c>
      <c r="G42" s="409">
        <f>'CUSTOMERS REPORT'!Y1318</f>
        <v>0</v>
      </c>
      <c r="H42" s="507">
        <f>'CUSTOMERS REPORT'!Z1318</f>
        <v>0</v>
      </c>
      <c r="I42" s="409">
        <f>'CUSTOMERS REPORT'!AA1318</f>
        <v>0</v>
      </c>
      <c r="J42" s="501">
        <f>'CUSTOMERS REPORT'!AB1318</f>
        <v>0</v>
      </c>
      <c r="K42" s="501">
        <f>'CUSTOMERS REPORT'!AC1318</f>
        <v>0</v>
      </c>
      <c r="L42" s="512">
        <f>'CUSTOMERS REPORT'!AD1318</f>
        <v>0</v>
      </c>
      <c r="M42" s="414">
        <f>'6'!M42+'7'!G42</f>
        <v>0</v>
      </c>
      <c r="N42" s="412">
        <f>'6'!N42+'7'!J42</f>
        <v>0</v>
      </c>
      <c r="P42" s="1499" t="s">
        <v>157</v>
      </c>
      <c r="Q42" s="1500"/>
      <c r="S42" s="400">
        <f>'6'!S42</f>
        <v>0</v>
      </c>
      <c r="T42" s="446">
        <f>'6'!X42</f>
        <v>0</v>
      </c>
      <c r="U42" s="458"/>
      <c r="V42" s="453">
        <f t="shared" si="0"/>
        <v>0</v>
      </c>
      <c r="W42" s="454"/>
      <c r="X42" s="449">
        <f t="shared" si="1"/>
        <v>0</v>
      </c>
      <c r="Z42" s="375">
        <f>'6'!Z42</f>
        <v>0</v>
      </c>
      <c r="AA42" s="464">
        <f>'6'!AE42</f>
        <v>0</v>
      </c>
      <c r="AB42" s="461"/>
      <c r="AC42" s="462">
        <f>AA42+AB42</f>
        <v>0</v>
      </c>
      <c r="AD42" s="470"/>
      <c r="AE42" s="348">
        <f t="shared" si="3"/>
        <v>0</v>
      </c>
      <c r="AF42" s="564">
        <f>'6'!AF42+'7'!AB42</f>
        <v>0</v>
      </c>
      <c r="AG42" s="572">
        <f>'6'!AG42+'7'!AD42</f>
        <v>0</v>
      </c>
    </row>
    <row r="43" spans="1:40" ht="27" customHeight="1" thickTop="1" thickBot="1">
      <c r="A43" s="715" t="str">
        <f>'6'!A43</f>
        <v>AQEEL</v>
      </c>
      <c r="B43" s="539"/>
      <c r="C43" s="348">
        <f>'6'!D43</f>
        <v>0</v>
      </c>
      <c r="D43" s="529">
        <f t="shared" si="5"/>
        <v>0</v>
      </c>
      <c r="F43" s="479" t="str">
        <f>'6'!F43</f>
        <v>ZAHID LAHORE</v>
      </c>
      <c r="G43" s="409">
        <f>'CUSTOMERS REPORT'!Y1355</f>
        <v>0</v>
      </c>
      <c r="H43" s="507">
        <f>'CUSTOMERS REPORT'!Z1355</f>
        <v>0</v>
      </c>
      <c r="I43" s="409">
        <f>'CUSTOMERS REPORT'!AA1355</f>
        <v>0</v>
      </c>
      <c r="J43" s="501">
        <f>'CUSTOMERS REPORT'!AB1355</f>
        <v>0</v>
      </c>
      <c r="K43" s="501">
        <f>'CUSTOMERS REPORT'!AC1355</f>
        <v>0</v>
      </c>
      <c r="L43" s="512">
        <f>'CUSTOMERS REPORT'!AD1355</f>
        <v>0</v>
      </c>
      <c r="M43" s="414">
        <f>'6'!M43+'7'!G43</f>
        <v>0</v>
      </c>
      <c r="N43" s="412">
        <f>'6'!N43+'7'!J43</f>
        <v>0</v>
      </c>
      <c r="P43" s="220" t="s">
        <v>124</v>
      </c>
      <c r="Q43" s="223">
        <f>'6'!Q48</f>
        <v>0</v>
      </c>
      <c r="R43" t="s">
        <v>1</v>
      </c>
      <c r="S43" s="400">
        <f>'6'!S43</f>
        <v>0</v>
      </c>
      <c r="T43" s="446">
        <f>'6'!X43</f>
        <v>0</v>
      </c>
      <c r="U43" s="358"/>
      <c r="V43" s="453">
        <f t="shared" si="0"/>
        <v>0</v>
      </c>
      <c r="W43" s="403"/>
      <c r="X43" s="449">
        <f t="shared" si="1"/>
        <v>0</v>
      </c>
      <c r="Z43" s="383"/>
      <c r="AA43" s="356">
        <f>SUM(AA8:AA42)</f>
        <v>0</v>
      </c>
      <c r="AB43" s="385">
        <f>SUM(AB8:AB42)</f>
        <v>0</v>
      </c>
      <c r="AC43" s="357" t="s">
        <v>74</v>
      </c>
      <c r="AD43" s="387">
        <f>SUM(AD8:AD42)</f>
        <v>0</v>
      </c>
      <c r="AE43" s="358">
        <f>SUM(AE8:AE42)</f>
        <v>0</v>
      </c>
      <c r="AF43" s="565">
        <f>SUM(AF8:AF42)</f>
        <v>0</v>
      </c>
      <c r="AG43" s="571">
        <f>SUM(AG8:AG42)</f>
        <v>0</v>
      </c>
    </row>
    <row r="44" spans="1:40" ht="27" customHeight="1" thickTop="1">
      <c r="A44" s="715" t="str">
        <f>'6'!A44</f>
        <v>M.YOUSUF</v>
      </c>
      <c r="B44" s="234"/>
      <c r="C44" s="348">
        <f>'6'!D44</f>
        <v>0</v>
      </c>
      <c r="D44" s="234">
        <f t="shared" si="5"/>
        <v>0</v>
      </c>
      <c r="F44" s="479" t="str">
        <f>'6'!F44</f>
        <v>CASH SALE</v>
      </c>
      <c r="G44" s="409">
        <f>'CUSTOMERS REPORT'!Y1392</f>
        <v>0</v>
      </c>
      <c r="H44" s="507">
        <f>'CUSTOMERS REPORT'!Z1392</f>
        <v>0</v>
      </c>
      <c r="I44" s="409">
        <f>'CUSTOMERS REPORT'!AA1392</f>
        <v>0</v>
      </c>
      <c r="J44" s="501">
        <f>'CUSTOMERS REPORT'!AB1392</f>
        <v>0</v>
      </c>
      <c r="K44" s="501">
        <f>'CUSTOMERS REPORT'!AC1392</f>
        <v>0</v>
      </c>
      <c r="L44" s="512">
        <f>'CUSTOMERS REPORT'!AD1392</f>
        <v>0</v>
      </c>
      <c r="M44" s="414">
        <f>'6'!M44+'7'!G44</f>
        <v>0</v>
      </c>
      <c r="N44" s="412">
        <f>'6'!N44+'7'!J44</f>
        <v>0</v>
      </c>
      <c r="P44" s="222" t="s">
        <v>114</v>
      </c>
      <c r="Q44" s="377">
        <f>J46</f>
        <v>0</v>
      </c>
      <c r="S44" s="400"/>
      <c r="T44" s="348"/>
      <c r="U44" s="306"/>
      <c r="V44" s="349"/>
      <c r="W44" s="351"/>
      <c r="X44" s="350"/>
      <c r="Z44" s="375"/>
      <c r="AA44" s="339"/>
      <c r="AB44" s="386">
        <f>'6'!AB45</f>
        <v>0</v>
      </c>
      <c r="AC44" s="340" t="s">
        <v>126</v>
      </c>
      <c r="AD44" s="388">
        <f>'6'!AD45</f>
        <v>0</v>
      </c>
      <c r="AE44" s="341"/>
      <c r="AF44" s="561"/>
      <c r="AG44" s="83" t="s">
        <v>1</v>
      </c>
    </row>
    <row r="45" spans="1:40" ht="27" customHeight="1" thickBot="1">
      <c r="A45" s="715" t="str">
        <f>'6'!A45</f>
        <v>SHAKEEL</v>
      </c>
      <c r="B45" s="234"/>
      <c r="C45" s="348">
        <f>'6'!D45</f>
        <v>0</v>
      </c>
      <c r="D45" s="234">
        <f t="shared" si="5"/>
        <v>0</v>
      </c>
      <c r="F45" s="479" t="str">
        <f>'6'!F45</f>
        <v xml:space="preserve">FREE </v>
      </c>
      <c r="G45" s="410">
        <f>'CUSTOMERS REPORT'!Y1429</f>
        <v>0</v>
      </c>
      <c r="H45" s="362">
        <f>'CUSTOMERS REPORT'!Z1429</f>
        <v>0</v>
      </c>
      <c r="I45" s="410">
        <f>'CUSTOMERS REPORT'!AA1429</f>
        <v>0</v>
      </c>
      <c r="J45" s="502">
        <f>'CUSTOMERS REPORT'!AB1429</f>
        <v>0</v>
      </c>
      <c r="K45" s="502">
        <f>'CUSTOMERS REPORT'!AC1429</f>
        <v>0</v>
      </c>
      <c r="L45" s="513">
        <f>'CUSTOMERS REPORT'!AD1429</f>
        <v>0</v>
      </c>
      <c r="M45" s="414">
        <f>'6'!M45+'7'!G45</f>
        <v>0</v>
      </c>
      <c r="N45" s="412">
        <f>'6'!N45+'7'!J45</f>
        <v>0</v>
      </c>
      <c r="P45" s="222" t="s">
        <v>153</v>
      </c>
      <c r="Q45" s="378">
        <f>Q43+Q44</f>
        <v>0</v>
      </c>
      <c r="S45" s="401"/>
      <c r="T45" s="352"/>
      <c r="U45" s="307"/>
      <c r="V45" s="353"/>
      <c r="W45" s="354"/>
      <c r="X45" s="355"/>
      <c r="Z45" s="384"/>
      <c r="AA45" s="359"/>
      <c r="AB45" s="390">
        <f>SUM(AB43:AB44)</f>
        <v>0</v>
      </c>
      <c r="AC45" s="360" t="s">
        <v>74</v>
      </c>
      <c r="AD45" s="389">
        <f>SUM(AD43:AD44)</f>
        <v>0</v>
      </c>
      <c r="AE45" s="361"/>
      <c r="AF45" s="562"/>
      <c r="AG45" s="573"/>
    </row>
    <row r="46" spans="1:40" ht="27" customHeight="1" thickTop="1" thickBot="1">
      <c r="A46" s="715" t="str">
        <f>'6'!A46</f>
        <v>ZAHID HUSSAN</v>
      </c>
      <c r="B46" s="234"/>
      <c r="C46" s="348">
        <f>'6'!D46</f>
        <v>0</v>
      </c>
      <c r="D46" s="234">
        <f t="shared" si="5"/>
        <v>0</v>
      </c>
      <c r="F46" s="369"/>
      <c r="G46" s="424">
        <f>SUM(G8:G45)</f>
        <v>0</v>
      </c>
      <c r="H46" s="1497" t="s">
        <v>160</v>
      </c>
      <c r="I46" s="1498"/>
      <c r="J46" s="421">
        <f>SUM(J8:J45)</f>
        <v>0</v>
      </c>
      <c r="K46" s="427">
        <f>SUM(K8:K45)</f>
        <v>0</v>
      </c>
      <c r="L46" s="431">
        <f>SUM(L8:L45)</f>
        <v>0</v>
      </c>
      <c r="M46" s="429">
        <f>SUM(M8:M45)</f>
        <v>0</v>
      </c>
      <c r="N46" s="430">
        <f>SUM(N8:N45)</f>
        <v>0</v>
      </c>
      <c r="P46" s="222" t="s">
        <v>154</v>
      </c>
      <c r="Q46" s="378">
        <f>B48</f>
        <v>0</v>
      </c>
    </row>
    <row r="47" spans="1:40" ht="27" customHeight="1" thickTop="1" thickBot="1">
      <c r="A47" s="715" t="str">
        <f>'6'!A47</f>
        <v xml:space="preserve">INVESTOR </v>
      </c>
      <c r="B47" s="540"/>
      <c r="C47" s="348">
        <f>'6'!D47</f>
        <v>0</v>
      </c>
      <c r="D47" s="542">
        <f t="shared" si="5"/>
        <v>0</v>
      </c>
      <c r="F47" s="370"/>
      <c r="G47" s="425">
        <f>'6'!G48</f>
        <v>0</v>
      </c>
      <c r="H47" s="1512" t="s">
        <v>162</v>
      </c>
      <c r="I47" s="1513"/>
      <c r="J47" s="423">
        <f>'6'!J48</f>
        <v>0</v>
      </c>
      <c r="K47" s="423">
        <f>'6'!K48</f>
        <v>0</v>
      </c>
      <c r="L47" s="343"/>
      <c r="M47" s="344"/>
      <c r="N47" s="345"/>
      <c r="P47" s="375" t="s">
        <v>163</v>
      </c>
      <c r="Q47" s="378">
        <f>Q9+Q10+Q19+Q20+Q21+Q22</f>
        <v>0</v>
      </c>
      <c r="R47" s="19"/>
      <c r="S47" s="1489" t="s">
        <v>92</v>
      </c>
      <c r="T47" s="1402" t="s">
        <v>95</v>
      </c>
      <c r="U47" s="1403"/>
      <c r="V47" s="1403"/>
      <c r="W47" s="1404"/>
      <c r="X47" s="1402" t="s">
        <v>7</v>
      </c>
      <c r="Y47" s="1403"/>
      <c r="Z47" s="1404"/>
      <c r="AA47" s="1402" t="s">
        <v>8</v>
      </c>
      <c r="AB47" s="1404"/>
      <c r="AC47" s="1402" t="s">
        <v>9</v>
      </c>
      <c r="AD47" s="1403"/>
      <c r="AE47" s="1403"/>
      <c r="AF47" s="1403"/>
      <c r="AG47" s="1403"/>
      <c r="AH47" s="1403"/>
      <c r="AI47" s="1403"/>
      <c r="AJ47" s="1405" t="s">
        <v>10</v>
      </c>
      <c r="AK47" s="1406"/>
      <c r="AL47" s="1400" t="s">
        <v>289</v>
      </c>
      <c r="AM47" s="1401"/>
      <c r="AN47" s="842" t="s">
        <v>290</v>
      </c>
    </row>
    <row r="48" spans="1:40" ht="27" customHeight="1" thickTop="1" thickBot="1">
      <c r="A48" s="192" t="s">
        <v>74</v>
      </c>
      <c r="B48" s="544">
        <f>SUM(B22:B47)</f>
        <v>0</v>
      </c>
      <c r="C48" s="543">
        <f>'6'!D48</f>
        <v>0</v>
      </c>
      <c r="D48" s="544">
        <f t="shared" si="5"/>
        <v>0</v>
      </c>
      <c r="F48" s="371"/>
      <c r="G48" s="426">
        <f>G46+G47</f>
        <v>0</v>
      </c>
      <c r="H48" s="1495" t="s">
        <v>164</v>
      </c>
      <c r="I48" s="1496"/>
      <c r="J48" s="422">
        <f>J46+J47</f>
        <v>0</v>
      </c>
      <c r="K48" s="428">
        <f>K46+K47</f>
        <v>0</v>
      </c>
      <c r="L48" s="346"/>
      <c r="M48" s="347"/>
      <c r="N48" s="622">
        <f>G48-J48</f>
        <v>0</v>
      </c>
      <c r="P48" s="376" t="s">
        <v>155</v>
      </c>
      <c r="Q48" s="379">
        <f>Q45-Q46-Q47</f>
        <v>0</v>
      </c>
      <c r="R48" s="19"/>
      <c r="S48" s="1490"/>
      <c r="T48" s="482" t="s">
        <v>12</v>
      </c>
      <c r="U48" s="482" t="s">
        <v>13</v>
      </c>
      <c r="V48" s="482" t="s">
        <v>14</v>
      </c>
      <c r="W48" s="958" t="s">
        <v>263</v>
      </c>
      <c r="X48" s="482" t="s">
        <v>12</v>
      </c>
      <c r="Y48" s="482" t="s">
        <v>13</v>
      </c>
      <c r="Z48" s="482" t="s">
        <v>282</v>
      </c>
      <c r="AA48" s="482" t="s">
        <v>12</v>
      </c>
      <c r="AB48" s="482" t="s">
        <v>16</v>
      </c>
      <c r="AC48" s="482" t="s">
        <v>17</v>
      </c>
      <c r="AD48" s="482" t="s">
        <v>18</v>
      </c>
      <c r="AE48" s="482" t="s">
        <v>19</v>
      </c>
      <c r="AF48" s="484" t="s">
        <v>96</v>
      </c>
      <c r="AG48" s="484" t="s">
        <v>257</v>
      </c>
      <c r="AH48" s="482" t="s">
        <v>254</v>
      </c>
      <c r="AI48" s="482" t="s">
        <v>20</v>
      </c>
      <c r="AJ48" s="483" t="s">
        <v>14</v>
      </c>
      <c r="AK48" s="482" t="s">
        <v>13</v>
      </c>
      <c r="AL48" s="846" t="s">
        <v>284</v>
      </c>
      <c r="AM48" s="846" t="s">
        <v>288</v>
      </c>
      <c r="AN48" s="484" t="s">
        <v>291</v>
      </c>
    </row>
    <row r="49" spans="1:43" ht="24.95" customHeight="1" thickTop="1" thickBot="1">
      <c r="Q49" s="111">
        <f>Q32+Q48</f>
        <v>0</v>
      </c>
      <c r="R49" s="19"/>
      <c r="S49" s="865" t="s">
        <v>165</v>
      </c>
      <c r="T49" s="866">
        <f>'6'!T55</f>
        <v>0</v>
      </c>
      <c r="U49" s="866">
        <f>'6'!U55</f>
        <v>0</v>
      </c>
      <c r="V49" s="866">
        <f>'6'!V55</f>
        <v>0</v>
      </c>
      <c r="W49" s="866">
        <f>'6'!W55</f>
        <v>0</v>
      </c>
      <c r="X49" s="866">
        <f>'6'!X55</f>
        <v>0</v>
      </c>
      <c r="Y49" s="866">
        <f>'6'!Y55</f>
        <v>0</v>
      </c>
      <c r="Z49" s="866">
        <f>'6'!Z55</f>
        <v>0</v>
      </c>
      <c r="AA49" s="866">
        <f>'6'!AA55</f>
        <v>0</v>
      </c>
      <c r="AB49" s="866">
        <f>'6'!AB55</f>
        <v>0</v>
      </c>
      <c r="AC49" s="866">
        <f>'6'!AC55</f>
        <v>0</v>
      </c>
      <c r="AD49" s="866">
        <f>'6'!AD55</f>
        <v>0</v>
      </c>
      <c r="AE49" s="866">
        <f>'6'!AE55</f>
        <v>0</v>
      </c>
      <c r="AF49" s="866">
        <f>'6'!AF55</f>
        <v>0</v>
      </c>
      <c r="AG49" s="866">
        <f>'6'!AG55</f>
        <v>0</v>
      </c>
      <c r="AH49" s="866">
        <f>'6'!AH55</f>
        <v>0</v>
      </c>
      <c r="AI49" s="866">
        <f>'6'!AI55</f>
        <v>0</v>
      </c>
      <c r="AJ49" s="866">
        <f>'6'!AJ55</f>
        <v>0</v>
      </c>
      <c r="AK49" s="866">
        <f>'6'!AK55</f>
        <v>0</v>
      </c>
      <c r="AL49" s="866" t="e">
        <f>'6'!AL55</f>
        <v>#VALUE!</v>
      </c>
      <c r="AM49" s="866" t="e">
        <f>'6'!AM55</f>
        <v>#VALUE!</v>
      </c>
      <c r="AN49" s="866" t="e">
        <f>'6'!AN55</f>
        <v>#VALUE!</v>
      </c>
    </row>
    <row r="50" spans="1:43" ht="24.95" customHeight="1" thickBot="1">
      <c r="C50" t="s">
        <v>1</v>
      </c>
      <c r="K50">
        <v>2</v>
      </c>
      <c r="L50" s="417">
        <v>5000</v>
      </c>
      <c r="M50" s="417">
        <v>4</v>
      </c>
      <c r="N50" s="417">
        <f t="shared" ref="N50:N57" si="6">L50*M50</f>
        <v>20000</v>
      </c>
      <c r="R50" s="19"/>
      <c r="S50" s="854" t="s">
        <v>166</v>
      </c>
      <c r="T50" s="852"/>
      <c r="U50" s="852"/>
      <c r="V50" s="852"/>
      <c r="W50" s="852"/>
      <c r="X50" s="852"/>
      <c r="Y50" s="852"/>
      <c r="Z50" s="852"/>
      <c r="AA50" s="852"/>
      <c r="AB50" s="852"/>
      <c r="AC50" s="852"/>
      <c r="AD50" s="852"/>
      <c r="AE50" s="852"/>
      <c r="AF50" s="852"/>
      <c r="AG50" s="855"/>
      <c r="AH50" s="852"/>
      <c r="AI50" s="852"/>
      <c r="AJ50" s="848"/>
      <c r="AK50" s="848"/>
      <c r="AL50" s="849"/>
      <c r="AM50" s="849"/>
      <c r="AN50" s="850"/>
    </row>
    <row r="51" spans="1:43" ht="24.95" customHeight="1" thickBot="1">
      <c r="K51">
        <v>38</v>
      </c>
      <c r="L51" s="417">
        <v>1000</v>
      </c>
      <c r="M51" s="417">
        <v>151</v>
      </c>
      <c r="N51" s="417">
        <f t="shared" si="6"/>
        <v>151000</v>
      </c>
      <c r="R51" s="19"/>
      <c r="S51" s="867" t="s">
        <v>91</v>
      </c>
      <c r="T51" s="868"/>
      <c r="U51" s="868"/>
      <c r="V51" s="868"/>
      <c r="W51" s="868"/>
      <c r="X51" s="868"/>
      <c r="Y51" s="868"/>
      <c r="Z51" s="868"/>
      <c r="AA51" s="868"/>
      <c r="AB51" s="868"/>
      <c r="AC51" s="868"/>
      <c r="AD51" s="868"/>
      <c r="AE51" s="868"/>
      <c r="AF51" s="868"/>
      <c r="AG51" s="869"/>
      <c r="AH51" s="868"/>
      <c r="AI51" s="870"/>
      <c r="AJ51" s="868"/>
      <c r="AK51" s="868"/>
      <c r="AL51" s="849"/>
      <c r="AM51" s="849"/>
      <c r="AN51" s="850"/>
    </row>
    <row r="52" spans="1:43" ht="24.95" customHeight="1" thickBot="1">
      <c r="I52" t="s">
        <v>1</v>
      </c>
      <c r="K52">
        <v>100</v>
      </c>
      <c r="L52" s="417">
        <v>500</v>
      </c>
      <c r="M52" s="417">
        <f>8+19</f>
        <v>27</v>
      </c>
      <c r="N52" s="417">
        <f t="shared" si="6"/>
        <v>13500</v>
      </c>
      <c r="O52" t="s">
        <v>1</v>
      </c>
      <c r="R52" s="19"/>
      <c r="S52" s="856" t="s">
        <v>167</v>
      </c>
      <c r="T52" s="857"/>
      <c r="U52" s="857"/>
      <c r="V52" s="857"/>
      <c r="W52" s="857"/>
      <c r="X52" s="857"/>
      <c r="Y52" s="857"/>
      <c r="Z52" s="857"/>
      <c r="AA52" s="857"/>
      <c r="AB52" s="857"/>
      <c r="AC52" s="857"/>
      <c r="AD52" s="857"/>
      <c r="AE52" s="857"/>
      <c r="AF52" s="857"/>
      <c r="AG52" s="858"/>
      <c r="AH52" s="859"/>
      <c r="AI52" s="860"/>
      <c r="AJ52" s="851"/>
      <c r="AK52" s="851"/>
      <c r="AL52" s="849"/>
      <c r="AM52" s="849"/>
      <c r="AN52" s="850"/>
    </row>
    <row r="53" spans="1:43" ht="24.95" customHeight="1" thickBot="1">
      <c r="L53" s="417">
        <v>100</v>
      </c>
      <c r="M53" s="417">
        <v>2</v>
      </c>
      <c r="N53" s="417">
        <f t="shared" si="6"/>
        <v>200</v>
      </c>
      <c r="R53" s="19"/>
      <c r="S53" s="871" t="s">
        <v>81</v>
      </c>
      <c r="T53" s="866">
        <f t="shared" ref="T53:AN53" si="7">SUM(T49+T50+T52)</f>
        <v>0</v>
      </c>
      <c r="U53" s="866">
        <f t="shared" si="7"/>
        <v>0</v>
      </c>
      <c r="V53" s="866">
        <f t="shared" si="7"/>
        <v>0</v>
      </c>
      <c r="W53" s="866">
        <f t="shared" si="7"/>
        <v>0</v>
      </c>
      <c r="X53" s="866">
        <f t="shared" si="7"/>
        <v>0</v>
      </c>
      <c r="Y53" s="866">
        <f t="shared" si="7"/>
        <v>0</v>
      </c>
      <c r="Z53" s="866">
        <f t="shared" si="7"/>
        <v>0</v>
      </c>
      <c r="AA53" s="866">
        <f t="shared" si="7"/>
        <v>0</v>
      </c>
      <c r="AB53" s="866">
        <f t="shared" si="7"/>
        <v>0</v>
      </c>
      <c r="AC53" s="866">
        <f t="shared" si="7"/>
        <v>0</v>
      </c>
      <c r="AD53" s="866">
        <f t="shared" si="7"/>
        <v>0</v>
      </c>
      <c r="AE53" s="866">
        <f t="shared" si="7"/>
        <v>0</v>
      </c>
      <c r="AF53" s="866">
        <f t="shared" si="7"/>
        <v>0</v>
      </c>
      <c r="AG53" s="866">
        <f t="shared" si="7"/>
        <v>0</v>
      </c>
      <c r="AH53" s="866">
        <f t="shared" si="7"/>
        <v>0</v>
      </c>
      <c r="AI53" s="866">
        <f t="shared" si="7"/>
        <v>0</v>
      </c>
      <c r="AJ53" s="866">
        <f t="shared" si="7"/>
        <v>0</v>
      </c>
      <c r="AK53" s="866">
        <f t="shared" si="7"/>
        <v>0</v>
      </c>
      <c r="AL53" s="866" t="e">
        <f t="shared" si="7"/>
        <v>#VALUE!</v>
      </c>
      <c r="AM53" s="866" t="e">
        <f t="shared" si="7"/>
        <v>#VALUE!</v>
      </c>
      <c r="AN53" s="872" t="e">
        <f t="shared" si="7"/>
        <v>#VALUE!</v>
      </c>
    </row>
    <row r="54" spans="1:43" ht="24.95" customHeight="1" thickBot="1">
      <c r="L54" s="417">
        <v>50</v>
      </c>
      <c r="M54" s="417">
        <v>16</v>
      </c>
      <c r="N54" s="417">
        <f t="shared" si="6"/>
        <v>800</v>
      </c>
      <c r="R54" s="19"/>
      <c r="S54" s="854" t="s">
        <v>168</v>
      </c>
      <c r="T54" s="852">
        <f>'CUSTOMERS REPORT'!B14+'CUSTOMERS REPORT'!B60+'CUSTOMERS REPORT'!B98+'CUSTOMERS REPORT'!B137+'CUSTOMERS REPORT'!B175+'CUSTOMERS REPORT'!B215+'CUSTOMERS REPORT'!B252+'CUSTOMERS REPORT'!B292+'CUSTOMERS REPORT'!B333+'CUSTOMERS REPORT'!B375+'CUSTOMERS REPORT'!B414+'CUSTOMERS REPORT'!B452+'CUSTOMERS REPORT'!B488+'CUSTOMERS REPORT'!B525+'CUSTOMERS REPORT'!B563+'CUSTOMERS REPORT'!B599+'CUSTOMERS REPORT'!B637+'CUSTOMERS REPORT'!B675+'CUSTOMERS REPORT'!B713+'CUSTOMERS REPORT'!B751+'CUSTOMERS REPORT'!B789+'CUSTOMERS REPORT'!B827+'CUSTOMERS REPORT'!B865+'CUSTOMERS REPORT'!B904+'CUSTOMERS REPORT'!B943+'CUSTOMERS REPORT'!B981+'CUSTOMERS REPORT'!B1019+'CUSTOMERS REPORT'!B1057+'CUSTOMERS REPORT'!B1095+'CUSTOMERS REPORT'!B1133+'CUSTOMERS REPORT'!B1170+'CUSTOMERS REPORT'!B1207+'CUSTOMERS REPORT'!B1244+'CUSTOMERS REPORT'!B1281+'CUSTOMERS REPORT'!B1318+'CUSTOMERS REPORT'!B1355+'CUSTOMERS REPORT'!B1392+'CUSTOMERS REPORT'!B1428</f>
        <v>0</v>
      </c>
      <c r="U54" s="852">
        <f>'CUSTOMERS REPORT'!C14+'CUSTOMERS REPORT'!C60+'CUSTOMERS REPORT'!C98+'CUSTOMERS REPORT'!C137+'CUSTOMERS REPORT'!C175+'CUSTOMERS REPORT'!C215+'CUSTOMERS REPORT'!C252+'CUSTOMERS REPORT'!C292+'CUSTOMERS REPORT'!C333+'CUSTOMERS REPORT'!C375+'CUSTOMERS REPORT'!C414+'CUSTOMERS REPORT'!C452+'CUSTOMERS REPORT'!C488+'CUSTOMERS REPORT'!C525+'CUSTOMERS REPORT'!C563+'CUSTOMERS REPORT'!C599+'CUSTOMERS REPORT'!C637+'CUSTOMERS REPORT'!C675+'CUSTOMERS REPORT'!C713+'CUSTOMERS REPORT'!C751+'CUSTOMERS REPORT'!C789+'CUSTOMERS REPORT'!C827+'CUSTOMERS REPORT'!C865+'CUSTOMERS REPORT'!C904+'CUSTOMERS REPORT'!C943+'CUSTOMERS REPORT'!C981+'CUSTOMERS REPORT'!C1019+'CUSTOMERS REPORT'!C1057+'CUSTOMERS REPORT'!C1095+'CUSTOMERS REPORT'!C1133+'CUSTOMERS REPORT'!C1170+'CUSTOMERS REPORT'!C1207+'CUSTOMERS REPORT'!C1244+'CUSTOMERS REPORT'!C1281+'CUSTOMERS REPORT'!C1318+'CUSTOMERS REPORT'!C1355+'CUSTOMERS REPORT'!C1392+'CUSTOMERS REPORT'!C1428</f>
        <v>0</v>
      </c>
      <c r="V54" s="852">
        <f>'CUSTOMERS REPORT'!D14+'CUSTOMERS REPORT'!D60+'CUSTOMERS REPORT'!D98+'CUSTOMERS REPORT'!D137+'CUSTOMERS REPORT'!D175+'CUSTOMERS REPORT'!D215+'CUSTOMERS REPORT'!D252+'CUSTOMERS REPORT'!D292+'CUSTOMERS REPORT'!D333+'CUSTOMERS REPORT'!D375+'CUSTOMERS REPORT'!D414+'CUSTOMERS REPORT'!D452+'CUSTOMERS REPORT'!D488+'CUSTOMERS REPORT'!D525+'CUSTOMERS REPORT'!D563+'CUSTOMERS REPORT'!D599+'CUSTOMERS REPORT'!D637+'CUSTOMERS REPORT'!D675+'CUSTOMERS REPORT'!D713+'CUSTOMERS REPORT'!D751+'CUSTOMERS REPORT'!D789+'CUSTOMERS REPORT'!D827+'CUSTOMERS REPORT'!D865+'CUSTOMERS REPORT'!D904+'CUSTOMERS REPORT'!D943+'CUSTOMERS REPORT'!D981+'CUSTOMERS REPORT'!D1019+'CUSTOMERS REPORT'!D1057+'CUSTOMERS REPORT'!D1095+'CUSTOMERS REPORT'!D1133+'CUSTOMERS REPORT'!D1170+'CUSTOMERS REPORT'!D1207+'CUSTOMERS REPORT'!D1244+'CUSTOMERS REPORT'!D1281+'CUSTOMERS REPORT'!D1318+'CUSTOMERS REPORT'!D1355+'CUSTOMERS REPORT'!D1392+'CUSTOMERS REPORT'!D1428</f>
        <v>0</v>
      </c>
      <c r="W54" s="852">
        <f>'CUSTOMERS REPORT'!E14+'CUSTOMERS REPORT'!E60+'CUSTOMERS REPORT'!E98+'CUSTOMERS REPORT'!E137+'CUSTOMERS REPORT'!E175+'CUSTOMERS REPORT'!E215+'CUSTOMERS REPORT'!E252+'CUSTOMERS REPORT'!E292+'CUSTOMERS REPORT'!E333+'CUSTOMERS REPORT'!E375+'CUSTOMERS REPORT'!E414+'CUSTOMERS REPORT'!E452+'CUSTOMERS REPORT'!E488+'CUSTOMERS REPORT'!E525+'CUSTOMERS REPORT'!E563+'CUSTOMERS REPORT'!E599+'CUSTOMERS REPORT'!E637+'CUSTOMERS REPORT'!E675+'CUSTOMERS REPORT'!E713+'CUSTOMERS REPORT'!E751+'CUSTOMERS REPORT'!E789+'CUSTOMERS REPORT'!E827+'CUSTOMERS REPORT'!E865+'CUSTOMERS REPORT'!E904+'CUSTOMERS REPORT'!E943+'CUSTOMERS REPORT'!E981+'CUSTOMERS REPORT'!E1019+'CUSTOMERS REPORT'!E1057+'CUSTOMERS REPORT'!E1095+'CUSTOMERS REPORT'!E1133+'CUSTOMERS REPORT'!E1170+'CUSTOMERS REPORT'!E1207+'CUSTOMERS REPORT'!E1244+'CUSTOMERS REPORT'!E1281+'CUSTOMERS REPORT'!E1318+'CUSTOMERS REPORT'!E1355+'CUSTOMERS REPORT'!E1392+'CUSTOMERS REPORT'!E1428</f>
        <v>0</v>
      </c>
      <c r="X54" s="852">
        <f>'CUSTOMERS REPORT'!F14+'CUSTOMERS REPORT'!F60+'CUSTOMERS REPORT'!F98+'CUSTOMERS REPORT'!F137+'CUSTOMERS REPORT'!F175+'CUSTOMERS REPORT'!F215+'CUSTOMERS REPORT'!F252+'CUSTOMERS REPORT'!F292+'CUSTOMERS REPORT'!F333+'CUSTOMERS REPORT'!F375+'CUSTOMERS REPORT'!F414+'CUSTOMERS REPORT'!F452+'CUSTOMERS REPORT'!F488+'CUSTOMERS REPORT'!F525+'CUSTOMERS REPORT'!F563+'CUSTOMERS REPORT'!F599+'CUSTOMERS REPORT'!F637+'CUSTOMERS REPORT'!F675+'CUSTOMERS REPORT'!F713+'CUSTOMERS REPORT'!F751+'CUSTOMERS REPORT'!F789+'CUSTOMERS REPORT'!F827+'CUSTOMERS REPORT'!F865+'CUSTOMERS REPORT'!F904+'CUSTOMERS REPORT'!F943+'CUSTOMERS REPORT'!F981+'CUSTOMERS REPORT'!F1019+'CUSTOMERS REPORT'!F1057+'CUSTOMERS REPORT'!F1095+'CUSTOMERS REPORT'!F1133+'CUSTOMERS REPORT'!F1170+'CUSTOMERS REPORT'!F1207+'CUSTOMERS REPORT'!F1244+'CUSTOMERS REPORT'!F1281+'CUSTOMERS REPORT'!F1318+'CUSTOMERS REPORT'!F1355+'CUSTOMERS REPORT'!F1392+'CUSTOMERS REPORT'!F1428</f>
        <v>0</v>
      </c>
      <c r="Y54" s="852">
        <f>'CUSTOMERS REPORT'!G14+'CUSTOMERS REPORT'!G60+'CUSTOMERS REPORT'!G98+'CUSTOMERS REPORT'!G137+'CUSTOMERS REPORT'!G175+'CUSTOMERS REPORT'!G215+'CUSTOMERS REPORT'!G252+'CUSTOMERS REPORT'!G292+'CUSTOMERS REPORT'!G333+'CUSTOMERS REPORT'!G375+'CUSTOMERS REPORT'!G414+'CUSTOMERS REPORT'!G452+'CUSTOMERS REPORT'!G488+'CUSTOMERS REPORT'!G525+'CUSTOMERS REPORT'!G563+'CUSTOMERS REPORT'!G599+'CUSTOMERS REPORT'!G637+'CUSTOMERS REPORT'!G675+'CUSTOMERS REPORT'!G713+'CUSTOMERS REPORT'!G751+'CUSTOMERS REPORT'!G789+'CUSTOMERS REPORT'!G827+'CUSTOMERS REPORT'!G865+'CUSTOMERS REPORT'!G904+'CUSTOMERS REPORT'!G943+'CUSTOMERS REPORT'!G981+'CUSTOMERS REPORT'!G1019+'CUSTOMERS REPORT'!G1057+'CUSTOMERS REPORT'!G1095+'CUSTOMERS REPORT'!G1133+'CUSTOMERS REPORT'!G1170+'CUSTOMERS REPORT'!G1207+'CUSTOMERS REPORT'!G1244+'CUSTOMERS REPORT'!G1281+'CUSTOMERS REPORT'!G1318+'CUSTOMERS REPORT'!G1355+'CUSTOMERS REPORT'!G1392+'CUSTOMERS REPORT'!G1428</f>
        <v>0</v>
      </c>
      <c r="Z54" s="852">
        <f>'CUSTOMERS REPORT'!H14+'CUSTOMERS REPORT'!H60+'CUSTOMERS REPORT'!H98+'CUSTOMERS REPORT'!H137+'CUSTOMERS REPORT'!H175+'CUSTOMERS REPORT'!H215+'CUSTOMERS REPORT'!H252+'CUSTOMERS REPORT'!H292+'CUSTOMERS REPORT'!H333+'CUSTOMERS REPORT'!H375+'CUSTOMERS REPORT'!H414+'CUSTOMERS REPORT'!H452+'CUSTOMERS REPORT'!H488+'CUSTOMERS REPORT'!H525+'CUSTOMERS REPORT'!H563+'CUSTOMERS REPORT'!H599+'CUSTOMERS REPORT'!H637+'CUSTOMERS REPORT'!H675+'CUSTOMERS REPORT'!H713+'CUSTOMERS REPORT'!H751+'CUSTOMERS REPORT'!H789+'CUSTOMERS REPORT'!H827+'CUSTOMERS REPORT'!H865+'CUSTOMERS REPORT'!H904+'CUSTOMERS REPORT'!H943+'CUSTOMERS REPORT'!H981+'CUSTOMERS REPORT'!H1019+'CUSTOMERS REPORT'!H1057+'CUSTOMERS REPORT'!H1095+'CUSTOMERS REPORT'!H1133+'CUSTOMERS REPORT'!H1170+'CUSTOMERS REPORT'!H1207+'CUSTOMERS REPORT'!H1244+'CUSTOMERS REPORT'!H1281+'CUSTOMERS REPORT'!H1318+'CUSTOMERS REPORT'!H1355+'CUSTOMERS REPORT'!H1392+'CUSTOMERS REPORT'!H1428</f>
        <v>0</v>
      </c>
      <c r="AA54" s="852">
        <f>'CUSTOMERS REPORT'!I14+'CUSTOMERS REPORT'!I60+'CUSTOMERS REPORT'!I98+'CUSTOMERS REPORT'!I137+'CUSTOMERS REPORT'!I175+'CUSTOMERS REPORT'!I215+'CUSTOMERS REPORT'!I252+'CUSTOMERS REPORT'!I292+'CUSTOMERS REPORT'!I333+'CUSTOMERS REPORT'!I375+'CUSTOMERS REPORT'!I414+'CUSTOMERS REPORT'!I452+'CUSTOMERS REPORT'!I488+'CUSTOMERS REPORT'!I525+'CUSTOMERS REPORT'!I563+'CUSTOMERS REPORT'!I599+'CUSTOMERS REPORT'!I637+'CUSTOMERS REPORT'!I675+'CUSTOMERS REPORT'!I713+'CUSTOMERS REPORT'!I751+'CUSTOMERS REPORT'!I789+'CUSTOMERS REPORT'!I827+'CUSTOMERS REPORT'!I865+'CUSTOMERS REPORT'!I904+'CUSTOMERS REPORT'!I943+'CUSTOMERS REPORT'!I981+'CUSTOMERS REPORT'!I1019+'CUSTOMERS REPORT'!I1057+'CUSTOMERS REPORT'!I1095+'CUSTOMERS REPORT'!I1133+'CUSTOMERS REPORT'!I1170+'CUSTOMERS REPORT'!I1207+'CUSTOMERS REPORT'!I1244+'CUSTOMERS REPORT'!I1281+'CUSTOMERS REPORT'!I1318+'CUSTOMERS REPORT'!I1355+'CUSTOMERS REPORT'!I1392+'CUSTOMERS REPORT'!I1428</f>
        <v>0</v>
      </c>
      <c r="AB54" s="852">
        <f>'CUSTOMERS REPORT'!J14+'CUSTOMERS REPORT'!J60+'CUSTOMERS REPORT'!J98+'CUSTOMERS REPORT'!J137+'CUSTOMERS REPORT'!J175+'CUSTOMERS REPORT'!J215+'CUSTOMERS REPORT'!J252+'CUSTOMERS REPORT'!J292+'CUSTOMERS REPORT'!J333+'CUSTOMERS REPORT'!J375+'CUSTOMERS REPORT'!J414+'CUSTOMERS REPORT'!J452+'CUSTOMERS REPORT'!J488+'CUSTOMERS REPORT'!J525+'CUSTOMERS REPORT'!J563+'CUSTOMERS REPORT'!J599+'CUSTOMERS REPORT'!J637+'CUSTOMERS REPORT'!J675+'CUSTOMERS REPORT'!J713+'CUSTOMERS REPORT'!J751+'CUSTOMERS REPORT'!J789+'CUSTOMERS REPORT'!J827+'CUSTOMERS REPORT'!J865+'CUSTOMERS REPORT'!J904+'CUSTOMERS REPORT'!J943+'CUSTOMERS REPORT'!J981+'CUSTOMERS REPORT'!J1019+'CUSTOMERS REPORT'!J1057+'CUSTOMERS REPORT'!J1095+'CUSTOMERS REPORT'!J1133+'CUSTOMERS REPORT'!J1170+'CUSTOMERS REPORT'!J1207+'CUSTOMERS REPORT'!J1244+'CUSTOMERS REPORT'!J1281+'CUSTOMERS REPORT'!J1318+'CUSTOMERS REPORT'!J1355+'CUSTOMERS REPORT'!J1392+'CUSTOMERS REPORT'!J1428</f>
        <v>0</v>
      </c>
      <c r="AC54" s="852">
        <f>'CUSTOMERS REPORT'!K14+'CUSTOMERS REPORT'!K60+'CUSTOMERS REPORT'!K98+'CUSTOMERS REPORT'!K137+'CUSTOMERS REPORT'!K175+'CUSTOMERS REPORT'!K215+'CUSTOMERS REPORT'!K252+'CUSTOMERS REPORT'!K292+'CUSTOMERS REPORT'!K333+'CUSTOMERS REPORT'!K375+'CUSTOMERS REPORT'!K414+'CUSTOMERS REPORT'!K452+'CUSTOMERS REPORT'!K488+'CUSTOMERS REPORT'!K525+'CUSTOMERS REPORT'!K563+'CUSTOMERS REPORT'!K599+'CUSTOMERS REPORT'!K637+'CUSTOMERS REPORT'!K675+'CUSTOMERS REPORT'!K713+'CUSTOMERS REPORT'!K751+'CUSTOMERS REPORT'!K789+'CUSTOMERS REPORT'!K827+'CUSTOMERS REPORT'!K865+'CUSTOMERS REPORT'!K904+'CUSTOMERS REPORT'!K943+'CUSTOMERS REPORT'!K981+'CUSTOMERS REPORT'!K1019+'CUSTOMERS REPORT'!K1057+'CUSTOMERS REPORT'!K1095+'CUSTOMERS REPORT'!K1133+'CUSTOMERS REPORT'!K1170+'CUSTOMERS REPORT'!K1207+'CUSTOMERS REPORT'!K1244+'CUSTOMERS REPORT'!K1281+'CUSTOMERS REPORT'!K1318+'CUSTOMERS REPORT'!K1355+'CUSTOMERS REPORT'!K1392+'CUSTOMERS REPORT'!K1428</f>
        <v>0</v>
      </c>
      <c r="AD54" s="852">
        <f>'CUSTOMERS REPORT'!L14+'CUSTOMERS REPORT'!L60+'CUSTOMERS REPORT'!L98+'CUSTOMERS REPORT'!L137+'CUSTOMERS REPORT'!L175+'CUSTOMERS REPORT'!L215+'CUSTOMERS REPORT'!L252+'CUSTOMERS REPORT'!L292+'CUSTOMERS REPORT'!L333+'CUSTOMERS REPORT'!L375+'CUSTOMERS REPORT'!L414+'CUSTOMERS REPORT'!L452+'CUSTOMERS REPORT'!L488+'CUSTOMERS REPORT'!L525+'CUSTOMERS REPORT'!L563+'CUSTOMERS REPORT'!L599+'CUSTOMERS REPORT'!L637+'CUSTOMERS REPORT'!L675+'CUSTOMERS REPORT'!L713+'CUSTOMERS REPORT'!L751+'CUSTOMERS REPORT'!L789+'CUSTOMERS REPORT'!L827+'CUSTOMERS REPORT'!L865+'CUSTOMERS REPORT'!L904+'CUSTOMERS REPORT'!L943+'CUSTOMERS REPORT'!L981+'CUSTOMERS REPORT'!L1019+'CUSTOMERS REPORT'!L1057+'CUSTOMERS REPORT'!L1095+'CUSTOMERS REPORT'!L1133+'CUSTOMERS REPORT'!L1170+'CUSTOMERS REPORT'!L1207+'CUSTOMERS REPORT'!L1244+'CUSTOMERS REPORT'!L1281+'CUSTOMERS REPORT'!L1318+'CUSTOMERS REPORT'!L1355+'CUSTOMERS REPORT'!L1392+'CUSTOMERS REPORT'!L1428</f>
        <v>0</v>
      </c>
      <c r="AE54" s="852">
        <f>'CUSTOMERS REPORT'!M14+'CUSTOMERS REPORT'!M60+'CUSTOMERS REPORT'!M98+'CUSTOMERS REPORT'!M137+'CUSTOMERS REPORT'!M175+'CUSTOMERS REPORT'!M215+'CUSTOMERS REPORT'!M252+'CUSTOMERS REPORT'!M292+'CUSTOMERS REPORT'!M333+'CUSTOMERS REPORT'!M375+'CUSTOMERS REPORT'!M414+'CUSTOMERS REPORT'!M452+'CUSTOMERS REPORT'!M488+'CUSTOMERS REPORT'!M525+'CUSTOMERS REPORT'!M563+'CUSTOMERS REPORT'!M599+'CUSTOMERS REPORT'!M637+'CUSTOMERS REPORT'!M675+'CUSTOMERS REPORT'!M713+'CUSTOMERS REPORT'!M751+'CUSTOMERS REPORT'!M789+'CUSTOMERS REPORT'!M827+'CUSTOMERS REPORT'!M865+'CUSTOMERS REPORT'!M904+'CUSTOMERS REPORT'!M943+'CUSTOMERS REPORT'!M981+'CUSTOMERS REPORT'!M1019+'CUSTOMERS REPORT'!M1057+'CUSTOMERS REPORT'!M1095+'CUSTOMERS REPORT'!M1133+'CUSTOMERS REPORT'!M1170+'CUSTOMERS REPORT'!M1207+'CUSTOMERS REPORT'!M1244+'CUSTOMERS REPORT'!M1281+'CUSTOMERS REPORT'!M1318+'CUSTOMERS REPORT'!M1355+'CUSTOMERS REPORT'!M1392+'CUSTOMERS REPORT'!M1428</f>
        <v>0</v>
      </c>
      <c r="AF54" s="852">
        <f>'CUSTOMERS REPORT'!N14+'CUSTOMERS REPORT'!N60+'CUSTOMERS REPORT'!N98+'CUSTOMERS REPORT'!N137+'CUSTOMERS REPORT'!N175+'CUSTOMERS REPORT'!N215+'CUSTOMERS REPORT'!N252+'CUSTOMERS REPORT'!N292+'CUSTOMERS REPORT'!N333+'CUSTOMERS REPORT'!N375+'CUSTOMERS REPORT'!N414+'CUSTOMERS REPORT'!N452+'CUSTOMERS REPORT'!N488+'CUSTOMERS REPORT'!N525+'CUSTOMERS REPORT'!N563+'CUSTOMERS REPORT'!N599+'CUSTOMERS REPORT'!N637+'CUSTOMERS REPORT'!N675+'CUSTOMERS REPORT'!N713+'CUSTOMERS REPORT'!N751+'CUSTOMERS REPORT'!N789+'CUSTOMERS REPORT'!N827+'CUSTOMERS REPORT'!N865+'CUSTOMERS REPORT'!N904+'CUSTOMERS REPORT'!N943+'CUSTOMERS REPORT'!N981+'CUSTOMERS REPORT'!N1019+'CUSTOMERS REPORT'!N1057+'CUSTOMERS REPORT'!N1095+'CUSTOMERS REPORT'!N1133+'CUSTOMERS REPORT'!N1170+'CUSTOMERS REPORT'!N1207+'CUSTOMERS REPORT'!N1244+'CUSTOMERS REPORT'!N1281+'CUSTOMERS REPORT'!N1318+'CUSTOMERS REPORT'!N1355+'CUSTOMERS REPORT'!N1392+'CUSTOMERS REPORT'!N1428</f>
        <v>0</v>
      </c>
      <c r="AG54" s="852">
        <f>'CUSTOMERS REPORT'!O14+'CUSTOMERS REPORT'!O60+'CUSTOMERS REPORT'!O98+'CUSTOMERS REPORT'!O137+'CUSTOMERS REPORT'!O175+'CUSTOMERS REPORT'!O215+'CUSTOMERS REPORT'!O252+'CUSTOMERS REPORT'!O292+'CUSTOMERS REPORT'!O333+'CUSTOMERS REPORT'!O375+'CUSTOMERS REPORT'!O414+'CUSTOMERS REPORT'!O452+'CUSTOMERS REPORT'!O488+'CUSTOMERS REPORT'!O525+'CUSTOMERS REPORT'!O563+'CUSTOMERS REPORT'!O599+'CUSTOMERS REPORT'!O637+'CUSTOMERS REPORT'!O675+'CUSTOMERS REPORT'!O713+'CUSTOMERS REPORT'!O751+'CUSTOMERS REPORT'!O789+'CUSTOMERS REPORT'!O827+'CUSTOMERS REPORT'!O865+'CUSTOMERS REPORT'!O904+'CUSTOMERS REPORT'!O943+'CUSTOMERS REPORT'!O981+'CUSTOMERS REPORT'!O1019+'CUSTOMERS REPORT'!O1057+'CUSTOMERS REPORT'!O1095+'CUSTOMERS REPORT'!O1133+'CUSTOMERS REPORT'!O1170+'CUSTOMERS REPORT'!O1207+'CUSTOMERS REPORT'!O1244+'CUSTOMERS REPORT'!O1281+'CUSTOMERS REPORT'!O1318+'CUSTOMERS REPORT'!O1355+'CUSTOMERS REPORT'!O1392+'CUSTOMERS REPORT'!O1428</f>
        <v>0</v>
      </c>
      <c r="AH54" s="852">
        <f>'CUSTOMERS REPORT'!P14+'CUSTOMERS REPORT'!P60+'CUSTOMERS REPORT'!P98+'CUSTOMERS REPORT'!P137+'CUSTOMERS REPORT'!P175+'CUSTOMERS REPORT'!P215+'CUSTOMERS REPORT'!P252+'CUSTOMERS REPORT'!P292+'CUSTOMERS REPORT'!P333+'CUSTOMERS REPORT'!P375+'CUSTOMERS REPORT'!P414+'CUSTOMERS REPORT'!P452+'CUSTOMERS REPORT'!P488+'CUSTOMERS REPORT'!P525+'CUSTOMERS REPORT'!P563+'CUSTOMERS REPORT'!P599+'CUSTOMERS REPORT'!P637+'CUSTOMERS REPORT'!P675+'CUSTOMERS REPORT'!P713+'CUSTOMERS REPORT'!P751+'CUSTOMERS REPORT'!P789+'CUSTOMERS REPORT'!P827+'CUSTOMERS REPORT'!P865+'CUSTOMERS REPORT'!P904+'CUSTOMERS REPORT'!P943+'CUSTOMERS REPORT'!P981+'CUSTOMERS REPORT'!P1019+'CUSTOMERS REPORT'!P1057+'CUSTOMERS REPORT'!P1095+'CUSTOMERS REPORT'!P1133+'CUSTOMERS REPORT'!P1170+'CUSTOMERS REPORT'!P1207+'CUSTOMERS REPORT'!P1244+'CUSTOMERS REPORT'!P1281+'CUSTOMERS REPORT'!P1318+'CUSTOMERS REPORT'!P1355+'CUSTOMERS REPORT'!P1392+'CUSTOMERS REPORT'!P1428</f>
        <v>0</v>
      </c>
      <c r="AI54" s="852">
        <f>'CUSTOMERS REPORT'!Q14+'CUSTOMERS REPORT'!Q60+'CUSTOMERS REPORT'!Q98+'CUSTOMERS REPORT'!Q137+'CUSTOMERS REPORT'!Q175+'CUSTOMERS REPORT'!Q215+'CUSTOMERS REPORT'!Q252+'CUSTOMERS REPORT'!Q292+'CUSTOMERS REPORT'!Q333+'CUSTOMERS REPORT'!Q375+'CUSTOMERS REPORT'!Q414+'CUSTOMERS REPORT'!Q452+'CUSTOMERS REPORT'!Q488+'CUSTOMERS REPORT'!Q525+'CUSTOMERS REPORT'!Q563+'CUSTOMERS REPORT'!Q599+'CUSTOMERS REPORT'!Q637+'CUSTOMERS REPORT'!Q675+'CUSTOMERS REPORT'!Q713+'CUSTOMERS REPORT'!Q751+'CUSTOMERS REPORT'!Q789+'CUSTOMERS REPORT'!Q827+'CUSTOMERS REPORT'!Q865+'CUSTOMERS REPORT'!Q904+'CUSTOMERS REPORT'!Q943+'CUSTOMERS REPORT'!Q981+'CUSTOMERS REPORT'!Q1019+'CUSTOMERS REPORT'!Q1057+'CUSTOMERS REPORT'!Q1095+'CUSTOMERS REPORT'!Q1133+'CUSTOMERS REPORT'!Q1170+'CUSTOMERS REPORT'!Q1207+'CUSTOMERS REPORT'!Q1244+'CUSTOMERS REPORT'!Q1281+'CUSTOMERS REPORT'!Q1318+'CUSTOMERS REPORT'!Q1355+'CUSTOMERS REPORT'!Q1392+'CUSTOMERS REPORT'!Q1428</f>
        <v>0</v>
      </c>
      <c r="AJ54" s="852">
        <f>'CUSTOMERS REPORT'!R14+'CUSTOMERS REPORT'!R60+'CUSTOMERS REPORT'!R98+'CUSTOMERS REPORT'!R137+'CUSTOMERS REPORT'!R175+'CUSTOMERS REPORT'!R215+'CUSTOMERS REPORT'!R252+'CUSTOMERS REPORT'!R292+'CUSTOMERS REPORT'!R333+'CUSTOMERS REPORT'!R375+'CUSTOMERS REPORT'!R414+'CUSTOMERS REPORT'!R452+'CUSTOMERS REPORT'!R488+'CUSTOMERS REPORT'!R525+'CUSTOMERS REPORT'!R563+'CUSTOMERS REPORT'!R599+'CUSTOMERS REPORT'!R637+'CUSTOMERS REPORT'!R675+'CUSTOMERS REPORT'!R713+'CUSTOMERS REPORT'!R751+'CUSTOMERS REPORT'!R789+'CUSTOMERS REPORT'!R827+'CUSTOMERS REPORT'!R865+'CUSTOMERS REPORT'!R904+'CUSTOMERS REPORT'!R943+'CUSTOMERS REPORT'!R981+'CUSTOMERS REPORT'!R1019+'CUSTOMERS REPORT'!R1057+'CUSTOMERS REPORT'!R1095+'CUSTOMERS REPORT'!R1133+'CUSTOMERS REPORT'!R1170+'CUSTOMERS REPORT'!R1207+'CUSTOMERS REPORT'!R1244+'CUSTOMERS REPORT'!R1281+'CUSTOMERS REPORT'!R1318+'CUSTOMERS REPORT'!R1355+'CUSTOMERS REPORT'!R1392+'CUSTOMERS REPORT'!R1428</f>
        <v>0</v>
      </c>
      <c r="AK54" s="852">
        <f>'CUSTOMERS REPORT'!S14+'CUSTOMERS REPORT'!S60+'CUSTOMERS REPORT'!S98+'CUSTOMERS REPORT'!S137+'CUSTOMERS REPORT'!S175+'CUSTOMERS REPORT'!S215+'CUSTOMERS REPORT'!S252+'CUSTOMERS REPORT'!S292+'CUSTOMERS REPORT'!S333+'CUSTOMERS REPORT'!S375+'CUSTOMERS REPORT'!S414+'CUSTOMERS REPORT'!S452+'CUSTOMERS REPORT'!S488+'CUSTOMERS REPORT'!S525+'CUSTOMERS REPORT'!S563+'CUSTOMERS REPORT'!S599+'CUSTOMERS REPORT'!S637+'CUSTOMERS REPORT'!S675+'CUSTOMERS REPORT'!S713+'CUSTOMERS REPORT'!S751+'CUSTOMERS REPORT'!S789+'CUSTOMERS REPORT'!S827+'CUSTOMERS REPORT'!S865+'CUSTOMERS REPORT'!S904+'CUSTOMERS REPORT'!S943+'CUSTOMERS REPORT'!S981+'CUSTOMERS REPORT'!S1019+'CUSTOMERS REPORT'!S1057+'CUSTOMERS REPORT'!S1095+'CUSTOMERS REPORT'!S1133+'CUSTOMERS REPORT'!S1170+'CUSTOMERS REPORT'!S1207+'CUSTOMERS REPORT'!S1244+'CUSTOMERS REPORT'!S1281+'CUSTOMERS REPORT'!S1318+'CUSTOMERS REPORT'!S1355+'CUSTOMERS REPORT'!S1392+'CUSTOMERS REPORT'!S1428</f>
        <v>0</v>
      </c>
      <c r="AL54" s="852">
        <f>'CUSTOMERS REPORT'!T14+'CUSTOMERS REPORT'!T60+'CUSTOMERS REPORT'!T98+'CUSTOMERS REPORT'!T137+'CUSTOMERS REPORT'!T175+'CUSTOMERS REPORT'!T215+'CUSTOMERS REPORT'!T252+'CUSTOMERS REPORT'!T292+'CUSTOMERS REPORT'!T333+'CUSTOMERS REPORT'!T375+'CUSTOMERS REPORT'!T414+'CUSTOMERS REPORT'!T452+'CUSTOMERS REPORT'!T488+'CUSTOMERS REPORT'!T525+'CUSTOMERS REPORT'!T563+'CUSTOMERS REPORT'!T599+'CUSTOMERS REPORT'!T637+'CUSTOMERS REPORT'!T675+'CUSTOMERS REPORT'!T713+'CUSTOMERS REPORT'!T751+'CUSTOMERS REPORT'!T789+'CUSTOMERS REPORT'!T827+'CUSTOMERS REPORT'!T865+'CUSTOMERS REPORT'!T904+'CUSTOMERS REPORT'!T943+'CUSTOMERS REPORT'!T981+'CUSTOMERS REPORT'!T1019+'CUSTOMERS REPORT'!T1057+'CUSTOMERS REPORT'!T1095+'CUSTOMERS REPORT'!T1133</f>
        <v>0</v>
      </c>
      <c r="AM54" s="852">
        <f>'CUSTOMERS REPORT'!U14+'CUSTOMERS REPORT'!U60+'CUSTOMERS REPORT'!U98+'CUSTOMERS REPORT'!U137+'CUSTOMERS REPORT'!U175+'CUSTOMERS REPORT'!U215+'CUSTOMERS REPORT'!U252+'CUSTOMERS REPORT'!U292+'CUSTOMERS REPORT'!U333+'CUSTOMERS REPORT'!U375+'CUSTOMERS REPORT'!U414+'CUSTOMERS REPORT'!U452+'CUSTOMERS REPORT'!U488+'CUSTOMERS REPORT'!U525+'CUSTOMERS REPORT'!U563+'CUSTOMERS REPORT'!U599+'CUSTOMERS REPORT'!U637+'CUSTOMERS REPORT'!U675+'CUSTOMERS REPORT'!U713+'CUSTOMERS REPORT'!U751+'CUSTOMERS REPORT'!U789+'CUSTOMERS REPORT'!U827+'CUSTOMERS REPORT'!U865+'CUSTOMERS REPORT'!U904+'CUSTOMERS REPORT'!U943+'CUSTOMERS REPORT'!U981+'CUSTOMERS REPORT'!U1019+'CUSTOMERS REPORT'!U1057+'CUSTOMERS REPORT'!U1095+'CUSTOMERS REPORT'!U1133</f>
        <v>0</v>
      </c>
      <c r="AN54" s="852">
        <f>'CUSTOMERS REPORT'!V14+'CUSTOMERS REPORT'!V60+'CUSTOMERS REPORT'!V98+'CUSTOMERS REPORT'!V137+'CUSTOMERS REPORT'!V175+'CUSTOMERS REPORT'!V215+'CUSTOMERS REPORT'!V252+'CUSTOMERS REPORT'!V292+'CUSTOMERS REPORT'!V333+'CUSTOMERS REPORT'!V375+'CUSTOMERS REPORT'!V414+'CUSTOMERS REPORT'!V452+'CUSTOMERS REPORT'!V488+'CUSTOMERS REPORT'!V525+'CUSTOMERS REPORT'!V563+'CUSTOMERS REPORT'!V599+'CUSTOMERS REPORT'!V637+'CUSTOMERS REPORT'!V675+'CUSTOMERS REPORT'!V713+'CUSTOMERS REPORT'!V751+'CUSTOMERS REPORT'!V789+'CUSTOMERS REPORT'!V827+'CUSTOMERS REPORT'!V865+'CUSTOMERS REPORT'!V904+'CUSTOMERS REPORT'!V943+'CUSTOMERS REPORT'!V981+'CUSTOMERS REPORT'!V1019+'CUSTOMERS REPORT'!V1057+'CUSTOMERS REPORT'!V1095+'CUSTOMERS REPORT'!V1133</f>
        <v>0</v>
      </c>
      <c r="AQ54" t="s">
        <v>1</v>
      </c>
    </row>
    <row r="55" spans="1:43" ht="24.95" customHeight="1" thickBot="1">
      <c r="L55" s="417">
        <v>20</v>
      </c>
      <c r="M55" s="417"/>
      <c r="N55" s="417">
        <f t="shared" si="6"/>
        <v>0</v>
      </c>
      <c r="R55" s="123">
        <f>'6'!R57</f>
        <v>0</v>
      </c>
      <c r="S55" s="865" t="s">
        <v>169</v>
      </c>
      <c r="T55" s="866">
        <f t="shared" ref="T55:AN55" si="8">T53-T54-T51</f>
        <v>0</v>
      </c>
      <c r="U55" s="866">
        <f t="shared" si="8"/>
        <v>0</v>
      </c>
      <c r="V55" s="866">
        <f t="shared" si="8"/>
        <v>0</v>
      </c>
      <c r="W55" s="866">
        <f t="shared" si="8"/>
        <v>0</v>
      </c>
      <c r="X55" s="866">
        <f t="shared" si="8"/>
        <v>0</v>
      </c>
      <c r="Y55" s="866">
        <f t="shared" si="8"/>
        <v>0</v>
      </c>
      <c r="Z55" s="866">
        <f t="shared" si="8"/>
        <v>0</v>
      </c>
      <c r="AA55" s="866">
        <f t="shared" si="8"/>
        <v>0</v>
      </c>
      <c r="AB55" s="866">
        <f t="shared" ref="AB55" si="9">AB53-AB54-AB51</f>
        <v>0</v>
      </c>
      <c r="AC55" s="866">
        <f t="shared" si="8"/>
        <v>0</v>
      </c>
      <c r="AD55" s="866">
        <f t="shared" si="8"/>
        <v>0</v>
      </c>
      <c r="AE55" s="866">
        <f t="shared" si="8"/>
        <v>0</v>
      </c>
      <c r="AF55" s="866">
        <f>AF53-AF54-AF51</f>
        <v>0</v>
      </c>
      <c r="AG55" s="866">
        <f t="shared" si="8"/>
        <v>0</v>
      </c>
      <c r="AH55" s="866">
        <f t="shared" si="8"/>
        <v>0</v>
      </c>
      <c r="AI55" s="866">
        <f t="shared" si="8"/>
        <v>0</v>
      </c>
      <c r="AJ55" s="866">
        <f t="shared" si="8"/>
        <v>0</v>
      </c>
      <c r="AK55" s="866">
        <f t="shared" si="8"/>
        <v>0</v>
      </c>
      <c r="AL55" s="866" t="e">
        <f t="shared" ref="AL55" si="10">AL53-AL54-AL51</f>
        <v>#VALUE!</v>
      </c>
      <c r="AM55" s="866" t="e">
        <f t="shared" si="8"/>
        <v>#VALUE!</v>
      </c>
      <c r="AN55" s="872" t="e">
        <f t="shared" si="8"/>
        <v>#VALUE!</v>
      </c>
    </row>
    <row r="56" spans="1:43" ht="28.5" thickBot="1">
      <c r="A56" s="114"/>
      <c r="B56" s="120"/>
      <c r="C56" s="115"/>
      <c r="L56" s="417">
        <v>10</v>
      </c>
      <c r="M56" s="417">
        <f>19+12</f>
        <v>31</v>
      </c>
      <c r="N56" s="417">
        <f t="shared" si="6"/>
        <v>310</v>
      </c>
      <c r="R56" s="123">
        <f>T56+U56+V56+W56+X56+Y56+Z56+AA56+AB56+AC56+AD56+AE56+AF56+AG56+AH56+AI56+AJ56+AK56+AL56+AM56+AN56</f>
        <v>0</v>
      </c>
      <c r="S56" s="874" t="s">
        <v>170</v>
      </c>
      <c r="T56" s="875"/>
      <c r="U56" s="875"/>
      <c r="V56" s="875"/>
      <c r="W56" s="875"/>
      <c r="X56" s="875"/>
      <c r="Y56" s="875"/>
      <c r="Z56" s="876"/>
      <c r="AA56" s="875"/>
      <c r="AB56" s="875"/>
      <c r="AC56" s="875"/>
      <c r="AD56" s="875"/>
      <c r="AE56" s="875"/>
      <c r="AF56" s="875"/>
      <c r="AG56" s="875"/>
      <c r="AH56" s="875"/>
      <c r="AI56" s="875"/>
      <c r="AJ56" s="877"/>
      <c r="AK56" s="877"/>
      <c r="AL56" s="52"/>
      <c r="AM56" s="52"/>
      <c r="AN56" s="853"/>
    </row>
    <row r="57" spans="1:43" ht="27" customHeight="1" thickBot="1">
      <c r="A57" s="114"/>
      <c r="B57" s="131"/>
      <c r="C57" s="115"/>
      <c r="D57" s="115"/>
      <c r="E57" s="19"/>
      <c r="F57" s="19"/>
      <c r="G57" s="19"/>
      <c r="H57" s="19"/>
      <c r="I57" s="19"/>
      <c r="J57" s="19"/>
      <c r="K57" s="19"/>
      <c r="L57" s="418">
        <v>1</v>
      </c>
      <c r="M57" s="418">
        <f>3767+10</f>
        <v>3777</v>
      </c>
      <c r="N57" s="417">
        <f t="shared" si="6"/>
        <v>3777</v>
      </c>
      <c r="O57" s="19"/>
      <c r="R57" s="123">
        <f>SUM(R55:R56)</f>
        <v>0</v>
      </c>
      <c r="S57" s="882" t="s">
        <v>23</v>
      </c>
      <c r="T57" s="883" t="e">
        <f t="shared" ref="T57:AI57" si="11">T50/T56</f>
        <v>#DIV/0!</v>
      </c>
      <c r="U57" s="883" t="e">
        <f t="shared" si="11"/>
        <v>#DIV/0!</v>
      </c>
      <c r="V57" s="883" t="e">
        <f t="shared" si="11"/>
        <v>#DIV/0!</v>
      </c>
      <c r="W57" s="883" t="e">
        <f t="shared" si="11"/>
        <v>#DIV/0!</v>
      </c>
      <c r="X57" s="883" t="e">
        <f t="shared" si="11"/>
        <v>#DIV/0!</v>
      </c>
      <c r="Y57" s="883" t="e">
        <f t="shared" si="11"/>
        <v>#DIV/0!</v>
      </c>
      <c r="Z57" s="883" t="e">
        <f t="shared" si="11"/>
        <v>#DIV/0!</v>
      </c>
      <c r="AA57" s="883" t="e">
        <f t="shared" si="11"/>
        <v>#DIV/0!</v>
      </c>
      <c r="AB57" s="883" t="e">
        <f t="shared" si="11"/>
        <v>#DIV/0!</v>
      </c>
      <c r="AC57" s="883" t="e">
        <f t="shared" si="11"/>
        <v>#DIV/0!</v>
      </c>
      <c r="AD57" s="883" t="e">
        <f t="shared" si="11"/>
        <v>#DIV/0!</v>
      </c>
      <c r="AE57" s="883" t="e">
        <f t="shared" si="11"/>
        <v>#DIV/0!</v>
      </c>
      <c r="AF57" s="883" t="e">
        <f t="shared" si="11"/>
        <v>#DIV/0!</v>
      </c>
      <c r="AG57" s="883" t="e">
        <f t="shared" si="11"/>
        <v>#DIV/0!</v>
      </c>
      <c r="AH57" s="883" t="e">
        <f t="shared" si="11"/>
        <v>#DIV/0!</v>
      </c>
      <c r="AI57" s="883" t="e">
        <f t="shared" si="11"/>
        <v>#DIV/0!</v>
      </c>
      <c r="AJ57" s="883" t="e">
        <f>AJ50/AJ56</f>
        <v>#DIV/0!</v>
      </c>
      <c r="AK57" s="883" t="e">
        <f>AK50/AK56</f>
        <v>#DIV/0!</v>
      </c>
      <c r="AL57" s="883" t="e">
        <f t="shared" ref="AL57:AN57" si="12">AL50/AL56</f>
        <v>#DIV/0!</v>
      </c>
      <c r="AM57" s="883" t="e">
        <f t="shared" si="12"/>
        <v>#DIV/0!</v>
      </c>
      <c r="AN57" s="884" t="e">
        <f t="shared" si="12"/>
        <v>#DIV/0!</v>
      </c>
    </row>
    <row r="58" spans="1:43" ht="27" customHeight="1" thickBot="1">
      <c r="A58" s="114"/>
      <c r="B58" s="131"/>
      <c r="C58" s="115"/>
      <c r="D58" s="115" t="s">
        <v>1</v>
      </c>
      <c r="L58" s="1501" t="s">
        <v>171</v>
      </c>
      <c r="M58" s="1501"/>
      <c r="N58" s="419">
        <f>SUM(N50:N57)</f>
        <v>189587</v>
      </c>
      <c r="R58" s="19"/>
      <c r="S58" s="878" t="s">
        <v>172</v>
      </c>
      <c r="T58" s="879">
        <f>T54</f>
        <v>0</v>
      </c>
      <c r="U58" s="879">
        <f t="shared" ref="U58:AI58" si="13">U54</f>
        <v>0</v>
      </c>
      <c r="V58" s="879">
        <f t="shared" si="13"/>
        <v>0</v>
      </c>
      <c r="W58" s="879">
        <f t="shared" si="13"/>
        <v>0</v>
      </c>
      <c r="X58" s="879">
        <f t="shared" si="13"/>
        <v>0</v>
      </c>
      <c r="Y58" s="879">
        <f t="shared" si="13"/>
        <v>0</v>
      </c>
      <c r="Z58" s="879">
        <f t="shared" si="13"/>
        <v>0</v>
      </c>
      <c r="AA58" s="879">
        <f t="shared" si="13"/>
        <v>0</v>
      </c>
      <c r="AB58" s="879">
        <f t="shared" si="13"/>
        <v>0</v>
      </c>
      <c r="AC58" s="879">
        <f t="shared" si="13"/>
        <v>0</v>
      </c>
      <c r="AD58" s="879">
        <f t="shared" si="13"/>
        <v>0</v>
      </c>
      <c r="AE58" s="879">
        <f t="shared" si="13"/>
        <v>0</v>
      </c>
      <c r="AF58" s="879">
        <f t="shared" si="13"/>
        <v>0</v>
      </c>
      <c r="AG58" s="879">
        <f t="shared" si="13"/>
        <v>0</v>
      </c>
      <c r="AH58" s="879">
        <f t="shared" si="13"/>
        <v>0</v>
      </c>
      <c r="AI58" s="879">
        <f t="shared" si="13"/>
        <v>0</v>
      </c>
      <c r="AJ58" s="879">
        <f>AJ54</f>
        <v>0</v>
      </c>
      <c r="AK58" s="879">
        <f>AK54</f>
        <v>0</v>
      </c>
      <c r="AL58" s="880"/>
      <c r="AM58" s="880"/>
      <c r="AN58" s="881"/>
    </row>
    <row r="59" spans="1:43" ht="27" customHeight="1">
      <c r="A59" s="114"/>
      <c r="B59" s="132"/>
      <c r="C59" s="115"/>
      <c r="D59" s="115" t="s">
        <v>1</v>
      </c>
      <c r="K59" t="s">
        <v>1</v>
      </c>
      <c r="L59" s="1486" t="s">
        <v>173</v>
      </c>
      <c r="M59" s="1486"/>
      <c r="N59" s="420">
        <f>N58-Q48</f>
        <v>189587</v>
      </c>
      <c r="R59" s="19"/>
      <c r="S59" s="114" t="s">
        <v>1</v>
      </c>
      <c r="T59" s="121"/>
      <c r="U59" s="121"/>
      <c r="V59" s="121"/>
      <c r="W59" s="121"/>
      <c r="X59" s="121"/>
      <c r="Y59" s="121"/>
      <c r="Z59" s="122"/>
      <c r="AA59" s="121"/>
      <c r="AB59" s="121"/>
      <c r="AC59" s="121"/>
      <c r="AD59" s="121"/>
      <c r="AE59" s="121"/>
      <c r="AF59" s="121"/>
      <c r="AG59" s="121"/>
      <c r="AH59" s="119"/>
      <c r="AI59" s="119"/>
    </row>
    <row r="60" spans="1:43" ht="23.25">
      <c r="A60" s="114"/>
      <c r="B60" s="132"/>
      <c r="C60" s="115"/>
      <c r="D60" s="115"/>
      <c r="P60" s="19"/>
      <c r="Q60" s="19"/>
      <c r="R60" s="19"/>
      <c r="S60" s="19"/>
      <c r="U60" t="s">
        <v>1</v>
      </c>
    </row>
    <row r="61" spans="1:43" ht="23.25">
      <c r="A61" s="114"/>
      <c r="B61" s="132"/>
      <c r="C61" s="115"/>
      <c r="D61" s="116"/>
      <c r="M61" t="s">
        <v>1</v>
      </c>
      <c r="P61" s="185"/>
      <c r="Q61" s="186"/>
      <c r="R61" s="19"/>
      <c r="S61" s="19"/>
    </row>
    <row r="62" spans="1:43" ht="20.25">
      <c r="C62" s="116"/>
      <c r="P62" s="19"/>
      <c r="Q62" s="19"/>
      <c r="R62" s="19"/>
      <c r="S62" s="19" t="s">
        <v>1</v>
      </c>
    </row>
    <row r="63" spans="1:43">
      <c r="E63" s="19"/>
    </row>
    <row r="64" spans="1:43">
      <c r="E64" s="19"/>
      <c r="J64" t="s">
        <v>3</v>
      </c>
    </row>
    <row r="65" spans="3:5" ht="21">
      <c r="C65" s="251"/>
      <c r="E65" s="19"/>
    </row>
    <row r="66" spans="3:5">
      <c r="E66" s="49"/>
    </row>
    <row r="67" spans="3:5" ht="23.25">
      <c r="E67" s="113"/>
    </row>
  </sheetData>
  <mergeCells count="21">
    <mergeCell ref="AL47:AM47"/>
    <mergeCell ref="L58:M58"/>
    <mergeCell ref="L59:M59"/>
    <mergeCell ref="T47:W47"/>
    <mergeCell ref="X47:Z47"/>
    <mergeCell ref="S47:S48"/>
    <mergeCell ref="AI7:AJ7"/>
    <mergeCell ref="AI20:AJ20"/>
    <mergeCell ref="AA47:AB47"/>
    <mergeCell ref="AC47:AI47"/>
    <mergeCell ref="AJ47:AK47"/>
    <mergeCell ref="A6:Q6"/>
    <mergeCell ref="S6:AE6"/>
    <mergeCell ref="A7:B7"/>
    <mergeCell ref="P7:Q7"/>
    <mergeCell ref="H48:I48"/>
    <mergeCell ref="P24:Q24"/>
    <mergeCell ref="P33:Q33"/>
    <mergeCell ref="P42:Q42"/>
    <mergeCell ref="H46:I46"/>
    <mergeCell ref="H47:I47"/>
  </mergeCells>
  <conditionalFormatting sqref="M48:N48">
    <cfRule type="duplicateValues" dxfId="517" priority="29"/>
    <cfRule type="duplicateValues" dxfId="516" priority="30"/>
    <cfRule type="duplicateValues" dxfId="515" priority="31"/>
    <cfRule type="duplicateValues" dxfId="514" priority="32"/>
  </conditionalFormatting>
  <conditionalFormatting sqref="L48 N48">
    <cfRule type="cellIs" dxfId="513" priority="28" operator="equal">
      <formula>66890</formula>
    </cfRule>
  </conditionalFormatting>
  <conditionalFormatting sqref="N48">
    <cfRule type="cellIs" dxfId="512" priority="27" operator="lessThan">
      <formula>1</formula>
    </cfRule>
  </conditionalFormatting>
  <conditionalFormatting sqref="T57">
    <cfRule type="cellIs" dxfId="511" priority="16" operator="lessThan">
      <formula>63</formula>
    </cfRule>
  </conditionalFormatting>
  <conditionalFormatting sqref="U57">
    <cfRule type="cellIs" dxfId="510" priority="14" operator="lessThan">
      <formula>63</formula>
    </cfRule>
    <cfRule type="cellIs" dxfId="509" priority="15" operator="lessThan">
      <formula>63</formula>
    </cfRule>
  </conditionalFormatting>
  <conditionalFormatting sqref="W57">
    <cfRule type="cellIs" dxfId="508" priority="13" operator="lessThan">
      <formula>140</formula>
    </cfRule>
  </conditionalFormatting>
  <conditionalFormatting sqref="X57">
    <cfRule type="cellIs" dxfId="507" priority="12" operator="lessThan">
      <formula>125</formula>
    </cfRule>
  </conditionalFormatting>
  <conditionalFormatting sqref="Y57">
    <cfRule type="cellIs" dxfId="506" priority="11" operator="lessThan">
      <formula>150</formula>
    </cfRule>
  </conditionalFormatting>
  <conditionalFormatting sqref="Z57">
    <cfRule type="cellIs" dxfId="505" priority="10" operator="lessThan">
      <formula>590</formula>
    </cfRule>
  </conditionalFormatting>
  <conditionalFormatting sqref="AA57">
    <cfRule type="cellIs" dxfId="504" priority="9" operator="lessThan">
      <formula>704</formula>
    </cfRule>
  </conditionalFormatting>
  <conditionalFormatting sqref="AC57">
    <cfRule type="cellIs" dxfId="503" priority="8" operator="lessThan">
      <formula>52</formula>
    </cfRule>
  </conditionalFormatting>
  <conditionalFormatting sqref="AD57">
    <cfRule type="cellIs" dxfId="502" priority="7" operator="lessThan">
      <formula>52</formula>
    </cfRule>
  </conditionalFormatting>
  <conditionalFormatting sqref="AH57">
    <cfRule type="cellIs" dxfId="501" priority="6" operator="lessThan">
      <formula>63</formula>
    </cfRule>
  </conditionalFormatting>
  <conditionalFormatting sqref="AI57">
    <cfRule type="cellIs" dxfId="500" priority="5" operator="lessThan">
      <formula>63</formula>
    </cfRule>
  </conditionalFormatting>
  <conditionalFormatting sqref="AK57">
    <cfRule type="cellIs" dxfId="499" priority="4" operator="lessThan">
      <formula>270</formula>
    </cfRule>
  </conditionalFormatting>
  <conditionalFormatting sqref="AJ57">
    <cfRule type="cellIs" dxfId="498" priority="3" operator="lessThan">
      <formula>270</formula>
    </cfRule>
  </conditionalFormatting>
  <conditionalFormatting sqref="AL57:AN57">
    <cfRule type="cellIs" dxfId="497" priority="1" operator="lessThan">
      <formula>270</formula>
    </cfRule>
  </conditionalFormatting>
  <printOptions horizontalCentered="1" verticalCentered="1"/>
  <pageMargins left="0" right="0.5" top="0" bottom="0" header="0" footer="0"/>
  <pageSetup paperSize="5" scale="45" orientation="landscape" cellComments="asDisplayed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AP67"/>
  <sheetViews>
    <sheetView topLeftCell="E41" zoomScale="90" zoomScaleNormal="90" workbookViewId="0">
      <selection activeCell="E55" sqref="E55"/>
    </sheetView>
  </sheetViews>
  <sheetFormatPr defaultRowHeight="15"/>
  <cols>
    <col min="1" max="1" width="32.7109375" bestFit="1" customWidth="1"/>
    <col min="2" max="2" width="17.7109375" customWidth="1"/>
    <col min="3" max="4" width="20.7109375" customWidth="1"/>
    <col min="5" max="5" width="4.7109375" customWidth="1"/>
    <col min="6" max="6" width="35.85546875" bestFit="1" customWidth="1"/>
    <col min="7" max="7" width="17.7109375" customWidth="1"/>
    <col min="8" max="9" width="19.140625" bestFit="1" customWidth="1"/>
    <col min="10" max="11" width="17.7109375" customWidth="1"/>
    <col min="12" max="13" width="19.140625" bestFit="1" customWidth="1"/>
    <col min="14" max="14" width="17.7109375" customWidth="1"/>
    <col min="15" max="15" width="7.7109375" customWidth="1"/>
    <col min="16" max="16" width="28.7109375" customWidth="1"/>
    <col min="17" max="17" width="20.7109375" customWidth="1"/>
    <col min="18" max="18" width="7.7109375" customWidth="1"/>
    <col min="19" max="19" width="32.7109375" customWidth="1"/>
    <col min="20" max="20" width="20.28515625" bestFit="1" customWidth="1"/>
    <col min="21" max="21" width="17.7109375" customWidth="1"/>
    <col min="22" max="22" width="20.28515625" bestFit="1" customWidth="1"/>
    <col min="23" max="23" width="17.7109375" customWidth="1"/>
    <col min="24" max="24" width="20.28515625" bestFit="1" customWidth="1"/>
    <col min="25" max="25" width="14.7109375" customWidth="1"/>
    <col min="26" max="26" width="16.28515625" bestFit="1" customWidth="1"/>
    <col min="27" max="27" width="20.140625" bestFit="1" customWidth="1"/>
    <col min="28" max="28" width="18.140625" bestFit="1" customWidth="1"/>
    <col min="29" max="29" width="20.140625" bestFit="1" customWidth="1"/>
    <col min="30" max="30" width="17.7109375" customWidth="1"/>
    <col min="31" max="31" width="20.140625" bestFit="1" customWidth="1"/>
    <col min="32" max="33" width="20.7109375" customWidth="1"/>
    <col min="34" max="37" width="17.7109375" customWidth="1"/>
    <col min="38" max="40" width="13" hidden="1" customWidth="1"/>
  </cols>
  <sheetData>
    <row r="1" spans="1:36">
      <c r="E1" s="5"/>
    </row>
    <row r="2" spans="1:36">
      <c r="E2" s="5"/>
    </row>
    <row r="3" spans="1:36" ht="15.75" thickBot="1">
      <c r="C3" t="s">
        <v>1</v>
      </c>
      <c r="E3" s="5" t="s">
        <v>1</v>
      </c>
      <c r="F3" t="s">
        <v>1</v>
      </c>
      <c r="N3" t="s">
        <v>1</v>
      </c>
      <c r="S3" t="s">
        <v>1</v>
      </c>
      <c r="U3" t="s">
        <v>1</v>
      </c>
    </row>
    <row r="4" spans="1:36" ht="21.75" thickTop="1">
      <c r="B4" t="s">
        <v>1</v>
      </c>
      <c r="D4" t="s">
        <v>1</v>
      </c>
      <c r="E4" t="s">
        <v>1</v>
      </c>
      <c r="P4" s="617" t="s">
        <v>108</v>
      </c>
      <c r="Q4" s="618">
        <f>'7'!Q4+'8'!Q9+'8'!Q10+'8'!Q19+'8'!Q20+'8'!Q21+'8'!Q22</f>
        <v>0</v>
      </c>
    </row>
    <row r="5" spans="1:36" ht="21.75" thickBot="1">
      <c r="P5" s="619" t="s">
        <v>109</v>
      </c>
      <c r="Q5" s="620">
        <f>'7'!Q5+'8'!Q25+'8'!Q26+'8'!Q27+'8'!Q28+'8'!Q29+'8'!Q30+'8'!Q31</f>
        <v>0</v>
      </c>
    </row>
    <row r="6" spans="1:36" ht="48" thickTop="1" thickBot="1">
      <c r="A6" s="1502">
        <f>'Main Page'!E24</f>
        <v>44873</v>
      </c>
      <c r="B6" s="1507"/>
      <c r="C6" s="1507"/>
      <c r="D6" s="1507"/>
      <c r="E6" s="1507"/>
      <c r="F6" s="1507"/>
      <c r="G6" s="1507"/>
      <c r="H6" s="1507"/>
      <c r="I6" s="1507"/>
      <c r="J6" s="1507"/>
      <c r="K6" s="1507"/>
      <c r="L6" s="1507"/>
      <c r="M6" s="1507"/>
      <c r="N6" s="1507"/>
      <c r="O6" s="1507"/>
      <c r="P6" s="1507"/>
      <c r="Q6" s="1515"/>
      <c r="R6" t="s">
        <v>1</v>
      </c>
      <c r="S6" s="1502">
        <f>A6</f>
        <v>44873</v>
      </c>
      <c r="T6" s="1503"/>
      <c r="U6" s="1503"/>
      <c r="V6" s="1503"/>
      <c r="W6" s="1503"/>
      <c r="X6" s="1503"/>
      <c r="Y6" s="1503"/>
      <c r="Z6" s="1503"/>
      <c r="AA6" s="1503"/>
      <c r="AB6" s="1503"/>
      <c r="AC6" s="1503"/>
      <c r="AD6" s="1503"/>
      <c r="AE6" s="1504"/>
    </row>
    <row r="7" spans="1:36" ht="39.950000000000003" customHeight="1" thickTop="1" thickBot="1">
      <c r="A7" s="1505" t="s">
        <v>110</v>
      </c>
      <c r="B7" s="1506"/>
      <c r="C7" s="367" t="s">
        <v>97</v>
      </c>
      <c r="D7" s="368" t="s">
        <v>74</v>
      </c>
      <c r="F7" s="363" t="s">
        <v>111</v>
      </c>
      <c r="G7" s="364" t="s">
        <v>112</v>
      </c>
      <c r="H7" s="365" t="s">
        <v>113</v>
      </c>
      <c r="I7" s="365" t="s">
        <v>26</v>
      </c>
      <c r="J7" s="365" t="s">
        <v>114</v>
      </c>
      <c r="K7" s="366" t="s">
        <v>115</v>
      </c>
      <c r="L7" s="365" t="s">
        <v>116</v>
      </c>
      <c r="M7" s="365" t="s">
        <v>117</v>
      </c>
      <c r="N7" s="365" t="s">
        <v>118</v>
      </c>
      <c r="P7" s="1510" t="s">
        <v>69</v>
      </c>
      <c r="Q7" s="1511"/>
      <c r="S7" s="380" t="s">
        <v>58</v>
      </c>
      <c r="T7" s="380" t="s">
        <v>59</v>
      </c>
      <c r="U7" s="380" t="s">
        <v>119</v>
      </c>
      <c r="V7" s="380" t="s">
        <v>74</v>
      </c>
      <c r="W7" s="380" t="s">
        <v>120</v>
      </c>
      <c r="X7" s="380" t="s">
        <v>59</v>
      </c>
      <c r="Z7" s="367" t="s">
        <v>121</v>
      </c>
      <c r="AA7" s="367" t="s">
        <v>97</v>
      </c>
      <c r="AB7" s="415" t="s">
        <v>122</v>
      </c>
      <c r="AC7" s="416" t="s">
        <v>90</v>
      </c>
      <c r="AD7" s="367" t="s">
        <v>56</v>
      </c>
      <c r="AE7" s="381" t="s">
        <v>100</v>
      </c>
      <c r="AF7" s="560" t="s">
        <v>122</v>
      </c>
      <c r="AG7" s="570" t="s">
        <v>56</v>
      </c>
      <c r="AI7" s="1487" t="s">
        <v>123</v>
      </c>
      <c r="AJ7" s="1488"/>
    </row>
    <row r="8" spans="1:36" ht="27" customHeight="1" thickTop="1" thickBot="1">
      <c r="A8" s="717"/>
      <c r="B8" s="233"/>
      <c r="C8" s="463"/>
      <c r="D8" s="233"/>
      <c r="F8" s="478" t="str">
        <f>'7'!F8</f>
        <v>ISHAQ ANSARI</v>
      </c>
      <c r="G8" s="405">
        <f>'CUSTOMERS REPORT'!Y15</f>
        <v>0</v>
      </c>
      <c r="H8" s="503">
        <f>'CUSTOMERS REPORT'!Z15</f>
        <v>0</v>
      </c>
      <c r="I8" s="405">
        <f>'CUSTOMERS REPORT'!AA15</f>
        <v>0</v>
      </c>
      <c r="J8" s="497">
        <f>'CUSTOMERS REPORT'!AB15</f>
        <v>0</v>
      </c>
      <c r="K8" s="497">
        <f>'CUSTOMERS REPORT'!AC15</f>
        <v>0</v>
      </c>
      <c r="L8" s="508">
        <f>'CUSTOMERS REPORT'!AD15</f>
        <v>0</v>
      </c>
      <c r="M8" s="413">
        <f>'7'!M8+'8'!G8</f>
        <v>0</v>
      </c>
      <c r="N8" s="411">
        <f>'7'!N8+'8'!J8</f>
        <v>0</v>
      </c>
      <c r="P8" s="191" t="s">
        <v>124</v>
      </c>
      <c r="Q8" s="223">
        <f>'7'!Q32</f>
        <v>0</v>
      </c>
      <c r="S8" s="399" t="str">
        <f>'7'!S8</f>
        <v>FLOUR</v>
      </c>
      <c r="T8" s="446">
        <f>'7'!X8</f>
        <v>0</v>
      </c>
      <c r="U8" s="455"/>
      <c r="V8" s="450">
        <f t="shared" ref="V8:V43" si="0">SUM(T8:U8)</f>
        <v>0</v>
      </c>
      <c r="W8" s="450"/>
      <c r="X8" s="446">
        <f t="shared" ref="X8:X43" si="1">V8-W8</f>
        <v>0</v>
      </c>
      <c r="Z8" s="382" t="str">
        <f>'7'!Z8</f>
        <v>GHAZI</v>
      </c>
      <c r="AA8" s="464">
        <f>'7'!AE8</f>
        <v>0</v>
      </c>
      <c r="AB8" s="459"/>
      <c r="AC8" s="233">
        <f t="shared" ref="AC8:AC41" si="2">AA8+AB8</f>
        <v>0</v>
      </c>
      <c r="AD8" s="468"/>
      <c r="AE8" s="463">
        <f t="shared" ref="AE8:AE42" si="3">AC8-AD8</f>
        <v>0</v>
      </c>
      <c r="AF8" s="563">
        <f>'7'!AF8+'8'!AB8</f>
        <v>0</v>
      </c>
      <c r="AG8" s="233">
        <f>'7'!AG8+'8'!AD8</f>
        <v>0</v>
      </c>
      <c r="AI8" s="391" t="s">
        <v>126</v>
      </c>
      <c r="AJ8" s="392">
        <f>'7'!AJ10</f>
        <v>0</v>
      </c>
    </row>
    <row r="9" spans="1:36" ht="27" customHeight="1" thickTop="1">
      <c r="A9" s="718"/>
      <c r="B9" s="526"/>
      <c r="C9" s="348"/>
      <c r="D9" s="550"/>
      <c r="F9" s="479" t="str">
        <f>'7'!F9</f>
        <v>MAKKI BAKERY</v>
      </c>
      <c r="G9" s="406">
        <f>'CUSTOMERS REPORT'!Y61</f>
        <v>0</v>
      </c>
      <c r="H9" s="504">
        <f>'CUSTOMERS REPORT'!Z61</f>
        <v>0</v>
      </c>
      <c r="I9" s="406">
        <f>'CUSTOMERS REPORT'!AA61</f>
        <v>0</v>
      </c>
      <c r="J9" s="498">
        <f>'CUSTOMERS REPORT'!AB61</f>
        <v>0</v>
      </c>
      <c r="K9" s="498">
        <f>'CUSTOMERS REPORT'!AC61</f>
        <v>0</v>
      </c>
      <c r="L9" s="509">
        <f>'CUSTOMERS REPORT'!AD61</f>
        <v>0</v>
      </c>
      <c r="M9" s="414">
        <f>'7'!M9+'8'!G9</f>
        <v>0</v>
      </c>
      <c r="N9" s="412">
        <f>'7'!N9+'8'!J9</f>
        <v>0</v>
      </c>
      <c r="P9" s="432"/>
      <c r="Q9" s="436"/>
      <c r="S9" s="400" t="str">
        <f>'7'!S9</f>
        <v>SUGAR</v>
      </c>
      <c r="T9" s="446">
        <f>'7'!X9</f>
        <v>0</v>
      </c>
      <c r="U9" s="456"/>
      <c r="V9" s="451">
        <f t="shared" si="0"/>
        <v>0</v>
      </c>
      <c r="W9" s="451"/>
      <c r="X9" s="447">
        <f t="shared" si="1"/>
        <v>0</v>
      </c>
      <c r="Z9" s="375" t="str">
        <f>'7'!Z9</f>
        <v>SOHNI</v>
      </c>
      <c r="AA9" s="464">
        <f>'7'!AE9</f>
        <v>0</v>
      </c>
      <c r="AB9" s="460"/>
      <c r="AC9" s="462">
        <f t="shared" si="2"/>
        <v>0</v>
      </c>
      <c r="AD9" s="469"/>
      <c r="AE9" s="348">
        <f t="shared" si="3"/>
        <v>0</v>
      </c>
      <c r="AF9" s="563">
        <f>'7'!AF9+'8'!AB9</f>
        <v>0</v>
      </c>
      <c r="AG9" s="234">
        <f>'7'!AG9+'8'!AD9</f>
        <v>0</v>
      </c>
      <c r="AI9" s="393" t="s">
        <v>128</v>
      </c>
      <c r="AJ9" s="394">
        <f>B26</f>
        <v>0</v>
      </c>
    </row>
    <row r="10" spans="1:36" ht="27" customHeight="1" thickBot="1">
      <c r="A10" s="718"/>
      <c r="B10" s="528"/>
      <c r="C10" s="350"/>
      <c r="D10" s="550"/>
      <c r="F10" s="479" t="str">
        <f>'7'!F10</f>
        <v>ABID HUSSAIN</v>
      </c>
      <c r="G10" s="406">
        <f>'CUSTOMERS REPORT'!Y99</f>
        <v>0</v>
      </c>
      <c r="H10" s="504">
        <f>'CUSTOMERS REPORT'!Z99</f>
        <v>0</v>
      </c>
      <c r="I10" s="406">
        <f>'CUSTOMERS REPORT'!AA99</f>
        <v>0</v>
      </c>
      <c r="J10" s="498">
        <f>'CUSTOMERS REPORT'!AB99</f>
        <v>0</v>
      </c>
      <c r="K10" s="498">
        <f>'CUSTOMERS REPORT'!AC99</f>
        <v>0</v>
      </c>
      <c r="L10" s="509">
        <f>'CUSTOMERS REPORT'!AD99</f>
        <v>0</v>
      </c>
      <c r="M10" s="414">
        <f>'7'!M10+'8'!G10</f>
        <v>0</v>
      </c>
      <c r="N10" s="412">
        <f>'7'!N10+'8'!J10</f>
        <v>0</v>
      </c>
      <c r="P10" s="433"/>
      <c r="Q10" s="437"/>
      <c r="S10" s="400" t="str">
        <f>'7'!S10</f>
        <v>GHEE</v>
      </c>
      <c r="T10" s="446">
        <f>'7'!X10</f>
        <v>0</v>
      </c>
      <c r="U10" s="456"/>
      <c r="V10" s="451">
        <f t="shared" si="0"/>
        <v>0</v>
      </c>
      <c r="W10" s="451"/>
      <c r="X10" s="447">
        <f t="shared" si="1"/>
        <v>0</v>
      </c>
      <c r="Z10" s="375" t="str">
        <f>'7'!Z10</f>
        <v>HUSSAINI</v>
      </c>
      <c r="AA10" s="464">
        <f>'7'!AE10</f>
        <v>0</v>
      </c>
      <c r="AB10" s="460"/>
      <c r="AC10" s="462">
        <f t="shared" si="2"/>
        <v>0</v>
      </c>
      <c r="AD10" s="469"/>
      <c r="AE10" s="348">
        <f t="shared" si="3"/>
        <v>0</v>
      </c>
      <c r="AF10" s="563">
        <f>'7'!AF10+'8'!AB10</f>
        <v>0</v>
      </c>
      <c r="AG10" s="234">
        <f>'7'!AG10+'8'!AD10</f>
        <v>0</v>
      </c>
      <c r="AI10" s="395" t="s">
        <v>74</v>
      </c>
      <c r="AJ10" s="396">
        <f>AJ8+AJ9</f>
        <v>0</v>
      </c>
    </row>
    <row r="11" spans="1:36" ht="27" customHeight="1" thickTop="1">
      <c r="A11" s="718"/>
      <c r="B11" s="528"/>
      <c r="C11" s="350"/>
      <c r="D11" s="550"/>
      <c r="F11" s="479" t="str">
        <f>'7'!F11</f>
        <v>SHAHID 5 #</v>
      </c>
      <c r="G11" s="406">
        <f>'CUSTOMERS REPORT'!Y138</f>
        <v>0</v>
      </c>
      <c r="H11" s="504">
        <f>'CUSTOMERS REPORT'!Z138</f>
        <v>0</v>
      </c>
      <c r="I11" s="406">
        <f>'CUSTOMERS REPORT'!AA138</f>
        <v>0</v>
      </c>
      <c r="J11" s="498">
        <f>'CUSTOMERS REPORT'!AB138</f>
        <v>0</v>
      </c>
      <c r="K11" s="498">
        <f>'CUSTOMERS REPORT'!AC138</f>
        <v>0</v>
      </c>
      <c r="L11" s="509">
        <f>'CUSTOMERS REPORT'!AD138</f>
        <v>0</v>
      </c>
      <c r="M11" s="414">
        <f>'7'!M11+'8'!G11</f>
        <v>0</v>
      </c>
      <c r="N11" s="412">
        <f>'7'!N11+'8'!J11</f>
        <v>0</v>
      </c>
      <c r="P11" s="433"/>
      <c r="Q11" s="437"/>
      <c r="S11" s="400" t="str">
        <f>'7'!S11</f>
        <v>YEAST</v>
      </c>
      <c r="T11" s="446">
        <f>'7'!X11</f>
        <v>0</v>
      </c>
      <c r="U11" s="456"/>
      <c r="V11" s="451">
        <f t="shared" si="0"/>
        <v>0</v>
      </c>
      <c r="W11" s="451"/>
      <c r="X11" s="447">
        <f t="shared" si="1"/>
        <v>0</v>
      </c>
      <c r="Z11" s="375" t="str">
        <f>'7'!Z11</f>
        <v>IMRAN ALAM</v>
      </c>
      <c r="AA11" s="464">
        <f>'7'!AE11</f>
        <v>0</v>
      </c>
      <c r="AB11" s="460"/>
      <c r="AC11" s="462">
        <f t="shared" si="2"/>
        <v>0</v>
      </c>
      <c r="AD11" s="469"/>
      <c r="AE11" s="348">
        <f t="shared" si="3"/>
        <v>0</v>
      </c>
      <c r="AF11" s="563">
        <f>'7'!AF11+'8'!AB11</f>
        <v>0</v>
      </c>
      <c r="AG11" s="234">
        <f>'7'!AG11+'8'!AD11</f>
        <v>0</v>
      </c>
      <c r="AI11" s="1031"/>
      <c r="AJ11" s="1032"/>
    </row>
    <row r="12" spans="1:36" ht="27" customHeight="1">
      <c r="A12" s="718"/>
      <c r="B12" s="528"/>
      <c r="C12" s="350"/>
      <c r="D12" s="550"/>
      <c r="F12" s="479" t="str">
        <f>'7'!F12</f>
        <v>ZULFIQAR</v>
      </c>
      <c r="G12" s="406">
        <f>'CUSTOMERS REPORT'!Y176</f>
        <v>0</v>
      </c>
      <c r="H12" s="504">
        <f>'CUSTOMERS REPORT'!Z176</f>
        <v>0</v>
      </c>
      <c r="I12" s="406">
        <f>'CUSTOMERS REPORT'!AA176</f>
        <v>0</v>
      </c>
      <c r="J12" s="498">
        <f>'CUSTOMERS REPORT'!AB176</f>
        <v>0</v>
      </c>
      <c r="K12" s="498">
        <f>'CUSTOMERS REPORT'!AC176</f>
        <v>0</v>
      </c>
      <c r="L12" s="509">
        <f>'CUSTOMERS REPORT'!AD176</f>
        <v>0</v>
      </c>
      <c r="M12" s="414">
        <f>'7'!M12+'8'!G12</f>
        <v>0</v>
      </c>
      <c r="N12" s="412">
        <f>'7'!N12+'8'!J12</f>
        <v>0</v>
      </c>
      <c r="P12" s="433"/>
      <c r="Q12" s="437"/>
      <c r="S12" s="400" t="str">
        <f>'7'!S12</f>
        <v xml:space="preserve">EKKA </v>
      </c>
      <c r="T12" s="446">
        <f>'7'!X12</f>
        <v>0</v>
      </c>
      <c r="U12" s="456"/>
      <c r="V12" s="451">
        <f t="shared" si="0"/>
        <v>0</v>
      </c>
      <c r="W12" s="451"/>
      <c r="X12" s="447">
        <f t="shared" si="1"/>
        <v>0</v>
      </c>
      <c r="Z12" s="375" t="str">
        <f>'7'!Z12</f>
        <v>ZAHEER</v>
      </c>
      <c r="AA12" s="464">
        <f>'7'!AE12</f>
        <v>0</v>
      </c>
      <c r="AB12" s="460"/>
      <c r="AC12" s="462">
        <f t="shared" si="2"/>
        <v>0</v>
      </c>
      <c r="AD12" s="469"/>
      <c r="AE12" s="348">
        <f t="shared" si="3"/>
        <v>0</v>
      </c>
      <c r="AF12" s="563">
        <f>'7'!AF12+'8'!AB12</f>
        <v>0</v>
      </c>
      <c r="AG12" s="234">
        <f>'7'!AG12+'8'!AD12</f>
        <v>0</v>
      </c>
      <c r="AI12" s="1031"/>
      <c r="AJ12" s="1032"/>
    </row>
    <row r="13" spans="1:36" ht="27" customHeight="1">
      <c r="A13" s="718"/>
      <c r="B13" s="528"/>
      <c r="C13" s="350"/>
      <c r="D13" s="550"/>
      <c r="F13" s="479" t="str">
        <f>'7'!F13</f>
        <v>QASIM ORANGI</v>
      </c>
      <c r="G13" s="406">
        <f>'CUSTOMERS REPORT'!Y216</f>
        <v>0</v>
      </c>
      <c r="H13" s="504">
        <f>'CUSTOMERS REPORT'!Z216</f>
        <v>0</v>
      </c>
      <c r="I13" s="406">
        <f>'CUSTOMERS REPORT'!AA216</f>
        <v>0</v>
      </c>
      <c r="J13" s="498">
        <f>'CUSTOMERS REPORT'!AB216</f>
        <v>0</v>
      </c>
      <c r="K13" s="498">
        <f>'CUSTOMERS REPORT'!AC216</f>
        <v>0</v>
      </c>
      <c r="L13" s="509">
        <f>'CUSTOMERS REPORT'!AD216</f>
        <v>0</v>
      </c>
      <c r="M13" s="414">
        <f>'7'!M13+'8'!G13</f>
        <v>0</v>
      </c>
      <c r="N13" s="412">
        <f>'7'!N13+'8'!J13</f>
        <v>0</v>
      </c>
      <c r="P13" s="433"/>
      <c r="Q13" s="437"/>
      <c r="S13" s="400" t="str">
        <f>'7'!S13</f>
        <v>VANILLA</v>
      </c>
      <c r="T13" s="446">
        <f>'7'!X13</f>
        <v>0</v>
      </c>
      <c r="U13" s="456"/>
      <c r="V13" s="451">
        <f t="shared" si="0"/>
        <v>0</v>
      </c>
      <c r="W13" s="451"/>
      <c r="X13" s="447">
        <f t="shared" si="1"/>
        <v>0</v>
      </c>
      <c r="Z13" s="375" t="str">
        <f>'7'!Z13</f>
        <v>FAISAL</v>
      </c>
      <c r="AA13" s="464">
        <f>'7'!AE13</f>
        <v>0</v>
      </c>
      <c r="AB13" s="460"/>
      <c r="AC13" s="462">
        <f t="shared" si="2"/>
        <v>0</v>
      </c>
      <c r="AD13" s="469"/>
      <c r="AE13" s="348">
        <f t="shared" si="3"/>
        <v>0</v>
      </c>
      <c r="AF13" s="563">
        <f>'7'!AF13+'8'!AB13</f>
        <v>0</v>
      </c>
      <c r="AG13" s="234">
        <f>'7'!AG13+'8'!AD13</f>
        <v>0</v>
      </c>
      <c r="AI13" s="1031"/>
      <c r="AJ13" s="1032"/>
    </row>
    <row r="14" spans="1:36" ht="27" customHeight="1">
      <c r="A14" s="718"/>
      <c r="B14" s="528"/>
      <c r="C14" s="350"/>
      <c r="D14" s="550"/>
      <c r="F14" s="479" t="str">
        <f>'7'!F14</f>
        <v>BADSHAH KHAN HYD</v>
      </c>
      <c r="G14" s="406">
        <f>'CUSTOMERS REPORT'!Y253</f>
        <v>0</v>
      </c>
      <c r="H14" s="504">
        <f>'CUSTOMERS REPORT'!Z253</f>
        <v>0</v>
      </c>
      <c r="I14" s="406">
        <f>'CUSTOMERS REPORT'!AA253</f>
        <v>0</v>
      </c>
      <c r="J14" s="498">
        <f>'CUSTOMERS REPORT'!AB253</f>
        <v>0</v>
      </c>
      <c r="K14" s="498">
        <f>'CUSTOMERS REPORT'!AC253</f>
        <v>0</v>
      </c>
      <c r="L14" s="509">
        <f>'CUSTOMERS REPORT'!AD253</f>
        <v>0</v>
      </c>
      <c r="M14" s="414">
        <f>'7'!M14+'8'!G14</f>
        <v>0</v>
      </c>
      <c r="N14" s="412">
        <f>'7'!N14+'8'!J14</f>
        <v>0</v>
      </c>
      <c r="P14" s="433"/>
      <c r="Q14" s="437"/>
      <c r="S14" s="400" t="str">
        <f>'7'!S14</f>
        <v>COLOUR</v>
      </c>
      <c r="T14" s="446">
        <f>'7'!X14</f>
        <v>0</v>
      </c>
      <c r="U14" s="456"/>
      <c r="V14" s="451">
        <f t="shared" si="0"/>
        <v>0</v>
      </c>
      <c r="W14" s="451"/>
      <c r="X14" s="447">
        <f t="shared" si="1"/>
        <v>0</v>
      </c>
      <c r="Z14" s="375" t="str">
        <f>'7'!Z14</f>
        <v>RANA EKKA</v>
      </c>
      <c r="AA14" s="464">
        <f>'7'!AE14</f>
        <v>0</v>
      </c>
      <c r="AB14" s="460"/>
      <c r="AC14" s="462">
        <f t="shared" si="2"/>
        <v>0</v>
      </c>
      <c r="AD14" s="469"/>
      <c r="AE14" s="348">
        <f t="shared" si="3"/>
        <v>0</v>
      </c>
      <c r="AF14" s="563">
        <f>'7'!AF14+'8'!AB14</f>
        <v>0</v>
      </c>
      <c r="AG14" s="234">
        <f>'7'!AG14+'8'!AD14</f>
        <v>0</v>
      </c>
      <c r="AI14" s="1031"/>
      <c r="AJ14" s="1032"/>
    </row>
    <row r="15" spans="1:36" ht="27" customHeight="1">
      <c r="A15" s="718"/>
      <c r="B15" s="528"/>
      <c r="C15" s="350"/>
      <c r="D15" s="550"/>
      <c r="F15" s="479" t="str">
        <f>'7'!F15</f>
        <v>SHAMOON</v>
      </c>
      <c r="G15" s="406">
        <f>'CUSTOMERS REPORT'!Y293</f>
        <v>0</v>
      </c>
      <c r="H15" s="504">
        <f>'CUSTOMERS REPORT'!Z293</f>
        <v>0</v>
      </c>
      <c r="I15" s="406">
        <f>'CUSTOMERS REPORT'!AA293</f>
        <v>0</v>
      </c>
      <c r="J15" s="498">
        <f>'CUSTOMERS REPORT'!AB293</f>
        <v>0</v>
      </c>
      <c r="K15" s="498">
        <f>'CUSTOMERS REPORT'!AC293</f>
        <v>0</v>
      </c>
      <c r="L15" s="509">
        <f>'CUSTOMERS REPORT'!AD293</f>
        <v>0</v>
      </c>
      <c r="M15" s="414">
        <f>'7'!M15+'8'!G15</f>
        <v>0</v>
      </c>
      <c r="N15" s="412">
        <f>'7'!N15+'8'!J15</f>
        <v>0</v>
      </c>
      <c r="P15" s="433"/>
      <c r="Q15" s="437"/>
      <c r="S15" s="400" t="str">
        <f>'7'!S15</f>
        <v>TILL</v>
      </c>
      <c r="T15" s="446">
        <f>'7'!X15</f>
        <v>0</v>
      </c>
      <c r="U15" s="456"/>
      <c r="V15" s="451">
        <f t="shared" si="0"/>
        <v>0</v>
      </c>
      <c r="W15" s="451"/>
      <c r="X15" s="447">
        <f t="shared" si="1"/>
        <v>0</v>
      </c>
      <c r="Z15" s="375" t="str">
        <f>'7'!Z15</f>
        <v>sheeba</v>
      </c>
      <c r="AA15" s="464">
        <f>'7'!AE15</f>
        <v>0</v>
      </c>
      <c r="AB15" s="460"/>
      <c r="AC15" s="462">
        <f t="shared" si="2"/>
        <v>0</v>
      </c>
      <c r="AD15" s="469"/>
      <c r="AE15" s="348">
        <f t="shared" si="3"/>
        <v>0</v>
      </c>
      <c r="AF15" s="563">
        <f>'7'!AF15+'8'!AB15</f>
        <v>0</v>
      </c>
      <c r="AG15" s="234">
        <f>'7'!AG15+'8'!AD15</f>
        <v>0</v>
      </c>
      <c r="AI15" s="1031"/>
      <c r="AJ15" s="1032"/>
    </row>
    <row r="16" spans="1:36" ht="27" customHeight="1">
      <c r="A16" s="718"/>
      <c r="B16" s="528"/>
      <c r="C16" s="350"/>
      <c r="D16" s="550"/>
      <c r="F16" s="479" t="str">
        <f>'7'!F16</f>
        <v>MATEEN</v>
      </c>
      <c r="G16" s="406">
        <f>'CUSTOMERS REPORT'!Y334</f>
        <v>0</v>
      </c>
      <c r="H16" s="504">
        <f>'CUSTOMERS REPORT'!Z334</f>
        <v>0</v>
      </c>
      <c r="I16" s="406">
        <f>'CUSTOMERS REPORT'!AA334</f>
        <v>0</v>
      </c>
      <c r="J16" s="498">
        <f>'CUSTOMERS REPORT'!AB334</f>
        <v>0</v>
      </c>
      <c r="K16" s="498">
        <f>'CUSTOMERS REPORT'!AC334</f>
        <v>0</v>
      </c>
      <c r="L16" s="509">
        <f>'CUSTOMERS REPORT'!AD334</f>
        <v>0</v>
      </c>
      <c r="M16" s="414">
        <f>'7'!M16+'8'!G16</f>
        <v>0</v>
      </c>
      <c r="N16" s="412">
        <f>'7'!N16+'8'!J16</f>
        <v>0</v>
      </c>
      <c r="P16" s="433"/>
      <c r="Q16" s="437"/>
      <c r="S16" s="400" t="str">
        <f>'7'!S16</f>
        <v>ILLAICHI</v>
      </c>
      <c r="T16" s="446">
        <f>'7'!X16</f>
        <v>0</v>
      </c>
      <c r="U16" s="456"/>
      <c r="V16" s="451">
        <f t="shared" si="0"/>
        <v>0</v>
      </c>
      <c r="W16" s="451"/>
      <c r="X16" s="447">
        <f t="shared" si="1"/>
        <v>0</v>
      </c>
      <c r="Z16" s="375" t="str">
        <f>'7'!Z16</f>
        <v>COTTON</v>
      </c>
      <c r="AA16" s="464">
        <f>'7'!AE16</f>
        <v>0</v>
      </c>
      <c r="AB16" s="460"/>
      <c r="AC16" s="462">
        <f t="shared" si="2"/>
        <v>0</v>
      </c>
      <c r="AD16" s="469"/>
      <c r="AE16" s="348">
        <f t="shared" si="3"/>
        <v>0</v>
      </c>
      <c r="AF16" s="563">
        <f>'7'!AF16+'8'!AB16</f>
        <v>0</v>
      </c>
      <c r="AG16" s="234">
        <f>'7'!AG16+'8'!AD16</f>
        <v>0</v>
      </c>
      <c r="AI16" s="1031"/>
      <c r="AJ16" s="1032"/>
    </row>
    <row r="17" spans="1:36" ht="27" customHeight="1">
      <c r="A17" s="718"/>
      <c r="B17" s="528"/>
      <c r="C17" s="350"/>
      <c r="D17" s="550"/>
      <c r="F17" s="479" t="str">
        <f>'7'!F17</f>
        <v>AMJAD ORANGI</v>
      </c>
      <c r="G17" s="406">
        <f>'CUSTOMERS REPORT'!Y376</f>
        <v>0</v>
      </c>
      <c r="H17" s="504">
        <f>'CUSTOMERS REPORT'!Z376</f>
        <v>0</v>
      </c>
      <c r="I17" s="406">
        <f>'CUSTOMERS REPORT'!AA376</f>
        <v>0</v>
      </c>
      <c r="J17" s="498">
        <f>'CUSTOMERS REPORT'!AB376</f>
        <v>0</v>
      </c>
      <c r="K17" s="498">
        <f>'CUSTOMERS REPORT'!AC376</f>
        <v>0</v>
      </c>
      <c r="L17" s="509">
        <f>'CUSTOMERS REPORT'!AD376</f>
        <v>0</v>
      </c>
      <c r="M17" s="414">
        <f>'7'!M17+'8'!G17</f>
        <v>0</v>
      </c>
      <c r="N17" s="412">
        <f>'7'!N17+'8'!J17</f>
        <v>0</v>
      </c>
      <c r="P17" s="433"/>
      <c r="Q17" s="437"/>
      <c r="S17" s="400" t="str">
        <f>'7'!S17</f>
        <v>S-THELLI</v>
      </c>
      <c r="T17" s="446">
        <f>'7'!X17</f>
        <v>0</v>
      </c>
      <c r="U17" s="456"/>
      <c r="V17" s="451">
        <f t="shared" si="0"/>
        <v>0</v>
      </c>
      <c r="W17" s="451"/>
      <c r="X17" s="447">
        <f t="shared" si="1"/>
        <v>0</v>
      </c>
      <c r="Z17" s="375" t="str">
        <f>'7'!Z17</f>
        <v>SHAHID UP</v>
      </c>
      <c r="AA17" s="464">
        <f>'7'!AE17</f>
        <v>0</v>
      </c>
      <c r="AB17" s="460"/>
      <c r="AC17" s="462">
        <f t="shared" si="2"/>
        <v>0</v>
      </c>
      <c r="AD17" s="469"/>
      <c r="AE17" s="348">
        <f t="shared" si="3"/>
        <v>0</v>
      </c>
      <c r="AF17" s="563">
        <f>'7'!AF17+'8'!AB17</f>
        <v>0</v>
      </c>
      <c r="AG17" s="234">
        <f>'7'!AG17+'8'!AD17</f>
        <v>0</v>
      </c>
      <c r="AI17" s="1031"/>
      <c r="AJ17" s="1032"/>
    </row>
    <row r="18" spans="1:36" ht="27" customHeight="1">
      <c r="A18" s="718"/>
      <c r="B18" s="528"/>
      <c r="C18" s="350"/>
      <c r="D18" s="550"/>
      <c r="F18" s="479" t="str">
        <f>'7'!F18</f>
        <v>HAFIZ DRIVER</v>
      </c>
      <c r="G18" s="406">
        <f>'CUSTOMERS REPORT'!Y415</f>
        <v>0</v>
      </c>
      <c r="H18" s="504">
        <f>'CUSTOMERS REPORT'!Z415</f>
        <v>0</v>
      </c>
      <c r="I18" s="406">
        <f>'CUSTOMERS REPORT'!AA415</f>
        <v>0</v>
      </c>
      <c r="J18" s="498">
        <f>'CUSTOMERS REPORT'!AB415</f>
        <v>0</v>
      </c>
      <c r="K18" s="498">
        <f>'CUSTOMERS REPORT'!AC415</f>
        <v>0</v>
      </c>
      <c r="L18" s="509">
        <f>'CUSTOMERS REPORT'!AD415</f>
        <v>0</v>
      </c>
      <c r="M18" s="414">
        <f>'7'!M18+'8'!G18</f>
        <v>0</v>
      </c>
      <c r="N18" s="412">
        <f>'7'!N18+'8'!J18</f>
        <v>0</v>
      </c>
      <c r="P18" s="433"/>
      <c r="Q18" s="437"/>
      <c r="S18" s="400" t="str">
        <f>'7'!S18</f>
        <v>P-THELLI</v>
      </c>
      <c r="T18" s="446">
        <f>'7'!X18</f>
        <v>0</v>
      </c>
      <c r="U18" s="456"/>
      <c r="V18" s="451">
        <f t="shared" si="0"/>
        <v>0</v>
      </c>
      <c r="W18" s="451"/>
      <c r="X18" s="447">
        <f t="shared" si="1"/>
        <v>0</v>
      </c>
      <c r="Z18" s="375" t="str">
        <f>'7'!Z18</f>
        <v>SALT</v>
      </c>
      <c r="AA18" s="464">
        <f>'7'!AE18</f>
        <v>0</v>
      </c>
      <c r="AB18" s="460"/>
      <c r="AC18" s="462">
        <f t="shared" si="2"/>
        <v>0</v>
      </c>
      <c r="AD18" s="469"/>
      <c r="AE18" s="348">
        <f t="shared" si="3"/>
        <v>0</v>
      </c>
      <c r="AF18" s="563">
        <f>'7'!AF18+'8'!AB18</f>
        <v>0</v>
      </c>
      <c r="AG18" s="234">
        <f>'7'!AG18+'8'!AD18</f>
        <v>0</v>
      </c>
      <c r="AI18" s="1031"/>
      <c r="AJ18" s="1032"/>
    </row>
    <row r="19" spans="1:36" ht="27" customHeight="1" thickBot="1">
      <c r="A19" s="719"/>
      <c r="B19" s="529"/>
      <c r="C19" s="350"/>
      <c r="D19" s="550"/>
      <c r="F19" s="479" t="str">
        <f>'7'!F19</f>
        <v>GHULAM QUETTA</v>
      </c>
      <c r="G19" s="406">
        <f>'CUSTOMERS REPORT'!Y453</f>
        <v>0</v>
      </c>
      <c r="H19" s="504">
        <f>'CUSTOMERS REPORT'!Z453</f>
        <v>0</v>
      </c>
      <c r="I19" s="406">
        <f>'CUSTOMERS REPORT'!AA453</f>
        <v>0</v>
      </c>
      <c r="J19" s="498">
        <f>'CUSTOMERS REPORT'!AB453</f>
        <v>0</v>
      </c>
      <c r="K19" s="498">
        <f>'CUSTOMERS REPORT'!AC453</f>
        <v>0</v>
      </c>
      <c r="L19" s="509">
        <f>'CUSTOMERS REPORT'!AD453</f>
        <v>0</v>
      </c>
      <c r="M19" s="414">
        <f>'7'!M19+'8'!G19</f>
        <v>0</v>
      </c>
      <c r="N19" s="412">
        <f>'7'!N19+'8'!J19</f>
        <v>0</v>
      </c>
      <c r="P19" s="433"/>
      <c r="Q19" s="437"/>
      <c r="S19" s="400" t="str">
        <f>'7'!S19</f>
        <v>RUBBER</v>
      </c>
      <c r="T19" s="446">
        <f>'7'!X19</f>
        <v>0</v>
      </c>
      <c r="U19" s="456"/>
      <c r="V19" s="451">
        <f t="shared" si="0"/>
        <v>0</v>
      </c>
      <c r="W19" s="451"/>
      <c r="X19" s="447">
        <f t="shared" si="1"/>
        <v>0</v>
      </c>
      <c r="Z19" s="375" t="str">
        <f>'7'!Z19</f>
        <v>NAVEED</v>
      </c>
      <c r="AA19" s="464">
        <f>'7'!AE19</f>
        <v>0</v>
      </c>
      <c r="AB19" s="460"/>
      <c r="AC19" s="462">
        <f t="shared" si="2"/>
        <v>0</v>
      </c>
      <c r="AD19" s="469"/>
      <c r="AE19" s="348">
        <f t="shared" si="3"/>
        <v>0</v>
      </c>
      <c r="AF19" s="563">
        <f>'7'!AF19+'8'!AB19</f>
        <v>0</v>
      </c>
      <c r="AG19" s="234">
        <f>'7'!AG19+'8'!AD19</f>
        <v>0</v>
      </c>
    </row>
    <row r="20" spans="1:36" ht="27" customHeight="1" thickTop="1" thickBot="1">
      <c r="A20" s="719"/>
      <c r="B20" s="529"/>
      <c r="C20" s="350"/>
      <c r="D20" s="550"/>
      <c r="F20" s="479" t="str">
        <f>'7'!F20</f>
        <v>HUSSAN GWADAR</v>
      </c>
      <c r="G20" s="406">
        <f>'CUSTOMERS REPORT'!Y489</f>
        <v>0</v>
      </c>
      <c r="H20" s="504">
        <f>'CUSTOMERS REPORT'!Z489</f>
        <v>0</v>
      </c>
      <c r="I20" s="406">
        <f>'CUSTOMERS REPORT'!AA489</f>
        <v>0</v>
      </c>
      <c r="J20" s="498">
        <f>'CUSTOMERS REPORT'!AB489</f>
        <v>0</v>
      </c>
      <c r="K20" s="498">
        <f>'CUSTOMERS REPORT'!AC489</f>
        <v>0</v>
      </c>
      <c r="L20" s="509">
        <f>'CUSTOMERS REPORT'!AD489</f>
        <v>0</v>
      </c>
      <c r="M20" s="414">
        <f>'7'!M20+'8'!G20</f>
        <v>0</v>
      </c>
      <c r="N20" s="412">
        <f>'7'!N20+'8'!J20</f>
        <v>0</v>
      </c>
      <c r="P20" s="433"/>
      <c r="Q20" s="437"/>
      <c r="S20" s="400" t="str">
        <f>'7'!S20</f>
        <v>SALT</v>
      </c>
      <c r="T20" s="446">
        <f>'7'!X20</f>
        <v>0</v>
      </c>
      <c r="U20" s="456"/>
      <c r="V20" s="451">
        <f t="shared" si="0"/>
        <v>0</v>
      </c>
      <c r="W20" s="451"/>
      <c r="X20" s="447">
        <f t="shared" si="1"/>
        <v>0</v>
      </c>
      <c r="Z20" s="375" t="str">
        <f>'7'!Z20</f>
        <v>YOUSUF BHAI</v>
      </c>
      <c r="AA20" s="464">
        <f>'7'!AE20</f>
        <v>0</v>
      </c>
      <c r="AB20" s="460"/>
      <c r="AC20" s="462">
        <f t="shared" si="2"/>
        <v>0</v>
      </c>
      <c r="AD20" s="469"/>
      <c r="AE20" s="348">
        <f t="shared" si="3"/>
        <v>0</v>
      </c>
      <c r="AF20" s="563">
        <f>'7'!AF20+'8'!AB20</f>
        <v>0</v>
      </c>
      <c r="AG20" s="234">
        <f>'7'!AG20+'8'!AD20</f>
        <v>0</v>
      </c>
      <c r="AI20" s="1487" t="s">
        <v>132</v>
      </c>
      <c r="AJ20" s="1488"/>
    </row>
    <row r="21" spans="1:36" ht="27" customHeight="1" thickTop="1" thickBot="1">
      <c r="A21" s="720"/>
      <c r="B21" s="530"/>
      <c r="C21" s="531"/>
      <c r="D21" s="553"/>
      <c r="F21" s="479" t="str">
        <f>'7'!F21</f>
        <v>AQASH S KOT</v>
      </c>
      <c r="G21" s="406">
        <f>'CUSTOMERS REPORT'!Y526</f>
        <v>0</v>
      </c>
      <c r="H21" s="504">
        <f>'CUSTOMERS REPORT'!Z526</f>
        <v>0</v>
      </c>
      <c r="I21" s="406">
        <f>'CUSTOMERS REPORT'!AA526</f>
        <v>0</v>
      </c>
      <c r="J21" s="498">
        <f>'CUSTOMERS REPORT'!AB526</f>
        <v>0</v>
      </c>
      <c r="K21" s="498">
        <f>'CUSTOMERS REPORT'!AC526</f>
        <v>0</v>
      </c>
      <c r="L21" s="509">
        <f>'CUSTOMERS REPORT'!AD526</f>
        <v>0</v>
      </c>
      <c r="M21" s="414">
        <f>'7'!M21+'8'!G21</f>
        <v>0</v>
      </c>
      <c r="N21" s="412">
        <f>'7'!N21+'8'!J21</f>
        <v>0</v>
      </c>
      <c r="P21" s="433"/>
      <c r="Q21" s="435"/>
      <c r="S21" s="400" t="str">
        <f>'7'!S21</f>
        <v>TAPE</v>
      </c>
      <c r="T21" s="446">
        <f>'7'!X21</f>
        <v>0</v>
      </c>
      <c r="U21" s="456"/>
      <c r="V21" s="451">
        <f t="shared" si="0"/>
        <v>0</v>
      </c>
      <c r="W21" s="451"/>
      <c r="X21" s="447">
        <f t="shared" si="1"/>
        <v>0</v>
      </c>
      <c r="Z21" s="375" t="str">
        <f>'7'!Z21</f>
        <v>SULEMAN  PRINT</v>
      </c>
      <c r="AA21" s="464">
        <f>'7'!AE21</f>
        <v>0</v>
      </c>
      <c r="AB21" s="460"/>
      <c r="AC21" s="462">
        <f t="shared" si="2"/>
        <v>0</v>
      </c>
      <c r="AD21" s="469"/>
      <c r="AE21" s="348">
        <f t="shared" si="3"/>
        <v>0</v>
      </c>
      <c r="AF21" s="563">
        <f>'7'!AF21+'8'!AB21</f>
        <v>0</v>
      </c>
      <c r="AG21" s="234">
        <f>'7'!AG21+'8'!AD21</f>
        <v>0</v>
      </c>
      <c r="AI21" s="391" t="s">
        <v>126</v>
      </c>
      <c r="AJ21" s="392">
        <f>'7'!AJ23</f>
        <v>0</v>
      </c>
    </row>
    <row r="22" spans="1:36" ht="27" customHeight="1" thickTop="1" thickBot="1">
      <c r="A22" s="486" t="s">
        <v>74</v>
      </c>
      <c r="B22" s="533">
        <f>SUM(B8:B21)</f>
        <v>0</v>
      </c>
      <c r="C22" s="534">
        <f>'7'!D22</f>
        <v>0</v>
      </c>
      <c r="D22" s="535">
        <f t="shared" ref="D22" si="4">B22+C22</f>
        <v>0</v>
      </c>
      <c r="F22" s="479" t="str">
        <f>'7'!F22</f>
        <v>SALEEM T JAM</v>
      </c>
      <c r="G22" s="406">
        <f>'CUSTOMERS REPORT'!Y564</f>
        <v>0</v>
      </c>
      <c r="H22" s="504">
        <f>'CUSTOMERS REPORT'!Z564</f>
        <v>0</v>
      </c>
      <c r="I22" s="406">
        <f>'CUSTOMERS REPORT'!AA564</f>
        <v>0</v>
      </c>
      <c r="J22" s="498">
        <f>'CUSTOMERS REPORT'!AB564</f>
        <v>0</v>
      </c>
      <c r="K22" s="498">
        <f>'CUSTOMERS REPORT'!AC564</f>
        <v>0</v>
      </c>
      <c r="L22" s="509">
        <f>'CUSTOMERS REPORT'!AD564</f>
        <v>0</v>
      </c>
      <c r="M22" s="414">
        <f>'7'!M22+'8'!G22</f>
        <v>0</v>
      </c>
      <c r="N22" s="412">
        <f>'7'!N22+'8'!J22</f>
        <v>0</v>
      </c>
      <c r="P22" s="433"/>
      <c r="Q22" s="438"/>
      <c r="S22" s="400" t="str">
        <f>'7'!S22</f>
        <v>COTTON</v>
      </c>
      <c r="T22" s="446">
        <f>'7'!X22</f>
        <v>0</v>
      </c>
      <c r="U22" s="456"/>
      <c r="V22" s="451">
        <f t="shared" si="0"/>
        <v>0</v>
      </c>
      <c r="W22" s="451"/>
      <c r="X22" s="447">
        <f t="shared" si="1"/>
        <v>0</v>
      </c>
      <c r="Z22" s="375" t="str">
        <f>'7'!Z22</f>
        <v>IRFAN VANILA</v>
      </c>
      <c r="AA22" s="464">
        <f>'7'!AE22</f>
        <v>0</v>
      </c>
      <c r="AB22" s="460"/>
      <c r="AC22" s="462">
        <f t="shared" si="2"/>
        <v>0</v>
      </c>
      <c r="AD22" s="469"/>
      <c r="AE22" s="348">
        <f t="shared" si="3"/>
        <v>0</v>
      </c>
      <c r="AF22" s="563">
        <f>'7'!AF22+'8'!AB22</f>
        <v>0</v>
      </c>
      <c r="AG22" s="234">
        <f>'7'!AG22+'8'!AD22</f>
        <v>0</v>
      </c>
      <c r="AI22" s="393">
        <f>R56</f>
        <v>0</v>
      </c>
      <c r="AJ22" s="394">
        <f>R56*1800</f>
        <v>0</v>
      </c>
    </row>
    <row r="23" spans="1:36" ht="27" customHeight="1" thickTop="1" thickBot="1">
      <c r="A23" s="715" t="str">
        <f>'7'!A23</f>
        <v>OFFICE FOOD</v>
      </c>
      <c r="B23" s="462"/>
      <c r="C23" s="536">
        <f>'7'!D23</f>
        <v>0</v>
      </c>
      <c r="D23" s="537">
        <f t="shared" ref="D23:D48" si="5">B23+C23</f>
        <v>0</v>
      </c>
      <c r="F23" s="479" t="str">
        <f>'7'!F23</f>
        <v>JAMSHAD BADEEN</v>
      </c>
      <c r="G23" s="406">
        <f>'CUSTOMERS REPORT'!Y600</f>
        <v>0</v>
      </c>
      <c r="H23" s="504">
        <f>'CUSTOMERS REPORT'!Z600</f>
        <v>0</v>
      </c>
      <c r="I23" s="406">
        <f>'CUSTOMERS REPORT'!AA600</f>
        <v>0</v>
      </c>
      <c r="J23" s="498">
        <f>'CUSTOMERS REPORT'!AB600</f>
        <v>0</v>
      </c>
      <c r="K23" s="498">
        <f>'CUSTOMERS REPORT'!AC600</f>
        <v>0</v>
      </c>
      <c r="L23" s="509">
        <f>'CUSTOMERS REPORT'!AD600</f>
        <v>0</v>
      </c>
      <c r="M23" s="414">
        <f>'7'!M23+'8'!G23</f>
        <v>0</v>
      </c>
      <c r="N23" s="412">
        <f>'7'!N23+'8'!J23</f>
        <v>0</v>
      </c>
      <c r="P23" s="190" t="s">
        <v>48</v>
      </c>
      <c r="Q23" s="439">
        <f>SUM(Q8:Q22)</f>
        <v>0</v>
      </c>
      <c r="S23" s="400" t="str">
        <f>'7'!S23</f>
        <v>WHITE 6</v>
      </c>
      <c r="T23" s="446">
        <f>'7'!X23</f>
        <v>0</v>
      </c>
      <c r="U23" s="456"/>
      <c r="V23" s="451">
        <f t="shared" si="0"/>
        <v>0</v>
      </c>
      <c r="W23" s="451"/>
      <c r="X23" s="447">
        <f t="shared" si="1"/>
        <v>0</v>
      </c>
      <c r="Z23" s="375" t="str">
        <f>'7'!Z23</f>
        <v>IRANI GHEE</v>
      </c>
      <c r="AA23" s="464">
        <f>'7'!AE23</f>
        <v>0</v>
      </c>
      <c r="AB23" s="460"/>
      <c r="AC23" s="462">
        <f t="shared" si="2"/>
        <v>0</v>
      </c>
      <c r="AD23" s="469"/>
      <c r="AE23" s="348">
        <f t="shared" si="3"/>
        <v>0</v>
      </c>
      <c r="AF23" s="563">
        <f>'7'!AF23+'8'!AB23</f>
        <v>0</v>
      </c>
      <c r="AG23" s="234">
        <f>'7'!AG23+'8'!AD23</f>
        <v>0</v>
      </c>
      <c r="AI23" s="395" t="s">
        <v>74</v>
      </c>
      <c r="AJ23" s="396">
        <f>AJ21+AJ22</f>
        <v>0</v>
      </c>
    </row>
    <row r="24" spans="1:36" ht="27" customHeight="1" thickTop="1" thickBot="1">
      <c r="A24" s="715" t="str">
        <f>'7'!A24</f>
        <v>LABOUR FOOD EXP</v>
      </c>
      <c r="B24" s="234"/>
      <c r="C24" s="348">
        <f>'7'!D24</f>
        <v>0</v>
      </c>
      <c r="D24" s="234">
        <f t="shared" si="5"/>
        <v>0</v>
      </c>
      <c r="F24" s="479" t="str">
        <f>'7'!F24</f>
        <v>SARFAZ MP</v>
      </c>
      <c r="G24" s="406">
        <f>'CUSTOMERS REPORT'!Y638</f>
        <v>0</v>
      </c>
      <c r="H24" s="504">
        <f>'CUSTOMERS REPORT'!Z638</f>
        <v>0</v>
      </c>
      <c r="I24" s="406">
        <f>'CUSTOMERS REPORT'!AA638</f>
        <v>0</v>
      </c>
      <c r="J24" s="498">
        <f>'CUSTOMERS REPORT'!AB638</f>
        <v>0</v>
      </c>
      <c r="K24" s="498">
        <f>'CUSTOMERS REPORT'!AC638</f>
        <v>0</v>
      </c>
      <c r="L24" s="509">
        <f>'CUSTOMERS REPORT'!AD638</f>
        <v>0</v>
      </c>
      <c r="M24" s="414">
        <f>'7'!M24+'8'!G24</f>
        <v>0</v>
      </c>
      <c r="N24" s="412">
        <f>'7'!N24+'8'!J24</f>
        <v>0</v>
      </c>
      <c r="P24" s="1514" t="s">
        <v>137</v>
      </c>
      <c r="Q24" s="1514"/>
      <c r="R24" t="s">
        <v>1</v>
      </c>
      <c r="S24" s="400" t="str">
        <f>'7'!S24</f>
        <v>ORANGE</v>
      </c>
      <c r="T24" s="446">
        <f>'7'!X24</f>
        <v>0</v>
      </c>
      <c r="U24" s="456"/>
      <c r="V24" s="451">
        <f t="shared" si="0"/>
        <v>0</v>
      </c>
      <c r="W24" s="451"/>
      <c r="X24" s="447">
        <f t="shared" si="1"/>
        <v>0</v>
      </c>
      <c r="Z24" s="375">
        <f>'7'!Z24</f>
        <v>0</v>
      </c>
      <c r="AA24" s="464">
        <f>'7'!AE24</f>
        <v>0</v>
      </c>
      <c r="AB24" s="745"/>
      <c r="AC24" s="462">
        <f t="shared" si="2"/>
        <v>0</v>
      </c>
      <c r="AD24" s="469"/>
      <c r="AE24" s="348">
        <f t="shared" si="3"/>
        <v>0</v>
      </c>
      <c r="AF24" s="563">
        <f>'7'!AF24+'8'!AB24</f>
        <v>0</v>
      </c>
      <c r="AG24" s="234">
        <f>'7'!AG24+'8'!AD24</f>
        <v>0</v>
      </c>
    </row>
    <row r="25" spans="1:36" ht="27" customHeight="1" thickTop="1" thickBot="1">
      <c r="A25" s="715" t="str">
        <f>'7'!A25</f>
        <v>OFFICE SALARY</v>
      </c>
      <c r="B25" s="234">
        <f>ATTENDANCE!Q28</f>
        <v>0</v>
      </c>
      <c r="C25" s="348">
        <f>'7'!D25</f>
        <v>0</v>
      </c>
      <c r="D25" s="234">
        <f t="shared" si="5"/>
        <v>0</v>
      </c>
      <c r="F25" s="479" t="str">
        <f>'7'!F25</f>
        <v>AFZAL MATLI</v>
      </c>
      <c r="G25" s="406">
        <f>'CUSTOMERS REPORT'!Y676</f>
        <v>0</v>
      </c>
      <c r="H25" s="504">
        <f>'CUSTOMERS REPORT'!Z676</f>
        <v>0</v>
      </c>
      <c r="I25" s="406">
        <f>'CUSTOMERS REPORT'!AA676</f>
        <v>0</v>
      </c>
      <c r="J25" s="498">
        <f>'CUSTOMERS REPORT'!AB676</f>
        <v>0</v>
      </c>
      <c r="K25" s="498">
        <f>'CUSTOMERS REPORT'!AC676</f>
        <v>0</v>
      </c>
      <c r="L25" s="509">
        <f>'CUSTOMERS REPORT'!AD676</f>
        <v>0</v>
      </c>
      <c r="M25" s="414">
        <f>'7'!M25+'8'!G25</f>
        <v>0</v>
      </c>
      <c r="N25" s="412">
        <f>'7'!N25+'8'!J25</f>
        <v>0</v>
      </c>
      <c r="P25" s="434"/>
      <c r="Q25" s="440"/>
      <c r="S25" s="400" t="str">
        <f>'7'!S25</f>
        <v>MAKKI 7</v>
      </c>
      <c r="T25" s="446">
        <f>'7'!X25</f>
        <v>0</v>
      </c>
      <c r="U25" s="456"/>
      <c r="V25" s="451">
        <f t="shared" si="0"/>
        <v>0</v>
      </c>
      <c r="W25" s="451"/>
      <c r="X25" s="447">
        <f t="shared" si="1"/>
        <v>0</v>
      </c>
      <c r="Z25" s="375">
        <f>'7'!Z25</f>
        <v>0</v>
      </c>
      <c r="AA25" s="464">
        <f>'7'!AE25</f>
        <v>0</v>
      </c>
      <c r="AB25" s="460"/>
      <c r="AC25" s="462">
        <f t="shared" si="2"/>
        <v>0</v>
      </c>
      <c r="AD25" s="469"/>
      <c r="AE25" s="348">
        <f t="shared" si="3"/>
        <v>0</v>
      </c>
      <c r="AF25" s="563">
        <f>'7'!AF25+'8'!AB25</f>
        <v>0</v>
      </c>
      <c r="AG25" s="234">
        <f>'7'!AG25+'8'!AD25</f>
        <v>0</v>
      </c>
      <c r="AI25" s="397" t="s">
        <v>59</v>
      </c>
      <c r="AJ25" s="398">
        <f>AJ23-AJ10</f>
        <v>0</v>
      </c>
    </row>
    <row r="26" spans="1:36" ht="27" customHeight="1" thickTop="1">
      <c r="A26" s="715" t="str">
        <f>'7'!A26</f>
        <v>LABOUR SALARY</v>
      </c>
      <c r="B26" s="234"/>
      <c r="C26" s="348">
        <f>'7'!D26</f>
        <v>0</v>
      </c>
      <c r="D26" s="234">
        <f t="shared" si="5"/>
        <v>0</v>
      </c>
      <c r="F26" s="479" t="str">
        <f>'7'!F26</f>
        <v xml:space="preserve">ABDUL RASHEED </v>
      </c>
      <c r="G26" s="406">
        <f>'CUSTOMERS REPORT'!Y714</f>
        <v>0</v>
      </c>
      <c r="H26" s="504">
        <f>'CUSTOMERS REPORT'!Z714</f>
        <v>0</v>
      </c>
      <c r="I26" s="406">
        <f>'CUSTOMERS REPORT'!AA714</f>
        <v>0</v>
      </c>
      <c r="J26" s="498">
        <f>'CUSTOMERS REPORT'!AB714</f>
        <v>0</v>
      </c>
      <c r="K26" s="498">
        <f>'CUSTOMERS REPORT'!AC714</f>
        <v>0</v>
      </c>
      <c r="L26" s="509">
        <f>'CUSTOMERS REPORT'!AD714</f>
        <v>0</v>
      </c>
      <c r="M26" s="414">
        <f>'7'!M26+'8'!G26</f>
        <v>0</v>
      </c>
      <c r="N26" s="412">
        <f>'7'!N26+'8'!J26</f>
        <v>0</v>
      </c>
      <c r="P26" s="433"/>
      <c r="Q26" s="438"/>
      <c r="R26" t="s">
        <v>1</v>
      </c>
      <c r="S26" s="400" t="str">
        <f>'7'!S26</f>
        <v>BLUE 125 GM</v>
      </c>
      <c r="T26" s="446">
        <f>'7'!X26</f>
        <v>0</v>
      </c>
      <c r="U26" s="456"/>
      <c r="V26" s="451">
        <f t="shared" si="0"/>
        <v>0</v>
      </c>
      <c r="W26" s="451"/>
      <c r="X26" s="447">
        <f t="shared" si="1"/>
        <v>0</v>
      </c>
      <c r="Z26" s="375">
        <f>'7'!Z26</f>
        <v>0</v>
      </c>
      <c r="AA26" s="464">
        <f>'7'!AE26</f>
        <v>0</v>
      </c>
      <c r="AB26" s="460"/>
      <c r="AC26" s="462">
        <f t="shared" si="2"/>
        <v>0</v>
      </c>
      <c r="AD26" s="469"/>
      <c r="AE26" s="348">
        <f t="shared" si="3"/>
        <v>0</v>
      </c>
      <c r="AF26" s="563">
        <f>'7'!AF26+'8'!AB26</f>
        <v>0</v>
      </c>
      <c r="AG26" s="234">
        <f>'7'!AG26+'8'!AD26</f>
        <v>0</v>
      </c>
    </row>
    <row r="27" spans="1:36" ht="27" customHeight="1">
      <c r="A27" s="715" t="str">
        <f>'7'!A27</f>
        <v>SHAHZORE</v>
      </c>
      <c r="B27" s="234"/>
      <c r="C27" s="348">
        <f>'7'!D27</f>
        <v>0</v>
      </c>
      <c r="D27" s="234">
        <f t="shared" si="5"/>
        <v>0</v>
      </c>
      <c r="F27" s="479" t="str">
        <f>'7'!F27</f>
        <v>SALEEM ORANGI</v>
      </c>
      <c r="G27" s="406">
        <f>'CUSTOMERS REPORT'!Y752</f>
        <v>0</v>
      </c>
      <c r="H27" s="504">
        <f>'CUSTOMERS REPORT'!Z752</f>
        <v>0</v>
      </c>
      <c r="I27" s="406">
        <f>'CUSTOMERS REPORT'!AA752</f>
        <v>0</v>
      </c>
      <c r="J27" s="498">
        <f>'CUSTOMERS REPORT'!AB752</f>
        <v>0</v>
      </c>
      <c r="K27" s="498">
        <f>'CUSTOMERS REPORT'!AC752</f>
        <v>0</v>
      </c>
      <c r="L27" s="509">
        <f>'CUSTOMERS REPORT'!AD752</f>
        <v>0</v>
      </c>
      <c r="M27" s="414">
        <f>'7'!M27+'8'!G27</f>
        <v>0</v>
      </c>
      <c r="N27" s="412">
        <f>'7'!N27+'8'!J27</f>
        <v>0</v>
      </c>
      <c r="P27" s="433"/>
      <c r="Q27" s="435"/>
      <c r="R27" t="s">
        <v>1</v>
      </c>
      <c r="S27" s="400" t="str">
        <f>'7'!S27</f>
        <v>MAKKI 5</v>
      </c>
      <c r="T27" s="446">
        <f>'7'!X27</f>
        <v>0</v>
      </c>
      <c r="U27" s="456"/>
      <c r="V27" s="451">
        <f t="shared" si="0"/>
        <v>0</v>
      </c>
      <c r="W27" s="451"/>
      <c r="X27" s="447">
        <f t="shared" si="1"/>
        <v>0</v>
      </c>
      <c r="Z27" s="375">
        <f>'7'!Z27</f>
        <v>0</v>
      </c>
      <c r="AA27" s="464">
        <f>'7'!AE27</f>
        <v>0</v>
      </c>
      <c r="AB27" s="460"/>
      <c r="AC27" s="462">
        <f t="shared" si="2"/>
        <v>0</v>
      </c>
      <c r="AD27" s="469"/>
      <c r="AE27" s="348">
        <f t="shared" si="3"/>
        <v>0</v>
      </c>
      <c r="AF27" s="563">
        <f>'7'!AF27+'8'!AB27</f>
        <v>0</v>
      </c>
      <c r="AG27" s="234">
        <f>'7'!AG27+'8'!AD27</f>
        <v>0</v>
      </c>
    </row>
    <row r="28" spans="1:36" ht="27" customHeight="1">
      <c r="A28" s="715" t="str">
        <f>'7'!A28</f>
        <v>GENERATOR</v>
      </c>
      <c r="B28" s="234"/>
      <c r="C28" s="348">
        <f>'7'!D28</f>
        <v>0</v>
      </c>
      <c r="D28" s="234">
        <f t="shared" si="5"/>
        <v>0</v>
      </c>
      <c r="F28" s="479" t="str">
        <f>'7'!F28</f>
        <v>AYAZ OUSTA</v>
      </c>
      <c r="G28" s="406">
        <f>'CUSTOMERS REPORT'!Y790</f>
        <v>0</v>
      </c>
      <c r="H28" s="504">
        <f>'CUSTOMERS REPORT'!Z790</f>
        <v>0</v>
      </c>
      <c r="I28" s="406">
        <f>'CUSTOMERS REPORT'!AA790</f>
        <v>0</v>
      </c>
      <c r="J28" s="498">
        <f>'CUSTOMERS REPORT'!AB790</f>
        <v>0</v>
      </c>
      <c r="K28" s="498">
        <f>'CUSTOMERS REPORT'!AC790</f>
        <v>0</v>
      </c>
      <c r="L28" s="509">
        <f>'CUSTOMERS REPORT'!AD790</f>
        <v>0</v>
      </c>
      <c r="M28" s="414">
        <f>'7'!M28+'8'!G28</f>
        <v>0</v>
      </c>
      <c r="N28" s="412">
        <f>'7'!N28+'8'!J28</f>
        <v>0</v>
      </c>
      <c r="P28" s="433"/>
      <c r="Q28" s="438"/>
      <c r="S28" s="400" t="str">
        <f>'7'!S28</f>
        <v>MAKKI 2 PES</v>
      </c>
      <c r="T28" s="446">
        <f>'7'!X28</f>
        <v>0</v>
      </c>
      <c r="U28" s="456"/>
      <c r="V28" s="451">
        <f t="shared" si="0"/>
        <v>0</v>
      </c>
      <c r="W28" s="451"/>
      <c r="X28" s="447">
        <f t="shared" si="1"/>
        <v>0</v>
      </c>
      <c r="Z28" s="375">
        <f>'7'!Z28</f>
        <v>0</v>
      </c>
      <c r="AA28" s="464">
        <f>'7'!AE28</f>
        <v>0</v>
      </c>
      <c r="AB28" s="460"/>
      <c r="AC28" s="462">
        <f t="shared" si="2"/>
        <v>0</v>
      </c>
      <c r="AD28" s="469"/>
      <c r="AE28" s="348">
        <f t="shared" si="3"/>
        <v>0</v>
      </c>
      <c r="AF28" s="563">
        <f>'7'!AF28+'8'!AB28</f>
        <v>0</v>
      </c>
      <c r="AG28" s="234">
        <f>'7'!AG28+'8'!AD28</f>
        <v>0</v>
      </c>
    </row>
    <row r="29" spans="1:36" ht="27" customHeight="1">
      <c r="A29" s="715" t="str">
        <f>'7'!A29</f>
        <v>PATROL FAW</v>
      </c>
      <c r="B29" s="234"/>
      <c r="C29" s="348">
        <f>'7'!D29</f>
        <v>0</v>
      </c>
      <c r="D29" s="234">
        <f t="shared" si="5"/>
        <v>0</v>
      </c>
      <c r="F29" s="479" t="str">
        <f>'7'!F29</f>
        <v>AZHAR BADEEN</v>
      </c>
      <c r="G29" s="406">
        <f>'CUSTOMERS REPORT'!Y828</f>
        <v>0</v>
      </c>
      <c r="H29" s="504">
        <f>'CUSTOMERS REPORT'!Z828</f>
        <v>0</v>
      </c>
      <c r="I29" s="406">
        <f>'CUSTOMERS REPORT'!AA828</f>
        <v>0</v>
      </c>
      <c r="J29" s="498">
        <f>'CUSTOMERS REPORT'!AB828</f>
        <v>0</v>
      </c>
      <c r="K29" s="498">
        <f>'CUSTOMERS REPORT'!AC828</f>
        <v>0</v>
      </c>
      <c r="L29" s="509">
        <f>'CUSTOMERS REPORT'!AD828</f>
        <v>0</v>
      </c>
      <c r="M29" s="414">
        <f>'7'!M29+'8'!G29</f>
        <v>0</v>
      </c>
      <c r="N29" s="412">
        <f>'7'!N29+'8'!J29</f>
        <v>0</v>
      </c>
      <c r="P29" s="433"/>
      <c r="Q29" s="441"/>
      <c r="S29" s="400" t="str">
        <f>'7'!S29</f>
        <v xml:space="preserve">PRIME </v>
      </c>
      <c r="T29" s="446">
        <f>'7'!X29</f>
        <v>0</v>
      </c>
      <c r="U29" s="456"/>
      <c r="V29" s="451">
        <f t="shared" si="0"/>
        <v>0</v>
      </c>
      <c r="W29" s="451"/>
      <c r="X29" s="447">
        <f t="shared" si="1"/>
        <v>0</v>
      </c>
      <c r="Z29" s="375">
        <f>'7'!Z29</f>
        <v>0</v>
      </c>
      <c r="AA29" s="464">
        <f>'7'!AE29</f>
        <v>0</v>
      </c>
      <c r="AB29" s="460"/>
      <c r="AC29" s="462">
        <f t="shared" si="2"/>
        <v>0</v>
      </c>
      <c r="AD29" s="469"/>
      <c r="AE29" s="348">
        <f t="shared" si="3"/>
        <v>0</v>
      </c>
      <c r="AF29" s="563">
        <f>'7'!AF29+'8'!AB29</f>
        <v>0</v>
      </c>
      <c r="AG29" s="234">
        <f>'7'!AG29+'8'!AD29</f>
        <v>0</v>
      </c>
    </row>
    <row r="30" spans="1:36" ht="27" customHeight="1">
      <c r="A30" s="715" t="str">
        <f>'7'!A30</f>
        <v>FOTON DIESEL</v>
      </c>
      <c r="B30" s="234"/>
      <c r="C30" s="348">
        <f>'7'!D30</f>
        <v>0</v>
      </c>
      <c r="D30" s="234">
        <f t="shared" si="5"/>
        <v>0</v>
      </c>
      <c r="F30" s="479" t="str">
        <f>'7'!F30</f>
        <v>FAISAL HUB</v>
      </c>
      <c r="G30" s="406">
        <f>'CUSTOMERS REPORT'!Y866</f>
        <v>0</v>
      </c>
      <c r="H30" s="504">
        <f>'CUSTOMERS REPORT'!Z866</f>
        <v>0</v>
      </c>
      <c r="I30" s="406">
        <f>'CUSTOMERS REPORT'!AA866</f>
        <v>0</v>
      </c>
      <c r="J30" s="498">
        <f>'CUSTOMERS REPORT'!AB866</f>
        <v>0</v>
      </c>
      <c r="K30" s="498">
        <f>'CUSTOMERS REPORT'!AC866</f>
        <v>0</v>
      </c>
      <c r="L30" s="509">
        <f>'CUSTOMERS REPORT'!AD866</f>
        <v>0</v>
      </c>
      <c r="M30" s="414">
        <f>'7'!M30+'8'!G30</f>
        <v>0</v>
      </c>
      <c r="N30" s="412">
        <f>'7'!N30+'8'!J30</f>
        <v>0</v>
      </c>
      <c r="P30" s="433"/>
      <c r="Q30" s="442"/>
      <c r="S30" s="400" t="str">
        <f>'7'!S30</f>
        <v>PRIMR 15</v>
      </c>
      <c r="T30" s="446">
        <f>'7'!X30</f>
        <v>0</v>
      </c>
      <c r="U30" s="456"/>
      <c r="V30" s="451">
        <f t="shared" si="0"/>
        <v>0</v>
      </c>
      <c r="W30" s="451"/>
      <c r="X30" s="447">
        <f t="shared" si="1"/>
        <v>0</v>
      </c>
      <c r="Z30" s="375">
        <f>'7'!Z30</f>
        <v>0</v>
      </c>
      <c r="AA30" s="464">
        <f>'7'!AE30</f>
        <v>0</v>
      </c>
      <c r="AB30" s="460"/>
      <c r="AC30" s="462">
        <f t="shared" si="2"/>
        <v>0</v>
      </c>
      <c r="AD30" s="469"/>
      <c r="AE30" s="348">
        <f t="shared" si="3"/>
        <v>0</v>
      </c>
      <c r="AF30" s="563">
        <f>'7'!AF30+'8'!AB30</f>
        <v>0</v>
      </c>
      <c r="AG30" s="234">
        <f>'7'!AG30+'8'!AD30</f>
        <v>0</v>
      </c>
    </row>
    <row r="31" spans="1:36" ht="27" customHeight="1" thickBot="1">
      <c r="A31" s="715" t="str">
        <f>'7'!A31</f>
        <v>UTILITY BILLS</v>
      </c>
      <c r="B31" s="234"/>
      <c r="C31" s="348">
        <f>'7'!D31</f>
        <v>0</v>
      </c>
      <c r="D31" s="234">
        <f t="shared" si="5"/>
        <v>0</v>
      </c>
      <c r="F31" s="479" t="str">
        <f>'7'!F31</f>
        <v>ABDUL RAHMAN</v>
      </c>
      <c r="G31" s="406">
        <f>'CUSTOMERS REPORT'!Y905</f>
        <v>0</v>
      </c>
      <c r="H31" s="504">
        <f>'CUSTOMERS REPORT'!Z905</f>
        <v>0</v>
      </c>
      <c r="I31" s="406">
        <f>'CUSTOMERS REPORT'!AA905</f>
        <v>0</v>
      </c>
      <c r="J31" s="498">
        <f>'CUSTOMERS REPORT'!AB905</f>
        <v>0</v>
      </c>
      <c r="K31" s="498">
        <f>'CUSTOMERS REPORT'!AC905</f>
        <v>0</v>
      </c>
      <c r="L31" s="509">
        <f>'CUSTOMERS REPORT'!AD905</f>
        <v>0</v>
      </c>
      <c r="M31" s="414">
        <f>'7'!M31+'8'!G31</f>
        <v>0</v>
      </c>
      <c r="N31" s="412">
        <f>'7'!N31+'8'!J31</f>
        <v>0</v>
      </c>
      <c r="P31" s="433"/>
      <c r="Q31" s="435"/>
      <c r="S31" s="400" t="str">
        <f>'7'!S31</f>
        <v>KARACHI</v>
      </c>
      <c r="T31" s="446">
        <f>'7'!X31</f>
        <v>0</v>
      </c>
      <c r="U31" s="456"/>
      <c r="V31" s="451">
        <f t="shared" si="0"/>
        <v>0</v>
      </c>
      <c r="W31" s="451"/>
      <c r="X31" s="447">
        <f t="shared" si="1"/>
        <v>0</v>
      </c>
      <c r="Z31" s="375">
        <f>'7'!Z31</f>
        <v>0</v>
      </c>
      <c r="AA31" s="464">
        <f>'7'!AE31</f>
        <v>0</v>
      </c>
      <c r="AB31" s="460"/>
      <c r="AC31" s="462">
        <f t="shared" si="2"/>
        <v>0</v>
      </c>
      <c r="AD31" s="469"/>
      <c r="AE31" s="348">
        <f t="shared" si="3"/>
        <v>0</v>
      </c>
      <c r="AF31" s="563">
        <f>'7'!AF31+'8'!AB31</f>
        <v>0</v>
      </c>
      <c r="AG31" s="234">
        <f>'7'!AG31+'8'!AD31</f>
        <v>0</v>
      </c>
      <c r="AI31" t="s">
        <v>1</v>
      </c>
    </row>
    <row r="32" spans="1:36" ht="27" customHeight="1" thickTop="1" thickBot="1">
      <c r="A32" s="715" t="str">
        <f>'7'!A32</f>
        <v>WOOD</v>
      </c>
      <c r="B32" s="234"/>
      <c r="C32" s="348">
        <f>'7'!D32</f>
        <v>0</v>
      </c>
      <c r="D32" s="234">
        <f t="shared" si="5"/>
        <v>0</v>
      </c>
      <c r="F32" s="479" t="str">
        <f>'7'!F32</f>
        <v>HAJI JAN GIWANI</v>
      </c>
      <c r="G32" s="406">
        <f>'CUSTOMERS REPORT'!Y944</f>
        <v>0</v>
      </c>
      <c r="H32" s="504">
        <f>'CUSTOMERS REPORT'!Z944</f>
        <v>0</v>
      </c>
      <c r="I32" s="406">
        <f>'CUSTOMERS REPORT'!AA944</f>
        <v>0</v>
      </c>
      <c r="J32" s="498">
        <f>'CUSTOMERS REPORT'!AB944</f>
        <v>0</v>
      </c>
      <c r="K32" s="498">
        <f>'CUSTOMERS REPORT'!AC944</f>
        <v>0</v>
      </c>
      <c r="L32" s="509">
        <f>'CUSTOMERS REPORT'!AD944</f>
        <v>0</v>
      </c>
      <c r="M32" s="414">
        <f>'7'!M32+'8'!G32</f>
        <v>0</v>
      </c>
      <c r="N32" s="412">
        <f>'7'!N32+'8'!J32</f>
        <v>0</v>
      </c>
      <c r="P32" s="190" t="s">
        <v>51</v>
      </c>
      <c r="Q32" s="439">
        <f>Q23-Q25-Q26-Q27-Q28-Q29-Q30-Q31</f>
        <v>0</v>
      </c>
      <c r="R32" t="s">
        <v>1</v>
      </c>
      <c r="S32" s="400" t="str">
        <f>'7'!S32</f>
        <v>MARVI</v>
      </c>
      <c r="T32" s="446">
        <f>'7'!X32</f>
        <v>0</v>
      </c>
      <c r="U32" s="456"/>
      <c r="V32" s="451">
        <f t="shared" si="0"/>
        <v>0</v>
      </c>
      <c r="W32" s="451"/>
      <c r="X32" s="447">
        <f t="shared" si="1"/>
        <v>0</v>
      </c>
      <c r="Z32" s="375">
        <f>'7'!Z32</f>
        <v>0</v>
      </c>
      <c r="AA32" s="464">
        <f>'7'!AE32</f>
        <v>0</v>
      </c>
      <c r="AB32" s="460"/>
      <c r="AC32" s="462">
        <f t="shared" si="2"/>
        <v>0</v>
      </c>
      <c r="AD32" s="469"/>
      <c r="AE32" s="348">
        <f t="shared" si="3"/>
        <v>0</v>
      </c>
      <c r="AF32" s="563">
        <f>'7'!AF32+'8'!AB32</f>
        <v>0</v>
      </c>
      <c r="AG32" s="234">
        <f>'7'!AG32+'8'!AD32</f>
        <v>0</v>
      </c>
    </row>
    <row r="33" spans="1:40" ht="27" customHeight="1" thickTop="1" thickBot="1">
      <c r="A33" s="715" t="str">
        <f>'7'!A33</f>
        <v>TOLL</v>
      </c>
      <c r="B33" s="538"/>
      <c r="C33" s="348">
        <f>'7'!D33</f>
        <v>0</v>
      </c>
      <c r="D33" s="550">
        <f t="shared" si="5"/>
        <v>0</v>
      </c>
      <c r="F33" s="479" t="str">
        <f>'7'!F33</f>
        <v>ALI QURESHI HYD</v>
      </c>
      <c r="G33" s="406">
        <f>'CUSTOMERS REPORT'!Y982</f>
        <v>0</v>
      </c>
      <c r="H33" s="504">
        <f>'CUSTOMERS REPORT'!Z982</f>
        <v>0</v>
      </c>
      <c r="I33" s="406">
        <f>'CUSTOMERS REPORT'!AA982</f>
        <v>0</v>
      </c>
      <c r="J33" s="498">
        <f>'CUSTOMERS REPORT'!AB982</f>
        <v>0</v>
      </c>
      <c r="K33" s="498">
        <f>'CUSTOMERS REPORT'!AC982</f>
        <v>0</v>
      </c>
      <c r="L33" s="509">
        <f>'CUSTOMERS REPORT'!AD982</f>
        <v>0</v>
      </c>
      <c r="M33" s="414">
        <f>'7'!M33+'8'!G33</f>
        <v>0</v>
      </c>
      <c r="N33" s="412">
        <f>'7'!N33+'8'!J33</f>
        <v>0</v>
      </c>
      <c r="P33" s="1499" t="s">
        <v>149</v>
      </c>
      <c r="Q33" s="1500"/>
      <c r="S33" s="400" t="str">
        <f>'7'!S33</f>
        <v>TS</v>
      </c>
      <c r="T33" s="446">
        <f>'7'!X33</f>
        <v>0</v>
      </c>
      <c r="U33" s="456"/>
      <c r="V33" s="451">
        <f t="shared" si="0"/>
        <v>0</v>
      </c>
      <c r="W33" s="451"/>
      <c r="X33" s="447">
        <f t="shared" si="1"/>
        <v>0</v>
      </c>
      <c r="Z33" s="375">
        <f>'7'!Z33</f>
        <v>0</v>
      </c>
      <c r="AA33" s="464">
        <f>'7'!AE33</f>
        <v>0</v>
      </c>
      <c r="AB33" s="460"/>
      <c r="AC33" s="462">
        <f t="shared" si="2"/>
        <v>0</v>
      </c>
      <c r="AD33" s="469"/>
      <c r="AE33" s="348">
        <f t="shared" si="3"/>
        <v>0</v>
      </c>
      <c r="AF33" s="563">
        <f>'7'!AF33+'8'!AB33</f>
        <v>0</v>
      </c>
      <c r="AG33" s="234">
        <f>'7'!AG33+'8'!AD33</f>
        <v>0</v>
      </c>
    </row>
    <row r="34" spans="1:40" ht="27" customHeight="1" thickTop="1" thickBot="1">
      <c r="A34" s="716" t="str">
        <f>'7'!A34</f>
        <v>FLOUR / SHGER</v>
      </c>
      <c r="B34" s="538"/>
      <c r="C34" s="348">
        <f>'7'!D34</f>
        <v>0</v>
      </c>
      <c r="D34" s="234">
        <f t="shared" si="5"/>
        <v>0</v>
      </c>
      <c r="F34" s="479" t="str">
        <f>'7'!F34</f>
        <v>ALI RAZA KAND KOT</v>
      </c>
      <c r="G34" s="406">
        <f>'CUSTOMERS REPORT'!Y1020</f>
        <v>0</v>
      </c>
      <c r="H34" s="504">
        <f>'CUSTOMERS REPORT'!Z1020</f>
        <v>0</v>
      </c>
      <c r="I34" s="406">
        <f>'CUSTOMERS REPORT'!AA1020</f>
        <v>0</v>
      </c>
      <c r="J34" s="498">
        <f>'CUSTOMERS REPORT'!AB1020</f>
        <v>0</v>
      </c>
      <c r="K34" s="498">
        <f>'CUSTOMERS REPORT'!AC1020</f>
        <v>0</v>
      </c>
      <c r="L34" s="509">
        <f>'CUSTOMERS REPORT'!AD1020</f>
        <v>0</v>
      </c>
      <c r="M34" s="414">
        <f>'7'!M34+'8'!G34</f>
        <v>0</v>
      </c>
      <c r="N34" s="412">
        <f>'7'!N34+'8'!J34</f>
        <v>0</v>
      </c>
      <c r="P34" s="220" t="s">
        <v>150</v>
      </c>
      <c r="Q34" s="223">
        <f>'7'!Q34</f>
        <v>0</v>
      </c>
      <c r="S34" s="400" t="str">
        <f>'7'!S34</f>
        <v>MAXI</v>
      </c>
      <c r="T34" s="446">
        <f>'7'!X34</f>
        <v>0</v>
      </c>
      <c r="U34" s="457"/>
      <c r="V34" s="452">
        <f t="shared" si="0"/>
        <v>0</v>
      </c>
      <c r="W34" s="452"/>
      <c r="X34" s="448">
        <f t="shared" si="1"/>
        <v>0</v>
      </c>
      <c r="Z34" s="375">
        <f>'7'!Z34</f>
        <v>0</v>
      </c>
      <c r="AA34" s="464">
        <f>'7'!AE34</f>
        <v>0</v>
      </c>
      <c r="AB34" s="460"/>
      <c r="AC34" s="462">
        <f t="shared" si="2"/>
        <v>0</v>
      </c>
      <c r="AD34" s="469"/>
      <c r="AE34" s="348">
        <f t="shared" si="3"/>
        <v>0</v>
      </c>
      <c r="AF34" s="563">
        <f>'7'!AF34+'8'!AB34</f>
        <v>0</v>
      </c>
      <c r="AG34" s="234">
        <f>'7'!AG34+'8'!AD34</f>
        <v>0</v>
      </c>
    </row>
    <row r="35" spans="1:40" ht="27" customHeight="1" thickTop="1">
      <c r="A35" s="716" t="str">
        <f>'7'!A35</f>
        <v>OVEN &amp; PP MACHINE</v>
      </c>
      <c r="B35" s="529"/>
      <c r="C35" s="348">
        <f>'7'!D35</f>
        <v>0</v>
      </c>
      <c r="D35" s="529">
        <f t="shared" si="5"/>
        <v>0</v>
      </c>
      <c r="F35" s="479" t="str">
        <f>'7'!F35</f>
        <v>IQBAL MORO</v>
      </c>
      <c r="G35" s="407">
        <f>'CUSTOMERS REPORT'!Y1058</f>
        <v>0</v>
      </c>
      <c r="H35" s="505">
        <f>'CUSTOMERS REPORT'!Z1058</f>
        <v>0</v>
      </c>
      <c r="I35" s="407">
        <f>'CUSTOMERS REPORT'!AA1058</f>
        <v>0</v>
      </c>
      <c r="J35" s="499">
        <f>'CUSTOMERS REPORT'!AB1058</f>
        <v>0</v>
      </c>
      <c r="K35" s="499">
        <f>'CUSTOMERS REPORT'!AC1058</f>
        <v>0</v>
      </c>
      <c r="L35" s="510">
        <f>'CUSTOMERS REPORT'!AD1058</f>
        <v>0</v>
      </c>
      <c r="M35" s="414">
        <f>'7'!M35+'8'!G35</f>
        <v>0</v>
      </c>
      <c r="N35" s="412">
        <f>'7'!N35+'8'!J35</f>
        <v>0</v>
      </c>
      <c r="P35" s="252" t="s">
        <v>151</v>
      </c>
      <c r="Q35" s="443">
        <f>'7'!Q35</f>
        <v>0</v>
      </c>
      <c r="R35" t="s">
        <v>1</v>
      </c>
      <c r="S35" s="400" t="str">
        <f>'7'!S35</f>
        <v>M A WHITE</v>
      </c>
      <c r="T35" s="446">
        <f>'7'!X35</f>
        <v>0</v>
      </c>
      <c r="U35" s="457"/>
      <c r="V35" s="452">
        <f t="shared" si="0"/>
        <v>0</v>
      </c>
      <c r="W35" s="452"/>
      <c r="X35" s="448">
        <f t="shared" si="1"/>
        <v>0</v>
      </c>
      <c r="Z35" s="375">
        <f>'7'!Z35</f>
        <v>0</v>
      </c>
      <c r="AA35" s="464">
        <f>'7'!AE35</f>
        <v>0</v>
      </c>
      <c r="AB35" s="460"/>
      <c r="AC35" s="462">
        <f t="shared" si="2"/>
        <v>0</v>
      </c>
      <c r="AD35" s="469"/>
      <c r="AE35" s="348">
        <f t="shared" si="3"/>
        <v>0</v>
      </c>
      <c r="AF35" s="563">
        <f>'7'!AF35+'8'!AB35</f>
        <v>0</v>
      </c>
      <c r="AG35" s="234">
        <f>'7'!AG35+'8'!AD35</f>
        <v>0</v>
      </c>
    </row>
    <row r="36" spans="1:40" ht="27" customHeight="1">
      <c r="A36" s="716" t="str">
        <f>'7'!A36</f>
        <v>zakat</v>
      </c>
      <c r="B36" s="539"/>
      <c r="C36" s="348">
        <f>'7'!D36</f>
        <v>0</v>
      </c>
      <c r="D36" s="529">
        <f t="shared" si="5"/>
        <v>0</v>
      </c>
      <c r="F36" s="479" t="str">
        <f>'7'!F36</f>
        <v>SARFARAZ T ADAM</v>
      </c>
      <c r="G36" s="407">
        <f>'CUSTOMERS REPORT'!Y1096</f>
        <v>0</v>
      </c>
      <c r="H36" s="505">
        <f>'CUSTOMERS REPORT'!Z1096</f>
        <v>0</v>
      </c>
      <c r="I36" s="407">
        <f>'CUSTOMERS REPORT'!AA1096</f>
        <v>0</v>
      </c>
      <c r="J36" s="499">
        <f>'CUSTOMERS REPORT'!AB1096</f>
        <v>0</v>
      </c>
      <c r="K36" s="499">
        <f>'CUSTOMERS REPORT'!AC1096</f>
        <v>0</v>
      </c>
      <c r="L36" s="510">
        <f>'CUSTOMERS REPORT'!AD1096</f>
        <v>0</v>
      </c>
      <c r="M36" s="414">
        <f>'7'!M36+'8'!G36</f>
        <v>0</v>
      </c>
      <c r="N36" s="412">
        <f>'7'!N36+'8'!J36</f>
        <v>0</v>
      </c>
      <c r="P36" s="372" t="s">
        <v>152</v>
      </c>
      <c r="Q36" s="444">
        <f>J48</f>
        <v>0</v>
      </c>
      <c r="R36" t="s">
        <v>1</v>
      </c>
      <c r="S36" s="400" t="str">
        <f>'7'!S36</f>
        <v>M A ORING</v>
      </c>
      <c r="T36" s="446">
        <f>'7'!X36</f>
        <v>0</v>
      </c>
      <c r="U36" s="456"/>
      <c r="V36" s="451">
        <f t="shared" si="0"/>
        <v>0</v>
      </c>
      <c r="W36" s="452"/>
      <c r="X36" s="448">
        <f t="shared" si="1"/>
        <v>0</v>
      </c>
      <c r="Z36" s="375">
        <f>'7'!Z36</f>
        <v>0</v>
      </c>
      <c r="AA36" s="464">
        <f>'7'!AE36</f>
        <v>0</v>
      </c>
      <c r="AB36" s="460"/>
      <c r="AC36" s="462">
        <f t="shared" si="2"/>
        <v>0</v>
      </c>
      <c r="AD36" s="469"/>
      <c r="AE36" s="348">
        <f t="shared" si="3"/>
        <v>0</v>
      </c>
      <c r="AF36" s="563">
        <f>'7'!AF36+'8'!AB36</f>
        <v>0</v>
      </c>
      <c r="AG36" s="234">
        <f>'7'!AG36+'8'!AD36</f>
        <v>0</v>
      </c>
    </row>
    <row r="37" spans="1:40" ht="27" customHeight="1">
      <c r="A37" s="715" t="str">
        <f>'7'!A37</f>
        <v>javeed manghopir</v>
      </c>
      <c r="B37" s="234"/>
      <c r="C37" s="348">
        <f>'7'!D37</f>
        <v>0</v>
      </c>
      <c r="D37" s="234">
        <f t="shared" si="5"/>
        <v>0</v>
      </c>
      <c r="F37" s="479" t="str">
        <f>'7'!F37</f>
        <v>MUMTAZ K N SHAH</v>
      </c>
      <c r="G37" s="406">
        <f>'CUSTOMERS REPORT'!Y1134</f>
        <v>0</v>
      </c>
      <c r="H37" s="504">
        <f>'CUSTOMERS REPORT'!Z1134</f>
        <v>0</v>
      </c>
      <c r="I37" s="406">
        <f>'CUSTOMERS REPORT'!AA1134</f>
        <v>0</v>
      </c>
      <c r="J37" s="498">
        <f>'CUSTOMERS REPORT'!AB1134</f>
        <v>0</v>
      </c>
      <c r="K37" s="498">
        <f>'CUSTOMERS REPORT'!AC1134</f>
        <v>0</v>
      </c>
      <c r="L37" s="509">
        <f>'CUSTOMERS REPORT'!AD1134</f>
        <v>0</v>
      </c>
      <c r="M37" s="414">
        <f>'7'!M37+'8'!G37</f>
        <v>0</v>
      </c>
      <c r="N37" s="412">
        <f>'7'!N37+'8'!J37</f>
        <v>0</v>
      </c>
      <c r="P37" s="373" t="s">
        <v>153</v>
      </c>
      <c r="Q37" s="445">
        <f>Q34+Q35+Q36</f>
        <v>0</v>
      </c>
      <c r="R37" t="s">
        <v>1</v>
      </c>
      <c r="S37" s="400">
        <f>'7'!S37</f>
        <v>0</v>
      </c>
      <c r="T37" s="446">
        <f>'7'!X37</f>
        <v>0</v>
      </c>
      <c r="U37" s="456"/>
      <c r="V37" s="451">
        <f t="shared" si="0"/>
        <v>0</v>
      </c>
      <c r="W37" s="452"/>
      <c r="X37" s="448">
        <f t="shared" si="1"/>
        <v>0</v>
      </c>
      <c r="Z37" s="375">
        <f>'7'!Z37</f>
        <v>0</v>
      </c>
      <c r="AA37" s="464">
        <f>'7'!AE37</f>
        <v>0</v>
      </c>
      <c r="AB37" s="460"/>
      <c r="AC37" s="462">
        <f t="shared" si="2"/>
        <v>0</v>
      </c>
      <c r="AD37" s="469"/>
      <c r="AE37" s="348">
        <f t="shared" si="3"/>
        <v>0</v>
      </c>
      <c r="AF37" s="563">
        <f>'7'!AF37+'8'!AB37</f>
        <v>0</v>
      </c>
      <c r="AG37" s="234">
        <f>'7'!AG37+'8'!AD37</f>
        <v>0</v>
      </c>
    </row>
    <row r="38" spans="1:40" ht="27" customHeight="1">
      <c r="A38" s="715" t="str">
        <f>'7'!A38</f>
        <v>EXSIS CASH</v>
      </c>
      <c r="B38" s="234"/>
      <c r="C38" s="348">
        <f>'7'!D38</f>
        <v>0</v>
      </c>
      <c r="D38" s="234">
        <f t="shared" si="5"/>
        <v>0</v>
      </c>
      <c r="F38" s="479" t="str">
        <f>'7'!F38</f>
        <v>GHULAM RASOOL QU</v>
      </c>
      <c r="G38" s="408">
        <f>'CUSTOMERS REPORT'!Y1171</f>
        <v>0</v>
      </c>
      <c r="H38" s="506">
        <f>'CUSTOMERS REPORT'!Z1171</f>
        <v>0</v>
      </c>
      <c r="I38" s="408">
        <f>'CUSTOMERS REPORT'!AA1171</f>
        <v>0</v>
      </c>
      <c r="J38" s="500">
        <f>'CUSTOMERS REPORT'!AB1171</f>
        <v>0</v>
      </c>
      <c r="K38" s="500">
        <f>'CUSTOMERS REPORT'!AC1171</f>
        <v>0</v>
      </c>
      <c r="L38" s="511">
        <f>'CUSTOMERS REPORT'!AD1171</f>
        <v>0</v>
      </c>
      <c r="M38" s="414">
        <f>'7'!M38+'8'!G38</f>
        <v>0</v>
      </c>
      <c r="N38" s="412">
        <f>'7'!N38+'8'!J38</f>
        <v>0</v>
      </c>
      <c r="P38" s="373" t="s">
        <v>154</v>
      </c>
      <c r="Q38" s="445">
        <f>D48</f>
        <v>0</v>
      </c>
      <c r="S38" s="400">
        <f>'7'!S38</f>
        <v>0</v>
      </c>
      <c r="T38" s="446">
        <f>'7'!X38</f>
        <v>0</v>
      </c>
      <c r="U38" s="456"/>
      <c r="V38" s="451">
        <f t="shared" si="0"/>
        <v>0</v>
      </c>
      <c r="W38" s="452"/>
      <c r="X38" s="448">
        <f t="shared" si="1"/>
        <v>0</v>
      </c>
      <c r="Z38" s="375">
        <f>'7'!Z38</f>
        <v>0</v>
      </c>
      <c r="AA38" s="464">
        <f>'7'!AE38</f>
        <v>0</v>
      </c>
      <c r="AB38" s="460"/>
      <c r="AC38" s="462">
        <f t="shared" si="2"/>
        <v>0</v>
      </c>
      <c r="AD38" s="469"/>
      <c r="AE38" s="348">
        <f t="shared" si="3"/>
        <v>0</v>
      </c>
      <c r="AF38" s="563">
        <f>'7'!AF38+'8'!AB38</f>
        <v>0</v>
      </c>
      <c r="AG38" s="234">
        <f>'7'!AG38+'8'!AD38</f>
        <v>0</v>
      </c>
    </row>
    <row r="39" spans="1:40" ht="27" customHeight="1">
      <c r="A39" s="715" t="str">
        <f>'7'!A39</f>
        <v>SHORT CASH</v>
      </c>
      <c r="B39" s="234"/>
      <c r="C39" s="348">
        <f>'7'!D39</f>
        <v>0</v>
      </c>
      <c r="D39" s="234">
        <f t="shared" si="5"/>
        <v>0</v>
      </c>
      <c r="F39" s="479" t="str">
        <f>'7'!F39</f>
        <v>SHAMSHAD UNCLE</v>
      </c>
      <c r="G39" s="406">
        <f>'CUSTOMERS REPORT'!Y1208</f>
        <v>0</v>
      </c>
      <c r="H39" s="504">
        <f>'CUSTOMERS REPORT'!Z1208</f>
        <v>0</v>
      </c>
      <c r="I39" s="406">
        <f>'CUSTOMERS REPORT'!AA1208</f>
        <v>0</v>
      </c>
      <c r="J39" s="498">
        <f>'CUSTOMERS REPORT'!AB1208</f>
        <v>0</v>
      </c>
      <c r="K39" s="498">
        <f>'CUSTOMERS REPORT'!AC1208</f>
        <v>0</v>
      </c>
      <c r="L39" s="509">
        <f>'CUSTOMERS REPORT'!AD1208</f>
        <v>0</v>
      </c>
      <c r="M39" s="414">
        <f>'7'!M39+'8'!G39</f>
        <v>0</v>
      </c>
      <c r="N39" s="412">
        <f>'7'!N39+'8'!J39</f>
        <v>0</v>
      </c>
      <c r="P39" s="373" t="s">
        <v>109</v>
      </c>
      <c r="Q39" s="445">
        <f>'7'!Q39+'8'!Q25+'8'!Q26+'8'!Q27+'8'!Q28+'8'!Q29+'8'!Q30+'8'!Q31</f>
        <v>0</v>
      </c>
      <c r="R39" t="s">
        <v>1</v>
      </c>
      <c r="S39" s="400">
        <f>'7'!S39</f>
        <v>0</v>
      </c>
      <c r="T39" s="446">
        <f>'7'!X39</f>
        <v>0</v>
      </c>
      <c r="U39" s="456"/>
      <c r="V39" s="451">
        <f t="shared" si="0"/>
        <v>0</v>
      </c>
      <c r="W39" s="452"/>
      <c r="X39" s="448">
        <f t="shared" si="1"/>
        <v>0</v>
      </c>
      <c r="Z39" s="375">
        <f>'7'!Z39</f>
        <v>0</v>
      </c>
      <c r="AA39" s="464">
        <f>'7'!AE39</f>
        <v>0</v>
      </c>
      <c r="AB39" s="460"/>
      <c r="AC39" s="462">
        <f t="shared" si="2"/>
        <v>0</v>
      </c>
      <c r="AD39" s="469"/>
      <c r="AE39" s="348">
        <f t="shared" si="3"/>
        <v>0</v>
      </c>
      <c r="AF39" s="563">
        <f>'7'!AF39+'8'!AB39</f>
        <v>0</v>
      </c>
      <c r="AG39" s="234">
        <f>'7'!AG39+'8'!AD39</f>
        <v>0</v>
      </c>
    </row>
    <row r="40" spans="1:40" ht="27" customHeight="1" thickBot="1">
      <c r="A40" s="715" t="str">
        <f>'7'!A40</f>
        <v>ASSETS</v>
      </c>
      <c r="B40" s="234"/>
      <c r="C40" s="348">
        <f>'7'!D40</f>
        <v>0</v>
      </c>
      <c r="D40" s="234">
        <f t="shared" si="5"/>
        <v>0</v>
      </c>
      <c r="F40" s="479" t="str">
        <f>'7'!F40</f>
        <v>IBRAHEEM D.G KHAN</v>
      </c>
      <c r="G40" s="406">
        <f>'CUSTOMERS REPORT'!Y1245</f>
        <v>0</v>
      </c>
      <c r="H40" s="504">
        <f>'CUSTOMERS REPORT'!Z1245</f>
        <v>0</v>
      </c>
      <c r="I40" s="406">
        <f>'CUSTOMERS REPORT'!AA1245</f>
        <v>0</v>
      </c>
      <c r="J40" s="498">
        <f>'CUSTOMERS REPORT'!AB1245</f>
        <v>0</v>
      </c>
      <c r="K40" s="498">
        <f>'CUSTOMERS REPORT'!AC1245</f>
        <v>0</v>
      </c>
      <c r="L40" s="509">
        <f>'CUSTOMERS REPORT'!AD1245</f>
        <v>0</v>
      </c>
      <c r="M40" s="414">
        <f>'7'!M40+'8'!G40</f>
        <v>0</v>
      </c>
      <c r="N40" s="412">
        <f>'7'!N40+'8'!J40</f>
        <v>0</v>
      </c>
      <c r="P40" s="374" t="s">
        <v>155</v>
      </c>
      <c r="Q40" s="445">
        <f>Q48</f>
        <v>0</v>
      </c>
      <c r="S40" s="400">
        <f>'7'!S40</f>
        <v>0</v>
      </c>
      <c r="T40" s="446">
        <f>'7'!X40</f>
        <v>0</v>
      </c>
      <c r="U40" s="456"/>
      <c r="V40" s="451">
        <f t="shared" si="0"/>
        <v>0</v>
      </c>
      <c r="W40" s="452"/>
      <c r="X40" s="448">
        <f t="shared" si="1"/>
        <v>0</v>
      </c>
      <c r="Z40" s="375">
        <f>'7'!Z40</f>
        <v>0</v>
      </c>
      <c r="AA40" s="464">
        <f>'7'!AE40</f>
        <v>0</v>
      </c>
      <c r="AB40" s="460"/>
      <c r="AC40" s="462">
        <f t="shared" si="2"/>
        <v>0</v>
      </c>
      <c r="AD40" s="469"/>
      <c r="AE40" s="348">
        <f t="shared" si="3"/>
        <v>0</v>
      </c>
      <c r="AF40" s="563">
        <f>'7'!AF40+'8'!AB40</f>
        <v>0</v>
      </c>
      <c r="AG40" s="234">
        <f>'7'!AG40+'8'!AD40</f>
        <v>0</v>
      </c>
    </row>
    <row r="41" spans="1:40" ht="27" customHeight="1" thickTop="1" thickBot="1">
      <c r="A41" s="715" t="str">
        <f>'7'!A41</f>
        <v>BIKE.INSTALMINT</v>
      </c>
      <c r="B41" s="234"/>
      <c r="C41" s="348">
        <f>'7'!D41</f>
        <v>0</v>
      </c>
      <c r="D41" s="234">
        <f t="shared" si="5"/>
        <v>0</v>
      </c>
      <c r="E41" t="s">
        <v>1</v>
      </c>
      <c r="F41" s="479" t="str">
        <f>'7'!F41</f>
        <v>PISHAWAR</v>
      </c>
      <c r="G41" s="409">
        <f>'CUSTOMERS REPORT'!Y1282</f>
        <v>0</v>
      </c>
      <c r="H41" s="507">
        <f>'CUSTOMERS REPORT'!Z1282</f>
        <v>0</v>
      </c>
      <c r="I41" s="409">
        <f>'CUSTOMERS REPORT'!AA1282</f>
        <v>0</v>
      </c>
      <c r="J41" s="501">
        <f>'CUSTOMERS REPORT'!AB1282</f>
        <v>0</v>
      </c>
      <c r="K41" s="501">
        <f>'CUSTOMERS REPORT'!AC1282</f>
        <v>0</v>
      </c>
      <c r="L41" s="512">
        <f>'CUSTOMERS REPORT'!AD1282</f>
        <v>0</v>
      </c>
      <c r="M41" s="414">
        <f>'7'!M41+'8'!G41</f>
        <v>0</v>
      </c>
      <c r="N41" s="412">
        <f>'7'!N41+'8'!J41</f>
        <v>0</v>
      </c>
      <c r="P41" s="221" t="s">
        <v>51</v>
      </c>
      <c r="Q41" s="223">
        <f>Q37-Q38-Q39-Q40</f>
        <v>0</v>
      </c>
      <c r="S41" s="400">
        <f>'7'!S41</f>
        <v>0</v>
      </c>
      <c r="T41" s="446">
        <f>'7'!X41</f>
        <v>0</v>
      </c>
      <c r="U41" s="456"/>
      <c r="V41" s="451">
        <f t="shared" si="0"/>
        <v>0</v>
      </c>
      <c r="W41" s="452"/>
      <c r="X41" s="448">
        <f t="shared" si="1"/>
        <v>0</v>
      </c>
      <c r="Z41" s="375">
        <f>'7'!Z41</f>
        <v>0</v>
      </c>
      <c r="AA41" s="464">
        <f>'7'!AE41</f>
        <v>0</v>
      </c>
      <c r="AB41" s="460"/>
      <c r="AC41" s="462">
        <f t="shared" si="2"/>
        <v>0</v>
      </c>
      <c r="AD41" s="469"/>
      <c r="AE41" s="348">
        <f t="shared" si="3"/>
        <v>0</v>
      </c>
      <c r="AF41" s="563">
        <f>'7'!AF41+'8'!AB41</f>
        <v>0</v>
      </c>
      <c r="AG41" s="234">
        <f>'7'!AG41+'8'!AD41</f>
        <v>0</v>
      </c>
    </row>
    <row r="42" spans="1:40" ht="27" customHeight="1" thickTop="1" thickBot="1">
      <c r="A42" s="715" t="str">
        <f>'7'!A42</f>
        <v>B.C</v>
      </c>
      <c r="B42" s="529"/>
      <c r="C42" s="348">
        <f>'7'!D42</f>
        <v>0</v>
      </c>
      <c r="D42" s="529">
        <f t="shared" si="5"/>
        <v>0</v>
      </c>
      <c r="F42" s="479" t="str">
        <f>'7'!F42</f>
        <v>HUZAFA KOTRI</v>
      </c>
      <c r="G42" s="409">
        <f>'CUSTOMERS REPORT'!Y1319</f>
        <v>0</v>
      </c>
      <c r="H42" s="507">
        <f>'CUSTOMERS REPORT'!Z1319</f>
        <v>0</v>
      </c>
      <c r="I42" s="409">
        <f>'CUSTOMERS REPORT'!AA1319</f>
        <v>0</v>
      </c>
      <c r="J42" s="501">
        <f>'CUSTOMERS REPORT'!AB1319</f>
        <v>0</v>
      </c>
      <c r="K42" s="501">
        <f>'CUSTOMERS REPORT'!AC1319</f>
        <v>0</v>
      </c>
      <c r="L42" s="512">
        <f>'CUSTOMERS REPORT'!AD1319</f>
        <v>0</v>
      </c>
      <c r="M42" s="414">
        <f>'7'!M42+'8'!G42</f>
        <v>0</v>
      </c>
      <c r="N42" s="412">
        <f>'7'!N42+'8'!J42</f>
        <v>0</v>
      </c>
      <c r="P42" s="1499" t="s">
        <v>157</v>
      </c>
      <c r="Q42" s="1500"/>
      <c r="S42" s="400">
        <f>'7'!S42</f>
        <v>0</v>
      </c>
      <c r="T42" s="446">
        <f>'7'!X42</f>
        <v>0</v>
      </c>
      <c r="U42" s="458"/>
      <c r="V42" s="453">
        <f t="shared" si="0"/>
        <v>0</v>
      </c>
      <c r="W42" s="454"/>
      <c r="X42" s="449">
        <f t="shared" si="1"/>
        <v>0</v>
      </c>
      <c r="Z42" s="375">
        <f>'7'!Z42</f>
        <v>0</v>
      </c>
      <c r="AA42" s="464">
        <f>'7'!AE42</f>
        <v>0</v>
      </c>
      <c r="AB42" s="461"/>
      <c r="AC42" s="462">
        <f>AA42+AB42</f>
        <v>0</v>
      </c>
      <c r="AD42" s="470"/>
      <c r="AE42" s="348">
        <f t="shared" si="3"/>
        <v>0</v>
      </c>
      <c r="AF42" s="564">
        <f>'7'!AF42+'8'!AB42</f>
        <v>0</v>
      </c>
      <c r="AG42" s="572">
        <f>'7'!AG42+'8'!AD42</f>
        <v>0</v>
      </c>
    </row>
    <row r="43" spans="1:40" ht="27" customHeight="1" thickTop="1" thickBot="1">
      <c r="A43" s="715" t="str">
        <f>'7'!A43</f>
        <v>AQEEL</v>
      </c>
      <c r="B43" s="539"/>
      <c r="C43" s="348">
        <f>'7'!D43</f>
        <v>0</v>
      </c>
      <c r="D43" s="529">
        <f t="shared" si="5"/>
        <v>0</v>
      </c>
      <c r="F43" s="479" t="str">
        <f>'7'!F43</f>
        <v>ZAHID LAHORE</v>
      </c>
      <c r="G43" s="409">
        <f>'CUSTOMERS REPORT'!Y1356</f>
        <v>0</v>
      </c>
      <c r="H43" s="507">
        <f>'CUSTOMERS REPORT'!Z1356</f>
        <v>0</v>
      </c>
      <c r="I43" s="409">
        <f>'CUSTOMERS REPORT'!AA1356</f>
        <v>0</v>
      </c>
      <c r="J43" s="501">
        <f>'CUSTOMERS REPORT'!AB1356</f>
        <v>0</v>
      </c>
      <c r="K43" s="501">
        <f>'CUSTOMERS REPORT'!AC1356</f>
        <v>0</v>
      </c>
      <c r="L43" s="512">
        <f>'CUSTOMERS REPORT'!AD1356</f>
        <v>0</v>
      </c>
      <c r="M43" s="414">
        <f>'7'!M43+'8'!G43</f>
        <v>0</v>
      </c>
      <c r="N43" s="412">
        <f>'7'!N43+'8'!J43</f>
        <v>0</v>
      </c>
      <c r="P43" s="220" t="s">
        <v>124</v>
      </c>
      <c r="Q43" s="223">
        <f>'7'!Q48</f>
        <v>0</v>
      </c>
      <c r="R43" t="s">
        <v>1</v>
      </c>
      <c r="S43" s="400">
        <f>'7'!S43</f>
        <v>0</v>
      </c>
      <c r="T43" s="446">
        <f>'7'!X43</f>
        <v>0</v>
      </c>
      <c r="U43" s="358"/>
      <c r="V43" s="453">
        <f t="shared" si="0"/>
        <v>0</v>
      </c>
      <c r="W43" s="403"/>
      <c r="X43" s="449">
        <f t="shared" si="1"/>
        <v>0</v>
      </c>
      <c r="Z43" s="383"/>
      <c r="AA43" s="356">
        <f>SUM(AA8:AA42)</f>
        <v>0</v>
      </c>
      <c r="AB43" s="385">
        <f>SUM(AB8:AB42)</f>
        <v>0</v>
      </c>
      <c r="AC43" s="357" t="s">
        <v>74</v>
      </c>
      <c r="AD43" s="387">
        <f>SUM(AD8:AD42)</f>
        <v>0</v>
      </c>
      <c r="AE43" s="358">
        <f>SUM(AE8:AE42)</f>
        <v>0</v>
      </c>
      <c r="AF43" s="565">
        <f>SUM(AF8:AF42)</f>
        <v>0</v>
      </c>
      <c r="AG43" s="571">
        <f>SUM(AG8:AG42)</f>
        <v>0</v>
      </c>
    </row>
    <row r="44" spans="1:40" ht="27" customHeight="1" thickTop="1">
      <c r="A44" s="715" t="str">
        <f>'7'!A44</f>
        <v>M.YOUSUF</v>
      </c>
      <c r="B44" s="234"/>
      <c r="C44" s="348">
        <f>'7'!D44</f>
        <v>0</v>
      </c>
      <c r="D44" s="234">
        <f t="shared" si="5"/>
        <v>0</v>
      </c>
      <c r="F44" s="479" t="str">
        <f>'7'!F44</f>
        <v>CASH SALE</v>
      </c>
      <c r="G44" s="409">
        <f>'CUSTOMERS REPORT'!Y1393</f>
        <v>0</v>
      </c>
      <c r="H44" s="507">
        <f>'CUSTOMERS REPORT'!Z1393</f>
        <v>0</v>
      </c>
      <c r="I44" s="409">
        <f>'CUSTOMERS REPORT'!AA1393</f>
        <v>0</v>
      </c>
      <c r="J44" s="501">
        <f>'CUSTOMERS REPORT'!AB1393</f>
        <v>0</v>
      </c>
      <c r="K44" s="501">
        <f>'CUSTOMERS REPORT'!AC1393</f>
        <v>0</v>
      </c>
      <c r="L44" s="512">
        <f>'CUSTOMERS REPORT'!AD1393</f>
        <v>0</v>
      </c>
      <c r="M44" s="414">
        <f>'7'!M44+'8'!G44</f>
        <v>0</v>
      </c>
      <c r="N44" s="412">
        <f>'7'!N44+'8'!J44</f>
        <v>0</v>
      </c>
      <c r="P44" s="222" t="s">
        <v>114</v>
      </c>
      <c r="Q44" s="377">
        <f>J46</f>
        <v>0</v>
      </c>
      <c r="S44" s="400"/>
      <c r="T44" s="348"/>
      <c r="U44" s="306"/>
      <c r="V44" s="349"/>
      <c r="W44" s="351"/>
      <c r="X44" s="350"/>
      <c r="Z44" s="375"/>
      <c r="AA44" s="339"/>
      <c r="AB44" s="386">
        <f>'7'!AB45</f>
        <v>0</v>
      </c>
      <c r="AC44" s="340" t="s">
        <v>126</v>
      </c>
      <c r="AD44" s="388">
        <f>'7'!AD45</f>
        <v>0</v>
      </c>
      <c r="AE44" s="341"/>
      <c r="AF44" s="561"/>
      <c r="AG44" s="83" t="s">
        <v>1</v>
      </c>
    </row>
    <row r="45" spans="1:40" ht="27" customHeight="1" thickBot="1">
      <c r="A45" s="715" t="str">
        <f>'7'!A45</f>
        <v>SHAKEEL</v>
      </c>
      <c r="B45" s="234"/>
      <c r="C45" s="348">
        <f>'7'!D45</f>
        <v>0</v>
      </c>
      <c r="D45" s="234">
        <f t="shared" si="5"/>
        <v>0</v>
      </c>
      <c r="F45" s="479" t="str">
        <f>'7'!F45</f>
        <v xml:space="preserve">FREE </v>
      </c>
      <c r="G45" s="410">
        <f>'CUSTOMERS REPORT'!Y1430</f>
        <v>0</v>
      </c>
      <c r="H45" s="362">
        <f>'CUSTOMERS REPORT'!Z1430</f>
        <v>0</v>
      </c>
      <c r="I45" s="410">
        <f>'CUSTOMERS REPORT'!AA1430</f>
        <v>0</v>
      </c>
      <c r="J45" s="502">
        <f>'CUSTOMERS REPORT'!AB1430</f>
        <v>0</v>
      </c>
      <c r="K45" s="502">
        <f>'CUSTOMERS REPORT'!AC1430</f>
        <v>0</v>
      </c>
      <c r="L45" s="513">
        <f>'CUSTOMERS REPORT'!AD1430</f>
        <v>0</v>
      </c>
      <c r="M45" s="414">
        <f>'7'!M45+'8'!G45</f>
        <v>0</v>
      </c>
      <c r="N45" s="412">
        <f>'7'!N45+'8'!J45</f>
        <v>0</v>
      </c>
      <c r="P45" s="222" t="s">
        <v>153</v>
      </c>
      <c r="Q45" s="378">
        <f>Q43+Q44</f>
        <v>0</v>
      </c>
      <c r="S45" s="401"/>
      <c r="T45" s="352"/>
      <c r="U45" s="307"/>
      <c r="V45" s="353"/>
      <c r="W45" s="354"/>
      <c r="X45" s="355"/>
      <c r="Z45" s="384"/>
      <c r="AA45" s="359"/>
      <c r="AB45" s="390">
        <f>SUM(AB43:AB44)</f>
        <v>0</v>
      </c>
      <c r="AC45" s="360" t="s">
        <v>74</v>
      </c>
      <c r="AD45" s="389">
        <f>SUM(AD43:AD44)</f>
        <v>0</v>
      </c>
      <c r="AE45" s="361"/>
      <c r="AF45" s="562"/>
      <c r="AG45" s="573"/>
    </row>
    <row r="46" spans="1:40" ht="27" customHeight="1" thickTop="1" thickBot="1">
      <c r="A46" s="715" t="str">
        <f>'7'!A46</f>
        <v>ZAHID HUSSAN</v>
      </c>
      <c r="B46" s="234"/>
      <c r="C46" s="348">
        <f>'7'!D46</f>
        <v>0</v>
      </c>
      <c r="D46" s="234">
        <f t="shared" si="5"/>
        <v>0</v>
      </c>
      <c r="F46" s="369"/>
      <c r="G46" s="424">
        <f>SUM(G8:G45)</f>
        <v>0</v>
      </c>
      <c r="H46" s="1497" t="s">
        <v>160</v>
      </c>
      <c r="I46" s="1498"/>
      <c r="J46" s="421">
        <f>SUM(J8:J45)</f>
        <v>0</v>
      </c>
      <c r="K46" s="427">
        <f>SUM(K8:K45)</f>
        <v>0</v>
      </c>
      <c r="L46" s="431">
        <f>SUM(L8:L45)</f>
        <v>0</v>
      </c>
      <c r="M46" s="429">
        <f>SUM(M8:M45)</f>
        <v>0</v>
      </c>
      <c r="N46" s="430">
        <f>SUM(N8:N45)</f>
        <v>0</v>
      </c>
      <c r="P46" s="222" t="s">
        <v>154</v>
      </c>
      <c r="Q46" s="378">
        <f>B48</f>
        <v>0</v>
      </c>
    </row>
    <row r="47" spans="1:40" ht="27" customHeight="1" thickTop="1" thickBot="1">
      <c r="A47" s="715" t="str">
        <f>'7'!A47</f>
        <v xml:space="preserve">INVESTOR </v>
      </c>
      <c r="B47" s="540"/>
      <c r="C47" s="348">
        <f>'7'!D47</f>
        <v>0</v>
      </c>
      <c r="D47" s="542">
        <f t="shared" si="5"/>
        <v>0</v>
      </c>
      <c r="F47" s="370"/>
      <c r="G47" s="425">
        <f>'7'!G48</f>
        <v>0</v>
      </c>
      <c r="H47" s="1512" t="s">
        <v>162</v>
      </c>
      <c r="I47" s="1513"/>
      <c r="J47" s="423">
        <f>'7'!J48</f>
        <v>0</v>
      </c>
      <c r="K47" s="423">
        <f>'7'!K48</f>
        <v>0</v>
      </c>
      <c r="L47" s="343"/>
      <c r="M47" s="344"/>
      <c r="N47" s="345"/>
      <c r="P47" s="375" t="s">
        <v>163</v>
      </c>
      <c r="Q47" s="378">
        <f>Q9+Q10+Q19+Q20+Q21+Q22</f>
        <v>0</v>
      </c>
      <c r="R47" s="19"/>
      <c r="S47" s="1489" t="s">
        <v>92</v>
      </c>
      <c r="T47" s="1402" t="s">
        <v>95</v>
      </c>
      <c r="U47" s="1403"/>
      <c r="V47" s="1403"/>
      <c r="W47" s="1404"/>
      <c r="X47" s="1402" t="s">
        <v>7</v>
      </c>
      <c r="Y47" s="1403"/>
      <c r="Z47" s="1404"/>
      <c r="AA47" s="1402" t="s">
        <v>8</v>
      </c>
      <c r="AB47" s="1404"/>
      <c r="AC47" s="1402" t="s">
        <v>9</v>
      </c>
      <c r="AD47" s="1403"/>
      <c r="AE47" s="1403"/>
      <c r="AF47" s="1403"/>
      <c r="AG47" s="1403"/>
      <c r="AH47" s="1403"/>
      <c r="AI47" s="1403"/>
      <c r="AJ47" s="1405" t="s">
        <v>10</v>
      </c>
      <c r="AK47" s="1406"/>
      <c r="AL47" s="1400" t="s">
        <v>289</v>
      </c>
      <c r="AM47" s="1401"/>
      <c r="AN47" s="842" t="s">
        <v>290</v>
      </c>
    </row>
    <row r="48" spans="1:40" ht="27" customHeight="1" thickTop="1" thickBot="1">
      <c r="A48" s="192" t="s">
        <v>74</v>
      </c>
      <c r="B48" s="544">
        <f>SUM(B22:B47)</f>
        <v>0</v>
      </c>
      <c r="C48" s="543">
        <f>'7'!D48</f>
        <v>0</v>
      </c>
      <c r="D48" s="544">
        <f t="shared" si="5"/>
        <v>0</v>
      </c>
      <c r="F48" s="371"/>
      <c r="G48" s="426">
        <f>G46+G47</f>
        <v>0</v>
      </c>
      <c r="H48" s="1495" t="s">
        <v>164</v>
      </c>
      <c r="I48" s="1496"/>
      <c r="J48" s="422">
        <f>J46+J47</f>
        <v>0</v>
      </c>
      <c r="K48" s="428">
        <f>K46+K47</f>
        <v>0</v>
      </c>
      <c r="L48" s="346"/>
      <c r="M48" s="347"/>
      <c r="N48" s="622">
        <f>G48-J48</f>
        <v>0</v>
      </c>
      <c r="P48" s="376" t="s">
        <v>155</v>
      </c>
      <c r="Q48" s="379">
        <f>Q45-Q46-Q47</f>
        <v>0</v>
      </c>
      <c r="R48" s="19"/>
      <c r="S48" s="1490"/>
      <c r="T48" s="482" t="s">
        <v>12</v>
      </c>
      <c r="U48" s="482" t="s">
        <v>13</v>
      </c>
      <c r="V48" s="482" t="s">
        <v>14</v>
      </c>
      <c r="W48" s="958" t="s">
        <v>263</v>
      </c>
      <c r="X48" s="482" t="s">
        <v>12</v>
      </c>
      <c r="Y48" s="482" t="s">
        <v>13</v>
      </c>
      <c r="Z48" s="482" t="s">
        <v>282</v>
      </c>
      <c r="AA48" s="482" t="s">
        <v>12</v>
      </c>
      <c r="AB48" s="482" t="s">
        <v>16</v>
      </c>
      <c r="AC48" s="482" t="s">
        <v>17</v>
      </c>
      <c r="AD48" s="482" t="s">
        <v>18</v>
      </c>
      <c r="AE48" s="482" t="s">
        <v>19</v>
      </c>
      <c r="AF48" s="484" t="s">
        <v>96</v>
      </c>
      <c r="AG48" s="484" t="s">
        <v>257</v>
      </c>
      <c r="AH48" s="482" t="s">
        <v>254</v>
      </c>
      <c r="AI48" s="482" t="s">
        <v>20</v>
      </c>
      <c r="AJ48" s="483" t="s">
        <v>14</v>
      </c>
      <c r="AK48" s="482" t="s">
        <v>13</v>
      </c>
      <c r="AL48" s="846" t="s">
        <v>284</v>
      </c>
      <c r="AM48" s="846" t="s">
        <v>288</v>
      </c>
      <c r="AN48" s="484" t="s">
        <v>291</v>
      </c>
    </row>
    <row r="49" spans="1:42" ht="24.95" customHeight="1" thickTop="1" thickBot="1">
      <c r="Q49" s="111">
        <f>Q48+Q41</f>
        <v>0</v>
      </c>
      <c r="R49" s="19"/>
      <c r="S49" s="865" t="s">
        <v>165</v>
      </c>
      <c r="T49" s="866">
        <f>'7'!T55</f>
        <v>0</v>
      </c>
      <c r="U49" s="866">
        <f>'7'!U55</f>
        <v>0</v>
      </c>
      <c r="V49" s="866">
        <f>'7'!V55</f>
        <v>0</v>
      </c>
      <c r="W49" s="866">
        <f>'7'!W55</f>
        <v>0</v>
      </c>
      <c r="X49" s="866">
        <f>'7'!X55</f>
        <v>0</v>
      </c>
      <c r="Y49" s="866">
        <f>'7'!Y55</f>
        <v>0</v>
      </c>
      <c r="Z49" s="866">
        <f>'7'!Z55</f>
        <v>0</v>
      </c>
      <c r="AA49" s="866">
        <f>'7'!AA55</f>
        <v>0</v>
      </c>
      <c r="AB49" s="866">
        <f>'7'!AB55</f>
        <v>0</v>
      </c>
      <c r="AC49" s="866">
        <f>'7'!AC55</f>
        <v>0</v>
      </c>
      <c r="AD49" s="866">
        <f>'7'!AD55</f>
        <v>0</v>
      </c>
      <c r="AE49" s="866">
        <f>'7'!AE55</f>
        <v>0</v>
      </c>
      <c r="AF49" s="866">
        <f>'7'!AF55</f>
        <v>0</v>
      </c>
      <c r="AG49" s="866">
        <f>'7'!AG55</f>
        <v>0</v>
      </c>
      <c r="AH49" s="866">
        <f>'7'!AH55</f>
        <v>0</v>
      </c>
      <c r="AI49" s="866">
        <f>'7'!AI55</f>
        <v>0</v>
      </c>
      <c r="AJ49" s="866">
        <f>'7'!AJ55</f>
        <v>0</v>
      </c>
      <c r="AK49" s="866">
        <f>'7'!AK55</f>
        <v>0</v>
      </c>
      <c r="AL49" s="866" t="e">
        <f>'7'!AL55</f>
        <v>#VALUE!</v>
      </c>
      <c r="AM49" s="866" t="e">
        <f>'7'!AM55</f>
        <v>#VALUE!</v>
      </c>
      <c r="AN49" s="866" t="e">
        <f>'7'!AN55</f>
        <v>#VALUE!</v>
      </c>
    </row>
    <row r="50" spans="1:42" ht="24.95" customHeight="1" thickBot="1">
      <c r="C50" t="s">
        <v>1</v>
      </c>
      <c r="L50" s="417">
        <v>5000</v>
      </c>
      <c r="M50" s="417"/>
      <c r="N50" s="417">
        <f t="shared" ref="N50:N57" si="6">L50*M50</f>
        <v>0</v>
      </c>
      <c r="Q50" s="111">
        <f>Q48-Q49</f>
        <v>0</v>
      </c>
      <c r="R50" s="19"/>
      <c r="S50" s="854" t="s">
        <v>166</v>
      </c>
      <c r="T50" s="852"/>
      <c r="U50" s="852"/>
      <c r="V50" s="852"/>
      <c r="W50" s="852"/>
      <c r="X50" s="852"/>
      <c r="Y50" s="852"/>
      <c r="Z50" s="852"/>
      <c r="AA50" s="852"/>
      <c r="AB50" s="852"/>
      <c r="AC50" s="852"/>
      <c r="AD50" s="852"/>
      <c r="AE50" s="852"/>
      <c r="AF50" s="852"/>
      <c r="AG50" s="855"/>
      <c r="AH50" s="852"/>
      <c r="AI50" s="852"/>
      <c r="AJ50" s="848"/>
      <c r="AK50" s="848"/>
      <c r="AL50" s="849"/>
      <c r="AM50" s="849"/>
      <c r="AN50" s="930"/>
    </row>
    <row r="51" spans="1:42" ht="24.95" customHeight="1" thickBot="1">
      <c r="B51" s="616"/>
      <c r="L51" s="417">
        <v>1000</v>
      </c>
      <c r="M51" s="417"/>
      <c r="N51" s="417">
        <f t="shared" si="6"/>
        <v>0</v>
      </c>
      <c r="R51" s="19"/>
      <c r="S51" s="867" t="s">
        <v>91</v>
      </c>
      <c r="T51" s="868"/>
      <c r="U51" s="868"/>
      <c r="V51" s="868"/>
      <c r="W51" s="868"/>
      <c r="X51" s="868"/>
      <c r="Y51" s="868"/>
      <c r="Z51" s="868"/>
      <c r="AA51" s="868"/>
      <c r="AB51" s="868"/>
      <c r="AC51" s="868"/>
      <c r="AD51" s="868"/>
      <c r="AE51" s="868"/>
      <c r="AF51" s="868"/>
      <c r="AG51" s="869"/>
      <c r="AH51" s="868"/>
      <c r="AI51" s="870"/>
      <c r="AJ51" s="868"/>
      <c r="AK51" s="868"/>
      <c r="AL51" s="849"/>
      <c r="AM51" s="849"/>
      <c r="AN51" s="850"/>
    </row>
    <row r="52" spans="1:42" ht="24.95" customHeight="1" thickBot="1">
      <c r="L52" s="417">
        <v>500</v>
      </c>
      <c r="M52" s="417"/>
      <c r="N52" s="417">
        <f t="shared" si="6"/>
        <v>0</v>
      </c>
      <c r="O52" t="s">
        <v>1</v>
      </c>
      <c r="R52" s="19"/>
      <c r="S52" s="856" t="s">
        <v>167</v>
      </c>
      <c r="T52" s="857"/>
      <c r="U52" s="857"/>
      <c r="V52" s="857"/>
      <c r="W52" s="857"/>
      <c r="X52" s="857"/>
      <c r="Y52" s="857"/>
      <c r="Z52" s="857"/>
      <c r="AA52" s="857"/>
      <c r="AB52" s="857"/>
      <c r="AC52" s="857"/>
      <c r="AD52" s="857"/>
      <c r="AE52" s="857"/>
      <c r="AF52" s="857"/>
      <c r="AG52" s="858"/>
      <c r="AH52" s="859"/>
      <c r="AI52" s="860"/>
      <c r="AJ52" s="851"/>
      <c r="AK52" s="851"/>
      <c r="AL52" s="849"/>
      <c r="AM52" s="849"/>
      <c r="AN52" s="850"/>
    </row>
    <row r="53" spans="1:42" ht="24.95" customHeight="1" thickBot="1">
      <c r="L53" s="417">
        <v>100</v>
      </c>
      <c r="M53" s="417"/>
      <c r="N53" s="417">
        <f t="shared" si="6"/>
        <v>0</v>
      </c>
      <c r="R53" s="19"/>
      <c r="S53" s="871" t="s">
        <v>81</v>
      </c>
      <c r="T53" s="866">
        <f t="shared" ref="T53:AN53" si="7">SUM(T49+T50+T52)</f>
        <v>0</v>
      </c>
      <c r="U53" s="866">
        <f t="shared" si="7"/>
        <v>0</v>
      </c>
      <c r="V53" s="866">
        <f t="shared" si="7"/>
        <v>0</v>
      </c>
      <c r="W53" s="866">
        <f t="shared" si="7"/>
        <v>0</v>
      </c>
      <c r="X53" s="866">
        <f t="shared" si="7"/>
        <v>0</v>
      </c>
      <c r="Y53" s="866">
        <f t="shared" si="7"/>
        <v>0</v>
      </c>
      <c r="Z53" s="866">
        <f t="shared" si="7"/>
        <v>0</v>
      </c>
      <c r="AA53" s="866">
        <f t="shared" si="7"/>
        <v>0</v>
      </c>
      <c r="AB53" s="866">
        <f t="shared" si="7"/>
        <v>0</v>
      </c>
      <c r="AC53" s="866">
        <f t="shared" si="7"/>
        <v>0</v>
      </c>
      <c r="AD53" s="866">
        <f t="shared" si="7"/>
        <v>0</v>
      </c>
      <c r="AE53" s="866">
        <f t="shared" si="7"/>
        <v>0</v>
      </c>
      <c r="AF53" s="866">
        <f t="shared" si="7"/>
        <v>0</v>
      </c>
      <c r="AG53" s="866">
        <f t="shared" si="7"/>
        <v>0</v>
      </c>
      <c r="AH53" s="866">
        <f t="shared" si="7"/>
        <v>0</v>
      </c>
      <c r="AI53" s="866">
        <f t="shared" si="7"/>
        <v>0</v>
      </c>
      <c r="AJ53" s="866">
        <f t="shared" si="7"/>
        <v>0</v>
      </c>
      <c r="AK53" s="866">
        <f t="shared" si="7"/>
        <v>0</v>
      </c>
      <c r="AL53" s="866" t="e">
        <f t="shared" si="7"/>
        <v>#VALUE!</v>
      </c>
      <c r="AM53" s="866" t="e">
        <f t="shared" si="7"/>
        <v>#VALUE!</v>
      </c>
      <c r="AN53" s="872" t="e">
        <f t="shared" si="7"/>
        <v>#VALUE!</v>
      </c>
    </row>
    <row r="54" spans="1:42" ht="24.95" customHeight="1" thickBot="1">
      <c r="L54" s="417">
        <v>50</v>
      </c>
      <c r="M54" s="417"/>
      <c r="N54" s="417">
        <f t="shared" si="6"/>
        <v>0</v>
      </c>
      <c r="R54" s="19"/>
      <c r="S54" s="854" t="s">
        <v>168</v>
      </c>
      <c r="T54" s="852">
        <f>'CUSTOMERS REPORT'!B15+'CUSTOMERS REPORT'!B61+'CUSTOMERS REPORT'!B99+'CUSTOMERS REPORT'!B138+'CUSTOMERS REPORT'!B176+'CUSTOMERS REPORT'!B216+'CUSTOMERS REPORT'!B253+'CUSTOMERS REPORT'!B293+'CUSTOMERS REPORT'!B334+'CUSTOMERS REPORT'!B376+'CUSTOMERS REPORT'!B415+'CUSTOMERS REPORT'!B453+'CUSTOMERS REPORT'!B489+'CUSTOMERS REPORT'!B526+'CUSTOMERS REPORT'!B564+'CUSTOMERS REPORT'!B600+'CUSTOMERS REPORT'!B638+'CUSTOMERS REPORT'!B676+'CUSTOMERS REPORT'!B714+'CUSTOMERS REPORT'!B752+'CUSTOMERS REPORT'!B790+'CUSTOMERS REPORT'!B828+'CUSTOMERS REPORT'!B866+'CUSTOMERS REPORT'!B905+'CUSTOMERS REPORT'!B944+'CUSTOMERS REPORT'!B982+'CUSTOMERS REPORT'!B1020+'CUSTOMERS REPORT'!B1058+'CUSTOMERS REPORT'!B1096+'CUSTOMERS REPORT'!B1134+'CUSTOMERS REPORT'!B1171+'CUSTOMERS REPORT'!B1208+'CUSTOMERS REPORT'!B1245+'CUSTOMERS REPORT'!B1282+'CUSTOMERS REPORT'!B1319+'CUSTOMERS REPORT'!B1356+'CUSTOMERS REPORT'!B1393+'CUSTOMERS REPORT'!B1429</f>
        <v>0</v>
      </c>
      <c r="U54" s="852">
        <f>'CUSTOMERS REPORT'!C15+'CUSTOMERS REPORT'!C61+'CUSTOMERS REPORT'!C99+'CUSTOMERS REPORT'!C138+'CUSTOMERS REPORT'!C176+'CUSTOMERS REPORT'!C216+'CUSTOMERS REPORT'!C253+'CUSTOMERS REPORT'!C293+'CUSTOMERS REPORT'!C334+'CUSTOMERS REPORT'!C376+'CUSTOMERS REPORT'!C415+'CUSTOMERS REPORT'!C453+'CUSTOMERS REPORT'!C489+'CUSTOMERS REPORT'!C526+'CUSTOMERS REPORT'!C564+'CUSTOMERS REPORT'!C600+'CUSTOMERS REPORT'!C638+'CUSTOMERS REPORT'!C676+'CUSTOMERS REPORT'!C714+'CUSTOMERS REPORT'!C752+'CUSTOMERS REPORT'!C790+'CUSTOMERS REPORT'!C828+'CUSTOMERS REPORT'!C866+'CUSTOMERS REPORT'!C905+'CUSTOMERS REPORT'!C944+'CUSTOMERS REPORT'!C982+'CUSTOMERS REPORT'!C1020+'CUSTOMERS REPORT'!C1058+'CUSTOMERS REPORT'!C1096+'CUSTOMERS REPORT'!C1134+'CUSTOMERS REPORT'!C1171+'CUSTOMERS REPORT'!C1208+'CUSTOMERS REPORT'!C1245+'CUSTOMERS REPORT'!C1282+'CUSTOMERS REPORT'!C1319+'CUSTOMERS REPORT'!C1356+'CUSTOMERS REPORT'!C1393+'CUSTOMERS REPORT'!C1429</f>
        <v>0</v>
      </c>
      <c r="V54" s="852">
        <f>'CUSTOMERS REPORT'!D15+'CUSTOMERS REPORT'!D61+'CUSTOMERS REPORT'!D99+'CUSTOMERS REPORT'!D138+'CUSTOMERS REPORT'!D176+'CUSTOMERS REPORT'!D216+'CUSTOMERS REPORT'!D253+'CUSTOMERS REPORT'!D293+'CUSTOMERS REPORT'!D334+'CUSTOMERS REPORT'!D376+'CUSTOMERS REPORT'!D415+'CUSTOMERS REPORT'!D453+'CUSTOMERS REPORT'!D489+'CUSTOMERS REPORT'!D526+'CUSTOMERS REPORT'!D564+'CUSTOMERS REPORT'!D600+'CUSTOMERS REPORT'!D638+'CUSTOMERS REPORT'!D676+'CUSTOMERS REPORT'!D714+'CUSTOMERS REPORT'!D752+'CUSTOMERS REPORT'!D790+'CUSTOMERS REPORT'!D828+'CUSTOMERS REPORT'!D866+'CUSTOMERS REPORT'!D905+'CUSTOMERS REPORT'!D944+'CUSTOMERS REPORT'!D982+'CUSTOMERS REPORT'!D1020+'CUSTOMERS REPORT'!D1058+'CUSTOMERS REPORT'!D1096+'CUSTOMERS REPORT'!D1134+'CUSTOMERS REPORT'!D1171+'CUSTOMERS REPORT'!D1208+'CUSTOMERS REPORT'!D1245+'CUSTOMERS REPORT'!D1282+'CUSTOMERS REPORT'!D1319+'CUSTOMERS REPORT'!D1356+'CUSTOMERS REPORT'!D1393+'CUSTOMERS REPORT'!D1429</f>
        <v>0</v>
      </c>
      <c r="W54" s="852">
        <f>'CUSTOMERS REPORT'!E15+'CUSTOMERS REPORT'!E61+'CUSTOMERS REPORT'!E99+'CUSTOMERS REPORT'!E138+'CUSTOMERS REPORT'!E176+'CUSTOMERS REPORT'!E216+'CUSTOMERS REPORT'!E253+'CUSTOMERS REPORT'!E293+'CUSTOMERS REPORT'!E334+'CUSTOMERS REPORT'!E376+'CUSTOMERS REPORT'!E415+'CUSTOMERS REPORT'!E453+'CUSTOMERS REPORT'!E489+'CUSTOMERS REPORT'!E526+'CUSTOMERS REPORT'!E564+'CUSTOMERS REPORT'!E600+'CUSTOMERS REPORT'!E638+'CUSTOMERS REPORT'!E676+'CUSTOMERS REPORT'!E714+'CUSTOMERS REPORT'!E752+'CUSTOMERS REPORT'!E790+'CUSTOMERS REPORT'!E828+'CUSTOMERS REPORT'!E866+'CUSTOMERS REPORT'!E905+'CUSTOMERS REPORT'!E944+'CUSTOMERS REPORT'!E982+'CUSTOMERS REPORT'!E1020+'CUSTOMERS REPORT'!E1058+'CUSTOMERS REPORT'!E1096+'CUSTOMERS REPORT'!E1134+'CUSTOMERS REPORT'!E1171+'CUSTOMERS REPORT'!E1208+'CUSTOMERS REPORT'!E1245+'CUSTOMERS REPORT'!E1282+'CUSTOMERS REPORT'!E1319+'CUSTOMERS REPORT'!E1356+'CUSTOMERS REPORT'!E1393+'CUSTOMERS REPORT'!E1429</f>
        <v>0</v>
      </c>
      <c r="X54" s="852">
        <f>'CUSTOMERS REPORT'!F15+'CUSTOMERS REPORT'!F61+'CUSTOMERS REPORT'!F99+'CUSTOMERS REPORT'!F138+'CUSTOMERS REPORT'!F176+'CUSTOMERS REPORT'!F216+'CUSTOMERS REPORT'!F253+'CUSTOMERS REPORT'!F293+'CUSTOMERS REPORT'!F334+'CUSTOMERS REPORT'!F376+'CUSTOMERS REPORT'!F415+'CUSTOMERS REPORT'!F453+'CUSTOMERS REPORT'!F489+'CUSTOMERS REPORT'!F526+'CUSTOMERS REPORT'!F564+'CUSTOMERS REPORT'!F600+'CUSTOMERS REPORT'!F638+'CUSTOMERS REPORT'!F676+'CUSTOMERS REPORT'!F714+'CUSTOMERS REPORT'!F752+'CUSTOMERS REPORT'!F790+'CUSTOMERS REPORT'!F828+'CUSTOMERS REPORT'!F866+'CUSTOMERS REPORT'!F905+'CUSTOMERS REPORT'!F944+'CUSTOMERS REPORT'!F982+'CUSTOMERS REPORT'!F1020+'CUSTOMERS REPORT'!F1058+'CUSTOMERS REPORT'!F1096+'CUSTOMERS REPORT'!F1134+'CUSTOMERS REPORT'!F1171+'CUSTOMERS REPORT'!F1208+'CUSTOMERS REPORT'!F1245+'CUSTOMERS REPORT'!F1282+'CUSTOMERS REPORT'!F1319+'CUSTOMERS REPORT'!F1356+'CUSTOMERS REPORT'!F1393+'CUSTOMERS REPORT'!F1429</f>
        <v>0</v>
      </c>
      <c r="Y54" s="852">
        <f>'CUSTOMERS REPORT'!G15+'CUSTOMERS REPORT'!G61+'CUSTOMERS REPORT'!G99+'CUSTOMERS REPORT'!G138+'CUSTOMERS REPORT'!G176+'CUSTOMERS REPORT'!G216+'CUSTOMERS REPORT'!G253+'CUSTOMERS REPORT'!G293+'CUSTOMERS REPORT'!G334+'CUSTOMERS REPORT'!G376+'CUSTOMERS REPORT'!G415+'CUSTOMERS REPORT'!G453+'CUSTOMERS REPORT'!G489+'CUSTOMERS REPORT'!G526+'CUSTOMERS REPORT'!G564+'CUSTOMERS REPORT'!G600+'CUSTOMERS REPORT'!G638+'CUSTOMERS REPORT'!G676+'CUSTOMERS REPORT'!G714+'CUSTOMERS REPORT'!G752+'CUSTOMERS REPORT'!G790+'CUSTOMERS REPORT'!G828+'CUSTOMERS REPORT'!G866+'CUSTOMERS REPORT'!G905+'CUSTOMERS REPORT'!G944+'CUSTOMERS REPORT'!G982+'CUSTOMERS REPORT'!G1020+'CUSTOMERS REPORT'!G1058+'CUSTOMERS REPORT'!G1096+'CUSTOMERS REPORT'!G1134+'CUSTOMERS REPORT'!G1171+'CUSTOMERS REPORT'!G1208+'CUSTOMERS REPORT'!G1245+'CUSTOMERS REPORT'!G1282+'CUSTOMERS REPORT'!G1319+'CUSTOMERS REPORT'!G1356+'CUSTOMERS REPORT'!G1393+'CUSTOMERS REPORT'!G1429</f>
        <v>0</v>
      </c>
      <c r="Z54" s="852">
        <f>'CUSTOMERS REPORT'!H15+'CUSTOMERS REPORT'!H61+'CUSTOMERS REPORT'!H99+'CUSTOMERS REPORT'!H138+'CUSTOMERS REPORT'!H176+'CUSTOMERS REPORT'!H216+'CUSTOMERS REPORT'!H253+'CUSTOMERS REPORT'!H293+'CUSTOMERS REPORT'!H334+'CUSTOMERS REPORT'!H376+'CUSTOMERS REPORT'!H415+'CUSTOMERS REPORT'!H453+'CUSTOMERS REPORT'!H489+'CUSTOMERS REPORT'!H526+'CUSTOMERS REPORT'!H564+'CUSTOMERS REPORT'!H600+'CUSTOMERS REPORT'!H638+'CUSTOMERS REPORT'!H676+'CUSTOMERS REPORT'!H714+'CUSTOMERS REPORT'!H752+'CUSTOMERS REPORT'!H790+'CUSTOMERS REPORT'!H828+'CUSTOMERS REPORT'!H866+'CUSTOMERS REPORT'!H905+'CUSTOMERS REPORT'!H944+'CUSTOMERS REPORT'!H982+'CUSTOMERS REPORT'!H1020+'CUSTOMERS REPORT'!H1058+'CUSTOMERS REPORT'!H1096+'CUSTOMERS REPORT'!H1134+'CUSTOMERS REPORT'!H1171+'CUSTOMERS REPORT'!H1208+'CUSTOMERS REPORT'!H1245+'CUSTOMERS REPORT'!H1282+'CUSTOMERS REPORT'!H1319+'CUSTOMERS REPORT'!H1356+'CUSTOMERS REPORT'!H1393+'CUSTOMERS REPORT'!H1429</f>
        <v>0</v>
      </c>
      <c r="AA54" s="852">
        <f>'CUSTOMERS REPORT'!I15+'CUSTOMERS REPORT'!I61+'CUSTOMERS REPORT'!I99+'CUSTOMERS REPORT'!I138+'CUSTOMERS REPORT'!I176+'CUSTOMERS REPORT'!I216+'CUSTOMERS REPORT'!I253+'CUSTOMERS REPORT'!I293+'CUSTOMERS REPORT'!I334+'CUSTOMERS REPORT'!I376+'CUSTOMERS REPORT'!I415+'CUSTOMERS REPORT'!I453+'CUSTOMERS REPORT'!I489+'CUSTOMERS REPORT'!I526+'CUSTOMERS REPORT'!I564+'CUSTOMERS REPORT'!I600+'CUSTOMERS REPORT'!I638+'CUSTOMERS REPORT'!I676+'CUSTOMERS REPORT'!I714+'CUSTOMERS REPORT'!I752+'CUSTOMERS REPORT'!I790+'CUSTOMERS REPORT'!I828+'CUSTOMERS REPORT'!I866+'CUSTOMERS REPORT'!I905+'CUSTOMERS REPORT'!I944+'CUSTOMERS REPORT'!I982+'CUSTOMERS REPORT'!I1020+'CUSTOMERS REPORT'!I1058+'CUSTOMERS REPORT'!I1096+'CUSTOMERS REPORT'!I1134+'CUSTOMERS REPORT'!I1171+'CUSTOMERS REPORT'!I1208+'CUSTOMERS REPORT'!I1245+'CUSTOMERS REPORT'!I1282+'CUSTOMERS REPORT'!I1319+'CUSTOMERS REPORT'!I1356+'CUSTOMERS REPORT'!I1393+'CUSTOMERS REPORT'!I1429</f>
        <v>0</v>
      </c>
      <c r="AB54" s="852">
        <f>'CUSTOMERS REPORT'!J15+'CUSTOMERS REPORT'!J61+'CUSTOMERS REPORT'!J99+'CUSTOMERS REPORT'!J138+'CUSTOMERS REPORT'!J176+'CUSTOMERS REPORT'!J216+'CUSTOMERS REPORT'!J253+'CUSTOMERS REPORT'!J293+'CUSTOMERS REPORT'!J334+'CUSTOMERS REPORT'!J376+'CUSTOMERS REPORT'!J415+'CUSTOMERS REPORT'!J453+'CUSTOMERS REPORT'!J489+'CUSTOMERS REPORT'!J526+'CUSTOMERS REPORT'!J564+'CUSTOMERS REPORT'!J600+'CUSTOMERS REPORT'!J638+'CUSTOMERS REPORT'!J676+'CUSTOMERS REPORT'!J714+'CUSTOMERS REPORT'!J752+'CUSTOMERS REPORT'!J790+'CUSTOMERS REPORT'!J828+'CUSTOMERS REPORT'!J866+'CUSTOMERS REPORT'!J905+'CUSTOMERS REPORT'!J944+'CUSTOMERS REPORT'!J982+'CUSTOMERS REPORT'!J1020+'CUSTOMERS REPORT'!J1058+'CUSTOMERS REPORT'!J1096+'CUSTOMERS REPORT'!J1134+'CUSTOMERS REPORT'!J1171+'CUSTOMERS REPORT'!J1208+'CUSTOMERS REPORT'!J1245+'CUSTOMERS REPORT'!J1282+'CUSTOMERS REPORT'!J1319+'CUSTOMERS REPORT'!J1356+'CUSTOMERS REPORT'!J1393+'CUSTOMERS REPORT'!J1429</f>
        <v>0</v>
      </c>
      <c r="AC54" s="852">
        <f>'CUSTOMERS REPORT'!K15+'CUSTOMERS REPORT'!K61+'CUSTOMERS REPORT'!K99+'CUSTOMERS REPORT'!K138+'CUSTOMERS REPORT'!K176+'CUSTOMERS REPORT'!K216+'CUSTOMERS REPORT'!K253+'CUSTOMERS REPORT'!K293+'CUSTOMERS REPORT'!K334+'CUSTOMERS REPORT'!K376+'CUSTOMERS REPORT'!K415+'CUSTOMERS REPORT'!K453+'CUSTOMERS REPORT'!K489+'CUSTOMERS REPORT'!K526+'CUSTOMERS REPORT'!K564+'CUSTOMERS REPORT'!K600+'CUSTOMERS REPORT'!K638+'CUSTOMERS REPORT'!K676+'CUSTOMERS REPORT'!K714+'CUSTOMERS REPORT'!K752+'CUSTOMERS REPORT'!K790+'CUSTOMERS REPORT'!K828+'CUSTOMERS REPORT'!K866+'CUSTOMERS REPORT'!K905+'CUSTOMERS REPORT'!K944+'CUSTOMERS REPORT'!K982+'CUSTOMERS REPORT'!K1020+'CUSTOMERS REPORT'!K1058+'CUSTOMERS REPORT'!K1096+'CUSTOMERS REPORT'!K1134+'CUSTOMERS REPORT'!K1171+'CUSTOMERS REPORT'!K1208+'CUSTOMERS REPORT'!K1245+'CUSTOMERS REPORT'!K1282+'CUSTOMERS REPORT'!K1319+'CUSTOMERS REPORT'!K1356+'CUSTOMERS REPORT'!K1393+'CUSTOMERS REPORT'!K1429</f>
        <v>0</v>
      </c>
      <c r="AD54" s="852">
        <f>'CUSTOMERS REPORT'!L15+'CUSTOMERS REPORT'!L61+'CUSTOMERS REPORT'!L99+'CUSTOMERS REPORT'!L138+'CUSTOMERS REPORT'!L176+'CUSTOMERS REPORT'!L216+'CUSTOMERS REPORT'!L253+'CUSTOMERS REPORT'!L293+'CUSTOMERS REPORT'!L334+'CUSTOMERS REPORT'!L376+'CUSTOMERS REPORT'!L415+'CUSTOMERS REPORT'!L453+'CUSTOMERS REPORT'!L489+'CUSTOMERS REPORT'!L526+'CUSTOMERS REPORT'!L564+'CUSTOMERS REPORT'!L600+'CUSTOMERS REPORT'!L638+'CUSTOMERS REPORT'!L676+'CUSTOMERS REPORT'!L714+'CUSTOMERS REPORT'!L752+'CUSTOMERS REPORT'!L790+'CUSTOMERS REPORT'!L828+'CUSTOMERS REPORT'!L866+'CUSTOMERS REPORT'!L905+'CUSTOMERS REPORT'!L944+'CUSTOMERS REPORT'!L982+'CUSTOMERS REPORT'!L1020+'CUSTOMERS REPORT'!L1058+'CUSTOMERS REPORT'!L1096+'CUSTOMERS REPORT'!L1134+'CUSTOMERS REPORT'!L1171+'CUSTOMERS REPORT'!L1208+'CUSTOMERS REPORT'!L1245+'CUSTOMERS REPORT'!L1282+'CUSTOMERS REPORT'!L1319+'CUSTOMERS REPORT'!L1356+'CUSTOMERS REPORT'!L1393+'CUSTOMERS REPORT'!L1429</f>
        <v>0</v>
      </c>
      <c r="AE54" s="852">
        <f>'CUSTOMERS REPORT'!M15+'CUSTOMERS REPORT'!M61+'CUSTOMERS REPORT'!M99+'CUSTOMERS REPORT'!M138+'CUSTOMERS REPORT'!M176+'CUSTOMERS REPORT'!M216+'CUSTOMERS REPORT'!M253+'CUSTOMERS REPORT'!M293+'CUSTOMERS REPORT'!M334+'CUSTOMERS REPORT'!M376+'CUSTOMERS REPORT'!M415+'CUSTOMERS REPORT'!M453+'CUSTOMERS REPORT'!M489+'CUSTOMERS REPORT'!M526+'CUSTOMERS REPORT'!M564+'CUSTOMERS REPORT'!M600+'CUSTOMERS REPORT'!M638+'CUSTOMERS REPORT'!M676+'CUSTOMERS REPORT'!M714+'CUSTOMERS REPORT'!M752+'CUSTOMERS REPORT'!M790+'CUSTOMERS REPORT'!M828+'CUSTOMERS REPORT'!M866+'CUSTOMERS REPORT'!M905+'CUSTOMERS REPORT'!M944+'CUSTOMERS REPORT'!M982+'CUSTOMERS REPORT'!M1020+'CUSTOMERS REPORT'!M1058+'CUSTOMERS REPORT'!M1096+'CUSTOMERS REPORT'!M1134+'CUSTOMERS REPORT'!M1171+'CUSTOMERS REPORT'!M1208+'CUSTOMERS REPORT'!M1245+'CUSTOMERS REPORT'!M1282+'CUSTOMERS REPORT'!M1319+'CUSTOMERS REPORT'!M1356+'CUSTOMERS REPORT'!M1393+'CUSTOMERS REPORT'!M1429</f>
        <v>0</v>
      </c>
      <c r="AF54" s="852">
        <f>'CUSTOMERS REPORT'!N15+'CUSTOMERS REPORT'!N61+'CUSTOMERS REPORT'!N99+'CUSTOMERS REPORT'!N138+'CUSTOMERS REPORT'!N176+'CUSTOMERS REPORT'!N216+'CUSTOMERS REPORT'!N253+'CUSTOMERS REPORT'!N293+'CUSTOMERS REPORT'!N334+'CUSTOMERS REPORT'!N376+'CUSTOMERS REPORT'!N415+'CUSTOMERS REPORT'!N453+'CUSTOMERS REPORT'!N489+'CUSTOMERS REPORT'!N526+'CUSTOMERS REPORT'!N564+'CUSTOMERS REPORT'!N600+'CUSTOMERS REPORT'!N638+'CUSTOMERS REPORT'!N676+'CUSTOMERS REPORT'!N714+'CUSTOMERS REPORT'!N752+'CUSTOMERS REPORT'!N790+'CUSTOMERS REPORT'!N828+'CUSTOMERS REPORT'!N866+'CUSTOMERS REPORT'!N905+'CUSTOMERS REPORT'!N944+'CUSTOMERS REPORT'!N982+'CUSTOMERS REPORT'!N1020+'CUSTOMERS REPORT'!N1058+'CUSTOMERS REPORT'!N1096+'CUSTOMERS REPORT'!N1134+'CUSTOMERS REPORT'!N1171+'CUSTOMERS REPORT'!N1208+'CUSTOMERS REPORT'!N1245+'CUSTOMERS REPORT'!N1282+'CUSTOMERS REPORT'!N1319+'CUSTOMERS REPORT'!N1356+'CUSTOMERS REPORT'!N1393+'CUSTOMERS REPORT'!N1429</f>
        <v>0</v>
      </c>
      <c r="AG54" s="852">
        <f>'CUSTOMERS REPORT'!O15+'CUSTOMERS REPORT'!O61+'CUSTOMERS REPORT'!O99+'CUSTOMERS REPORT'!O138+'CUSTOMERS REPORT'!O176+'CUSTOMERS REPORT'!O216+'CUSTOMERS REPORT'!O253+'CUSTOMERS REPORT'!O293+'CUSTOMERS REPORT'!O334+'CUSTOMERS REPORT'!O376+'CUSTOMERS REPORT'!O415+'CUSTOMERS REPORT'!O453+'CUSTOMERS REPORT'!O489+'CUSTOMERS REPORT'!O526+'CUSTOMERS REPORT'!O564+'CUSTOMERS REPORT'!O600+'CUSTOMERS REPORT'!O638+'CUSTOMERS REPORT'!O676+'CUSTOMERS REPORT'!O714+'CUSTOMERS REPORT'!O752+'CUSTOMERS REPORT'!O790+'CUSTOMERS REPORT'!O828+'CUSTOMERS REPORT'!O866+'CUSTOMERS REPORT'!O905+'CUSTOMERS REPORT'!O944+'CUSTOMERS REPORT'!O982+'CUSTOMERS REPORT'!O1020+'CUSTOMERS REPORT'!O1058+'CUSTOMERS REPORT'!O1096+'CUSTOMERS REPORT'!O1134+'CUSTOMERS REPORT'!O1171+'CUSTOMERS REPORT'!O1208+'CUSTOMERS REPORT'!O1245+'CUSTOMERS REPORT'!O1282+'CUSTOMERS REPORT'!O1319+'CUSTOMERS REPORT'!O1356+'CUSTOMERS REPORT'!O1393+'CUSTOMERS REPORT'!O1429</f>
        <v>0</v>
      </c>
      <c r="AH54" s="852">
        <f>'CUSTOMERS REPORT'!P15+'CUSTOMERS REPORT'!P61+'CUSTOMERS REPORT'!P99+'CUSTOMERS REPORT'!P138+'CUSTOMERS REPORT'!P176+'CUSTOMERS REPORT'!P216+'CUSTOMERS REPORT'!P253+'CUSTOMERS REPORT'!P293+'CUSTOMERS REPORT'!P334+'CUSTOMERS REPORT'!P376+'CUSTOMERS REPORT'!P415+'CUSTOMERS REPORT'!P453+'CUSTOMERS REPORT'!P489+'CUSTOMERS REPORT'!P526+'CUSTOMERS REPORT'!P564+'CUSTOMERS REPORT'!P600+'CUSTOMERS REPORT'!P638+'CUSTOMERS REPORT'!P676+'CUSTOMERS REPORT'!P714+'CUSTOMERS REPORT'!P752+'CUSTOMERS REPORT'!P790+'CUSTOMERS REPORT'!P828+'CUSTOMERS REPORT'!P866+'CUSTOMERS REPORT'!P905+'CUSTOMERS REPORT'!P944+'CUSTOMERS REPORT'!P982+'CUSTOMERS REPORT'!P1020+'CUSTOMERS REPORT'!P1058+'CUSTOMERS REPORT'!P1096+'CUSTOMERS REPORT'!P1134+'CUSTOMERS REPORT'!P1171+'CUSTOMERS REPORT'!P1208+'CUSTOMERS REPORT'!P1245+'CUSTOMERS REPORT'!P1282+'CUSTOMERS REPORT'!P1319+'CUSTOMERS REPORT'!P1356+'CUSTOMERS REPORT'!P1393+'CUSTOMERS REPORT'!P1429</f>
        <v>0</v>
      </c>
      <c r="AI54" s="852">
        <f>'CUSTOMERS REPORT'!Q15+'CUSTOMERS REPORT'!Q61+'CUSTOMERS REPORT'!Q99+'CUSTOMERS REPORT'!Q138+'CUSTOMERS REPORT'!Q176+'CUSTOMERS REPORT'!Q216+'CUSTOMERS REPORT'!Q253+'CUSTOMERS REPORT'!Q293+'CUSTOMERS REPORT'!Q334+'CUSTOMERS REPORT'!Q376+'CUSTOMERS REPORT'!Q415+'CUSTOMERS REPORT'!Q453+'CUSTOMERS REPORT'!Q489+'CUSTOMERS REPORT'!Q526+'CUSTOMERS REPORT'!Q564+'CUSTOMERS REPORT'!Q600+'CUSTOMERS REPORT'!Q638+'CUSTOMERS REPORT'!Q676+'CUSTOMERS REPORT'!Q714+'CUSTOMERS REPORT'!Q752+'CUSTOMERS REPORT'!Q790+'CUSTOMERS REPORT'!Q828+'CUSTOMERS REPORT'!Q866+'CUSTOMERS REPORT'!Q905+'CUSTOMERS REPORT'!Q944+'CUSTOMERS REPORT'!Q982+'CUSTOMERS REPORT'!Q1020+'CUSTOMERS REPORT'!Q1058+'CUSTOMERS REPORT'!Q1096+'CUSTOMERS REPORT'!Q1134+'CUSTOMERS REPORT'!Q1171+'CUSTOMERS REPORT'!Q1208+'CUSTOMERS REPORT'!Q1245+'CUSTOMERS REPORT'!Q1282+'CUSTOMERS REPORT'!Q1319+'CUSTOMERS REPORT'!Q1356+'CUSTOMERS REPORT'!Q1393+'CUSTOMERS REPORT'!Q1429</f>
        <v>0</v>
      </c>
      <c r="AJ54" s="852">
        <f>'CUSTOMERS REPORT'!R15+'CUSTOMERS REPORT'!R61+'CUSTOMERS REPORT'!R99+'CUSTOMERS REPORT'!R138+'CUSTOMERS REPORT'!R176+'CUSTOMERS REPORT'!R216+'CUSTOMERS REPORT'!R253+'CUSTOMERS REPORT'!R293+'CUSTOMERS REPORT'!R334+'CUSTOMERS REPORT'!R376+'CUSTOMERS REPORT'!R415+'CUSTOMERS REPORT'!R453+'CUSTOMERS REPORT'!R489+'CUSTOMERS REPORT'!R526+'CUSTOMERS REPORT'!R564+'CUSTOMERS REPORT'!R600+'CUSTOMERS REPORT'!R638+'CUSTOMERS REPORT'!R676+'CUSTOMERS REPORT'!R714+'CUSTOMERS REPORT'!R752+'CUSTOMERS REPORT'!R790+'CUSTOMERS REPORT'!R828+'CUSTOMERS REPORT'!R866+'CUSTOMERS REPORT'!R905+'CUSTOMERS REPORT'!R944+'CUSTOMERS REPORT'!R982+'CUSTOMERS REPORT'!R1020+'CUSTOMERS REPORT'!R1058+'CUSTOMERS REPORT'!R1096+'CUSTOMERS REPORT'!R1134+'CUSTOMERS REPORT'!R1171+'CUSTOMERS REPORT'!R1208+'CUSTOMERS REPORT'!R1245+'CUSTOMERS REPORT'!R1282+'CUSTOMERS REPORT'!R1319+'CUSTOMERS REPORT'!R1356+'CUSTOMERS REPORT'!R1393+'CUSTOMERS REPORT'!R1429</f>
        <v>0</v>
      </c>
      <c r="AK54" s="852">
        <f>'CUSTOMERS REPORT'!S15+'CUSTOMERS REPORT'!S61+'CUSTOMERS REPORT'!S99+'CUSTOMERS REPORT'!S138+'CUSTOMERS REPORT'!S176+'CUSTOMERS REPORT'!S216+'CUSTOMERS REPORT'!S253+'CUSTOMERS REPORT'!S293+'CUSTOMERS REPORT'!S334+'CUSTOMERS REPORT'!S376+'CUSTOMERS REPORT'!S415+'CUSTOMERS REPORT'!S453+'CUSTOMERS REPORT'!S489+'CUSTOMERS REPORT'!S526+'CUSTOMERS REPORT'!S564+'CUSTOMERS REPORT'!S600+'CUSTOMERS REPORT'!S638+'CUSTOMERS REPORT'!S676+'CUSTOMERS REPORT'!S714+'CUSTOMERS REPORT'!S752+'CUSTOMERS REPORT'!S790+'CUSTOMERS REPORT'!S828+'CUSTOMERS REPORT'!S866+'CUSTOMERS REPORT'!S905+'CUSTOMERS REPORT'!S944+'CUSTOMERS REPORT'!S982+'CUSTOMERS REPORT'!S1020+'CUSTOMERS REPORT'!S1058+'CUSTOMERS REPORT'!S1096+'CUSTOMERS REPORT'!S1134+'CUSTOMERS REPORT'!S1171+'CUSTOMERS REPORT'!S1208+'CUSTOMERS REPORT'!S1245+'CUSTOMERS REPORT'!S1282+'CUSTOMERS REPORT'!S1319+'CUSTOMERS REPORT'!S1356+'CUSTOMERS REPORT'!S1393+'CUSTOMERS REPORT'!S1429</f>
        <v>0</v>
      </c>
      <c r="AL54" s="852">
        <f>'CUSTOMERS REPORT'!T15+'CUSTOMERS REPORT'!T61+'CUSTOMERS REPORT'!T99+'CUSTOMERS REPORT'!T138+'CUSTOMERS REPORT'!T176+'CUSTOMERS REPORT'!T216+'CUSTOMERS REPORT'!T253+'CUSTOMERS REPORT'!T293+'CUSTOMERS REPORT'!T334+'CUSTOMERS REPORT'!T376+'CUSTOMERS REPORT'!T415+'CUSTOMERS REPORT'!T453+'CUSTOMERS REPORT'!T489+'CUSTOMERS REPORT'!T526+'CUSTOMERS REPORT'!T564+'CUSTOMERS REPORT'!T600+'CUSTOMERS REPORT'!T638+'CUSTOMERS REPORT'!T676+'CUSTOMERS REPORT'!T714+'CUSTOMERS REPORT'!T752+'CUSTOMERS REPORT'!T790+'CUSTOMERS REPORT'!T828+'CUSTOMERS REPORT'!T866+'CUSTOMERS REPORT'!T905+'CUSTOMERS REPORT'!T944+'CUSTOMERS REPORT'!T982+'CUSTOMERS REPORT'!T1020+'CUSTOMERS REPORT'!T1058+'CUSTOMERS REPORT'!T1096+'CUSTOMERS REPORT'!T1134</f>
        <v>0</v>
      </c>
      <c r="AM54" s="852">
        <f>'CUSTOMERS REPORT'!U15+'CUSTOMERS REPORT'!U61+'CUSTOMERS REPORT'!U99+'CUSTOMERS REPORT'!U138+'CUSTOMERS REPORT'!U176+'CUSTOMERS REPORT'!U216+'CUSTOMERS REPORT'!U253+'CUSTOMERS REPORT'!U293+'CUSTOMERS REPORT'!U334+'CUSTOMERS REPORT'!U376+'CUSTOMERS REPORT'!U415+'CUSTOMERS REPORT'!U453+'CUSTOMERS REPORT'!U489+'CUSTOMERS REPORT'!U526+'CUSTOMERS REPORT'!U564+'CUSTOMERS REPORT'!U600+'CUSTOMERS REPORT'!U638+'CUSTOMERS REPORT'!U676+'CUSTOMERS REPORT'!U714+'CUSTOMERS REPORT'!U752+'CUSTOMERS REPORT'!U790+'CUSTOMERS REPORT'!U828+'CUSTOMERS REPORT'!U866+'CUSTOMERS REPORT'!U905+'CUSTOMERS REPORT'!U944+'CUSTOMERS REPORT'!U982+'CUSTOMERS REPORT'!U1020+'CUSTOMERS REPORT'!U1058+'CUSTOMERS REPORT'!U1096+'CUSTOMERS REPORT'!U1134</f>
        <v>0</v>
      </c>
      <c r="AN54" s="852">
        <f>'CUSTOMERS REPORT'!V15+'CUSTOMERS REPORT'!V61+'CUSTOMERS REPORT'!V99+'CUSTOMERS REPORT'!V138+'CUSTOMERS REPORT'!V176+'CUSTOMERS REPORT'!V216+'CUSTOMERS REPORT'!V253+'CUSTOMERS REPORT'!V293+'CUSTOMERS REPORT'!V334+'CUSTOMERS REPORT'!V376+'CUSTOMERS REPORT'!V415+'CUSTOMERS REPORT'!V453+'CUSTOMERS REPORT'!V489+'CUSTOMERS REPORT'!V526+'CUSTOMERS REPORT'!V564+'CUSTOMERS REPORT'!V600+'CUSTOMERS REPORT'!V638+'CUSTOMERS REPORT'!V676+'CUSTOMERS REPORT'!V714+'CUSTOMERS REPORT'!V752+'CUSTOMERS REPORT'!V790+'CUSTOMERS REPORT'!V828+'CUSTOMERS REPORT'!V866+'CUSTOMERS REPORT'!V905+'CUSTOMERS REPORT'!V944+'CUSTOMERS REPORT'!V982+'CUSTOMERS REPORT'!V1020+'CUSTOMERS REPORT'!V1058+'CUSTOMERS REPORT'!V1096+'CUSTOMERS REPORT'!V1134</f>
        <v>0</v>
      </c>
    </row>
    <row r="55" spans="1:42" ht="24.95" customHeight="1" thickBot="1">
      <c r="L55" s="417">
        <v>20</v>
      </c>
      <c r="M55" s="417"/>
      <c r="N55" s="417">
        <f t="shared" si="6"/>
        <v>0</v>
      </c>
      <c r="R55" s="123">
        <f>'7'!R57</f>
        <v>0</v>
      </c>
      <c r="S55" s="865" t="s">
        <v>169</v>
      </c>
      <c r="T55" s="866">
        <f t="shared" ref="T55:AN55" si="8">T53-T54-T51</f>
        <v>0</v>
      </c>
      <c r="U55" s="866">
        <f t="shared" si="8"/>
        <v>0</v>
      </c>
      <c r="V55" s="866">
        <f t="shared" si="8"/>
        <v>0</v>
      </c>
      <c r="W55" s="866">
        <f t="shared" si="8"/>
        <v>0</v>
      </c>
      <c r="X55" s="866">
        <f t="shared" si="8"/>
        <v>0</v>
      </c>
      <c r="Y55" s="866">
        <f t="shared" si="8"/>
        <v>0</v>
      </c>
      <c r="Z55" s="866">
        <f t="shared" si="8"/>
        <v>0</v>
      </c>
      <c r="AA55" s="866">
        <f t="shared" si="8"/>
        <v>0</v>
      </c>
      <c r="AB55" s="866">
        <f t="shared" si="8"/>
        <v>0</v>
      </c>
      <c r="AC55" s="866">
        <f t="shared" si="8"/>
        <v>0</v>
      </c>
      <c r="AD55" s="866">
        <f t="shared" si="8"/>
        <v>0</v>
      </c>
      <c r="AE55" s="866">
        <f t="shared" si="8"/>
        <v>0</v>
      </c>
      <c r="AF55" s="866">
        <f t="shared" si="8"/>
        <v>0</v>
      </c>
      <c r="AG55" s="866">
        <f t="shared" si="8"/>
        <v>0</v>
      </c>
      <c r="AH55" s="866">
        <f t="shared" si="8"/>
        <v>0</v>
      </c>
      <c r="AI55" s="866">
        <f t="shared" si="8"/>
        <v>0</v>
      </c>
      <c r="AJ55" s="866">
        <f t="shared" si="8"/>
        <v>0</v>
      </c>
      <c r="AK55" s="866">
        <f t="shared" si="8"/>
        <v>0</v>
      </c>
      <c r="AL55" s="866" t="e">
        <f t="shared" si="8"/>
        <v>#VALUE!</v>
      </c>
      <c r="AM55" s="866" t="e">
        <f t="shared" si="8"/>
        <v>#VALUE!</v>
      </c>
      <c r="AN55" s="866" t="e">
        <f t="shared" si="8"/>
        <v>#VALUE!</v>
      </c>
      <c r="AP55" t="s">
        <v>1</v>
      </c>
    </row>
    <row r="56" spans="1:42" ht="28.5" thickBot="1">
      <c r="A56" s="114"/>
      <c r="B56" s="120"/>
      <c r="C56" s="115"/>
      <c r="L56" s="417">
        <v>10</v>
      </c>
      <c r="M56" s="417"/>
      <c r="N56" s="417">
        <f t="shared" si="6"/>
        <v>0</v>
      </c>
      <c r="R56" s="123">
        <f>T56+U56+V56+W56+X56+Y56+Z56+AA56+AB56+AC56+AD56+AE56+AF56+AG56+AH56+AI56+AJ56+AK56+AL56+AM56+AN56</f>
        <v>0</v>
      </c>
      <c r="S56" s="874" t="s">
        <v>170</v>
      </c>
      <c r="T56" s="875"/>
      <c r="U56" s="875"/>
      <c r="V56" s="875"/>
      <c r="W56" s="875"/>
      <c r="X56" s="875"/>
      <c r="Y56" s="875"/>
      <c r="Z56" s="876"/>
      <c r="AA56" s="875"/>
      <c r="AB56" s="875"/>
      <c r="AC56" s="875"/>
      <c r="AD56" s="875"/>
      <c r="AE56" s="875"/>
      <c r="AF56" s="875"/>
      <c r="AG56" s="875"/>
      <c r="AH56" s="875"/>
      <c r="AI56" s="875"/>
      <c r="AJ56" s="877"/>
      <c r="AK56" s="877"/>
      <c r="AL56" s="52"/>
      <c r="AM56" s="52"/>
      <c r="AN56" s="928"/>
    </row>
    <row r="57" spans="1:42" ht="27" customHeight="1" thickBot="1">
      <c r="A57" s="114"/>
      <c r="B57" s="131"/>
      <c r="C57" s="115"/>
      <c r="D57" s="115"/>
      <c r="E57" s="19"/>
      <c r="F57" s="19"/>
      <c r="G57" s="19"/>
      <c r="H57" s="19"/>
      <c r="I57" s="19"/>
      <c r="J57" s="19"/>
      <c r="K57" s="19"/>
      <c r="L57" s="418">
        <v>1</v>
      </c>
      <c r="M57" s="418"/>
      <c r="N57" s="417">
        <f t="shared" si="6"/>
        <v>0</v>
      </c>
      <c r="O57" s="19"/>
      <c r="R57" s="123">
        <f>SUM(R55:R56)</f>
        <v>0</v>
      </c>
      <c r="S57" s="882" t="s">
        <v>23</v>
      </c>
      <c r="T57" s="883" t="e">
        <f t="shared" ref="T57:AI57" si="9">T50/T56</f>
        <v>#DIV/0!</v>
      </c>
      <c r="U57" s="883" t="e">
        <f t="shared" si="9"/>
        <v>#DIV/0!</v>
      </c>
      <c r="V57" s="883" t="e">
        <f t="shared" si="9"/>
        <v>#DIV/0!</v>
      </c>
      <c r="W57" s="883" t="e">
        <f t="shared" si="9"/>
        <v>#DIV/0!</v>
      </c>
      <c r="X57" s="883" t="e">
        <f t="shared" si="9"/>
        <v>#DIV/0!</v>
      </c>
      <c r="Y57" s="883" t="e">
        <f t="shared" si="9"/>
        <v>#DIV/0!</v>
      </c>
      <c r="Z57" s="883" t="e">
        <f t="shared" si="9"/>
        <v>#DIV/0!</v>
      </c>
      <c r="AA57" s="883" t="e">
        <f t="shared" si="9"/>
        <v>#DIV/0!</v>
      </c>
      <c r="AB57" s="883" t="e">
        <f t="shared" si="9"/>
        <v>#DIV/0!</v>
      </c>
      <c r="AC57" s="883" t="e">
        <f t="shared" si="9"/>
        <v>#DIV/0!</v>
      </c>
      <c r="AD57" s="883" t="e">
        <f t="shared" si="9"/>
        <v>#DIV/0!</v>
      </c>
      <c r="AE57" s="883" t="e">
        <f t="shared" si="9"/>
        <v>#DIV/0!</v>
      </c>
      <c r="AF57" s="883" t="e">
        <f t="shared" si="9"/>
        <v>#DIV/0!</v>
      </c>
      <c r="AG57" s="883" t="e">
        <f t="shared" si="9"/>
        <v>#DIV/0!</v>
      </c>
      <c r="AH57" s="883" t="e">
        <f t="shared" si="9"/>
        <v>#DIV/0!</v>
      </c>
      <c r="AI57" s="883" t="e">
        <f t="shared" si="9"/>
        <v>#DIV/0!</v>
      </c>
      <c r="AJ57" s="883" t="e">
        <f>AJ50/AJ56</f>
        <v>#DIV/0!</v>
      </c>
      <c r="AK57" s="883" t="e">
        <f>AK50/AK56</f>
        <v>#DIV/0!</v>
      </c>
      <c r="AL57" s="883" t="e">
        <f t="shared" ref="AL57:AN57" si="10">AL50/AL56</f>
        <v>#DIV/0!</v>
      </c>
      <c r="AM57" s="883" t="e">
        <f t="shared" si="10"/>
        <v>#DIV/0!</v>
      </c>
      <c r="AN57" s="884" t="e">
        <f t="shared" si="10"/>
        <v>#DIV/0!</v>
      </c>
    </row>
    <row r="58" spans="1:42" ht="27" customHeight="1" thickBot="1">
      <c r="A58" s="114"/>
      <c r="B58" s="131"/>
      <c r="C58" s="115"/>
      <c r="D58" s="115" t="s">
        <v>1</v>
      </c>
      <c r="L58" s="1501" t="s">
        <v>171</v>
      </c>
      <c r="M58" s="1501"/>
      <c r="N58" s="419">
        <f>SUM(N50:N57)</f>
        <v>0</v>
      </c>
      <c r="P58">
        <v>1560</v>
      </c>
      <c r="R58" s="19"/>
      <c r="S58" s="878" t="s">
        <v>172</v>
      </c>
      <c r="T58" s="879">
        <f>T54</f>
        <v>0</v>
      </c>
      <c r="U58" s="879">
        <f t="shared" ref="U58:AI58" si="11">U54</f>
        <v>0</v>
      </c>
      <c r="V58" s="879">
        <f t="shared" si="11"/>
        <v>0</v>
      </c>
      <c r="W58" s="879">
        <f t="shared" si="11"/>
        <v>0</v>
      </c>
      <c r="X58" s="879">
        <f t="shared" si="11"/>
        <v>0</v>
      </c>
      <c r="Y58" s="879">
        <f t="shared" si="11"/>
        <v>0</v>
      </c>
      <c r="Z58" s="879">
        <f t="shared" si="11"/>
        <v>0</v>
      </c>
      <c r="AA58" s="879">
        <f t="shared" si="11"/>
        <v>0</v>
      </c>
      <c r="AB58" s="879">
        <f t="shared" si="11"/>
        <v>0</v>
      </c>
      <c r="AC58" s="879">
        <f t="shared" si="11"/>
        <v>0</v>
      </c>
      <c r="AD58" s="879">
        <f t="shared" si="11"/>
        <v>0</v>
      </c>
      <c r="AE58" s="879">
        <f t="shared" si="11"/>
        <v>0</v>
      </c>
      <c r="AF58" s="879">
        <f t="shared" si="11"/>
        <v>0</v>
      </c>
      <c r="AG58" s="879">
        <f t="shared" si="11"/>
        <v>0</v>
      </c>
      <c r="AH58" s="879">
        <f t="shared" si="11"/>
        <v>0</v>
      </c>
      <c r="AI58" s="879">
        <f t="shared" si="11"/>
        <v>0</v>
      </c>
      <c r="AJ58" s="879">
        <f>AJ54</f>
        <v>0</v>
      </c>
      <c r="AK58" s="879">
        <f>AK54</f>
        <v>0</v>
      </c>
      <c r="AL58" s="880"/>
      <c r="AM58" s="880"/>
      <c r="AN58" s="881"/>
    </row>
    <row r="59" spans="1:42" ht="27" customHeight="1">
      <c r="A59" s="114"/>
      <c r="B59" s="132"/>
      <c r="C59" s="115"/>
      <c r="D59" s="115" t="s">
        <v>1</v>
      </c>
      <c r="K59" t="s">
        <v>1</v>
      </c>
      <c r="L59" s="1486" t="s">
        <v>173</v>
      </c>
      <c r="M59" s="1486"/>
      <c r="N59" s="420">
        <f>N58-Q48</f>
        <v>0</v>
      </c>
      <c r="P59" s="616">
        <f>N58-P58</f>
        <v>-1560</v>
      </c>
      <c r="R59" s="19"/>
      <c r="S59" s="114"/>
      <c r="T59" s="121"/>
      <c r="U59" s="121"/>
      <c r="V59" s="121"/>
      <c r="W59" s="121"/>
      <c r="X59" s="121"/>
      <c r="Y59" s="121"/>
      <c r="Z59" s="122"/>
      <c r="AA59" s="121"/>
      <c r="AB59" s="121"/>
      <c r="AC59" s="121"/>
      <c r="AD59" s="121"/>
      <c r="AE59" s="121"/>
      <c r="AF59" s="121"/>
      <c r="AG59" s="121"/>
      <c r="AH59" s="119"/>
      <c r="AI59" s="119"/>
    </row>
    <row r="60" spans="1:42" ht="23.25">
      <c r="A60" s="114"/>
      <c r="B60" s="132"/>
      <c r="C60" s="115"/>
      <c r="D60" s="115"/>
      <c r="P60" s="19"/>
      <c r="Q60" s="19"/>
      <c r="R60" s="19"/>
      <c r="S60" s="19"/>
      <c r="T60" t="s">
        <v>1</v>
      </c>
      <c r="U60" t="s">
        <v>1</v>
      </c>
    </row>
    <row r="61" spans="1:42" ht="23.25">
      <c r="A61" s="114"/>
      <c r="B61" s="132"/>
      <c r="C61" s="115"/>
      <c r="D61" s="116"/>
      <c r="M61" t="s">
        <v>1</v>
      </c>
      <c r="P61" s="185"/>
      <c r="Q61" s="186"/>
      <c r="R61" s="19"/>
      <c r="S61" s="19"/>
    </row>
    <row r="62" spans="1:42" ht="20.25">
      <c r="C62" s="116"/>
      <c r="P62" s="19"/>
      <c r="Q62" s="19"/>
      <c r="R62" s="19"/>
      <c r="S62" s="19"/>
    </row>
    <row r="63" spans="1:42">
      <c r="E63" s="19"/>
      <c r="V63" t="s">
        <v>1</v>
      </c>
    </row>
    <row r="64" spans="1:42">
      <c r="E64" s="19"/>
      <c r="J64" t="s">
        <v>3</v>
      </c>
    </row>
    <row r="65" spans="3:5" ht="21">
      <c r="C65" s="251"/>
      <c r="E65" s="19"/>
    </row>
    <row r="66" spans="3:5">
      <c r="E66" s="49"/>
    </row>
    <row r="67" spans="3:5" ht="23.25">
      <c r="E67" s="113"/>
    </row>
  </sheetData>
  <mergeCells count="21">
    <mergeCell ref="AL47:AM47"/>
    <mergeCell ref="L58:M58"/>
    <mergeCell ref="L59:M59"/>
    <mergeCell ref="T47:W47"/>
    <mergeCell ref="X47:Z47"/>
    <mergeCell ref="S47:S48"/>
    <mergeCell ref="AI7:AJ7"/>
    <mergeCell ref="AI20:AJ20"/>
    <mergeCell ref="AA47:AB47"/>
    <mergeCell ref="AC47:AI47"/>
    <mergeCell ref="AJ47:AK47"/>
    <mergeCell ref="A6:Q6"/>
    <mergeCell ref="S6:AE6"/>
    <mergeCell ref="A7:B7"/>
    <mergeCell ref="P7:Q7"/>
    <mergeCell ref="H48:I48"/>
    <mergeCell ref="P24:Q24"/>
    <mergeCell ref="P33:Q33"/>
    <mergeCell ref="P42:Q42"/>
    <mergeCell ref="H46:I46"/>
    <mergeCell ref="H47:I47"/>
  </mergeCells>
  <conditionalFormatting sqref="M48:N48">
    <cfRule type="duplicateValues" dxfId="496" priority="29"/>
    <cfRule type="duplicateValues" dxfId="495" priority="30"/>
    <cfRule type="duplicateValues" dxfId="494" priority="31"/>
    <cfRule type="duplicateValues" dxfId="493" priority="32"/>
  </conditionalFormatting>
  <conditionalFormatting sqref="L48 N48">
    <cfRule type="cellIs" dxfId="492" priority="28" operator="equal">
      <formula>66890</formula>
    </cfRule>
  </conditionalFormatting>
  <conditionalFormatting sqref="N48">
    <cfRule type="cellIs" dxfId="491" priority="27" operator="lessThan">
      <formula>1</formula>
    </cfRule>
  </conditionalFormatting>
  <conditionalFormatting sqref="T57">
    <cfRule type="cellIs" dxfId="490" priority="16" operator="lessThan">
      <formula>63</formula>
    </cfRule>
  </conditionalFormatting>
  <conditionalFormatting sqref="U57">
    <cfRule type="cellIs" dxfId="489" priority="14" operator="lessThan">
      <formula>63</formula>
    </cfRule>
    <cfRule type="cellIs" dxfId="488" priority="15" operator="lessThan">
      <formula>63</formula>
    </cfRule>
  </conditionalFormatting>
  <conditionalFormatting sqref="W57">
    <cfRule type="cellIs" dxfId="487" priority="13" operator="lessThan">
      <formula>140</formula>
    </cfRule>
  </conditionalFormatting>
  <conditionalFormatting sqref="X57">
    <cfRule type="cellIs" dxfId="486" priority="12" operator="lessThan">
      <formula>125</formula>
    </cfRule>
  </conditionalFormatting>
  <conditionalFormatting sqref="Y57">
    <cfRule type="cellIs" dxfId="485" priority="11" operator="lessThan">
      <formula>150</formula>
    </cfRule>
  </conditionalFormatting>
  <conditionalFormatting sqref="Z57">
    <cfRule type="cellIs" dxfId="484" priority="10" operator="lessThan">
      <formula>590</formula>
    </cfRule>
  </conditionalFormatting>
  <conditionalFormatting sqref="AA57">
    <cfRule type="cellIs" dxfId="483" priority="9" operator="lessThan">
      <formula>704</formula>
    </cfRule>
  </conditionalFormatting>
  <conditionalFormatting sqref="AC57">
    <cfRule type="cellIs" dxfId="482" priority="8" operator="lessThan">
      <formula>52</formula>
    </cfRule>
  </conditionalFormatting>
  <conditionalFormatting sqref="AD57">
    <cfRule type="cellIs" dxfId="481" priority="7" operator="lessThan">
      <formula>52</formula>
    </cfRule>
  </conditionalFormatting>
  <conditionalFormatting sqref="AH57">
    <cfRule type="cellIs" dxfId="480" priority="6" operator="lessThan">
      <formula>63</formula>
    </cfRule>
  </conditionalFormatting>
  <conditionalFormatting sqref="AI57">
    <cfRule type="cellIs" dxfId="479" priority="5" operator="lessThan">
      <formula>63</formula>
    </cfRule>
  </conditionalFormatting>
  <conditionalFormatting sqref="AK57">
    <cfRule type="cellIs" dxfId="478" priority="4" operator="lessThan">
      <formula>270</formula>
    </cfRule>
  </conditionalFormatting>
  <conditionalFormatting sqref="AJ57">
    <cfRule type="cellIs" dxfId="477" priority="3" operator="lessThan">
      <formula>270</formula>
    </cfRule>
  </conditionalFormatting>
  <conditionalFormatting sqref="AL57:AN57">
    <cfRule type="cellIs" dxfId="476" priority="1" operator="lessThan">
      <formula>270</formula>
    </cfRule>
  </conditionalFormatting>
  <printOptions horizontalCentered="1" verticalCentered="1"/>
  <pageMargins left="0" right="0.5" top="0" bottom="0" header="0" footer="0"/>
  <pageSetup paperSize="5" scale="45" orientation="landscape" cellComments="asDisplayed" r:id="rId1"/>
  <ignoredErrors>
    <ignoredError sqref="T57" evalError="1"/>
  </ignoredError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AP67"/>
  <sheetViews>
    <sheetView topLeftCell="E42" zoomScale="90" zoomScaleNormal="90" workbookViewId="0">
      <selection activeCell="M56" sqref="M56"/>
    </sheetView>
  </sheetViews>
  <sheetFormatPr defaultRowHeight="15"/>
  <cols>
    <col min="1" max="1" width="32.7109375" bestFit="1" customWidth="1"/>
    <col min="2" max="2" width="17.7109375" customWidth="1"/>
    <col min="3" max="4" width="20.7109375" customWidth="1"/>
    <col min="5" max="5" width="4.7109375" customWidth="1"/>
    <col min="6" max="6" width="35.85546875" bestFit="1" customWidth="1"/>
    <col min="7" max="7" width="17.7109375" customWidth="1"/>
    <col min="8" max="9" width="19.140625" bestFit="1" customWidth="1"/>
    <col min="10" max="11" width="17.7109375" customWidth="1"/>
    <col min="12" max="12" width="19.140625" bestFit="1" customWidth="1"/>
    <col min="13" max="13" width="18.7109375" customWidth="1"/>
    <col min="14" max="14" width="19.140625" bestFit="1" customWidth="1"/>
    <col min="15" max="15" width="7.7109375" customWidth="1"/>
    <col min="16" max="16" width="28.7109375" customWidth="1"/>
    <col min="17" max="17" width="20.7109375" customWidth="1"/>
    <col min="18" max="18" width="7.5703125" bestFit="1" customWidth="1"/>
    <col min="19" max="19" width="32.7109375" customWidth="1"/>
    <col min="20" max="20" width="20.28515625" bestFit="1" customWidth="1"/>
    <col min="21" max="21" width="17.7109375" customWidth="1"/>
    <col min="22" max="22" width="20.28515625" bestFit="1" customWidth="1"/>
    <col min="23" max="23" width="17.7109375" customWidth="1"/>
    <col min="24" max="24" width="20.28515625" bestFit="1" customWidth="1"/>
    <col min="25" max="26" width="14.7109375" customWidth="1"/>
    <col min="27" max="27" width="20.140625" bestFit="1" customWidth="1"/>
    <col min="28" max="28" width="22.28515625" bestFit="1" customWidth="1"/>
    <col min="29" max="29" width="20.140625" bestFit="1" customWidth="1"/>
    <col min="30" max="30" width="17.7109375" customWidth="1"/>
    <col min="31" max="31" width="20.140625" bestFit="1" customWidth="1"/>
    <col min="32" max="33" width="20.7109375" customWidth="1"/>
    <col min="34" max="37" width="17.7109375" customWidth="1"/>
    <col min="38" max="39" width="13" hidden="1" customWidth="1"/>
    <col min="40" max="40" width="13.5703125" hidden="1" customWidth="1"/>
  </cols>
  <sheetData>
    <row r="1" spans="1:36">
      <c r="E1" s="5"/>
    </row>
    <row r="2" spans="1:36">
      <c r="E2" s="5"/>
    </row>
    <row r="3" spans="1:36" ht="15.75" thickBot="1">
      <c r="C3" t="s">
        <v>1</v>
      </c>
      <c r="E3" s="5" t="s">
        <v>1</v>
      </c>
      <c r="F3" t="s">
        <v>1</v>
      </c>
      <c r="N3" t="s">
        <v>1</v>
      </c>
      <c r="S3" t="s">
        <v>1</v>
      </c>
      <c r="U3" t="s">
        <v>1</v>
      </c>
    </row>
    <row r="4" spans="1:36" ht="21.75" thickTop="1">
      <c r="B4" t="s">
        <v>1</v>
      </c>
      <c r="D4" t="s">
        <v>1</v>
      </c>
      <c r="E4" t="s">
        <v>1</v>
      </c>
      <c r="P4" s="617" t="s">
        <v>108</v>
      </c>
      <c r="Q4" s="618">
        <f>'11'!Q4+'12'!Q9+'12'!Q10+'12'!Q19+'12'!Q20+'12'!Q21+'12'!Q22</f>
        <v>0</v>
      </c>
    </row>
    <row r="5" spans="1:36" ht="21.75" thickBot="1">
      <c r="P5" s="619" t="s">
        <v>109</v>
      </c>
      <c r="Q5" s="620">
        <f>'11'!Q5+'12'!Q25+'12'!Q26+'12'!Q27+'12'!Q28+'12'!Q29+'12'!Q30+'12'!Q31</f>
        <v>0</v>
      </c>
    </row>
    <row r="6" spans="1:36" ht="48" thickTop="1" thickBot="1">
      <c r="A6" s="1502">
        <f>'Main Page'!E28</f>
        <v>44877</v>
      </c>
      <c r="B6" s="1507"/>
      <c r="C6" s="1507"/>
      <c r="D6" s="1507"/>
      <c r="E6" s="1507"/>
      <c r="F6" s="1507"/>
      <c r="G6" s="1507"/>
      <c r="H6" s="1507"/>
      <c r="I6" s="1507"/>
      <c r="J6" s="1507"/>
      <c r="K6" s="1507"/>
      <c r="L6" s="1507"/>
      <c r="M6" s="1507"/>
      <c r="N6" s="1507"/>
      <c r="O6" s="1507"/>
      <c r="P6" s="1507"/>
      <c r="Q6" s="1515"/>
      <c r="R6" t="s">
        <v>1</v>
      </c>
      <c r="S6" s="1502">
        <f>A6</f>
        <v>44877</v>
      </c>
      <c r="T6" s="1503"/>
      <c r="U6" s="1503"/>
      <c r="V6" s="1503"/>
      <c r="W6" s="1503"/>
      <c r="X6" s="1503"/>
      <c r="Y6" s="1503"/>
      <c r="Z6" s="1503"/>
      <c r="AA6" s="1503"/>
      <c r="AB6" s="1503"/>
      <c r="AC6" s="1503"/>
      <c r="AD6" s="1503"/>
      <c r="AE6" s="1504"/>
    </row>
    <row r="7" spans="1:36" ht="39.950000000000003" customHeight="1" thickTop="1" thickBot="1">
      <c r="A7" s="1505" t="s">
        <v>110</v>
      </c>
      <c r="B7" s="1506"/>
      <c r="C7" s="367" t="s">
        <v>97</v>
      </c>
      <c r="D7" s="368" t="s">
        <v>74</v>
      </c>
      <c r="F7" s="363" t="s">
        <v>111</v>
      </c>
      <c r="G7" s="364" t="s">
        <v>112</v>
      </c>
      <c r="H7" s="365" t="s">
        <v>113</v>
      </c>
      <c r="I7" s="365" t="s">
        <v>26</v>
      </c>
      <c r="J7" s="365" t="s">
        <v>114</v>
      </c>
      <c r="K7" s="366" t="s">
        <v>115</v>
      </c>
      <c r="L7" s="365" t="s">
        <v>116</v>
      </c>
      <c r="M7" s="365" t="s">
        <v>117</v>
      </c>
      <c r="N7" s="365" t="s">
        <v>118</v>
      </c>
      <c r="P7" s="1510" t="s">
        <v>69</v>
      </c>
      <c r="Q7" s="1511"/>
      <c r="S7" s="380" t="s">
        <v>58</v>
      </c>
      <c r="T7" s="380" t="s">
        <v>59</v>
      </c>
      <c r="U7" s="380" t="s">
        <v>119</v>
      </c>
      <c r="V7" s="380" t="s">
        <v>74</v>
      </c>
      <c r="W7" s="380" t="s">
        <v>120</v>
      </c>
      <c r="X7" s="380" t="s">
        <v>59</v>
      </c>
      <c r="Z7" s="367" t="s">
        <v>121</v>
      </c>
      <c r="AA7" s="367" t="s">
        <v>97</v>
      </c>
      <c r="AB7" s="415" t="s">
        <v>122</v>
      </c>
      <c r="AC7" s="416" t="s">
        <v>90</v>
      </c>
      <c r="AD7" s="367" t="s">
        <v>56</v>
      </c>
      <c r="AE7" s="381" t="s">
        <v>100</v>
      </c>
      <c r="AF7" s="560" t="s">
        <v>122</v>
      </c>
      <c r="AG7" s="570" t="s">
        <v>56</v>
      </c>
      <c r="AI7" s="1487" t="s">
        <v>123</v>
      </c>
      <c r="AJ7" s="1488"/>
    </row>
    <row r="8" spans="1:36" ht="27" customHeight="1" thickTop="1" thickBot="1">
      <c r="A8" s="717"/>
      <c r="B8" s="233"/>
      <c r="C8" s="463"/>
      <c r="D8" s="233"/>
      <c r="F8" s="478" t="str">
        <f>'11'!F8</f>
        <v>ISHAQ ANSARI</v>
      </c>
      <c r="G8" s="405">
        <f>'CUSTOMERS REPORT'!Y19</f>
        <v>0</v>
      </c>
      <c r="H8" s="503">
        <f>'CUSTOMERS REPORT'!Z19</f>
        <v>0</v>
      </c>
      <c r="I8" s="405">
        <f>'CUSTOMERS REPORT'!AA19</f>
        <v>0</v>
      </c>
      <c r="J8" s="497">
        <f>'CUSTOMERS REPORT'!AB19</f>
        <v>0</v>
      </c>
      <c r="K8" s="497">
        <f>'CUSTOMERS REPORT'!AC19</f>
        <v>0</v>
      </c>
      <c r="L8" s="508">
        <f>'CUSTOMERS REPORT'!AD19</f>
        <v>0</v>
      </c>
      <c r="M8" s="413">
        <f>'11'!M8+'12'!G8</f>
        <v>0</v>
      </c>
      <c r="N8" s="411">
        <f>'11'!N8+'12'!J8</f>
        <v>0</v>
      </c>
      <c r="P8" s="191" t="s">
        <v>124</v>
      </c>
      <c r="Q8" s="223">
        <f>'11'!Q32</f>
        <v>0</v>
      </c>
      <c r="S8" s="399" t="str">
        <f>'11'!S8</f>
        <v>FLOUR</v>
      </c>
      <c r="T8" s="446">
        <f>'11'!X8</f>
        <v>0</v>
      </c>
      <c r="U8" s="455"/>
      <c r="V8" s="450">
        <f t="shared" ref="V8:V43" si="0">SUM(T8:U8)</f>
        <v>0</v>
      </c>
      <c r="W8" s="450"/>
      <c r="X8" s="446">
        <f t="shared" ref="X8:X43" si="1">V8-W8</f>
        <v>0</v>
      </c>
      <c r="Z8" s="382" t="str">
        <f>'11'!Z8</f>
        <v>GHAZI</v>
      </c>
      <c r="AA8" s="464">
        <f>'11'!AE8</f>
        <v>0</v>
      </c>
      <c r="AB8" s="459"/>
      <c r="AC8" s="233">
        <f t="shared" ref="AC8:AC41" si="2">AA8+AB8</f>
        <v>0</v>
      </c>
      <c r="AD8" s="468"/>
      <c r="AE8" s="463">
        <f t="shared" ref="AE8:AE42" si="3">AC8-AD8</f>
        <v>0</v>
      </c>
      <c r="AF8" s="563">
        <f>'11'!AF8+'12'!AB8</f>
        <v>0</v>
      </c>
      <c r="AG8" s="233">
        <f>'11'!AG8+'12'!AD8</f>
        <v>0</v>
      </c>
      <c r="AI8" s="391" t="s">
        <v>126</v>
      </c>
      <c r="AJ8" s="392">
        <f>'11'!AJ10</f>
        <v>0</v>
      </c>
    </row>
    <row r="9" spans="1:36" ht="27" customHeight="1" thickTop="1">
      <c r="A9" s="718"/>
      <c r="B9" s="526"/>
      <c r="C9" s="348"/>
      <c r="D9" s="550"/>
      <c r="F9" s="479" t="str">
        <f>'11'!F9</f>
        <v>MAKKI BAKERY</v>
      </c>
      <c r="G9" s="406">
        <f>'CUSTOMERS REPORT'!Y65</f>
        <v>0</v>
      </c>
      <c r="H9" s="504">
        <f>'CUSTOMERS REPORT'!Z65</f>
        <v>0</v>
      </c>
      <c r="I9" s="406">
        <f>'CUSTOMERS REPORT'!AA65</f>
        <v>0</v>
      </c>
      <c r="J9" s="498">
        <f>'CUSTOMERS REPORT'!AB65</f>
        <v>0</v>
      </c>
      <c r="K9" s="498">
        <f>'CUSTOMERS REPORT'!AC65</f>
        <v>0</v>
      </c>
      <c r="L9" s="509">
        <f>'CUSTOMERS REPORT'!AD65</f>
        <v>0</v>
      </c>
      <c r="M9" s="414">
        <f>'11'!M9+'12'!G9</f>
        <v>0</v>
      </c>
      <c r="N9" s="412">
        <f>'11'!N9+'12'!J9</f>
        <v>0</v>
      </c>
      <c r="P9" s="432"/>
      <c r="Q9" s="436"/>
      <c r="S9" s="400" t="str">
        <f>'11'!S9</f>
        <v>SUGAR</v>
      </c>
      <c r="T9" s="446">
        <f>'11'!X9</f>
        <v>0</v>
      </c>
      <c r="U9" s="456"/>
      <c r="V9" s="451">
        <f t="shared" si="0"/>
        <v>0</v>
      </c>
      <c r="W9" s="451"/>
      <c r="X9" s="447">
        <f t="shared" si="1"/>
        <v>0</v>
      </c>
      <c r="Z9" s="375" t="str">
        <f>'11'!Z9</f>
        <v>SOHNI</v>
      </c>
      <c r="AA9" s="464">
        <f>'11'!AE9</f>
        <v>0</v>
      </c>
      <c r="AB9" s="460"/>
      <c r="AC9" s="462">
        <f t="shared" si="2"/>
        <v>0</v>
      </c>
      <c r="AD9" s="469"/>
      <c r="AE9" s="348">
        <f t="shared" si="3"/>
        <v>0</v>
      </c>
      <c r="AF9" s="563">
        <f>'11'!AF9+'12'!AB9</f>
        <v>0</v>
      </c>
      <c r="AG9" s="234">
        <f>'11'!AG9+'12'!AD9</f>
        <v>0</v>
      </c>
      <c r="AI9" s="393" t="s">
        <v>128</v>
      </c>
      <c r="AJ9" s="394">
        <f>B26</f>
        <v>0</v>
      </c>
    </row>
    <row r="10" spans="1:36" ht="27" customHeight="1" thickBot="1">
      <c r="A10" s="718"/>
      <c r="B10" s="528"/>
      <c r="C10" s="350"/>
      <c r="D10" s="550"/>
      <c r="F10" s="479" t="str">
        <f>'11'!F10</f>
        <v>ABID HUSSAIN</v>
      </c>
      <c r="G10" s="406">
        <f>'CUSTOMERS REPORT'!Y103</f>
        <v>0</v>
      </c>
      <c r="H10" s="504">
        <f>'CUSTOMERS REPORT'!Z103</f>
        <v>0</v>
      </c>
      <c r="I10" s="406">
        <f>'CUSTOMERS REPORT'!AA103</f>
        <v>0</v>
      </c>
      <c r="J10" s="498">
        <f>'CUSTOMERS REPORT'!AB103</f>
        <v>0</v>
      </c>
      <c r="K10" s="498">
        <f>'CUSTOMERS REPORT'!AC103</f>
        <v>0</v>
      </c>
      <c r="L10" s="509">
        <f>'CUSTOMERS REPORT'!AD103</f>
        <v>0</v>
      </c>
      <c r="M10" s="414">
        <f>'11'!M10+'12'!G10</f>
        <v>0</v>
      </c>
      <c r="N10" s="412">
        <f>'11'!N10+'12'!J10</f>
        <v>0</v>
      </c>
      <c r="P10" s="433"/>
      <c r="Q10" s="437"/>
      <c r="S10" s="400" t="str">
        <f>'11'!S10</f>
        <v>GHEE</v>
      </c>
      <c r="T10" s="446">
        <f>'11'!X10</f>
        <v>0</v>
      </c>
      <c r="U10" s="456"/>
      <c r="V10" s="451">
        <f t="shared" si="0"/>
        <v>0</v>
      </c>
      <c r="W10" s="451"/>
      <c r="X10" s="447">
        <f t="shared" si="1"/>
        <v>0</v>
      </c>
      <c r="Z10" s="375" t="str">
        <f>'11'!Z10</f>
        <v>HUSSAINI</v>
      </c>
      <c r="AA10" s="464">
        <f>'11'!AE10</f>
        <v>0</v>
      </c>
      <c r="AB10" s="460"/>
      <c r="AC10" s="462">
        <f t="shared" si="2"/>
        <v>0</v>
      </c>
      <c r="AD10" s="469"/>
      <c r="AE10" s="348">
        <f t="shared" si="3"/>
        <v>0</v>
      </c>
      <c r="AF10" s="563">
        <f>'11'!AF10+'12'!AB10</f>
        <v>0</v>
      </c>
      <c r="AG10" s="234">
        <f>'11'!AG10+'12'!AD10</f>
        <v>0</v>
      </c>
      <c r="AI10" s="395" t="s">
        <v>74</v>
      </c>
      <c r="AJ10" s="396">
        <f>AJ8+AJ9</f>
        <v>0</v>
      </c>
    </row>
    <row r="11" spans="1:36" ht="27" customHeight="1" thickTop="1">
      <c r="A11" s="718"/>
      <c r="B11" s="528"/>
      <c r="C11" s="350"/>
      <c r="D11" s="550"/>
      <c r="F11" s="479" t="str">
        <f>'11'!F11</f>
        <v>SHAHID 5 #</v>
      </c>
      <c r="G11" s="406">
        <f>'CUSTOMERS REPORT'!Y142</f>
        <v>0</v>
      </c>
      <c r="H11" s="504">
        <f>'CUSTOMERS REPORT'!Z142</f>
        <v>0</v>
      </c>
      <c r="I11" s="406">
        <f>'CUSTOMERS REPORT'!AA142</f>
        <v>0</v>
      </c>
      <c r="J11" s="498">
        <f>'CUSTOMERS REPORT'!AB142</f>
        <v>0</v>
      </c>
      <c r="K11" s="498">
        <f>'CUSTOMERS REPORT'!AC142</f>
        <v>0</v>
      </c>
      <c r="L11" s="509">
        <f>'CUSTOMERS REPORT'!AD142</f>
        <v>0</v>
      </c>
      <c r="M11" s="414">
        <f>'11'!M11+'12'!G11</f>
        <v>0</v>
      </c>
      <c r="N11" s="412">
        <f>'11'!N11+'12'!J11</f>
        <v>0</v>
      </c>
      <c r="P11" s="433"/>
      <c r="Q11" s="437"/>
      <c r="S11" s="400" t="str">
        <f>'11'!S11</f>
        <v>YEAST</v>
      </c>
      <c r="T11" s="446">
        <f>'11'!X11</f>
        <v>0</v>
      </c>
      <c r="U11" s="456"/>
      <c r="V11" s="451">
        <f t="shared" ref="V11:V21" si="4">SUM(T11:U11)</f>
        <v>0</v>
      </c>
      <c r="W11" s="451"/>
      <c r="X11" s="447">
        <f t="shared" ref="X11:X21" si="5">V11-W11</f>
        <v>0</v>
      </c>
      <c r="Z11" s="375" t="str">
        <f>'11'!Z11</f>
        <v>IMRAN ALAM</v>
      </c>
      <c r="AA11" s="464">
        <f>'11'!AE11</f>
        <v>0</v>
      </c>
      <c r="AB11" s="460"/>
      <c r="AC11" s="462">
        <f t="shared" si="2"/>
        <v>0</v>
      </c>
      <c r="AD11" s="469"/>
      <c r="AE11" s="348">
        <f t="shared" ref="AE11:AE23" si="6">AC11-AD11</f>
        <v>0</v>
      </c>
      <c r="AF11" s="563">
        <f>'11'!AF11+'12'!AB11</f>
        <v>0</v>
      </c>
      <c r="AG11" s="234">
        <f>'11'!AG11+'12'!AD11</f>
        <v>0</v>
      </c>
      <c r="AI11" s="1031"/>
      <c r="AJ11" s="1032"/>
    </row>
    <row r="12" spans="1:36" ht="27" customHeight="1">
      <c r="A12" s="718"/>
      <c r="B12" s="528"/>
      <c r="C12" s="350"/>
      <c r="D12" s="550"/>
      <c r="F12" s="479" t="str">
        <f>'11'!F12</f>
        <v>ZULFIQAR</v>
      </c>
      <c r="G12" s="406">
        <f>'CUSTOMERS REPORT'!Y180</f>
        <v>0</v>
      </c>
      <c r="H12" s="504">
        <f>'CUSTOMERS REPORT'!Z180</f>
        <v>0</v>
      </c>
      <c r="I12" s="406">
        <f>'CUSTOMERS REPORT'!AA180</f>
        <v>0</v>
      </c>
      <c r="J12" s="498">
        <f>'CUSTOMERS REPORT'!AB180</f>
        <v>0</v>
      </c>
      <c r="K12" s="498">
        <f>'CUSTOMERS REPORT'!AC180</f>
        <v>0</v>
      </c>
      <c r="L12" s="509">
        <f>'CUSTOMERS REPORT'!AD180</f>
        <v>0</v>
      </c>
      <c r="M12" s="414">
        <f>'11'!M12+'12'!G12</f>
        <v>0</v>
      </c>
      <c r="N12" s="412">
        <f>'11'!N12+'12'!J12</f>
        <v>0</v>
      </c>
      <c r="P12" s="433"/>
      <c r="Q12" s="437"/>
      <c r="S12" s="400" t="str">
        <f>'11'!S12</f>
        <v xml:space="preserve">EKKA </v>
      </c>
      <c r="T12" s="446">
        <f>'11'!X12</f>
        <v>0</v>
      </c>
      <c r="U12" s="456"/>
      <c r="V12" s="451">
        <f t="shared" si="4"/>
        <v>0</v>
      </c>
      <c r="W12" s="451"/>
      <c r="X12" s="447">
        <f t="shared" si="5"/>
        <v>0</v>
      </c>
      <c r="Z12" s="375" t="str">
        <f>'11'!Z12</f>
        <v>ZAHEER</v>
      </c>
      <c r="AA12" s="464">
        <f>'11'!AE12</f>
        <v>0</v>
      </c>
      <c r="AB12" s="460"/>
      <c r="AC12" s="462">
        <f t="shared" si="2"/>
        <v>0</v>
      </c>
      <c r="AD12" s="469"/>
      <c r="AE12" s="348">
        <f t="shared" si="6"/>
        <v>0</v>
      </c>
      <c r="AF12" s="563">
        <f>'11'!AF12+'12'!AB12</f>
        <v>0</v>
      </c>
      <c r="AG12" s="234">
        <f>'11'!AG12+'12'!AD12</f>
        <v>0</v>
      </c>
      <c r="AI12" s="1031"/>
      <c r="AJ12" s="1032"/>
    </row>
    <row r="13" spans="1:36" ht="27" customHeight="1">
      <c r="A13" s="718"/>
      <c r="B13" s="528"/>
      <c r="C13" s="350"/>
      <c r="D13" s="550"/>
      <c r="F13" s="479" t="str">
        <f>'11'!F13</f>
        <v>QASIM ORANGI</v>
      </c>
      <c r="G13" s="406">
        <f>'CUSTOMERS REPORT'!Y220</f>
        <v>0</v>
      </c>
      <c r="H13" s="504">
        <f>'CUSTOMERS REPORT'!Z220</f>
        <v>0</v>
      </c>
      <c r="I13" s="406">
        <f>'CUSTOMERS REPORT'!AA220</f>
        <v>0</v>
      </c>
      <c r="J13" s="498">
        <f>'CUSTOMERS REPORT'!AB220</f>
        <v>0</v>
      </c>
      <c r="K13" s="498">
        <f>'CUSTOMERS REPORT'!AC220</f>
        <v>0</v>
      </c>
      <c r="L13" s="509">
        <f>'CUSTOMERS REPORT'!AD220</f>
        <v>0</v>
      </c>
      <c r="M13" s="414">
        <f>'11'!M13+'12'!G13</f>
        <v>0</v>
      </c>
      <c r="N13" s="412">
        <f>'11'!N13+'12'!J13</f>
        <v>0</v>
      </c>
      <c r="P13" s="433"/>
      <c r="Q13" s="437"/>
      <c r="S13" s="400" t="str">
        <f>'11'!S13</f>
        <v>VANILLA</v>
      </c>
      <c r="T13" s="446">
        <f>'11'!X13</f>
        <v>0</v>
      </c>
      <c r="U13" s="456"/>
      <c r="V13" s="451">
        <f t="shared" si="4"/>
        <v>0</v>
      </c>
      <c r="W13" s="451"/>
      <c r="X13" s="447">
        <f t="shared" si="5"/>
        <v>0</v>
      </c>
      <c r="Z13" s="375" t="str">
        <f>'11'!Z13</f>
        <v>FAISAL</v>
      </c>
      <c r="AA13" s="464">
        <f>'11'!AE13</f>
        <v>0</v>
      </c>
      <c r="AB13" s="460"/>
      <c r="AC13" s="462">
        <f t="shared" si="2"/>
        <v>0</v>
      </c>
      <c r="AD13" s="469"/>
      <c r="AE13" s="348">
        <f t="shared" si="6"/>
        <v>0</v>
      </c>
      <c r="AF13" s="563">
        <f>'11'!AF13+'12'!AB13</f>
        <v>0</v>
      </c>
      <c r="AG13" s="234">
        <f>'11'!AG13+'12'!AD13</f>
        <v>0</v>
      </c>
      <c r="AI13" s="1031"/>
      <c r="AJ13" s="1032"/>
    </row>
    <row r="14" spans="1:36" ht="27" customHeight="1">
      <c r="A14" s="718"/>
      <c r="B14" s="528"/>
      <c r="C14" s="350"/>
      <c r="D14" s="550"/>
      <c r="F14" s="479" t="str">
        <f>'11'!F14</f>
        <v>BADSHAH KHAN HYD</v>
      </c>
      <c r="G14" s="406">
        <f>'CUSTOMERS REPORT'!Y257</f>
        <v>0</v>
      </c>
      <c r="H14" s="504">
        <f>'CUSTOMERS REPORT'!Z257</f>
        <v>0</v>
      </c>
      <c r="I14" s="406">
        <f>'CUSTOMERS REPORT'!AA257</f>
        <v>0</v>
      </c>
      <c r="J14" s="498">
        <f>'CUSTOMERS REPORT'!AB257</f>
        <v>0</v>
      </c>
      <c r="K14" s="498">
        <f>'CUSTOMERS REPORT'!AC257</f>
        <v>0</v>
      </c>
      <c r="L14" s="509">
        <f>'CUSTOMERS REPORT'!AD257</f>
        <v>0</v>
      </c>
      <c r="M14" s="414">
        <f>'11'!M14+'12'!G14</f>
        <v>0</v>
      </c>
      <c r="N14" s="412">
        <f>'11'!N14+'12'!J14</f>
        <v>0</v>
      </c>
      <c r="P14" s="433"/>
      <c r="Q14" s="437"/>
      <c r="S14" s="400" t="str">
        <f>'11'!S14</f>
        <v>COLOUR</v>
      </c>
      <c r="T14" s="446">
        <f>'11'!X14</f>
        <v>0</v>
      </c>
      <c r="U14" s="456"/>
      <c r="V14" s="451">
        <f t="shared" si="4"/>
        <v>0</v>
      </c>
      <c r="W14" s="451"/>
      <c r="X14" s="447">
        <f t="shared" si="5"/>
        <v>0</v>
      </c>
      <c r="Z14" s="375" t="str">
        <f>'11'!Z14</f>
        <v>RANA EKKA</v>
      </c>
      <c r="AA14" s="464">
        <f>'11'!AE14</f>
        <v>0</v>
      </c>
      <c r="AB14" s="460"/>
      <c r="AC14" s="462">
        <f t="shared" si="2"/>
        <v>0</v>
      </c>
      <c r="AD14" s="469"/>
      <c r="AE14" s="348">
        <f t="shared" si="6"/>
        <v>0</v>
      </c>
      <c r="AF14" s="563">
        <f>'11'!AF14+'12'!AB14</f>
        <v>0</v>
      </c>
      <c r="AG14" s="234">
        <f>'11'!AG14+'12'!AD14</f>
        <v>0</v>
      </c>
      <c r="AI14" s="1031"/>
      <c r="AJ14" s="1032"/>
    </row>
    <row r="15" spans="1:36" ht="27" customHeight="1">
      <c r="A15" s="718"/>
      <c r="B15" s="528"/>
      <c r="C15" s="350"/>
      <c r="D15" s="550"/>
      <c r="F15" s="479" t="str">
        <f>'11'!F15</f>
        <v>SHAMOON</v>
      </c>
      <c r="G15" s="406">
        <f>'CUSTOMERS REPORT'!Y297</f>
        <v>0</v>
      </c>
      <c r="H15" s="504">
        <f>'CUSTOMERS REPORT'!Z297</f>
        <v>0</v>
      </c>
      <c r="I15" s="406">
        <f>'CUSTOMERS REPORT'!AA297</f>
        <v>0</v>
      </c>
      <c r="J15" s="498">
        <f>'CUSTOMERS REPORT'!AB297</f>
        <v>0</v>
      </c>
      <c r="K15" s="498">
        <f>'CUSTOMERS REPORT'!AC297</f>
        <v>0</v>
      </c>
      <c r="L15" s="509">
        <f>'CUSTOMERS REPORT'!AD297</f>
        <v>0</v>
      </c>
      <c r="M15" s="414">
        <f>'11'!M15+'12'!G15</f>
        <v>0</v>
      </c>
      <c r="N15" s="412">
        <f>'11'!N15+'12'!J15</f>
        <v>0</v>
      </c>
      <c r="P15" s="433"/>
      <c r="Q15" s="437"/>
      <c r="S15" s="400" t="str">
        <f>'11'!S15</f>
        <v>TILL</v>
      </c>
      <c r="T15" s="446">
        <f>'11'!X15</f>
        <v>0</v>
      </c>
      <c r="U15" s="456"/>
      <c r="V15" s="451">
        <f t="shared" si="4"/>
        <v>0</v>
      </c>
      <c r="W15" s="451"/>
      <c r="X15" s="447">
        <f t="shared" si="5"/>
        <v>0</v>
      </c>
      <c r="Z15" s="375" t="str">
        <f>'11'!Z15</f>
        <v>sheeba</v>
      </c>
      <c r="AA15" s="464">
        <f>'11'!AE15</f>
        <v>0</v>
      </c>
      <c r="AB15" s="460"/>
      <c r="AC15" s="462">
        <f t="shared" si="2"/>
        <v>0</v>
      </c>
      <c r="AD15" s="469"/>
      <c r="AE15" s="348">
        <f t="shared" si="6"/>
        <v>0</v>
      </c>
      <c r="AF15" s="563">
        <f>'11'!AF15+'12'!AB15</f>
        <v>0</v>
      </c>
      <c r="AG15" s="234">
        <f>'11'!AG15+'12'!AD15</f>
        <v>0</v>
      </c>
      <c r="AI15" s="1031"/>
      <c r="AJ15" s="1032"/>
    </row>
    <row r="16" spans="1:36" ht="27" customHeight="1">
      <c r="A16" s="718"/>
      <c r="B16" s="528"/>
      <c r="C16" s="350"/>
      <c r="D16" s="550"/>
      <c r="F16" s="479" t="str">
        <f>'11'!F16</f>
        <v>MATEEN</v>
      </c>
      <c r="G16" s="406">
        <f>'CUSTOMERS REPORT'!Y338</f>
        <v>0</v>
      </c>
      <c r="H16" s="504">
        <f>'CUSTOMERS REPORT'!Z338</f>
        <v>0</v>
      </c>
      <c r="I16" s="406">
        <f>'CUSTOMERS REPORT'!AA338</f>
        <v>0</v>
      </c>
      <c r="J16" s="498">
        <f>'CUSTOMERS REPORT'!AB338</f>
        <v>0</v>
      </c>
      <c r="K16" s="498">
        <f>'CUSTOMERS REPORT'!AC338</f>
        <v>0</v>
      </c>
      <c r="L16" s="509">
        <f>'CUSTOMERS REPORT'!AD338</f>
        <v>0</v>
      </c>
      <c r="M16" s="414">
        <f>'11'!M16+'12'!G16</f>
        <v>0</v>
      </c>
      <c r="N16" s="412">
        <f>'11'!N16+'12'!J16</f>
        <v>0</v>
      </c>
      <c r="P16" s="433"/>
      <c r="Q16" s="437"/>
      <c r="S16" s="400" t="str">
        <f>'11'!S16</f>
        <v>ILLAICHI</v>
      </c>
      <c r="T16" s="446">
        <f>'11'!X16</f>
        <v>0</v>
      </c>
      <c r="U16" s="456"/>
      <c r="V16" s="451">
        <f t="shared" si="4"/>
        <v>0</v>
      </c>
      <c r="W16" s="451"/>
      <c r="X16" s="447">
        <f t="shared" si="5"/>
        <v>0</v>
      </c>
      <c r="Z16" s="375" t="str">
        <f>'11'!Z16</f>
        <v>COTTON</v>
      </c>
      <c r="AA16" s="464">
        <f>'11'!AE16</f>
        <v>0</v>
      </c>
      <c r="AB16" s="460"/>
      <c r="AC16" s="462">
        <f t="shared" si="2"/>
        <v>0</v>
      </c>
      <c r="AD16" s="469"/>
      <c r="AE16" s="348">
        <f t="shared" si="6"/>
        <v>0</v>
      </c>
      <c r="AF16" s="563">
        <f>'11'!AF16+'12'!AB16</f>
        <v>0</v>
      </c>
      <c r="AG16" s="234">
        <f>'11'!AG16+'12'!AD16</f>
        <v>0</v>
      </c>
      <c r="AI16" s="1031"/>
      <c r="AJ16" s="1032"/>
    </row>
    <row r="17" spans="1:36" ht="27" customHeight="1">
      <c r="A17" s="718"/>
      <c r="B17" s="528"/>
      <c r="C17" s="350"/>
      <c r="D17" s="550"/>
      <c r="F17" s="479" t="str">
        <f>'11'!F17</f>
        <v>AMJAD ORANGI</v>
      </c>
      <c r="G17" s="406">
        <f>'CUSTOMERS REPORT'!Y380</f>
        <v>0</v>
      </c>
      <c r="H17" s="504">
        <f>'CUSTOMERS REPORT'!Z380</f>
        <v>0</v>
      </c>
      <c r="I17" s="406">
        <f>'CUSTOMERS REPORT'!AA380</f>
        <v>0</v>
      </c>
      <c r="J17" s="498">
        <f>'CUSTOMERS REPORT'!AB380</f>
        <v>0</v>
      </c>
      <c r="K17" s="498">
        <f>'CUSTOMERS REPORT'!AC380</f>
        <v>0</v>
      </c>
      <c r="L17" s="509">
        <f>'CUSTOMERS REPORT'!AD380</f>
        <v>0</v>
      </c>
      <c r="M17" s="414">
        <f>'11'!M17+'12'!G17</f>
        <v>0</v>
      </c>
      <c r="N17" s="412">
        <f>'11'!N17+'12'!J17</f>
        <v>0</v>
      </c>
      <c r="P17" s="433"/>
      <c r="Q17" s="437"/>
      <c r="S17" s="400" t="str">
        <f>'11'!S17</f>
        <v>S-THELLI</v>
      </c>
      <c r="T17" s="446">
        <f>'11'!X17</f>
        <v>0</v>
      </c>
      <c r="U17" s="456"/>
      <c r="V17" s="451">
        <f t="shared" si="4"/>
        <v>0</v>
      </c>
      <c r="W17" s="451"/>
      <c r="X17" s="447">
        <f t="shared" si="5"/>
        <v>0</v>
      </c>
      <c r="Z17" s="375" t="str">
        <f>'11'!Z17</f>
        <v>SHAHID UP</v>
      </c>
      <c r="AA17" s="464">
        <f>'11'!AE17</f>
        <v>0</v>
      </c>
      <c r="AB17" s="460"/>
      <c r="AC17" s="462">
        <f t="shared" si="2"/>
        <v>0</v>
      </c>
      <c r="AD17" s="469"/>
      <c r="AE17" s="348">
        <f t="shared" si="6"/>
        <v>0</v>
      </c>
      <c r="AF17" s="563">
        <f>'11'!AF17+'12'!AB17</f>
        <v>0</v>
      </c>
      <c r="AG17" s="234">
        <f>'11'!AG17+'12'!AD17</f>
        <v>0</v>
      </c>
      <c r="AI17" s="1031"/>
      <c r="AJ17" s="1032"/>
    </row>
    <row r="18" spans="1:36" ht="27" customHeight="1">
      <c r="A18" s="718"/>
      <c r="B18" s="528"/>
      <c r="C18" s="350"/>
      <c r="D18" s="550"/>
      <c r="F18" s="479" t="str">
        <f>'11'!F18</f>
        <v>HAFIZ DRIVER</v>
      </c>
      <c r="G18" s="406">
        <f>'CUSTOMERS REPORT'!Y419</f>
        <v>0</v>
      </c>
      <c r="H18" s="504">
        <f>'CUSTOMERS REPORT'!Z419</f>
        <v>0</v>
      </c>
      <c r="I18" s="406">
        <f>'CUSTOMERS REPORT'!AA419</f>
        <v>0</v>
      </c>
      <c r="J18" s="498">
        <f>'CUSTOMERS REPORT'!AB419</f>
        <v>0</v>
      </c>
      <c r="K18" s="498">
        <f>'CUSTOMERS REPORT'!AC419</f>
        <v>0</v>
      </c>
      <c r="L18" s="509">
        <f>'CUSTOMERS REPORT'!AD419</f>
        <v>0</v>
      </c>
      <c r="M18" s="414">
        <f>'11'!M18+'12'!G18</f>
        <v>0</v>
      </c>
      <c r="N18" s="412">
        <f>'11'!N18+'12'!J18</f>
        <v>0</v>
      </c>
      <c r="P18" s="433"/>
      <c r="Q18" s="437"/>
      <c r="S18" s="400" t="str">
        <f>'11'!S18</f>
        <v>P-THELLI</v>
      </c>
      <c r="T18" s="446">
        <f>'11'!X18</f>
        <v>0</v>
      </c>
      <c r="U18" s="456"/>
      <c r="V18" s="451">
        <f t="shared" si="4"/>
        <v>0</v>
      </c>
      <c r="W18" s="451"/>
      <c r="X18" s="447">
        <f t="shared" si="5"/>
        <v>0</v>
      </c>
      <c r="Z18" s="375" t="str">
        <f>'11'!Z18</f>
        <v>SALT</v>
      </c>
      <c r="AA18" s="464">
        <f>'11'!AE18</f>
        <v>0</v>
      </c>
      <c r="AB18" s="460"/>
      <c r="AC18" s="462">
        <f t="shared" si="2"/>
        <v>0</v>
      </c>
      <c r="AD18" s="469"/>
      <c r="AE18" s="348">
        <f t="shared" si="6"/>
        <v>0</v>
      </c>
      <c r="AF18" s="563">
        <f>'11'!AF18+'12'!AB18</f>
        <v>0</v>
      </c>
      <c r="AG18" s="234">
        <f>'11'!AG18+'12'!AD18</f>
        <v>0</v>
      </c>
      <c r="AI18" s="1031"/>
      <c r="AJ18" s="1032"/>
    </row>
    <row r="19" spans="1:36" ht="27" customHeight="1" thickBot="1">
      <c r="A19" s="719"/>
      <c r="B19" s="529"/>
      <c r="C19" s="350"/>
      <c r="D19" s="550"/>
      <c r="F19" s="479" t="str">
        <f>'11'!F19</f>
        <v>GHULAM QUETTA</v>
      </c>
      <c r="G19" s="406">
        <f>'CUSTOMERS REPORT'!Y457</f>
        <v>0</v>
      </c>
      <c r="H19" s="504">
        <f>'CUSTOMERS REPORT'!Z457</f>
        <v>0</v>
      </c>
      <c r="I19" s="406">
        <f>'CUSTOMERS REPORT'!AA457</f>
        <v>0</v>
      </c>
      <c r="J19" s="498">
        <f>'CUSTOMERS REPORT'!AB457</f>
        <v>0</v>
      </c>
      <c r="K19" s="498">
        <f>'CUSTOMERS REPORT'!AC457</f>
        <v>0</v>
      </c>
      <c r="L19" s="509">
        <f>'CUSTOMERS REPORT'!AD457</f>
        <v>0</v>
      </c>
      <c r="M19" s="414">
        <f>'11'!M19+'12'!G19</f>
        <v>0</v>
      </c>
      <c r="N19" s="412">
        <f>'11'!N19+'12'!J19</f>
        <v>0</v>
      </c>
      <c r="P19" s="433"/>
      <c r="Q19" s="437"/>
      <c r="S19" s="400" t="str">
        <f>'11'!S19</f>
        <v>RUBBER</v>
      </c>
      <c r="T19" s="446">
        <f>'11'!X19</f>
        <v>0</v>
      </c>
      <c r="U19" s="456"/>
      <c r="V19" s="451">
        <f t="shared" si="4"/>
        <v>0</v>
      </c>
      <c r="W19" s="451"/>
      <c r="X19" s="447">
        <f t="shared" si="5"/>
        <v>0</v>
      </c>
      <c r="Z19" s="375" t="str">
        <f>'11'!Z19</f>
        <v>NAVEED</v>
      </c>
      <c r="AA19" s="464">
        <f>'11'!AE19</f>
        <v>0</v>
      </c>
      <c r="AB19" s="460"/>
      <c r="AC19" s="462">
        <f t="shared" si="2"/>
        <v>0</v>
      </c>
      <c r="AD19" s="469"/>
      <c r="AE19" s="348">
        <f t="shared" si="6"/>
        <v>0</v>
      </c>
      <c r="AF19" s="563">
        <f>'11'!AF19+'12'!AB19</f>
        <v>0</v>
      </c>
      <c r="AG19" s="234">
        <f>'11'!AG19+'12'!AD19</f>
        <v>0</v>
      </c>
    </row>
    <row r="20" spans="1:36" ht="27" customHeight="1" thickTop="1" thickBot="1">
      <c r="A20" s="719"/>
      <c r="B20" s="529"/>
      <c r="C20" s="350"/>
      <c r="D20" s="550"/>
      <c r="F20" s="479" t="str">
        <f>'11'!F20</f>
        <v>HUSSAN GWADAR</v>
      </c>
      <c r="G20" s="406">
        <f>'CUSTOMERS REPORT'!Y493</f>
        <v>0</v>
      </c>
      <c r="H20" s="504">
        <f>'CUSTOMERS REPORT'!Z493</f>
        <v>0</v>
      </c>
      <c r="I20" s="406">
        <f>'CUSTOMERS REPORT'!AA493</f>
        <v>0</v>
      </c>
      <c r="J20" s="498">
        <f>'CUSTOMERS REPORT'!AB493</f>
        <v>0</v>
      </c>
      <c r="K20" s="498">
        <f>'CUSTOMERS REPORT'!AC493</f>
        <v>0</v>
      </c>
      <c r="L20" s="509">
        <f>'CUSTOMERS REPORT'!AD493</f>
        <v>0</v>
      </c>
      <c r="M20" s="414">
        <f>'11'!M20+'12'!G20</f>
        <v>0</v>
      </c>
      <c r="N20" s="412">
        <f>'11'!N20+'12'!J20</f>
        <v>0</v>
      </c>
      <c r="P20" s="433"/>
      <c r="Q20" s="437"/>
      <c r="S20" s="400" t="str">
        <f>'11'!S20</f>
        <v>SALT</v>
      </c>
      <c r="T20" s="446">
        <f>'11'!X20</f>
        <v>0</v>
      </c>
      <c r="U20" s="456"/>
      <c r="V20" s="451">
        <f t="shared" si="4"/>
        <v>0</v>
      </c>
      <c r="W20" s="451"/>
      <c r="X20" s="447">
        <f t="shared" si="5"/>
        <v>0</v>
      </c>
      <c r="Z20" s="375" t="str">
        <f>'11'!Z20</f>
        <v>YOUSUF BHAI</v>
      </c>
      <c r="AA20" s="464">
        <f>'11'!AE20</f>
        <v>0</v>
      </c>
      <c r="AB20" s="460"/>
      <c r="AC20" s="462">
        <f t="shared" si="2"/>
        <v>0</v>
      </c>
      <c r="AD20" s="469"/>
      <c r="AE20" s="348">
        <f t="shared" si="6"/>
        <v>0</v>
      </c>
      <c r="AF20" s="563">
        <f>'11'!AF20+'12'!AB20</f>
        <v>0</v>
      </c>
      <c r="AG20" s="234">
        <f>'11'!AG20+'12'!AD20</f>
        <v>0</v>
      </c>
      <c r="AI20" s="1487" t="s">
        <v>132</v>
      </c>
      <c r="AJ20" s="1488"/>
    </row>
    <row r="21" spans="1:36" ht="27" customHeight="1" thickTop="1" thickBot="1">
      <c r="A21" s="720"/>
      <c r="B21" s="530"/>
      <c r="C21" s="531"/>
      <c r="D21" s="553"/>
      <c r="F21" s="479" t="str">
        <f>'11'!F21</f>
        <v>AQASH S KOT</v>
      </c>
      <c r="G21" s="406">
        <f>'CUSTOMERS REPORT'!Y530</f>
        <v>0</v>
      </c>
      <c r="H21" s="504">
        <f>'CUSTOMERS REPORT'!Z530</f>
        <v>0</v>
      </c>
      <c r="I21" s="406">
        <f>'CUSTOMERS REPORT'!AA530</f>
        <v>0</v>
      </c>
      <c r="J21" s="498">
        <f>'CUSTOMERS REPORT'!AB530</f>
        <v>0</v>
      </c>
      <c r="K21" s="498">
        <f>'CUSTOMERS REPORT'!AC530</f>
        <v>0</v>
      </c>
      <c r="L21" s="509">
        <f>'CUSTOMERS REPORT'!AD530</f>
        <v>0</v>
      </c>
      <c r="M21" s="414">
        <f>'11'!M21+'12'!G21</f>
        <v>0</v>
      </c>
      <c r="N21" s="412">
        <f>'11'!N21+'12'!J21</f>
        <v>0</v>
      </c>
      <c r="P21" s="433"/>
      <c r="Q21" s="435"/>
      <c r="S21" s="400" t="str">
        <f>'11'!S21</f>
        <v>TAPE</v>
      </c>
      <c r="T21" s="446">
        <f>'11'!X21</f>
        <v>0</v>
      </c>
      <c r="U21" s="456"/>
      <c r="V21" s="451">
        <f t="shared" si="4"/>
        <v>0</v>
      </c>
      <c r="W21" s="451"/>
      <c r="X21" s="447">
        <f t="shared" si="5"/>
        <v>0</v>
      </c>
      <c r="Z21" s="375" t="str">
        <f>'11'!Z21</f>
        <v>SULEMAN  PRINT</v>
      </c>
      <c r="AA21" s="464">
        <f>'11'!AE21</f>
        <v>0</v>
      </c>
      <c r="AB21" s="460"/>
      <c r="AC21" s="462">
        <f t="shared" si="2"/>
        <v>0</v>
      </c>
      <c r="AD21" s="469"/>
      <c r="AE21" s="348">
        <f t="shared" si="6"/>
        <v>0</v>
      </c>
      <c r="AF21" s="563">
        <f>'11'!AF21+'12'!AB21</f>
        <v>0</v>
      </c>
      <c r="AG21" s="234">
        <f>'11'!AG21+'12'!AD21</f>
        <v>0</v>
      </c>
      <c r="AI21" s="391" t="s">
        <v>126</v>
      </c>
      <c r="AJ21" s="392">
        <f>'11'!AJ23</f>
        <v>0</v>
      </c>
    </row>
    <row r="22" spans="1:36" ht="27" customHeight="1" thickTop="1" thickBot="1">
      <c r="A22" s="486" t="s">
        <v>74</v>
      </c>
      <c r="B22" s="533">
        <f>SUM(B8:B21)</f>
        <v>0</v>
      </c>
      <c r="C22" s="534">
        <f>'11'!D22</f>
        <v>0</v>
      </c>
      <c r="D22" s="535">
        <f t="shared" ref="D22" si="7">B22+C22</f>
        <v>0</v>
      </c>
      <c r="F22" s="479" t="str">
        <f>'11'!F22</f>
        <v>SALEEM T JAM</v>
      </c>
      <c r="G22" s="406">
        <f>'CUSTOMERS REPORT'!Y568</f>
        <v>0</v>
      </c>
      <c r="H22" s="504">
        <f>'CUSTOMERS REPORT'!Z568</f>
        <v>0</v>
      </c>
      <c r="I22" s="406">
        <f>'CUSTOMERS REPORT'!AA568</f>
        <v>0</v>
      </c>
      <c r="J22" s="498">
        <f>'CUSTOMERS REPORT'!AB568</f>
        <v>0</v>
      </c>
      <c r="K22" s="498">
        <f>'CUSTOMERS REPORT'!AC568</f>
        <v>0</v>
      </c>
      <c r="L22" s="509">
        <f>'CUSTOMERS REPORT'!AD568</f>
        <v>0</v>
      </c>
      <c r="M22" s="414">
        <f>'11'!M22+'12'!G22</f>
        <v>0</v>
      </c>
      <c r="N22" s="412">
        <f>'11'!N22+'12'!J22</f>
        <v>0</v>
      </c>
      <c r="P22" s="433"/>
      <c r="Q22" s="438"/>
      <c r="S22" s="400" t="str">
        <f>'11'!S22</f>
        <v>COTTON</v>
      </c>
      <c r="T22" s="446">
        <f>'11'!X22</f>
        <v>0</v>
      </c>
      <c r="U22" s="456"/>
      <c r="V22" s="451">
        <f t="shared" si="0"/>
        <v>0</v>
      </c>
      <c r="W22" s="451"/>
      <c r="X22" s="447">
        <f t="shared" si="1"/>
        <v>0</v>
      </c>
      <c r="Z22" s="375" t="str">
        <f>'11'!Z22</f>
        <v>IRFAN VANILA</v>
      </c>
      <c r="AA22" s="464">
        <f>'11'!AE22</f>
        <v>0</v>
      </c>
      <c r="AB22" s="460"/>
      <c r="AC22" s="462">
        <f t="shared" si="2"/>
        <v>0</v>
      </c>
      <c r="AD22" s="469"/>
      <c r="AE22" s="348">
        <f t="shared" si="6"/>
        <v>0</v>
      </c>
      <c r="AF22" s="563">
        <f>'11'!AF22+'12'!AB22</f>
        <v>0</v>
      </c>
      <c r="AG22" s="234">
        <f>'11'!AG22+'12'!AD22</f>
        <v>0</v>
      </c>
      <c r="AI22" s="393">
        <f>R56</f>
        <v>0</v>
      </c>
      <c r="AJ22" s="394">
        <f>R56*1800</f>
        <v>0</v>
      </c>
    </row>
    <row r="23" spans="1:36" ht="27" customHeight="1" thickTop="1" thickBot="1">
      <c r="A23" s="715" t="str">
        <f>'11'!A23</f>
        <v>OFFICE FOOD</v>
      </c>
      <c r="B23" s="462"/>
      <c r="C23" s="536">
        <f>'11'!D23</f>
        <v>0</v>
      </c>
      <c r="D23" s="537">
        <f t="shared" ref="D23:D48" si="8">B23+C23</f>
        <v>0</v>
      </c>
      <c r="F23" s="479" t="str">
        <f>'11'!F23</f>
        <v>JAMSHAD BADEEN</v>
      </c>
      <c r="G23" s="406">
        <f>'CUSTOMERS REPORT'!Y604</f>
        <v>0</v>
      </c>
      <c r="H23" s="504">
        <f>'CUSTOMERS REPORT'!Z604</f>
        <v>0</v>
      </c>
      <c r="I23" s="406">
        <f>'CUSTOMERS REPORT'!AA604</f>
        <v>0</v>
      </c>
      <c r="J23" s="498">
        <f>'CUSTOMERS REPORT'!AB604</f>
        <v>0</v>
      </c>
      <c r="K23" s="498">
        <f>'CUSTOMERS REPORT'!AC604</f>
        <v>0</v>
      </c>
      <c r="L23" s="509">
        <f>'CUSTOMERS REPORT'!AD604</f>
        <v>0</v>
      </c>
      <c r="M23" s="414">
        <f>'11'!M23+'12'!G23</f>
        <v>0</v>
      </c>
      <c r="N23" s="412">
        <f>'11'!N23+'12'!J23</f>
        <v>0</v>
      </c>
      <c r="P23" s="190" t="s">
        <v>48</v>
      </c>
      <c r="Q23" s="439">
        <f>SUM(Q8:Q22)</f>
        <v>0</v>
      </c>
      <c r="S23" s="400" t="str">
        <f>'11'!S23</f>
        <v>WHITE 6</v>
      </c>
      <c r="T23" s="446">
        <f>'11'!X23</f>
        <v>0</v>
      </c>
      <c r="U23" s="456"/>
      <c r="V23" s="451">
        <f t="shared" si="0"/>
        <v>0</v>
      </c>
      <c r="W23" s="451"/>
      <c r="X23" s="447">
        <f t="shared" si="1"/>
        <v>0</v>
      </c>
      <c r="Z23" s="375" t="str">
        <f>'11'!Z23</f>
        <v>IRANI GHEE</v>
      </c>
      <c r="AA23" s="464">
        <f>'11'!AE23</f>
        <v>0</v>
      </c>
      <c r="AB23" s="460"/>
      <c r="AC23" s="462">
        <f t="shared" si="2"/>
        <v>0</v>
      </c>
      <c r="AD23" s="469"/>
      <c r="AE23" s="348">
        <f t="shared" si="6"/>
        <v>0</v>
      </c>
      <c r="AF23" s="563">
        <f>'11'!AF23+'12'!AB23</f>
        <v>0</v>
      </c>
      <c r="AG23" s="234">
        <f>'11'!AG23+'12'!AD23</f>
        <v>0</v>
      </c>
      <c r="AI23" s="395" t="s">
        <v>74</v>
      </c>
      <c r="AJ23" s="396">
        <f>AJ21+AJ22</f>
        <v>0</v>
      </c>
    </row>
    <row r="24" spans="1:36" ht="27" customHeight="1" thickTop="1" thickBot="1">
      <c r="A24" s="715" t="str">
        <f>'11'!A24</f>
        <v>LABOUR FOOD EXP</v>
      </c>
      <c r="B24" s="234"/>
      <c r="C24" s="348">
        <f>'11'!D24</f>
        <v>0</v>
      </c>
      <c r="D24" s="234">
        <f t="shared" si="8"/>
        <v>0</v>
      </c>
      <c r="F24" s="479" t="str">
        <f>'11'!F24</f>
        <v>SARFAZ MP</v>
      </c>
      <c r="G24" s="406">
        <f>'CUSTOMERS REPORT'!Y642</f>
        <v>0</v>
      </c>
      <c r="H24" s="504">
        <f>'CUSTOMERS REPORT'!Z642</f>
        <v>0</v>
      </c>
      <c r="I24" s="406">
        <f>'CUSTOMERS REPORT'!AA642</f>
        <v>0</v>
      </c>
      <c r="J24" s="498">
        <f>'CUSTOMERS REPORT'!AB642</f>
        <v>0</v>
      </c>
      <c r="K24" s="498">
        <f>'CUSTOMERS REPORT'!AC642</f>
        <v>0</v>
      </c>
      <c r="L24" s="509">
        <f>'CUSTOMERS REPORT'!AD642</f>
        <v>0</v>
      </c>
      <c r="M24" s="414">
        <f>'11'!M24+'12'!G24</f>
        <v>0</v>
      </c>
      <c r="N24" s="412">
        <f>'11'!N24+'12'!J24</f>
        <v>0</v>
      </c>
      <c r="P24" s="1514" t="s">
        <v>137</v>
      </c>
      <c r="Q24" s="1514"/>
      <c r="R24" t="s">
        <v>1</v>
      </c>
      <c r="S24" s="400" t="str">
        <f>'11'!S24</f>
        <v>ORANGE</v>
      </c>
      <c r="T24" s="446">
        <f>'11'!X24</f>
        <v>0</v>
      </c>
      <c r="U24" s="456"/>
      <c r="V24" s="451">
        <f t="shared" si="0"/>
        <v>0</v>
      </c>
      <c r="W24" s="451"/>
      <c r="X24" s="447">
        <f t="shared" si="1"/>
        <v>0</v>
      </c>
      <c r="Z24" s="375">
        <f>'11'!Z24</f>
        <v>0</v>
      </c>
      <c r="AA24" s="464">
        <f>'11'!AE24</f>
        <v>0</v>
      </c>
      <c r="AB24" s="460"/>
      <c r="AC24" s="462">
        <f t="shared" si="2"/>
        <v>0</v>
      </c>
      <c r="AD24" s="469"/>
      <c r="AE24" s="348">
        <f t="shared" si="3"/>
        <v>0</v>
      </c>
      <c r="AF24" s="563">
        <f>'11'!AF24+'12'!AB24</f>
        <v>0</v>
      </c>
      <c r="AG24" s="234">
        <f>'11'!AG24+'12'!AD24</f>
        <v>0</v>
      </c>
    </row>
    <row r="25" spans="1:36" ht="27" customHeight="1" thickTop="1" thickBot="1">
      <c r="A25" s="715" t="str">
        <f>'11'!A25</f>
        <v>OFFICE SALARY</v>
      </c>
      <c r="B25" s="234"/>
      <c r="C25" s="348">
        <f>'11'!D25</f>
        <v>0</v>
      </c>
      <c r="D25" s="234">
        <f t="shared" si="8"/>
        <v>0</v>
      </c>
      <c r="F25" s="479" t="str">
        <f>'11'!F25</f>
        <v>AFZAL MATLI</v>
      </c>
      <c r="G25" s="406">
        <f>'CUSTOMERS REPORT'!Y680</f>
        <v>0</v>
      </c>
      <c r="H25" s="504">
        <f>'CUSTOMERS REPORT'!Z680</f>
        <v>0</v>
      </c>
      <c r="I25" s="406">
        <f>'CUSTOMERS REPORT'!AA680</f>
        <v>0</v>
      </c>
      <c r="J25" s="498">
        <f>'CUSTOMERS REPORT'!AB680</f>
        <v>0</v>
      </c>
      <c r="K25" s="498">
        <f>'CUSTOMERS REPORT'!AC680</f>
        <v>0</v>
      </c>
      <c r="L25" s="509">
        <f>'CUSTOMERS REPORT'!AD680</f>
        <v>0</v>
      </c>
      <c r="M25" s="414">
        <f>'11'!M25+'12'!G25</f>
        <v>0</v>
      </c>
      <c r="N25" s="412">
        <f>'11'!N25+'12'!J25</f>
        <v>0</v>
      </c>
      <c r="P25" s="434"/>
      <c r="Q25" s="440"/>
      <c r="S25" s="400" t="str">
        <f>'11'!S25</f>
        <v>MAKKI 7</v>
      </c>
      <c r="T25" s="446">
        <f>'11'!X25</f>
        <v>0</v>
      </c>
      <c r="U25" s="456"/>
      <c r="V25" s="451">
        <f t="shared" si="0"/>
        <v>0</v>
      </c>
      <c r="W25" s="451"/>
      <c r="X25" s="447">
        <f t="shared" si="1"/>
        <v>0</v>
      </c>
      <c r="Z25" s="375">
        <f>'11'!Z25</f>
        <v>0</v>
      </c>
      <c r="AA25" s="464">
        <f>'11'!AE25</f>
        <v>0</v>
      </c>
      <c r="AB25" s="734"/>
      <c r="AC25" s="462">
        <f t="shared" si="2"/>
        <v>0</v>
      </c>
      <c r="AD25" s="469"/>
      <c r="AE25" s="348">
        <f t="shared" si="3"/>
        <v>0</v>
      </c>
      <c r="AF25" s="563">
        <f>'11'!AF25+'12'!AB25</f>
        <v>0</v>
      </c>
      <c r="AG25" s="234">
        <f>'11'!AG25+'12'!AD25</f>
        <v>0</v>
      </c>
      <c r="AI25" s="397" t="s">
        <v>59</v>
      </c>
      <c r="AJ25" s="398">
        <f>AJ23-AJ10</f>
        <v>0</v>
      </c>
    </row>
    <row r="26" spans="1:36" ht="27" customHeight="1" thickTop="1">
      <c r="A26" s="715" t="str">
        <f>'11'!A26</f>
        <v>LABOUR SALARY</v>
      </c>
      <c r="B26" s="234">
        <f>SUM('SALERY SHEET'!Z97:AA97)</f>
        <v>0</v>
      </c>
      <c r="C26" s="348">
        <f>'11'!D26</f>
        <v>0</v>
      </c>
      <c r="D26" s="234">
        <f t="shared" si="8"/>
        <v>0</v>
      </c>
      <c r="F26" s="479" t="str">
        <f>'11'!F26</f>
        <v xml:space="preserve">ABDUL RASHEED </v>
      </c>
      <c r="G26" s="406">
        <f>'CUSTOMERS REPORT'!Y718</f>
        <v>0</v>
      </c>
      <c r="H26" s="504">
        <f>'CUSTOMERS REPORT'!Z718</f>
        <v>0</v>
      </c>
      <c r="I26" s="406">
        <f>'CUSTOMERS REPORT'!AA718</f>
        <v>0</v>
      </c>
      <c r="J26" s="498">
        <f>'CUSTOMERS REPORT'!AB718</f>
        <v>0</v>
      </c>
      <c r="K26" s="498">
        <f>'CUSTOMERS REPORT'!AC718</f>
        <v>0</v>
      </c>
      <c r="L26" s="509">
        <f>'CUSTOMERS REPORT'!AD718</f>
        <v>0</v>
      </c>
      <c r="M26" s="414">
        <f>'11'!M26+'12'!G26</f>
        <v>0</v>
      </c>
      <c r="N26" s="412">
        <f>'11'!N26+'12'!J26</f>
        <v>0</v>
      </c>
      <c r="P26" s="433"/>
      <c r="Q26" s="438"/>
      <c r="R26" t="s">
        <v>1</v>
      </c>
      <c r="S26" s="400" t="str">
        <f>'11'!S26</f>
        <v>BLUE 125 GM</v>
      </c>
      <c r="T26" s="446">
        <f>'11'!X26</f>
        <v>0</v>
      </c>
      <c r="U26" s="456"/>
      <c r="V26" s="451">
        <f t="shared" si="0"/>
        <v>0</v>
      </c>
      <c r="W26" s="451"/>
      <c r="X26" s="447">
        <f t="shared" si="1"/>
        <v>0</v>
      </c>
      <c r="Z26" s="375">
        <f>'11'!Z26</f>
        <v>0</v>
      </c>
      <c r="AA26" s="464">
        <f>'11'!AE26</f>
        <v>0</v>
      </c>
      <c r="AB26" s="460"/>
      <c r="AC26" s="462">
        <f t="shared" si="2"/>
        <v>0</v>
      </c>
      <c r="AD26" s="469"/>
      <c r="AE26" s="348">
        <f t="shared" si="3"/>
        <v>0</v>
      </c>
      <c r="AF26" s="563">
        <f>'11'!AF26+'12'!AB26</f>
        <v>0</v>
      </c>
      <c r="AG26" s="234">
        <f>'11'!AG26+'12'!AD26</f>
        <v>0</v>
      </c>
    </row>
    <row r="27" spans="1:36" ht="27" customHeight="1">
      <c r="A27" s="715" t="str">
        <f>'11'!A27</f>
        <v>SHAHZORE</v>
      </c>
      <c r="B27" s="234"/>
      <c r="C27" s="348">
        <f>'11'!D27</f>
        <v>0</v>
      </c>
      <c r="D27" s="234">
        <f t="shared" si="8"/>
        <v>0</v>
      </c>
      <c r="F27" s="479" t="str">
        <f>'11'!F27</f>
        <v>SALEEM ORANGI</v>
      </c>
      <c r="G27" s="406">
        <f>'CUSTOMERS REPORT'!Y756</f>
        <v>0</v>
      </c>
      <c r="H27" s="504">
        <f>'CUSTOMERS REPORT'!Z756</f>
        <v>0</v>
      </c>
      <c r="I27" s="406">
        <f>'CUSTOMERS REPORT'!AA756</f>
        <v>0</v>
      </c>
      <c r="J27" s="498">
        <f>'CUSTOMERS REPORT'!AB756</f>
        <v>0</v>
      </c>
      <c r="K27" s="498">
        <f>'CUSTOMERS REPORT'!AC756</f>
        <v>0</v>
      </c>
      <c r="L27" s="509">
        <f>'CUSTOMERS REPORT'!AD756</f>
        <v>0</v>
      </c>
      <c r="M27" s="414">
        <f>'11'!M27+'12'!G27</f>
        <v>0</v>
      </c>
      <c r="N27" s="412">
        <f>'11'!N27+'12'!J27</f>
        <v>0</v>
      </c>
      <c r="P27" s="433"/>
      <c r="Q27" s="435"/>
      <c r="R27" t="s">
        <v>1</v>
      </c>
      <c r="S27" s="400" t="str">
        <f>'11'!S27</f>
        <v>MAKKI 5</v>
      </c>
      <c r="T27" s="446">
        <f>'11'!X27</f>
        <v>0</v>
      </c>
      <c r="U27" s="456"/>
      <c r="V27" s="451">
        <f t="shared" si="0"/>
        <v>0</v>
      </c>
      <c r="W27" s="451"/>
      <c r="X27" s="447">
        <f t="shared" si="1"/>
        <v>0</v>
      </c>
      <c r="Z27" s="375">
        <f>'11'!Z27</f>
        <v>0</v>
      </c>
      <c r="AA27" s="464">
        <f>'11'!AE27</f>
        <v>0</v>
      </c>
      <c r="AB27" s="460"/>
      <c r="AC27" s="462">
        <f t="shared" si="2"/>
        <v>0</v>
      </c>
      <c r="AD27" s="469"/>
      <c r="AE27" s="348">
        <f t="shared" si="3"/>
        <v>0</v>
      </c>
      <c r="AF27" s="563">
        <f>'11'!AF27+'12'!AB27</f>
        <v>0</v>
      </c>
      <c r="AG27" s="234">
        <f>'11'!AG27+'12'!AD27</f>
        <v>0</v>
      </c>
    </row>
    <row r="28" spans="1:36" ht="27" customHeight="1">
      <c r="A28" s="715" t="str">
        <f>'11'!A28</f>
        <v>GENERATOR</v>
      </c>
      <c r="B28" s="234"/>
      <c r="C28" s="348">
        <f>'11'!D28</f>
        <v>0</v>
      </c>
      <c r="D28" s="234">
        <f t="shared" si="8"/>
        <v>0</v>
      </c>
      <c r="F28" s="479" t="str">
        <f>'11'!F28</f>
        <v>AYAZ OUSTA</v>
      </c>
      <c r="G28" s="406">
        <f>'CUSTOMERS REPORT'!Y794</f>
        <v>0</v>
      </c>
      <c r="H28" s="504">
        <f>'CUSTOMERS REPORT'!Z794</f>
        <v>0</v>
      </c>
      <c r="I28" s="406">
        <f>'CUSTOMERS REPORT'!AA794</f>
        <v>0</v>
      </c>
      <c r="J28" s="498">
        <f>'CUSTOMERS REPORT'!AB794</f>
        <v>0</v>
      </c>
      <c r="K28" s="498">
        <f>'CUSTOMERS REPORT'!AC794</f>
        <v>0</v>
      </c>
      <c r="L28" s="509">
        <f>'CUSTOMERS REPORT'!AD794</f>
        <v>0</v>
      </c>
      <c r="M28" s="414">
        <f>'11'!M28+'12'!G28</f>
        <v>0</v>
      </c>
      <c r="N28" s="412">
        <f>'11'!N28+'12'!J28</f>
        <v>0</v>
      </c>
      <c r="P28" s="433"/>
      <c r="Q28" s="438"/>
      <c r="S28" s="400" t="str">
        <f>'11'!S28</f>
        <v>MAKKI 2 PES</v>
      </c>
      <c r="T28" s="446">
        <f>'11'!X28</f>
        <v>0</v>
      </c>
      <c r="U28" s="456"/>
      <c r="V28" s="451">
        <f t="shared" si="0"/>
        <v>0</v>
      </c>
      <c r="W28" s="451"/>
      <c r="X28" s="447">
        <f t="shared" si="1"/>
        <v>0</v>
      </c>
      <c r="Z28" s="375">
        <f>'11'!Z28</f>
        <v>0</v>
      </c>
      <c r="AA28" s="464">
        <f>'11'!AE28</f>
        <v>0</v>
      </c>
      <c r="AB28" s="460"/>
      <c r="AC28" s="462">
        <f t="shared" si="2"/>
        <v>0</v>
      </c>
      <c r="AD28" s="469"/>
      <c r="AE28" s="348">
        <f t="shared" si="3"/>
        <v>0</v>
      </c>
      <c r="AF28" s="563">
        <f>'11'!AF28+'12'!AB28</f>
        <v>0</v>
      </c>
      <c r="AG28" s="234">
        <f>'11'!AG28+'12'!AD28</f>
        <v>0</v>
      </c>
    </row>
    <row r="29" spans="1:36" ht="27" customHeight="1">
      <c r="A29" s="715" t="str">
        <f>'11'!A29</f>
        <v>PATROL FAW</v>
      </c>
      <c r="B29" s="234"/>
      <c r="C29" s="348">
        <f>'11'!D29</f>
        <v>0</v>
      </c>
      <c r="D29" s="234">
        <f t="shared" si="8"/>
        <v>0</v>
      </c>
      <c r="F29" s="479" t="str">
        <f>'11'!F29</f>
        <v>AZHAR BADEEN</v>
      </c>
      <c r="G29" s="406">
        <f>'CUSTOMERS REPORT'!Y832</f>
        <v>0</v>
      </c>
      <c r="H29" s="504">
        <f>'CUSTOMERS REPORT'!Z832</f>
        <v>0</v>
      </c>
      <c r="I29" s="406">
        <f>'CUSTOMERS REPORT'!AA832</f>
        <v>0</v>
      </c>
      <c r="J29" s="498">
        <f>'CUSTOMERS REPORT'!AB832</f>
        <v>0</v>
      </c>
      <c r="K29" s="498">
        <f>'CUSTOMERS REPORT'!AC832</f>
        <v>0</v>
      </c>
      <c r="L29" s="509">
        <f>'CUSTOMERS REPORT'!AD832</f>
        <v>0</v>
      </c>
      <c r="M29" s="414">
        <f>'11'!M29+'12'!G29</f>
        <v>0</v>
      </c>
      <c r="N29" s="412">
        <f>'11'!N29+'12'!J29</f>
        <v>0</v>
      </c>
      <c r="P29" s="433"/>
      <c r="Q29" s="441"/>
      <c r="S29" s="400" t="str">
        <f>'11'!S29</f>
        <v xml:space="preserve">PRIME </v>
      </c>
      <c r="T29" s="446">
        <f>'11'!X29</f>
        <v>0</v>
      </c>
      <c r="U29" s="456"/>
      <c r="V29" s="451">
        <f t="shared" si="0"/>
        <v>0</v>
      </c>
      <c r="W29" s="451"/>
      <c r="X29" s="447">
        <f t="shared" si="1"/>
        <v>0</v>
      </c>
      <c r="Z29" s="375">
        <f>'11'!Z29</f>
        <v>0</v>
      </c>
      <c r="AA29" s="464">
        <f>'11'!AE29</f>
        <v>0</v>
      </c>
      <c r="AB29" s="460"/>
      <c r="AC29" s="462">
        <f t="shared" si="2"/>
        <v>0</v>
      </c>
      <c r="AD29" s="469"/>
      <c r="AE29" s="348">
        <f t="shared" si="3"/>
        <v>0</v>
      </c>
      <c r="AF29" s="563">
        <f>'11'!AF29+'12'!AB29</f>
        <v>0</v>
      </c>
      <c r="AG29" s="234">
        <f>'11'!AG29+'12'!AD29</f>
        <v>0</v>
      </c>
    </row>
    <row r="30" spans="1:36" ht="27" customHeight="1">
      <c r="A30" s="715" t="str">
        <f>'11'!A30</f>
        <v>FOTON DIESEL</v>
      </c>
      <c r="B30" s="234"/>
      <c r="C30" s="348">
        <f>'11'!D30</f>
        <v>0</v>
      </c>
      <c r="D30" s="234">
        <f t="shared" si="8"/>
        <v>0</v>
      </c>
      <c r="F30" s="479" t="str">
        <f>'11'!F30</f>
        <v>FAISAL HUB</v>
      </c>
      <c r="G30" s="406">
        <f>'CUSTOMERS REPORT'!Y870</f>
        <v>0</v>
      </c>
      <c r="H30" s="504">
        <f>'CUSTOMERS REPORT'!Z870</f>
        <v>0</v>
      </c>
      <c r="I30" s="406">
        <f>'CUSTOMERS REPORT'!AA870</f>
        <v>0</v>
      </c>
      <c r="J30" s="498">
        <f>'CUSTOMERS REPORT'!AB870</f>
        <v>0</v>
      </c>
      <c r="K30" s="498">
        <f>'CUSTOMERS REPORT'!AC870</f>
        <v>0</v>
      </c>
      <c r="L30" s="509">
        <f>'CUSTOMERS REPORT'!AD870</f>
        <v>0</v>
      </c>
      <c r="M30" s="414">
        <f>'11'!M30+'12'!G30</f>
        <v>0</v>
      </c>
      <c r="N30" s="412">
        <f>'11'!N30+'12'!J30</f>
        <v>0</v>
      </c>
      <c r="P30" s="433"/>
      <c r="Q30" s="442"/>
      <c r="S30" s="400" t="str">
        <f>'11'!S30</f>
        <v>PRIMR 15</v>
      </c>
      <c r="T30" s="446">
        <f>'11'!X30</f>
        <v>0</v>
      </c>
      <c r="U30" s="456"/>
      <c r="V30" s="451">
        <f t="shared" si="0"/>
        <v>0</v>
      </c>
      <c r="W30" s="451"/>
      <c r="X30" s="447">
        <f t="shared" si="1"/>
        <v>0</v>
      </c>
      <c r="Z30" s="375">
        <f>'11'!Z30</f>
        <v>0</v>
      </c>
      <c r="AA30" s="464">
        <f>'11'!AE30</f>
        <v>0</v>
      </c>
      <c r="AB30" s="460"/>
      <c r="AC30" s="462">
        <f t="shared" si="2"/>
        <v>0</v>
      </c>
      <c r="AD30" s="469"/>
      <c r="AE30" s="348">
        <f t="shared" si="3"/>
        <v>0</v>
      </c>
      <c r="AF30" s="563">
        <f>'11'!AF30+'12'!AB30</f>
        <v>0</v>
      </c>
      <c r="AG30" s="234">
        <f>'11'!AG30+'12'!AD30</f>
        <v>0</v>
      </c>
    </row>
    <row r="31" spans="1:36" ht="27" customHeight="1" thickBot="1">
      <c r="A31" s="715" t="str">
        <f>'11'!A31</f>
        <v>UTILITY BILLS</v>
      </c>
      <c r="B31" s="234"/>
      <c r="C31" s="348">
        <f>'11'!D31</f>
        <v>0</v>
      </c>
      <c r="D31" s="234">
        <f t="shared" si="8"/>
        <v>0</v>
      </c>
      <c r="F31" s="479" t="str">
        <f>'11'!F31</f>
        <v>ABDUL RAHMAN</v>
      </c>
      <c r="G31" s="406">
        <f>'CUSTOMERS REPORT'!Y909</f>
        <v>0</v>
      </c>
      <c r="H31" s="504">
        <f>'CUSTOMERS REPORT'!Z909</f>
        <v>0</v>
      </c>
      <c r="I31" s="406">
        <f>'CUSTOMERS REPORT'!AA909</f>
        <v>0</v>
      </c>
      <c r="J31" s="498">
        <f>'CUSTOMERS REPORT'!AB909</f>
        <v>0</v>
      </c>
      <c r="K31" s="498">
        <f>'CUSTOMERS REPORT'!AC909</f>
        <v>0</v>
      </c>
      <c r="L31" s="509">
        <f>'CUSTOMERS REPORT'!AD909</f>
        <v>0</v>
      </c>
      <c r="M31" s="414">
        <f>'11'!M31+'12'!G31</f>
        <v>0</v>
      </c>
      <c r="N31" s="412">
        <f>'11'!N31+'12'!J31</f>
        <v>0</v>
      </c>
      <c r="P31" s="433"/>
      <c r="Q31" s="435"/>
      <c r="S31" s="400" t="str">
        <f>'11'!S31</f>
        <v>KARACHI</v>
      </c>
      <c r="T31" s="446">
        <f>'11'!X31</f>
        <v>0</v>
      </c>
      <c r="U31" s="456"/>
      <c r="V31" s="451">
        <f t="shared" si="0"/>
        <v>0</v>
      </c>
      <c r="W31" s="451"/>
      <c r="X31" s="447">
        <f t="shared" si="1"/>
        <v>0</v>
      </c>
      <c r="Z31" s="375">
        <f>'11'!Z31</f>
        <v>0</v>
      </c>
      <c r="AA31" s="464">
        <f>'11'!AE31</f>
        <v>0</v>
      </c>
      <c r="AB31" s="460"/>
      <c r="AC31" s="462">
        <f t="shared" si="2"/>
        <v>0</v>
      </c>
      <c r="AD31" s="469"/>
      <c r="AE31" s="348">
        <f t="shared" si="3"/>
        <v>0</v>
      </c>
      <c r="AF31" s="563">
        <f>'11'!AF31+'12'!AB31</f>
        <v>0</v>
      </c>
      <c r="AG31" s="234">
        <f>'11'!AG31+'12'!AD31</f>
        <v>0</v>
      </c>
      <c r="AI31" t="s">
        <v>1</v>
      </c>
    </row>
    <row r="32" spans="1:36" ht="27" customHeight="1" thickTop="1" thickBot="1">
      <c r="A32" s="725" t="str">
        <f>'11'!A32</f>
        <v>WOOD</v>
      </c>
      <c r="B32" s="234"/>
      <c r="C32" s="348">
        <f>'11'!D32</f>
        <v>0</v>
      </c>
      <c r="D32" s="234">
        <f t="shared" si="8"/>
        <v>0</v>
      </c>
      <c r="F32" s="479" t="str">
        <f>'11'!F32</f>
        <v>HAJI JAN GIWANI</v>
      </c>
      <c r="G32" s="406">
        <f>'CUSTOMERS REPORT'!Y948</f>
        <v>0</v>
      </c>
      <c r="H32" s="504">
        <f>'CUSTOMERS REPORT'!Z948</f>
        <v>0</v>
      </c>
      <c r="I32" s="406">
        <f>'CUSTOMERS REPORT'!AA948</f>
        <v>0</v>
      </c>
      <c r="J32" s="498">
        <f>'CUSTOMERS REPORT'!AB948</f>
        <v>0</v>
      </c>
      <c r="K32" s="498">
        <f>'CUSTOMERS REPORT'!AC948</f>
        <v>0</v>
      </c>
      <c r="L32" s="509">
        <f>'CUSTOMERS REPORT'!AD948</f>
        <v>0</v>
      </c>
      <c r="M32" s="414">
        <f>'11'!M32+'12'!G32</f>
        <v>0</v>
      </c>
      <c r="N32" s="412">
        <f>'11'!N32+'12'!J32</f>
        <v>0</v>
      </c>
      <c r="P32" s="190" t="s">
        <v>51</v>
      </c>
      <c r="Q32" s="439">
        <f>Q23-Q25-Q26-Q27-Q28-Q29-Q30-Q31</f>
        <v>0</v>
      </c>
      <c r="R32" t="s">
        <v>1</v>
      </c>
      <c r="S32" s="400" t="str">
        <f>'11'!S32</f>
        <v>MARVI</v>
      </c>
      <c r="T32" s="446">
        <f>'11'!X32</f>
        <v>0</v>
      </c>
      <c r="U32" s="456"/>
      <c r="V32" s="451">
        <f t="shared" si="0"/>
        <v>0</v>
      </c>
      <c r="W32" s="451"/>
      <c r="X32" s="447">
        <f t="shared" si="1"/>
        <v>0</v>
      </c>
      <c r="Z32" s="375">
        <f>'11'!Z32</f>
        <v>0</v>
      </c>
      <c r="AA32" s="464">
        <f>'11'!AE32</f>
        <v>0</v>
      </c>
      <c r="AB32" s="460"/>
      <c r="AC32" s="462">
        <f t="shared" si="2"/>
        <v>0</v>
      </c>
      <c r="AD32" s="469"/>
      <c r="AE32" s="348">
        <f t="shared" si="3"/>
        <v>0</v>
      </c>
      <c r="AF32" s="563">
        <f>'11'!AF32+'12'!AB32</f>
        <v>0</v>
      </c>
      <c r="AG32" s="234">
        <f>'11'!AG32+'12'!AD32</f>
        <v>0</v>
      </c>
    </row>
    <row r="33" spans="1:40" ht="27" customHeight="1" thickTop="1" thickBot="1">
      <c r="A33" s="716" t="str">
        <f>'11'!A33</f>
        <v>TOLL</v>
      </c>
      <c r="B33" s="538"/>
      <c r="C33" s="348">
        <f>'11'!D33</f>
        <v>0</v>
      </c>
      <c r="D33" s="234">
        <f t="shared" si="8"/>
        <v>0</v>
      </c>
      <c r="F33" s="479" t="str">
        <f>'11'!F33</f>
        <v>ALI QURESHI HYD</v>
      </c>
      <c r="G33" s="406">
        <f>'CUSTOMERS REPORT'!Y986</f>
        <v>0</v>
      </c>
      <c r="H33" s="504">
        <f>'CUSTOMERS REPORT'!Z986</f>
        <v>0</v>
      </c>
      <c r="I33" s="406">
        <f>'CUSTOMERS REPORT'!AA986</f>
        <v>0</v>
      </c>
      <c r="J33" s="498">
        <f>'CUSTOMERS REPORT'!AB986</f>
        <v>0</v>
      </c>
      <c r="K33" s="498">
        <f>'CUSTOMERS REPORT'!AC986</f>
        <v>0</v>
      </c>
      <c r="L33" s="509">
        <f>'CUSTOMERS REPORT'!AD986</f>
        <v>0</v>
      </c>
      <c r="M33" s="414">
        <f>'11'!M33+'12'!G33</f>
        <v>0</v>
      </c>
      <c r="N33" s="412">
        <f>'11'!N33+'12'!J33</f>
        <v>0</v>
      </c>
      <c r="P33" s="1499" t="s">
        <v>149</v>
      </c>
      <c r="Q33" s="1500"/>
      <c r="S33" s="400" t="str">
        <f>'11'!S33</f>
        <v>TS</v>
      </c>
      <c r="T33" s="446">
        <f>'11'!X33</f>
        <v>0</v>
      </c>
      <c r="U33" s="456"/>
      <c r="V33" s="451">
        <f t="shared" si="0"/>
        <v>0</v>
      </c>
      <c r="W33" s="451"/>
      <c r="X33" s="447">
        <f t="shared" si="1"/>
        <v>0</v>
      </c>
      <c r="Z33" s="375">
        <f>'11'!Z33</f>
        <v>0</v>
      </c>
      <c r="AA33" s="464">
        <f>'11'!AE33</f>
        <v>0</v>
      </c>
      <c r="AB33" s="460"/>
      <c r="AC33" s="462">
        <f t="shared" si="2"/>
        <v>0</v>
      </c>
      <c r="AD33" s="469"/>
      <c r="AE33" s="348">
        <f t="shared" si="3"/>
        <v>0</v>
      </c>
      <c r="AF33" s="563">
        <f>'11'!AF33+'12'!AB33</f>
        <v>0</v>
      </c>
      <c r="AG33" s="234">
        <f>'11'!AG33+'12'!AD33</f>
        <v>0</v>
      </c>
    </row>
    <row r="34" spans="1:40" ht="27" customHeight="1" thickTop="1" thickBot="1">
      <c r="A34" s="716" t="str">
        <f>'11'!A34</f>
        <v>FLOUR / SHGER</v>
      </c>
      <c r="B34" s="538"/>
      <c r="C34" s="348">
        <f>'11'!D34</f>
        <v>0</v>
      </c>
      <c r="D34" s="234">
        <f t="shared" si="8"/>
        <v>0</v>
      </c>
      <c r="F34" s="479" t="str">
        <f>'11'!F34</f>
        <v>ALI RAZA KAND KOT</v>
      </c>
      <c r="G34" s="406">
        <f>'CUSTOMERS REPORT'!Y1024</f>
        <v>0</v>
      </c>
      <c r="H34" s="504">
        <f>'CUSTOMERS REPORT'!Z1024</f>
        <v>0</v>
      </c>
      <c r="I34" s="406">
        <f>'CUSTOMERS REPORT'!AA1024</f>
        <v>0</v>
      </c>
      <c r="J34" s="498">
        <f>'CUSTOMERS REPORT'!AB1024</f>
        <v>0</v>
      </c>
      <c r="K34" s="498">
        <f>'CUSTOMERS REPORT'!AC1024</f>
        <v>0</v>
      </c>
      <c r="L34" s="509">
        <f>'CUSTOMERS REPORT'!AD1024</f>
        <v>0</v>
      </c>
      <c r="M34" s="414">
        <f>'11'!M34+'12'!G34</f>
        <v>0</v>
      </c>
      <c r="N34" s="412">
        <f>'11'!N34+'12'!J34</f>
        <v>0</v>
      </c>
      <c r="P34" s="220" t="s">
        <v>150</v>
      </c>
      <c r="Q34" s="223">
        <f>'11'!Q34</f>
        <v>0</v>
      </c>
      <c r="S34" s="400" t="str">
        <f>'11'!S34</f>
        <v>MAXI</v>
      </c>
      <c r="T34" s="446">
        <f>'11'!X34</f>
        <v>0</v>
      </c>
      <c r="U34" s="457"/>
      <c r="V34" s="452">
        <f t="shared" si="0"/>
        <v>0</v>
      </c>
      <c r="W34" s="452"/>
      <c r="X34" s="448">
        <f t="shared" si="1"/>
        <v>0</v>
      </c>
      <c r="Z34" s="375">
        <f>'11'!Z34</f>
        <v>0</v>
      </c>
      <c r="AA34" s="464">
        <f>'11'!AE34</f>
        <v>0</v>
      </c>
      <c r="AB34" s="460"/>
      <c r="AC34" s="462">
        <f t="shared" si="2"/>
        <v>0</v>
      </c>
      <c r="AD34" s="469"/>
      <c r="AE34" s="348">
        <f t="shared" si="3"/>
        <v>0</v>
      </c>
      <c r="AF34" s="563">
        <f>'11'!AF34+'12'!AB34</f>
        <v>0</v>
      </c>
      <c r="AG34" s="234">
        <f>'11'!AG34+'12'!AD34</f>
        <v>0</v>
      </c>
    </row>
    <row r="35" spans="1:40" ht="27" customHeight="1" thickTop="1">
      <c r="A35" s="716" t="str">
        <f>'11'!A35</f>
        <v>OVEN &amp; PP MACHINE</v>
      </c>
      <c r="B35" s="529"/>
      <c r="C35" s="348">
        <f>'11'!D35</f>
        <v>0</v>
      </c>
      <c r="D35" s="529">
        <f t="shared" si="8"/>
        <v>0</v>
      </c>
      <c r="F35" s="479" t="str">
        <f>'11'!F35</f>
        <v>IQBAL MORO</v>
      </c>
      <c r="G35" s="407">
        <f>'CUSTOMERS REPORT'!Y1062</f>
        <v>0</v>
      </c>
      <c r="H35" s="505">
        <f>'CUSTOMERS REPORT'!Z1062</f>
        <v>0</v>
      </c>
      <c r="I35" s="407">
        <f>'CUSTOMERS REPORT'!AA1062</f>
        <v>0</v>
      </c>
      <c r="J35" s="499">
        <f>'CUSTOMERS REPORT'!AB1062</f>
        <v>0</v>
      </c>
      <c r="K35" s="499">
        <f>'CUSTOMERS REPORT'!AC1062</f>
        <v>0</v>
      </c>
      <c r="L35" s="510">
        <f>'CUSTOMERS REPORT'!AD1062</f>
        <v>0</v>
      </c>
      <c r="M35" s="414">
        <f>'11'!M35+'12'!G35</f>
        <v>0</v>
      </c>
      <c r="N35" s="412">
        <f>'11'!N35+'12'!J35</f>
        <v>0</v>
      </c>
      <c r="P35" s="252" t="s">
        <v>151</v>
      </c>
      <c r="Q35" s="443">
        <f>'11'!Q35</f>
        <v>0</v>
      </c>
      <c r="R35" t="s">
        <v>1</v>
      </c>
      <c r="S35" s="400" t="str">
        <f>'11'!S35</f>
        <v>M A WHITE</v>
      </c>
      <c r="T35" s="446">
        <f>'11'!X35</f>
        <v>0</v>
      </c>
      <c r="U35" s="457"/>
      <c r="V35" s="452">
        <f t="shared" si="0"/>
        <v>0</v>
      </c>
      <c r="W35" s="452"/>
      <c r="X35" s="448">
        <f t="shared" si="1"/>
        <v>0</v>
      </c>
      <c r="Z35" s="375">
        <f>'11'!Z35</f>
        <v>0</v>
      </c>
      <c r="AA35" s="464">
        <f>'11'!AE35</f>
        <v>0</v>
      </c>
      <c r="AB35" s="460"/>
      <c r="AC35" s="462">
        <f t="shared" si="2"/>
        <v>0</v>
      </c>
      <c r="AD35" s="469"/>
      <c r="AE35" s="348">
        <f t="shared" si="3"/>
        <v>0</v>
      </c>
      <c r="AF35" s="563">
        <f>'11'!AF35+'12'!AB35</f>
        <v>0</v>
      </c>
      <c r="AG35" s="234">
        <f>'11'!AG35+'12'!AD35</f>
        <v>0</v>
      </c>
    </row>
    <row r="36" spans="1:40" ht="27" customHeight="1">
      <c r="A36" s="716" t="str">
        <f>'11'!A36</f>
        <v>zakat</v>
      </c>
      <c r="B36" s="539"/>
      <c r="C36" s="348">
        <f>'11'!D36</f>
        <v>0</v>
      </c>
      <c r="D36" s="529">
        <f t="shared" si="8"/>
        <v>0</v>
      </c>
      <c r="F36" s="479" t="str">
        <f>'11'!F36</f>
        <v>SARFARAZ T ADAM</v>
      </c>
      <c r="G36" s="407">
        <f>'CUSTOMERS REPORT'!Y1100</f>
        <v>0</v>
      </c>
      <c r="H36" s="505">
        <f>'CUSTOMERS REPORT'!Z1100</f>
        <v>0</v>
      </c>
      <c r="I36" s="407">
        <f>'CUSTOMERS REPORT'!AA1100</f>
        <v>0</v>
      </c>
      <c r="J36" s="499">
        <f>'CUSTOMERS REPORT'!AB1100</f>
        <v>0</v>
      </c>
      <c r="K36" s="499">
        <f>'CUSTOMERS REPORT'!AC1100</f>
        <v>0</v>
      </c>
      <c r="L36" s="510">
        <f>'CUSTOMERS REPORT'!AD1100</f>
        <v>0</v>
      </c>
      <c r="M36" s="414">
        <f>'11'!M36+'12'!G36</f>
        <v>0</v>
      </c>
      <c r="N36" s="412">
        <f>'11'!N36+'12'!J36</f>
        <v>0</v>
      </c>
      <c r="P36" s="372" t="s">
        <v>152</v>
      </c>
      <c r="Q36" s="444">
        <f>J48</f>
        <v>0</v>
      </c>
      <c r="R36" t="s">
        <v>1</v>
      </c>
      <c r="S36" s="400" t="str">
        <f>'11'!S36</f>
        <v>M A ORING</v>
      </c>
      <c r="T36" s="446">
        <f>'11'!X36</f>
        <v>0</v>
      </c>
      <c r="U36" s="456"/>
      <c r="V36" s="451">
        <f t="shared" si="0"/>
        <v>0</v>
      </c>
      <c r="W36" s="452"/>
      <c r="X36" s="448">
        <f t="shared" si="1"/>
        <v>0</v>
      </c>
      <c r="Z36" s="375">
        <f>'11'!Z36</f>
        <v>0</v>
      </c>
      <c r="AA36" s="464">
        <f>'11'!AE36</f>
        <v>0</v>
      </c>
      <c r="AB36" s="460"/>
      <c r="AC36" s="462">
        <f t="shared" si="2"/>
        <v>0</v>
      </c>
      <c r="AD36" s="469"/>
      <c r="AE36" s="348">
        <f t="shared" si="3"/>
        <v>0</v>
      </c>
      <c r="AF36" s="563">
        <f>'11'!AF36+'12'!AB36</f>
        <v>0</v>
      </c>
      <c r="AG36" s="234">
        <f>'11'!AG36+'12'!AD36</f>
        <v>0</v>
      </c>
    </row>
    <row r="37" spans="1:40" ht="27" customHeight="1">
      <c r="A37" s="715" t="str">
        <f>'11'!A37</f>
        <v>javeed manghopir</v>
      </c>
      <c r="B37" s="234"/>
      <c r="C37" s="348">
        <f>'11'!D37</f>
        <v>0</v>
      </c>
      <c r="D37" s="234">
        <f t="shared" si="8"/>
        <v>0</v>
      </c>
      <c r="F37" s="479" t="str">
        <f>'11'!F37</f>
        <v>MUMTAZ K N SHAH</v>
      </c>
      <c r="G37" s="406">
        <f>'CUSTOMERS REPORT'!Y1138</f>
        <v>0</v>
      </c>
      <c r="H37" s="504">
        <f>'CUSTOMERS REPORT'!Z1138</f>
        <v>0</v>
      </c>
      <c r="I37" s="406">
        <f>'CUSTOMERS REPORT'!AA1138</f>
        <v>0</v>
      </c>
      <c r="J37" s="498">
        <f>'CUSTOMERS REPORT'!AB1138</f>
        <v>0</v>
      </c>
      <c r="K37" s="498">
        <f>'CUSTOMERS REPORT'!AC1138</f>
        <v>0</v>
      </c>
      <c r="L37" s="509">
        <f>'CUSTOMERS REPORT'!AD1138</f>
        <v>0</v>
      </c>
      <c r="M37" s="414">
        <f>'11'!M37+'12'!G37</f>
        <v>0</v>
      </c>
      <c r="N37" s="412">
        <f>'11'!N37+'12'!J37</f>
        <v>0</v>
      </c>
      <c r="P37" s="373" t="s">
        <v>153</v>
      </c>
      <c r="Q37" s="445">
        <f>Q34+Q35+Q36</f>
        <v>0</v>
      </c>
      <c r="R37" t="s">
        <v>1</v>
      </c>
      <c r="S37" s="400">
        <f>'11'!S37</f>
        <v>0</v>
      </c>
      <c r="T37" s="446">
        <f>'11'!X37</f>
        <v>0</v>
      </c>
      <c r="U37" s="456"/>
      <c r="V37" s="451">
        <f t="shared" si="0"/>
        <v>0</v>
      </c>
      <c r="W37" s="452"/>
      <c r="X37" s="448">
        <f t="shared" si="1"/>
        <v>0</v>
      </c>
      <c r="Z37" s="375">
        <f>'11'!Z37</f>
        <v>0</v>
      </c>
      <c r="AA37" s="464">
        <f>'11'!AE37</f>
        <v>0</v>
      </c>
      <c r="AB37" s="460"/>
      <c r="AC37" s="462">
        <f t="shared" si="2"/>
        <v>0</v>
      </c>
      <c r="AD37" s="469"/>
      <c r="AE37" s="348">
        <f t="shared" si="3"/>
        <v>0</v>
      </c>
      <c r="AF37" s="563">
        <f>'11'!AF37+'12'!AB37</f>
        <v>0</v>
      </c>
      <c r="AG37" s="234">
        <f>'11'!AG37+'12'!AD37</f>
        <v>0</v>
      </c>
    </row>
    <row r="38" spans="1:40" ht="27" customHeight="1">
      <c r="A38" s="715" t="str">
        <f>'11'!A38</f>
        <v>EXSIS CASH</v>
      </c>
      <c r="B38" s="234"/>
      <c r="C38" s="348">
        <f>'11'!D38</f>
        <v>0</v>
      </c>
      <c r="D38" s="234">
        <f t="shared" si="8"/>
        <v>0</v>
      </c>
      <c r="F38" s="479" t="str">
        <f>'11'!F38</f>
        <v>GHULAM RASOOL QU</v>
      </c>
      <c r="G38" s="408">
        <f>'CUSTOMERS REPORT'!Y1175</f>
        <v>0</v>
      </c>
      <c r="H38" s="506">
        <f>'CUSTOMERS REPORT'!Z1175</f>
        <v>0</v>
      </c>
      <c r="I38" s="408">
        <f>'CUSTOMERS REPORT'!AA1175</f>
        <v>0</v>
      </c>
      <c r="J38" s="500">
        <f>'CUSTOMERS REPORT'!AB1175</f>
        <v>0</v>
      </c>
      <c r="K38" s="500">
        <f>'CUSTOMERS REPORT'!AC1175</f>
        <v>0</v>
      </c>
      <c r="L38" s="511">
        <f>'CUSTOMERS REPORT'!AD1175</f>
        <v>0</v>
      </c>
      <c r="M38" s="414">
        <f>'11'!M38+'12'!G38</f>
        <v>0</v>
      </c>
      <c r="N38" s="412">
        <f>'11'!N38+'12'!J38</f>
        <v>0</v>
      </c>
      <c r="P38" s="373" t="s">
        <v>154</v>
      </c>
      <c r="Q38" s="445">
        <f>D48</f>
        <v>0</v>
      </c>
      <c r="S38" s="400">
        <f>'11'!S38</f>
        <v>0</v>
      </c>
      <c r="T38" s="446">
        <f>'11'!X38</f>
        <v>0</v>
      </c>
      <c r="U38" s="456"/>
      <c r="V38" s="451">
        <f t="shared" si="0"/>
        <v>0</v>
      </c>
      <c r="W38" s="452"/>
      <c r="X38" s="448">
        <f t="shared" si="1"/>
        <v>0</v>
      </c>
      <c r="Z38" s="375">
        <f>'11'!Z38</f>
        <v>0</v>
      </c>
      <c r="AA38" s="464">
        <f>'11'!AE38</f>
        <v>0</v>
      </c>
      <c r="AB38" s="460"/>
      <c r="AC38" s="462">
        <f t="shared" si="2"/>
        <v>0</v>
      </c>
      <c r="AD38" s="469"/>
      <c r="AE38" s="348">
        <f t="shared" si="3"/>
        <v>0</v>
      </c>
      <c r="AF38" s="563">
        <f>'11'!AF38+'12'!AB38</f>
        <v>0</v>
      </c>
      <c r="AG38" s="234">
        <f>'11'!AG38+'12'!AD38</f>
        <v>0</v>
      </c>
    </row>
    <row r="39" spans="1:40" ht="27" customHeight="1">
      <c r="A39" s="715" t="str">
        <f>'11'!A39</f>
        <v>SHORT CASH</v>
      </c>
      <c r="B39" s="526"/>
      <c r="C39" s="348">
        <f>'11'!D39</f>
        <v>0</v>
      </c>
      <c r="D39" s="550">
        <f t="shared" si="8"/>
        <v>0</v>
      </c>
      <c r="F39" s="479" t="str">
        <f>'11'!F39</f>
        <v>SHAMSHAD UNCLE</v>
      </c>
      <c r="G39" s="406">
        <f>'CUSTOMERS REPORT'!Y1212</f>
        <v>0</v>
      </c>
      <c r="H39" s="504">
        <f>'CUSTOMERS REPORT'!Z1212</f>
        <v>0</v>
      </c>
      <c r="I39" s="406">
        <f>'CUSTOMERS REPORT'!AA1212</f>
        <v>0</v>
      </c>
      <c r="J39" s="498">
        <f>'CUSTOMERS REPORT'!AB1212</f>
        <v>0</v>
      </c>
      <c r="K39" s="498">
        <f>'CUSTOMERS REPORT'!AC1212</f>
        <v>0</v>
      </c>
      <c r="L39" s="509">
        <f>'CUSTOMERS REPORT'!AD1212</f>
        <v>0</v>
      </c>
      <c r="M39" s="414">
        <f>'11'!M39+'12'!G39</f>
        <v>0</v>
      </c>
      <c r="N39" s="412">
        <f>'11'!N39+'12'!J39</f>
        <v>0</v>
      </c>
      <c r="P39" s="373" t="s">
        <v>109</v>
      </c>
      <c r="Q39" s="445">
        <f>'11'!Q39+'12'!Q25+'12'!Q26+'12'!Q27+'12'!Q28+'12'!Q29+'12'!Q30+'12'!Q31</f>
        <v>0</v>
      </c>
      <c r="R39" t="s">
        <v>1</v>
      </c>
      <c r="S39" s="400">
        <f>'11'!S39</f>
        <v>0</v>
      </c>
      <c r="T39" s="446">
        <f>'11'!X39</f>
        <v>0</v>
      </c>
      <c r="U39" s="456"/>
      <c r="V39" s="451">
        <f t="shared" si="0"/>
        <v>0</v>
      </c>
      <c r="W39" s="452"/>
      <c r="X39" s="448">
        <f t="shared" si="1"/>
        <v>0</v>
      </c>
      <c r="Z39" s="375">
        <f>'11'!Z39</f>
        <v>0</v>
      </c>
      <c r="AA39" s="464">
        <f>'11'!AE39</f>
        <v>0</v>
      </c>
      <c r="AB39" s="460"/>
      <c r="AC39" s="462">
        <f t="shared" si="2"/>
        <v>0</v>
      </c>
      <c r="AD39" s="469"/>
      <c r="AE39" s="348">
        <f t="shared" si="3"/>
        <v>0</v>
      </c>
      <c r="AF39" s="563">
        <f>'11'!AF39+'12'!AB39</f>
        <v>0</v>
      </c>
      <c r="AG39" s="234">
        <f>'11'!AG39+'12'!AD39</f>
        <v>0</v>
      </c>
    </row>
    <row r="40" spans="1:40" ht="27" customHeight="1" thickBot="1">
      <c r="A40" s="715" t="str">
        <f>'11'!A40</f>
        <v>ASSETS</v>
      </c>
      <c r="B40" s="234"/>
      <c r="C40" s="348">
        <f>'11'!D40</f>
        <v>0</v>
      </c>
      <c r="D40" s="234">
        <f t="shared" si="8"/>
        <v>0</v>
      </c>
      <c r="F40" s="479" t="str">
        <f>'11'!F40</f>
        <v>IBRAHEEM D.G KHAN</v>
      </c>
      <c r="G40" s="406">
        <f>'CUSTOMERS REPORT'!Y1249</f>
        <v>0</v>
      </c>
      <c r="H40" s="504">
        <f>'CUSTOMERS REPORT'!Z1249</f>
        <v>0</v>
      </c>
      <c r="I40" s="406">
        <f>'CUSTOMERS REPORT'!AA1249</f>
        <v>0</v>
      </c>
      <c r="J40" s="498">
        <f>'CUSTOMERS REPORT'!AB1249</f>
        <v>0</v>
      </c>
      <c r="K40" s="498">
        <f>'CUSTOMERS REPORT'!AC1249</f>
        <v>0</v>
      </c>
      <c r="L40" s="509">
        <f>'CUSTOMERS REPORT'!AD1249</f>
        <v>0</v>
      </c>
      <c r="M40" s="414">
        <f>'11'!M40+'12'!G40</f>
        <v>0</v>
      </c>
      <c r="N40" s="412">
        <f>'11'!N40+'12'!J40</f>
        <v>0</v>
      </c>
      <c r="P40" s="374" t="s">
        <v>155</v>
      </c>
      <c r="Q40" s="445">
        <f>Q48</f>
        <v>0</v>
      </c>
      <c r="S40" s="400">
        <f>'11'!S40</f>
        <v>0</v>
      </c>
      <c r="T40" s="446">
        <f>'11'!X40</f>
        <v>0</v>
      </c>
      <c r="U40" s="456"/>
      <c r="V40" s="451">
        <f t="shared" si="0"/>
        <v>0</v>
      </c>
      <c r="W40" s="452"/>
      <c r="X40" s="448">
        <f t="shared" si="1"/>
        <v>0</v>
      </c>
      <c r="Z40" s="375">
        <f>'11'!Z40</f>
        <v>0</v>
      </c>
      <c r="AA40" s="464">
        <f>'11'!AE40</f>
        <v>0</v>
      </c>
      <c r="AB40" s="460"/>
      <c r="AC40" s="462">
        <f t="shared" si="2"/>
        <v>0</v>
      </c>
      <c r="AD40" s="469"/>
      <c r="AE40" s="348">
        <f t="shared" si="3"/>
        <v>0</v>
      </c>
      <c r="AF40" s="563">
        <f>'11'!AF40+'12'!AB40</f>
        <v>0</v>
      </c>
      <c r="AG40" s="234">
        <f>'11'!AG40+'12'!AD40</f>
        <v>0</v>
      </c>
    </row>
    <row r="41" spans="1:40" ht="27" customHeight="1" thickTop="1" thickBot="1">
      <c r="A41" s="715" t="str">
        <f>'11'!A41</f>
        <v>BIKE.INSTALMINT</v>
      </c>
      <c r="B41" s="234"/>
      <c r="C41" s="348">
        <f>'11'!D41</f>
        <v>0</v>
      </c>
      <c r="D41" s="234">
        <f t="shared" si="8"/>
        <v>0</v>
      </c>
      <c r="E41" t="s">
        <v>1</v>
      </c>
      <c r="F41" s="479" t="str">
        <f>'11'!F41</f>
        <v>PISHAWAR</v>
      </c>
      <c r="G41" s="409">
        <f>'CUSTOMERS REPORT'!Y1286</f>
        <v>0</v>
      </c>
      <c r="H41" s="507">
        <f>'CUSTOMERS REPORT'!Z1286</f>
        <v>0</v>
      </c>
      <c r="I41" s="409">
        <f>'CUSTOMERS REPORT'!AA1286</f>
        <v>0</v>
      </c>
      <c r="J41" s="501">
        <f>'CUSTOMERS REPORT'!AB1286</f>
        <v>0</v>
      </c>
      <c r="K41" s="501">
        <f>'CUSTOMERS REPORT'!AC1286</f>
        <v>0</v>
      </c>
      <c r="L41" s="512">
        <f>'CUSTOMERS REPORT'!AD1286</f>
        <v>0</v>
      </c>
      <c r="M41" s="414">
        <f>'11'!M41+'12'!G41</f>
        <v>0</v>
      </c>
      <c r="N41" s="412">
        <f>'11'!N41+'12'!J41</f>
        <v>0</v>
      </c>
      <c r="P41" s="221" t="s">
        <v>51</v>
      </c>
      <c r="Q41" s="223">
        <f>Q37-Q38-Q39-Q40</f>
        <v>0</v>
      </c>
      <c r="S41" s="400">
        <f>'11'!S41</f>
        <v>0</v>
      </c>
      <c r="T41" s="446">
        <f>'11'!X41</f>
        <v>0</v>
      </c>
      <c r="U41" s="456"/>
      <c r="V41" s="451">
        <f t="shared" si="0"/>
        <v>0</v>
      </c>
      <c r="W41" s="452"/>
      <c r="X41" s="448">
        <f t="shared" si="1"/>
        <v>0</v>
      </c>
      <c r="Z41" s="375">
        <f>'11'!Z41</f>
        <v>0</v>
      </c>
      <c r="AA41" s="464">
        <f>'11'!AE41</f>
        <v>0</v>
      </c>
      <c r="AB41" s="460"/>
      <c r="AC41" s="462">
        <f t="shared" si="2"/>
        <v>0</v>
      </c>
      <c r="AD41" s="469"/>
      <c r="AE41" s="348">
        <f t="shared" si="3"/>
        <v>0</v>
      </c>
      <c r="AF41" s="563">
        <f>'11'!AF41+'12'!AB41</f>
        <v>0</v>
      </c>
      <c r="AG41" s="234">
        <f>'11'!AG41+'12'!AD41</f>
        <v>0</v>
      </c>
    </row>
    <row r="42" spans="1:40" ht="27" customHeight="1" thickTop="1" thickBot="1">
      <c r="A42" s="715" t="str">
        <f>'11'!A42</f>
        <v>B.C</v>
      </c>
      <c r="B42" s="529"/>
      <c r="C42" s="348">
        <f>'11'!D42</f>
        <v>0</v>
      </c>
      <c r="D42" s="529">
        <f t="shared" si="8"/>
        <v>0</v>
      </c>
      <c r="F42" s="479" t="str">
        <f>'11'!F42</f>
        <v>HUZAFA KOTRI</v>
      </c>
      <c r="G42" s="409">
        <f>'CUSTOMERS REPORT'!Y1323</f>
        <v>0</v>
      </c>
      <c r="H42" s="507">
        <f>'CUSTOMERS REPORT'!Z1323</f>
        <v>0</v>
      </c>
      <c r="I42" s="409">
        <f>'CUSTOMERS REPORT'!AA1323</f>
        <v>0</v>
      </c>
      <c r="J42" s="501">
        <f>'CUSTOMERS REPORT'!AB1323</f>
        <v>0</v>
      </c>
      <c r="K42" s="501">
        <f>'CUSTOMERS REPORT'!AC1323</f>
        <v>0</v>
      </c>
      <c r="L42" s="512">
        <f>'CUSTOMERS REPORT'!AD1323</f>
        <v>0</v>
      </c>
      <c r="M42" s="414">
        <f>'11'!M42+'12'!G42</f>
        <v>0</v>
      </c>
      <c r="N42" s="412">
        <f>'11'!N42+'12'!J42</f>
        <v>0</v>
      </c>
      <c r="P42" s="1499" t="s">
        <v>157</v>
      </c>
      <c r="Q42" s="1500"/>
      <c r="S42" s="400">
        <f>'11'!S42</f>
        <v>0</v>
      </c>
      <c r="T42" s="446">
        <f>'11'!X42</f>
        <v>0</v>
      </c>
      <c r="U42" s="458"/>
      <c r="V42" s="453">
        <f t="shared" si="0"/>
        <v>0</v>
      </c>
      <c r="W42" s="454"/>
      <c r="X42" s="449">
        <f t="shared" si="1"/>
        <v>0</v>
      </c>
      <c r="Z42" s="375">
        <f>'11'!Z42</f>
        <v>0</v>
      </c>
      <c r="AA42" s="464">
        <f>'11'!AE42</f>
        <v>0</v>
      </c>
      <c r="AB42" s="461"/>
      <c r="AC42" s="462">
        <f>AA42+AB42</f>
        <v>0</v>
      </c>
      <c r="AD42" s="470"/>
      <c r="AE42" s="348">
        <f t="shared" si="3"/>
        <v>0</v>
      </c>
      <c r="AF42" s="564">
        <f>'11'!AF42+'12'!AB42</f>
        <v>0</v>
      </c>
      <c r="AG42" s="572">
        <f>'11'!AG42+'12'!AD42</f>
        <v>0</v>
      </c>
    </row>
    <row r="43" spans="1:40" ht="27" customHeight="1" thickTop="1" thickBot="1">
      <c r="A43" s="715" t="str">
        <f>'11'!A43</f>
        <v>AQEEL</v>
      </c>
      <c r="B43" s="529"/>
      <c r="C43" s="348">
        <f>'11'!D43</f>
        <v>0</v>
      </c>
      <c r="D43" s="529">
        <f t="shared" si="8"/>
        <v>0</v>
      </c>
      <c r="F43" s="479" t="str">
        <f>'11'!F43</f>
        <v>ZAHID LAHORE</v>
      </c>
      <c r="G43" s="409">
        <f>'CUSTOMERS REPORT'!Y1360</f>
        <v>0</v>
      </c>
      <c r="H43" s="507">
        <f>'CUSTOMERS REPORT'!Z1360</f>
        <v>0</v>
      </c>
      <c r="I43" s="409">
        <f>'CUSTOMERS REPORT'!AA1360</f>
        <v>0</v>
      </c>
      <c r="J43" s="501">
        <f>'CUSTOMERS REPORT'!AB1360</f>
        <v>0</v>
      </c>
      <c r="K43" s="501">
        <f>'CUSTOMERS REPORT'!AC1360</f>
        <v>0</v>
      </c>
      <c r="L43" s="512">
        <f>'CUSTOMERS REPORT'!AD1360</f>
        <v>0</v>
      </c>
      <c r="M43" s="414">
        <f>'11'!M43+'12'!G43</f>
        <v>0</v>
      </c>
      <c r="N43" s="412">
        <f>'11'!N43+'12'!J43</f>
        <v>0</v>
      </c>
      <c r="P43" s="220" t="s">
        <v>124</v>
      </c>
      <c r="Q43" s="223">
        <f>'11'!Q48</f>
        <v>0</v>
      </c>
      <c r="R43" t="s">
        <v>1</v>
      </c>
      <c r="S43" s="400">
        <f>'11'!S43</f>
        <v>0</v>
      </c>
      <c r="T43" s="446">
        <f>'11'!X43</f>
        <v>0</v>
      </c>
      <c r="U43" s="358"/>
      <c r="V43" s="453">
        <f t="shared" si="0"/>
        <v>0</v>
      </c>
      <c r="W43" s="403"/>
      <c r="X43" s="449">
        <f t="shared" si="1"/>
        <v>0</v>
      </c>
      <c r="Z43" s="383"/>
      <c r="AA43" s="356">
        <f>SUM(AA8:AA42)</f>
        <v>0</v>
      </c>
      <c r="AB43" s="385">
        <f>SUM(AB8:AB42)</f>
        <v>0</v>
      </c>
      <c r="AC43" s="357" t="s">
        <v>74</v>
      </c>
      <c r="AD43" s="387">
        <f>SUM(AD8:AD42)</f>
        <v>0</v>
      </c>
      <c r="AE43" s="358">
        <f>SUM(AE8:AE42)</f>
        <v>0</v>
      </c>
      <c r="AF43" s="565">
        <f>SUM(AF8:AF42)</f>
        <v>0</v>
      </c>
      <c r="AG43" s="571">
        <f>SUM(AG8:AG42)</f>
        <v>0</v>
      </c>
    </row>
    <row r="44" spans="1:40" ht="27" customHeight="1" thickTop="1">
      <c r="A44" s="715" t="str">
        <f>'11'!A44</f>
        <v>M.YOUSUF</v>
      </c>
      <c r="B44" s="234"/>
      <c r="C44" s="348">
        <f>'11'!D44</f>
        <v>0</v>
      </c>
      <c r="D44" s="234">
        <f t="shared" si="8"/>
        <v>0</v>
      </c>
      <c r="F44" s="479" t="str">
        <f>'11'!F44</f>
        <v>CASH SALE</v>
      </c>
      <c r="G44" s="409">
        <f>'CUSTOMERS REPORT'!Y1397</f>
        <v>0</v>
      </c>
      <c r="H44" s="507">
        <f>'CUSTOMERS REPORT'!Z1397</f>
        <v>0</v>
      </c>
      <c r="I44" s="409">
        <f>'CUSTOMERS REPORT'!AA1397</f>
        <v>0</v>
      </c>
      <c r="J44" s="501">
        <f>'CUSTOMERS REPORT'!AB1397</f>
        <v>0</v>
      </c>
      <c r="K44" s="501">
        <f>'CUSTOMERS REPORT'!AC1397</f>
        <v>0</v>
      </c>
      <c r="L44" s="512">
        <f>'CUSTOMERS REPORT'!AD1397</f>
        <v>0</v>
      </c>
      <c r="M44" s="414">
        <f>'11'!M44+'12'!G44</f>
        <v>0</v>
      </c>
      <c r="N44" s="412">
        <f>'11'!N44+'12'!J44</f>
        <v>0</v>
      </c>
      <c r="P44" s="222" t="s">
        <v>114</v>
      </c>
      <c r="Q44" s="377">
        <f>J46</f>
        <v>0</v>
      </c>
      <c r="S44" s="400"/>
      <c r="T44" s="348"/>
      <c r="U44" s="306"/>
      <c r="V44" s="349"/>
      <c r="W44" s="351"/>
      <c r="X44" s="350"/>
      <c r="Z44" s="375"/>
      <c r="AA44" s="339"/>
      <c r="AB44" s="386">
        <f>'11'!AB45</f>
        <v>0</v>
      </c>
      <c r="AC44" s="340" t="s">
        <v>126</v>
      </c>
      <c r="AD44" s="388">
        <f>'11'!AD45</f>
        <v>0</v>
      </c>
      <c r="AE44" s="341"/>
      <c r="AF44" s="561"/>
      <c r="AG44" s="83" t="s">
        <v>1</v>
      </c>
    </row>
    <row r="45" spans="1:40" ht="27" customHeight="1" thickBot="1">
      <c r="A45" s="715" t="str">
        <f>'11'!A45</f>
        <v>SHAKEEL</v>
      </c>
      <c r="B45" s="234"/>
      <c r="C45" s="348">
        <f>'11'!D45</f>
        <v>0</v>
      </c>
      <c r="D45" s="234">
        <f t="shared" si="8"/>
        <v>0</v>
      </c>
      <c r="F45" s="479" t="str">
        <f>'11'!F45</f>
        <v xml:space="preserve">FREE </v>
      </c>
      <c r="G45" s="410">
        <f>'CUSTOMERS REPORT'!Y1434</f>
        <v>0</v>
      </c>
      <c r="H45" s="362">
        <f>'CUSTOMERS REPORT'!Z1434</f>
        <v>0</v>
      </c>
      <c r="I45" s="410">
        <f>'CUSTOMERS REPORT'!AA1434</f>
        <v>0</v>
      </c>
      <c r="J45" s="502">
        <f>'CUSTOMERS REPORT'!AB1434</f>
        <v>0</v>
      </c>
      <c r="K45" s="502">
        <f>'CUSTOMERS REPORT'!AC1434</f>
        <v>0</v>
      </c>
      <c r="L45" s="513">
        <f>'CUSTOMERS REPORT'!AD1434</f>
        <v>0</v>
      </c>
      <c r="M45" s="414">
        <f>'11'!M45+'12'!G45</f>
        <v>0</v>
      </c>
      <c r="N45" s="412">
        <f>'11'!N45+'12'!J45</f>
        <v>0</v>
      </c>
      <c r="P45" s="222" t="s">
        <v>153</v>
      </c>
      <c r="Q45" s="378">
        <f>Q43+Q44</f>
        <v>0</v>
      </c>
      <c r="S45" s="401"/>
      <c r="T45" s="352"/>
      <c r="U45" s="307"/>
      <c r="V45" s="353"/>
      <c r="W45" s="354"/>
      <c r="X45" s="355"/>
      <c r="Z45" s="384"/>
      <c r="AA45" s="359"/>
      <c r="AB45" s="390">
        <f>SUM(AB43:AB44)</f>
        <v>0</v>
      </c>
      <c r="AC45" s="360" t="s">
        <v>74</v>
      </c>
      <c r="AD45" s="389">
        <f>SUM(AD43:AD44)</f>
        <v>0</v>
      </c>
      <c r="AE45" s="361"/>
      <c r="AF45" s="562"/>
      <c r="AG45" s="573"/>
    </row>
    <row r="46" spans="1:40" ht="27" customHeight="1" thickTop="1" thickBot="1">
      <c r="A46" s="715" t="str">
        <f>'11'!A46</f>
        <v>ZAHID HUSSAN</v>
      </c>
      <c r="B46" s="234"/>
      <c r="C46" s="348">
        <f>'11'!D46</f>
        <v>0</v>
      </c>
      <c r="D46" s="234">
        <f t="shared" si="8"/>
        <v>0</v>
      </c>
      <c r="F46" s="369"/>
      <c r="G46" s="424">
        <f>SUM(G8:G45)</f>
        <v>0</v>
      </c>
      <c r="H46" s="1497" t="s">
        <v>160</v>
      </c>
      <c r="I46" s="1498"/>
      <c r="J46" s="421">
        <f>SUM(J8:J45)</f>
        <v>0</v>
      </c>
      <c r="K46" s="427">
        <f>SUM(K8:K45)</f>
        <v>0</v>
      </c>
      <c r="L46" s="431">
        <f>SUM(L8:L45)</f>
        <v>0</v>
      </c>
      <c r="M46" s="429">
        <f>SUM(M8:M45)</f>
        <v>0</v>
      </c>
      <c r="N46" s="430">
        <f>SUM(N8:N45)</f>
        <v>0</v>
      </c>
      <c r="P46" s="222" t="s">
        <v>154</v>
      </c>
      <c r="Q46" s="378">
        <f>B48</f>
        <v>0</v>
      </c>
    </row>
    <row r="47" spans="1:40" ht="27" customHeight="1" thickBot="1">
      <c r="A47" s="715" t="str">
        <f>'11'!A47</f>
        <v xml:space="preserve">INVESTOR </v>
      </c>
      <c r="B47" s="540"/>
      <c r="C47" s="348">
        <f>'11'!D47</f>
        <v>0</v>
      </c>
      <c r="D47" s="542">
        <f t="shared" si="8"/>
        <v>0</v>
      </c>
      <c r="F47" s="370"/>
      <c r="G47" s="425">
        <f>'11'!G48</f>
        <v>0</v>
      </c>
      <c r="H47" s="1512" t="s">
        <v>162</v>
      </c>
      <c r="I47" s="1513"/>
      <c r="J47" s="423">
        <f>'11'!J48</f>
        <v>0</v>
      </c>
      <c r="K47" s="423">
        <f>'11'!K48</f>
        <v>0</v>
      </c>
      <c r="L47" s="343"/>
      <c r="M47" s="344"/>
      <c r="N47" s="345"/>
      <c r="P47" s="375" t="s">
        <v>163</v>
      </c>
      <c r="Q47" s="378">
        <f>Q9+Q10+Q19+Q20+Q21+Q22</f>
        <v>0</v>
      </c>
      <c r="R47" s="19"/>
      <c r="S47" s="1489" t="s">
        <v>92</v>
      </c>
      <c r="T47" s="1516" t="s">
        <v>95</v>
      </c>
      <c r="U47" s="1518"/>
      <c r="V47" s="1518"/>
      <c r="W47" s="1517"/>
      <c r="X47" s="1516" t="s">
        <v>7</v>
      </c>
      <c r="Y47" s="1518"/>
      <c r="Z47" s="1517"/>
      <c r="AA47" s="1516" t="s">
        <v>8</v>
      </c>
      <c r="AB47" s="1517"/>
      <c r="AC47" s="1516" t="s">
        <v>9</v>
      </c>
      <c r="AD47" s="1518"/>
      <c r="AE47" s="1518"/>
      <c r="AF47" s="1518"/>
      <c r="AG47" s="1518"/>
      <c r="AH47" s="1518"/>
      <c r="AI47" s="1518"/>
      <c r="AJ47" s="1405" t="s">
        <v>10</v>
      </c>
      <c r="AK47" s="1406"/>
      <c r="AL47" s="1400" t="s">
        <v>289</v>
      </c>
      <c r="AM47" s="1401"/>
      <c r="AN47" s="842" t="s">
        <v>290</v>
      </c>
    </row>
    <row r="48" spans="1:40" ht="27" customHeight="1" thickTop="1" thickBot="1">
      <c r="A48" s="192" t="s">
        <v>74</v>
      </c>
      <c r="B48" s="544">
        <f>SUM(B22:B47)</f>
        <v>0</v>
      </c>
      <c r="C48" s="543">
        <f>'11'!D48</f>
        <v>0</v>
      </c>
      <c r="D48" s="544">
        <f t="shared" si="8"/>
        <v>0</v>
      </c>
      <c r="F48" s="371"/>
      <c r="G48" s="426">
        <f>G46+G47</f>
        <v>0</v>
      </c>
      <c r="H48" s="1495" t="s">
        <v>164</v>
      </c>
      <c r="I48" s="1496"/>
      <c r="J48" s="422">
        <f>J46+J47</f>
        <v>0</v>
      </c>
      <c r="K48" s="428">
        <f>K46+K47</f>
        <v>0</v>
      </c>
      <c r="L48" s="346"/>
      <c r="M48" s="347"/>
      <c r="N48" s="622">
        <f>G48-J48</f>
        <v>0</v>
      </c>
      <c r="P48" s="376" t="s">
        <v>155</v>
      </c>
      <c r="Q48" s="379">
        <f>Q45-Q46-Q47</f>
        <v>0</v>
      </c>
      <c r="R48" s="19"/>
      <c r="S48" s="1490"/>
      <c r="T48" s="482" t="s">
        <v>12</v>
      </c>
      <c r="U48" s="482" t="s">
        <v>13</v>
      </c>
      <c r="V48" s="482" t="s">
        <v>14</v>
      </c>
      <c r="W48" s="958" t="s">
        <v>263</v>
      </c>
      <c r="X48" s="482" t="s">
        <v>12</v>
      </c>
      <c r="Y48" s="482" t="s">
        <v>13</v>
      </c>
      <c r="Z48" s="482" t="s">
        <v>282</v>
      </c>
      <c r="AA48" s="482" t="s">
        <v>12</v>
      </c>
      <c r="AB48" s="482" t="s">
        <v>16</v>
      </c>
      <c r="AC48" s="482" t="s">
        <v>17</v>
      </c>
      <c r="AD48" s="482" t="s">
        <v>18</v>
      </c>
      <c r="AE48" s="482" t="s">
        <v>19</v>
      </c>
      <c r="AF48" s="484" t="s">
        <v>96</v>
      </c>
      <c r="AG48" s="484" t="s">
        <v>257</v>
      </c>
      <c r="AH48" s="482" t="s">
        <v>254</v>
      </c>
      <c r="AI48" s="482" t="s">
        <v>20</v>
      </c>
      <c r="AJ48" s="483" t="s">
        <v>14</v>
      </c>
      <c r="AK48" s="482" t="s">
        <v>13</v>
      </c>
      <c r="AL48" s="846" t="s">
        <v>284</v>
      </c>
      <c r="AM48" s="846" t="s">
        <v>288</v>
      </c>
      <c r="AN48" s="966" t="s">
        <v>291</v>
      </c>
    </row>
    <row r="49" spans="1:42" ht="24.95" customHeight="1" thickTop="1" thickBot="1">
      <c r="R49" s="19"/>
      <c r="S49" s="865" t="s">
        <v>165</v>
      </c>
      <c r="T49" s="866">
        <f>'11'!T55</f>
        <v>0</v>
      </c>
      <c r="U49" s="866">
        <f>'11'!U55</f>
        <v>0</v>
      </c>
      <c r="V49" s="866">
        <f>'11'!V55</f>
        <v>0</v>
      </c>
      <c r="W49" s="866">
        <f>'11'!W55</f>
        <v>0</v>
      </c>
      <c r="X49" s="866">
        <f>'11'!X55</f>
        <v>0</v>
      </c>
      <c r="Y49" s="866">
        <f>'11'!Y55</f>
        <v>0</v>
      </c>
      <c r="Z49" s="866">
        <f>'11'!Z55</f>
        <v>0</v>
      </c>
      <c r="AA49" s="866">
        <f>'11'!AA55</f>
        <v>0</v>
      </c>
      <c r="AB49" s="866">
        <f>'11'!AB55</f>
        <v>0</v>
      </c>
      <c r="AC49" s="866">
        <f>'11'!AC55</f>
        <v>0</v>
      </c>
      <c r="AD49" s="866">
        <f>'11'!AD55</f>
        <v>0</v>
      </c>
      <c r="AE49" s="866">
        <f>'11'!AE55</f>
        <v>0</v>
      </c>
      <c r="AF49" s="866">
        <f>'11'!AF55</f>
        <v>0</v>
      </c>
      <c r="AG49" s="866">
        <f>'11'!AG55</f>
        <v>0</v>
      </c>
      <c r="AH49" s="866">
        <f>'11'!AH55</f>
        <v>0</v>
      </c>
      <c r="AI49" s="866">
        <f>'11'!AI55</f>
        <v>0</v>
      </c>
      <c r="AJ49" s="866">
        <f>'11'!AJ55</f>
        <v>0</v>
      </c>
      <c r="AK49" s="866">
        <f>'11'!AK55</f>
        <v>0</v>
      </c>
      <c r="AL49" s="866" t="e">
        <f>'11'!AL55</f>
        <v>#VALUE!</v>
      </c>
      <c r="AM49" s="866" t="e">
        <f>'11'!AM55</f>
        <v>#VALUE!</v>
      </c>
      <c r="AN49" s="866" t="e">
        <f>'11'!AN55</f>
        <v>#VALUE!</v>
      </c>
    </row>
    <row r="50" spans="1:42" ht="24.95" customHeight="1" thickBot="1">
      <c r="C50" t="s">
        <v>1</v>
      </c>
      <c r="L50" s="417">
        <v>5000</v>
      </c>
      <c r="M50" s="417"/>
      <c r="N50" s="417">
        <f t="shared" ref="N50:N57" si="9">L50*M50</f>
        <v>0</v>
      </c>
      <c r="R50" s="19"/>
      <c r="S50" s="854" t="s">
        <v>166</v>
      </c>
      <c r="T50" s="852"/>
      <c r="U50" s="852"/>
      <c r="V50" s="852"/>
      <c r="W50" s="852"/>
      <c r="X50" s="852"/>
      <c r="Y50" s="852"/>
      <c r="Z50" s="852"/>
      <c r="AA50" s="852"/>
      <c r="AB50" s="852"/>
      <c r="AC50" s="852"/>
      <c r="AD50" s="852"/>
      <c r="AE50" s="852"/>
      <c r="AF50" s="852"/>
      <c r="AG50" s="855"/>
      <c r="AH50" s="852"/>
      <c r="AI50" s="852"/>
      <c r="AJ50" s="848"/>
      <c r="AK50" s="848"/>
      <c r="AL50" s="849"/>
      <c r="AM50" s="849"/>
      <c r="AN50" s="930"/>
    </row>
    <row r="51" spans="1:42" ht="24.95" customHeight="1" thickBot="1">
      <c r="L51" s="417">
        <v>1000</v>
      </c>
      <c r="M51" s="417"/>
      <c r="N51" s="417">
        <f t="shared" si="9"/>
        <v>0</v>
      </c>
      <c r="R51" s="19"/>
      <c r="S51" s="867" t="s">
        <v>91</v>
      </c>
      <c r="T51" s="868"/>
      <c r="U51" s="868"/>
      <c r="V51" s="868"/>
      <c r="W51" s="868"/>
      <c r="X51" s="868"/>
      <c r="Y51" s="868"/>
      <c r="Z51" s="868"/>
      <c r="AA51" s="868"/>
      <c r="AB51" s="868"/>
      <c r="AC51" s="868"/>
      <c r="AD51" s="868"/>
      <c r="AE51" s="868"/>
      <c r="AF51" s="868"/>
      <c r="AG51" s="869"/>
      <c r="AH51" s="868"/>
      <c r="AI51" s="870"/>
      <c r="AJ51" s="868"/>
      <c r="AK51" s="868"/>
      <c r="AL51" s="849"/>
      <c r="AM51" s="849"/>
      <c r="AN51" s="850"/>
    </row>
    <row r="52" spans="1:42" ht="24.95" customHeight="1" thickBot="1">
      <c r="L52" s="417">
        <v>500</v>
      </c>
      <c r="M52" s="417"/>
      <c r="N52" s="417">
        <f t="shared" si="9"/>
        <v>0</v>
      </c>
      <c r="O52" t="s">
        <v>1</v>
      </c>
      <c r="R52" s="19"/>
      <c r="S52" s="856" t="s">
        <v>167</v>
      </c>
      <c r="T52" s="857"/>
      <c r="U52" s="857"/>
      <c r="V52" s="857"/>
      <c r="W52" s="857"/>
      <c r="X52" s="857"/>
      <c r="Y52" s="857"/>
      <c r="Z52" s="857"/>
      <c r="AA52" s="857"/>
      <c r="AB52" s="857"/>
      <c r="AC52" s="857"/>
      <c r="AD52" s="857"/>
      <c r="AE52" s="857"/>
      <c r="AF52" s="857"/>
      <c r="AG52" s="858"/>
      <c r="AH52" s="859"/>
      <c r="AI52" s="860"/>
      <c r="AJ52" s="851"/>
      <c r="AK52" s="851"/>
      <c r="AL52" s="849"/>
      <c r="AM52" s="849"/>
      <c r="AN52" s="850"/>
    </row>
    <row r="53" spans="1:42" ht="24.95" customHeight="1" thickBot="1">
      <c r="L53" s="417">
        <v>100</v>
      </c>
      <c r="M53" s="417"/>
      <c r="N53" s="417">
        <f t="shared" si="9"/>
        <v>0</v>
      </c>
      <c r="R53" s="19"/>
      <c r="S53" s="871" t="s">
        <v>81</v>
      </c>
      <c r="T53" s="866">
        <f t="shared" ref="T53:AN53" si="10">SUM(T49+T50+T52)</f>
        <v>0</v>
      </c>
      <c r="U53" s="866">
        <f t="shared" si="10"/>
        <v>0</v>
      </c>
      <c r="V53" s="866">
        <f t="shared" si="10"/>
        <v>0</v>
      </c>
      <c r="W53" s="866">
        <f t="shared" si="10"/>
        <v>0</v>
      </c>
      <c r="X53" s="866">
        <f t="shared" si="10"/>
        <v>0</v>
      </c>
      <c r="Y53" s="866">
        <f t="shared" si="10"/>
        <v>0</v>
      </c>
      <c r="Z53" s="866">
        <f t="shared" si="10"/>
        <v>0</v>
      </c>
      <c r="AA53" s="866">
        <f t="shared" si="10"/>
        <v>0</v>
      </c>
      <c r="AB53" s="866">
        <f t="shared" si="10"/>
        <v>0</v>
      </c>
      <c r="AC53" s="866">
        <f t="shared" si="10"/>
        <v>0</v>
      </c>
      <c r="AD53" s="866">
        <f t="shared" si="10"/>
        <v>0</v>
      </c>
      <c r="AE53" s="866">
        <f t="shared" si="10"/>
        <v>0</v>
      </c>
      <c r="AF53" s="866">
        <f t="shared" si="10"/>
        <v>0</v>
      </c>
      <c r="AG53" s="866">
        <f t="shared" si="10"/>
        <v>0</v>
      </c>
      <c r="AH53" s="866">
        <f t="shared" si="10"/>
        <v>0</v>
      </c>
      <c r="AI53" s="866">
        <f t="shared" si="10"/>
        <v>0</v>
      </c>
      <c r="AJ53" s="866">
        <f t="shared" si="10"/>
        <v>0</v>
      </c>
      <c r="AK53" s="866">
        <f t="shared" si="10"/>
        <v>0</v>
      </c>
      <c r="AL53" s="866" t="e">
        <f t="shared" si="10"/>
        <v>#VALUE!</v>
      </c>
      <c r="AM53" s="866" t="e">
        <f t="shared" si="10"/>
        <v>#VALUE!</v>
      </c>
      <c r="AN53" s="872" t="e">
        <f t="shared" si="10"/>
        <v>#VALUE!</v>
      </c>
    </row>
    <row r="54" spans="1:42" ht="24.95" customHeight="1" thickBot="1">
      <c r="L54" s="417">
        <v>50</v>
      </c>
      <c r="M54" s="417"/>
      <c r="N54" s="417">
        <f t="shared" si="9"/>
        <v>0</v>
      </c>
      <c r="R54" s="19"/>
      <c r="S54" s="854" t="s">
        <v>168</v>
      </c>
      <c r="T54" s="852">
        <f>'CUSTOMERS REPORT'!B19+'CUSTOMERS REPORT'!B65+'CUSTOMERS REPORT'!B103+'CUSTOMERS REPORT'!B142+'CUSTOMERS REPORT'!B180+'CUSTOMERS REPORT'!B220+'CUSTOMERS REPORT'!B257+'CUSTOMERS REPORT'!B297+'CUSTOMERS REPORT'!B338+'CUSTOMERS REPORT'!B380+'CUSTOMERS REPORT'!B419+'CUSTOMERS REPORT'!B457+'CUSTOMERS REPORT'!B493+'CUSTOMERS REPORT'!B530+'CUSTOMERS REPORT'!B568+'CUSTOMERS REPORT'!B604+'CUSTOMERS REPORT'!B642+'CUSTOMERS REPORT'!B680+'CUSTOMERS REPORT'!B718+'CUSTOMERS REPORT'!B756+'CUSTOMERS REPORT'!B794+'CUSTOMERS REPORT'!B832+'CUSTOMERS REPORT'!B870+'CUSTOMERS REPORT'!B909+'CUSTOMERS REPORT'!B948+'CUSTOMERS REPORT'!B986+'CUSTOMERS REPORT'!B1024+'CUSTOMERS REPORT'!B1062+'CUSTOMERS REPORT'!B1100+'CUSTOMERS REPORT'!B1138+'CUSTOMERS REPORT'!B1175+'CUSTOMERS REPORT'!B1212+'CUSTOMERS REPORT'!B1249+'CUSTOMERS REPORT'!B1286+'CUSTOMERS REPORT'!B1323+'CUSTOMERS REPORT'!B1360+'CUSTOMERS REPORT'!B1397+'CUSTOMERS REPORT'!B1433</f>
        <v>0</v>
      </c>
      <c r="U54" s="852">
        <f>'CUSTOMERS REPORT'!C19+'CUSTOMERS REPORT'!C65+'CUSTOMERS REPORT'!C103+'CUSTOMERS REPORT'!C142+'CUSTOMERS REPORT'!C180+'CUSTOMERS REPORT'!C220+'CUSTOMERS REPORT'!C257+'CUSTOMERS REPORT'!C297+'CUSTOMERS REPORT'!C338+'CUSTOMERS REPORT'!C380+'CUSTOMERS REPORT'!C419+'CUSTOMERS REPORT'!C457+'CUSTOMERS REPORT'!C493+'CUSTOMERS REPORT'!C530+'CUSTOMERS REPORT'!C568+'CUSTOMERS REPORT'!C604+'CUSTOMERS REPORT'!C642+'CUSTOMERS REPORT'!C680+'CUSTOMERS REPORT'!C718+'CUSTOMERS REPORT'!C756+'CUSTOMERS REPORT'!C794+'CUSTOMERS REPORT'!C832+'CUSTOMERS REPORT'!C870+'CUSTOMERS REPORT'!C909+'CUSTOMERS REPORT'!C948+'CUSTOMERS REPORT'!C986+'CUSTOMERS REPORT'!C1024+'CUSTOMERS REPORT'!C1062+'CUSTOMERS REPORT'!C1100+'CUSTOMERS REPORT'!C1138+'CUSTOMERS REPORT'!C1175+'CUSTOMERS REPORT'!C1212+'CUSTOMERS REPORT'!C1249+'CUSTOMERS REPORT'!C1286+'CUSTOMERS REPORT'!C1323+'CUSTOMERS REPORT'!C1360+'CUSTOMERS REPORT'!C1397+'CUSTOMERS REPORT'!C1433</f>
        <v>0</v>
      </c>
      <c r="V54" s="852">
        <f>'CUSTOMERS REPORT'!D19+'CUSTOMERS REPORT'!D65+'CUSTOMERS REPORT'!D103+'CUSTOMERS REPORT'!D142+'CUSTOMERS REPORT'!D180+'CUSTOMERS REPORT'!D220+'CUSTOMERS REPORT'!D257+'CUSTOMERS REPORT'!D297+'CUSTOMERS REPORT'!D338+'CUSTOMERS REPORT'!D380+'CUSTOMERS REPORT'!D419+'CUSTOMERS REPORT'!D457+'CUSTOMERS REPORT'!D493+'CUSTOMERS REPORT'!D530+'CUSTOMERS REPORT'!D568+'CUSTOMERS REPORT'!D604+'CUSTOMERS REPORT'!D642+'CUSTOMERS REPORT'!D680+'CUSTOMERS REPORT'!D718+'CUSTOMERS REPORT'!D756+'CUSTOMERS REPORT'!D794+'CUSTOMERS REPORT'!D832+'CUSTOMERS REPORT'!D870+'CUSTOMERS REPORT'!D909+'CUSTOMERS REPORT'!D948+'CUSTOMERS REPORT'!D986+'CUSTOMERS REPORT'!D1024+'CUSTOMERS REPORT'!D1062+'CUSTOMERS REPORT'!D1100+'CUSTOMERS REPORT'!D1138+'CUSTOMERS REPORT'!D1175+'CUSTOMERS REPORT'!D1212+'CUSTOMERS REPORT'!D1249+'CUSTOMERS REPORT'!D1286+'CUSTOMERS REPORT'!D1323+'CUSTOMERS REPORT'!D1360+'CUSTOMERS REPORT'!D1397+'CUSTOMERS REPORT'!D1433</f>
        <v>0</v>
      </c>
      <c r="W54" s="852">
        <f>'CUSTOMERS REPORT'!E19+'CUSTOMERS REPORT'!E65+'CUSTOMERS REPORT'!E103+'CUSTOMERS REPORT'!E142+'CUSTOMERS REPORT'!E180+'CUSTOMERS REPORT'!E220+'CUSTOMERS REPORT'!E257+'CUSTOMERS REPORT'!E297+'CUSTOMERS REPORT'!E338+'CUSTOMERS REPORT'!E380+'CUSTOMERS REPORT'!E419+'CUSTOMERS REPORT'!E457+'CUSTOMERS REPORT'!E493+'CUSTOMERS REPORT'!E530+'CUSTOMERS REPORT'!E568+'CUSTOMERS REPORT'!E604+'CUSTOMERS REPORT'!E642+'CUSTOMERS REPORT'!E680+'CUSTOMERS REPORT'!E718+'CUSTOMERS REPORT'!E756+'CUSTOMERS REPORT'!E794+'CUSTOMERS REPORT'!E832+'CUSTOMERS REPORT'!E870+'CUSTOMERS REPORT'!E909+'CUSTOMERS REPORT'!E948+'CUSTOMERS REPORT'!E986+'CUSTOMERS REPORT'!E1024+'CUSTOMERS REPORT'!E1062+'CUSTOMERS REPORT'!E1100+'CUSTOMERS REPORT'!E1138+'CUSTOMERS REPORT'!E1175+'CUSTOMERS REPORT'!E1212+'CUSTOMERS REPORT'!E1249+'CUSTOMERS REPORT'!E1286+'CUSTOMERS REPORT'!E1323+'CUSTOMERS REPORT'!E1360+'CUSTOMERS REPORT'!E1397+'CUSTOMERS REPORT'!E1433</f>
        <v>0</v>
      </c>
      <c r="X54" s="852">
        <f>'CUSTOMERS REPORT'!F19+'CUSTOMERS REPORT'!F65+'CUSTOMERS REPORT'!F103+'CUSTOMERS REPORT'!F142+'CUSTOMERS REPORT'!F180+'CUSTOMERS REPORT'!F220+'CUSTOMERS REPORT'!F257+'CUSTOMERS REPORT'!F297+'CUSTOMERS REPORT'!F338+'CUSTOMERS REPORT'!F380+'CUSTOMERS REPORT'!F419+'CUSTOMERS REPORT'!F457+'CUSTOMERS REPORT'!F493+'CUSTOMERS REPORT'!F530+'CUSTOMERS REPORT'!F568+'CUSTOMERS REPORT'!F604+'CUSTOMERS REPORT'!F642+'CUSTOMERS REPORT'!F680+'CUSTOMERS REPORT'!F718+'CUSTOMERS REPORT'!F756+'CUSTOMERS REPORT'!F794+'CUSTOMERS REPORT'!F832+'CUSTOMERS REPORT'!F870+'CUSTOMERS REPORT'!F909+'CUSTOMERS REPORT'!F948+'CUSTOMERS REPORT'!F986+'CUSTOMERS REPORT'!F1024+'CUSTOMERS REPORT'!F1062+'CUSTOMERS REPORT'!F1100+'CUSTOMERS REPORT'!F1138+'CUSTOMERS REPORT'!F1175+'CUSTOMERS REPORT'!F1212+'CUSTOMERS REPORT'!F1249+'CUSTOMERS REPORT'!F1286+'CUSTOMERS REPORT'!F1323+'CUSTOMERS REPORT'!F1360+'CUSTOMERS REPORT'!F1397+'CUSTOMERS REPORT'!F1433</f>
        <v>0</v>
      </c>
      <c r="Y54" s="852">
        <f>'CUSTOMERS REPORT'!G19+'CUSTOMERS REPORT'!G65+'CUSTOMERS REPORT'!G103+'CUSTOMERS REPORT'!G142+'CUSTOMERS REPORT'!G180+'CUSTOMERS REPORT'!G220+'CUSTOMERS REPORT'!G257+'CUSTOMERS REPORT'!G297+'CUSTOMERS REPORT'!G338+'CUSTOMERS REPORT'!G380+'CUSTOMERS REPORT'!G419+'CUSTOMERS REPORT'!G457+'CUSTOMERS REPORT'!G493+'CUSTOMERS REPORT'!G530+'CUSTOMERS REPORT'!G568+'CUSTOMERS REPORT'!G604+'CUSTOMERS REPORT'!G642+'CUSTOMERS REPORT'!G680+'CUSTOMERS REPORT'!G718+'CUSTOMERS REPORT'!G756+'CUSTOMERS REPORT'!G794+'CUSTOMERS REPORT'!G832+'CUSTOMERS REPORT'!G870+'CUSTOMERS REPORT'!G909+'CUSTOMERS REPORT'!G948+'CUSTOMERS REPORT'!G986+'CUSTOMERS REPORT'!G1024+'CUSTOMERS REPORT'!G1062+'CUSTOMERS REPORT'!G1100+'CUSTOMERS REPORT'!G1138+'CUSTOMERS REPORT'!G1175+'CUSTOMERS REPORT'!G1212+'CUSTOMERS REPORT'!G1249+'CUSTOMERS REPORT'!G1286+'CUSTOMERS REPORT'!G1323+'CUSTOMERS REPORT'!G1360+'CUSTOMERS REPORT'!G1397+'CUSTOMERS REPORT'!G1433</f>
        <v>0</v>
      </c>
      <c r="Z54" s="852">
        <f>'CUSTOMERS REPORT'!H19+'CUSTOMERS REPORT'!H65+'CUSTOMERS REPORT'!H103+'CUSTOMERS REPORT'!H142+'CUSTOMERS REPORT'!H180+'CUSTOMERS REPORT'!H220+'CUSTOMERS REPORT'!H257+'CUSTOMERS REPORT'!H297+'CUSTOMERS REPORT'!H338+'CUSTOMERS REPORT'!H380+'CUSTOMERS REPORT'!H419+'CUSTOMERS REPORT'!H457+'CUSTOMERS REPORT'!H493+'CUSTOMERS REPORT'!H530+'CUSTOMERS REPORT'!H568+'CUSTOMERS REPORT'!H604+'CUSTOMERS REPORT'!H642+'CUSTOMERS REPORT'!H680+'CUSTOMERS REPORT'!H718+'CUSTOMERS REPORT'!H756+'CUSTOMERS REPORT'!H794+'CUSTOMERS REPORT'!H832+'CUSTOMERS REPORT'!H870+'CUSTOMERS REPORT'!H909+'CUSTOMERS REPORT'!H948+'CUSTOMERS REPORT'!H986+'CUSTOMERS REPORT'!H1024+'CUSTOMERS REPORT'!H1062+'CUSTOMERS REPORT'!H1100+'CUSTOMERS REPORT'!H1138+'CUSTOMERS REPORT'!H1175+'CUSTOMERS REPORT'!H1212+'CUSTOMERS REPORT'!H1249+'CUSTOMERS REPORT'!H1286+'CUSTOMERS REPORT'!H1323+'CUSTOMERS REPORT'!H1360+'CUSTOMERS REPORT'!H1397+'CUSTOMERS REPORT'!H1433</f>
        <v>0</v>
      </c>
      <c r="AA54" s="852">
        <f>'CUSTOMERS REPORT'!I19+'CUSTOMERS REPORT'!I65+'CUSTOMERS REPORT'!I103+'CUSTOMERS REPORT'!I142+'CUSTOMERS REPORT'!I180+'CUSTOMERS REPORT'!I220+'CUSTOMERS REPORT'!I257+'CUSTOMERS REPORT'!I297+'CUSTOMERS REPORT'!I338+'CUSTOMERS REPORT'!I380+'CUSTOMERS REPORT'!I419+'CUSTOMERS REPORT'!I457+'CUSTOMERS REPORT'!I493+'CUSTOMERS REPORT'!I530+'CUSTOMERS REPORT'!I568+'CUSTOMERS REPORT'!I604+'CUSTOMERS REPORT'!I642+'CUSTOMERS REPORT'!I680+'CUSTOMERS REPORT'!I718+'CUSTOMERS REPORT'!I756+'CUSTOMERS REPORT'!I794+'CUSTOMERS REPORT'!I832+'CUSTOMERS REPORT'!I870+'CUSTOMERS REPORT'!I909+'CUSTOMERS REPORT'!I948+'CUSTOMERS REPORT'!I986+'CUSTOMERS REPORT'!I1024+'CUSTOMERS REPORT'!I1062+'CUSTOMERS REPORT'!I1100+'CUSTOMERS REPORT'!I1138+'CUSTOMERS REPORT'!I1175+'CUSTOMERS REPORT'!I1212+'CUSTOMERS REPORT'!I1249+'CUSTOMERS REPORT'!I1286+'CUSTOMERS REPORT'!I1323+'CUSTOMERS REPORT'!I1360+'CUSTOMERS REPORT'!I1397+'CUSTOMERS REPORT'!I1433</f>
        <v>0</v>
      </c>
      <c r="AB54" s="852">
        <f>'CUSTOMERS REPORT'!J19+'CUSTOMERS REPORT'!J65+'CUSTOMERS REPORT'!J103+'CUSTOMERS REPORT'!J142+'CUSTOMERS REPORT'!J180+'CUSTOMERS REPORT'!J220+'CUSTOMERS REPORT'!J257+'CUSTOMERS REPORT'!J297+'CUSTOMERS REPORT'!J338+'CUSTOMERS REPORT'!J380+'CUSTOMERS REPORT'!J419+'CUSTOMERS REPORT'!J457+'CUSTOMERS REPORT'!J493+'CUSTOMERS REPORT'!J530+'CUSTOMERS REPORT'!J568+'CUSTOMERS REPORT'!J604+'CUSTOMERS REPORT'!J642+'CUSTOMERS REPORT'!J680+'CUSTOMERS REPORT'!J718+'CUSTOMERS REPORT'!J756+'CUSTOMERS REPORT'!J794+'CUSTOMERS REPORT'!J832+'CUSTOMERS REPORT'!J870+'CUSTOMERS REPORT'!J909+'CUSTOMERS REPORT'!J948+'CUSTOMERS REPORT'!J986+'CUSTOMERS REPORT'!J1024+'CUSTOMERS REPORT'!J1062+'CUSTOMERS REPORT'!J1100+'CUSTOMERS REPORT'!J1138+'CUSTOMERS REPORT'!J1175+'CUSTOMERS REPORT'!J1212+'CUSTOMERS REPORT'!J1249+'CUSTOMERS REPORT'!J1286+'CUSTOMERS REPORT'!J1323+'CUSTOMERS REPORT'!J1360+'CUSTOMERS REPORT'!J1397+'CUSTOMERS REPORT'!J1433</f>
        <v>0</v>
      </c>
      <c r="AC54" s="852">
        <f>'CUSTOMERS REPORT'!K19+'CUSTOMERS REPORT'!K65+'CUSTOMERS REPORT'!K103+'CUSTOMERS REPORT'!K142+'CUSTOMERS REPORT'!K180+'CUSTOMERS REPORT'!K220+'CUSTOMERS REPORT'!K257+'CUSTOMERS REPORT'!K297+'CUSTOMERS REPORT'!K338+'CUSTOMERS REPORT'!K380+'CUSTOMERS REPORT'!K419+'CUSTOMERS REPORT'!K457+'CUSTOMERS REPORT'!K493+'CUSTOMERS REPORT'!K530+'CUSTOMERS REPORT'!K568+'CUSTOMERS REPORT'!K604+'CUSTOMERS REPORT'!K642+'CUSTOMERS REPORT'!K680+'CUSTOMERS REPORT'!K718+'CUSTOMERS REPORT'!K756+'CUSTOMERS REPORT'!K794+'CUSTOMERS REPORT'!K832+'CUSTOMERS REPORT'!K870+'CUSTOMERS REPORT'!K909+'CUSTOMERS REPORT'!K948+'CUSTOMERS REPORT'!K986+'CUSTOMERS REPORT'!K1024+'CUSTOMERS REPORT'!K1062+'CUSTOMERS REPORT'!K1100+'CUSTOMERS REPORT'!K1138+'CUSTOMERS REPORT'!K1175+'CUSTOMERS REPORT'!K1212+'CUSTOMERS REPORT'!K1249+'CUSTOMERS REPORT'!K1286+'CUSTOMERS REPORT'!K1323+'CUSTOMERS REPORT'!K1360+'CUSTOMERS REPORT'!K1397+'CUSTOMERS REPORT'!K1433</f>
        <v>0</v>
      </c>
      <c r="AD54" s="852">
        <f>'CUSTOMERS REPORT'!L19+'CUSTOMERS REPORT'!L65+'CUSTOMERS REPORT'!L103+'CUSTOMERS REPORT'!L142+'CUSTOMERS REPORT'!L180+'CUSTOMERS REPORT'!L220+'CUSTOMERS REPORT'!L257+'CUSTOMERS REPORT'!L297+'CUSTOMERS REPORT'!L338+'CUSTOMERS REPORT'!L380+'CUSTOMERS REPORT'!L419+'CUSTOMERS REPORT'!L457+'CUSTOMERS REPORT'!L493+'CUSTOMERS REPORT'!L530+'CUSTOMERS REPORT'!L568+'CUSTOMERS REPORT'!L604+'CUSTOMERS REPORT'!L642+'CUSTOMERS REPORT'!L680+'CUSTOMERS REPORT'!L718+'CUSTOMERS REPORT'!L756+'CUSTOMERS REPORT'!L794+'CUSTOMERS REPORT'!L832+'CUSTOMERS REPORT'!L870+'CUSTOMERS REPORT'!L909+'CUSTOMERS REPORT'!L948+'CUSTOMERS REPORT'!L986+'CUSTOMERS REPORT'!L1024+'CUSTOMERS REPORT'!L1062+'CUSTOMERS REPORT'!L1100+'CUSTOMERS REPORT'!L1138+'CUSTOMERS REPORT'!L1175+'CUSTOMERS REPORT'!L1212+'CUSTOMERS REPORT'!L1249+'CUSTOMERS REPORT'!L1286+'CUSTOMERS REPORT'!L1323+'CUSTOMERS REPORT'!L1360+'CUSTOMERS REPORT'!L1397+'CUSTOMERS REPORT'!L1433</f>
        <v>0</v>
      </c>
      <c r="AE54" s="852">
        <f>'CUSTOMERS REPORT'!M19+'CUSTOMERS REPORT'!M65+'CUSTOMERS REPORT'!M103+'CUSTOMERS REPORT'!M142+'CUSTOMERS REPORT'!M180+'CUSTOMERS REPORT'!M220+'CUSTOMERS REPORT'!M257+'CUSTOMERS REPORT'!M297+'CUSTOMERS REPORT'!M338+'CUSTOMERS REPORT'!M380+'CUSTOMERS REPORT'!M419+'CUSTOMERS REPORT'!M457+'CUSTOMERS REPORT'!M493+'CUSTOMERS REPORT'!M530+'CUSTOMERS REPORT'!M568+'CUSTOMERS REPORT'!M604+'CUSTOMERS REPORT'!M642+'CUSTOMERS REPORT'!M680+'CUSTOMERS REPORT'!M718+'CUSTOMERS REPORT'!M756+'CUSTOMERS REPORT'!M794+'CUSTOMERS REPORT'!M832+'CUSTOMERS REPORT'!M870+'CUSTOMERS REPORT'!M909+'CUSTOMERS REPORT'!M948+'CUSTOMERS REPORT'!M986+'CUSTOMERS REPORT'!M1024+'CUSTOMERS REPORT'!M1062+'CUSTOMERS REPORT'!M1100+'CUSTOMERS REPORT'!M1138+'CUSTOMERS REPORT'!M1175+'CUSTOMERS REPORT'!M1212+'CUSTOMERS REPORT'!M1249+'CUSTOMERS REPORT'!M1286+'CUSTOMERS REPORT'!M1323+'CUSTOMERS REPORT'!M1360+'CUSTOMERS REPORT'!M1397+'CUSTOMERS REPORT'!M1433</f>
        <v>0</v>
      </c>
      <c r="AF54" s="852">
        <f>'CUSTOMERS REPORT'!N19+'CUSTOMERS REPORT'!N65+'CUSTOMERS REPORT'!N103+'CUSTOMERS REPORT'!N142+'CUSTOMERS REPORT'!N180+'CUSTOMERS REPORT'!N220+'CUSTOMERS REPORT'!N257+'CUSTOMERS REPORT'!N297+'CUSTOMERS REPORT'!N338+'CUSTOMERS REPORT'!N380+'CUSTOMERS REPORT'!N419+'CUSTOMERS REPORT'!N457+'CUSTOMERS REPORT'!N493+'CUSTOMERS REPORT'!N530+'CUSTOMERS REPORT'!N568+'CUSTOMERS REPORT'!N604+'CUSTOMERS REPORT'!N642+'CUSTOMERS REPORT'!N680+'CUSTOMERS REPORT'!N718+'CUSTOMERS REPORT'!N756+'CUSTOMERS REPORT'!N794+'CUSTOMERS REPORT'!N832+'CUSTOMERS REPORT'!N870+'CUSTOMERS REPORT'!N909+'CUSTOMERS REPORT'!N948+'CUSTOMERS REPORT'!N986+'CUSTOMERS REPORT'!N1024+'CUSTOMERS REPORT'!N1062+'CUSTOMERS REPORT'!N1100+'CUSTOMERS REPORT'!N1138+'CUSTOMERS REPORT'!N1175+'CUSTOMERS REPORT'!N1212+'CUSTOMERS REPORT'!N1249+'CUSTOMERS REPORT'!N1286+'CUSTOMERS REPORT'!N1323+'CUSTOMERS REPORT'!N1360+'CUSTOMERS REPORT'!N1397+'CUSTOMERS REPORT'!N1433</f>
        <v>0</v>
      </c>
      <c r="AG54" s="852">
        <f>'CUSTOMERS REPORT'!O19+'CUSTOMERS REPORT'!O65+'CUSTOMERS REPORT'!O103+'CUSTOMERS REPORT'!O142+'CUSTOMERS REPORT'!O180+'CUSTOMERS REPORT'!O220+'CUSTOMERS REPORT'!O257+'CUSTOMERS REPORT'!O297+'CUSTOMERS REPORT'!O338+'CUSTOMERS REPORT'!O380+'CUSTOMERS REPORT'!O419+'CUSTOMERS REPORT'!O457+'CUSTOMERS REPORT'!O493+'CUSTOMERS REPORT'!O530+'CUSTOMERS REPORT'!O568+'CUSTOMERS REPORT'!O604+'CUSTOMERS REPORT'!O642+'CUSTOMERS REPORT'!O680+'CUSTOMERS REPORT'!O718+'CUSTOMERS REPORT'!O756+'CUSTOMERS REPORT'!O794+'CUSTOMERS REPORT'!O832+'CUSTOMERS REPORT'!O870+'CUSTOMERS REPORT'!O909+'CUSTOMERS REPORT'!O948+'CUSTOMERS REPORT'!O986+'CUSTOMERS REPORT'!O1024+'CUSTOMERS REPORT'!O1062+'CUSTOMERS REPORT'!O1100+'CUSTOMERS REPORT'!O1138+'CUSTOMERS REPORT'!O1175+'CUSTOMERS REPORT'!O1212+'CUSTOMERS REPORT'!O1249+'CUSTOMERS REPORT'!O1286+'CUSTOMERS REPORT'!O1323+'CUSTOMERS REPORT'!O1360+'CUSTOMERS REPORT'!O1397+'CUSTOMERS REPORT'!O1433</f>
        <v>0</v>
      </c>
      <c r="AH54" s="852">
        <f>'CUSTOMERS REPORT'!P19+'CUSTOMERS REPORT'!P65+'CUSTOMERS REPORT'!P103+'CUSTOMERS REPORT'!P142+'CUSTOMERS REPORT'!P180+'CUSTOMERS REPORT'!P220+'CUSTOMERS REPORT'!P257+'CUSTOMERS REPORT'!P297+'CUSTOMERS REPORT'!P338+'CUSTOMERS REPORT'!P380+'CUSTOMERS REPORT'!P419+'CUSTOMERS REPORT'!P457+'CUSTOMERS REPORT'!P493+'CUSTOMERS REPORT'!P530+'CUSTOMERS REPORT'!P568+'CUSTOMERS REPORT'!P604+'CUSTOMERS REPORT'!P642+'CUSTOMERS REPORT'!P680+'CUSTOMERS REPORT'!P718+'CUSTOMERS REPORT'!P756+'CUSTOMERS REPORT'!P794+'CUSTOMERS REPORT'!P832+'CUSTOMERS REPORT'!P870+'CUSTOMERS REPORT'!P909+'CUSTOMERS REPORT'!P948+'CUSTOMERS REPORT'!P986+'CUSTOMERS REPORT'!P1024+'CUSTOMERS REPORT'!P1062+'CUSTOMERS REPORT'!P1100+'CUSTOMERS REPORT'!P1138+'CUSTOMERS REPORT'!P1175+'CUSTOMERS REPORT'!P1212+'CUSTOMERS REPORT'!P1249+'CUSTOMERS REPORT'!P1286+'CUSTOMERS REPORT'!P1323+'CUSTOMERS REPORT'!P1360+'CUSTOMERS REPORT'!P1397+'CUSTOMERS REPORT'!P1433</f>
        <v>0</v>
      </c>
      <c r="AI54" s="852">
        <f>'CUSTOMERS REPORT'!Q19+'CUSTOMERS REPORT'!Q65+'CUSTOMERS REPORT'!Q103+'CUSTOMERS REPORT'!Q142+'CUSTOMERS REPORT'!Q180+'CUSTOMERS REPORT'!Q220+'CUSTOMERS REPORT'!Q257+'CUSTOMERS REPORT'!Q297+'CUSTOMERS REPORT'!Q338+'CUSTOMERS REPORT'!Q380+'CUSTOMERS REPORT'!Q419+'CUSTOMERS REPORT'!Q457+'CUSTOMERS REPORT'!Q493+'CUSTOMERS REPORT'!Q530+'CUSTOMERS REPORT'!Q568+'CUSTOMERS REPORT'!Q604+'CUSTOMERS REPORT'!Q642+'CUSTOMERS REPORT'!Q680+'CUSTOMERS REPORT'!Q718+'CUSTOMERS REPORT'!Q756+'CUSTOMERS REPORT'!Q794+'CUSTOMERS REPORT'!Q832+'CUSTOMERS REPORT'!Q870+'CUSTOMERS REPORT'!Q909+'CUSTOMERS REPORT'!Q948+'CUSTOMERS REPORT'!Q986+'CUSTOMERS REPORT'!Q1024+'CUSTOMERS REPORT'!Q1062+'CUSTOMERS REPORT'!Q1100+'CUSTOMERS REPORT'!Q1138+'CUSTOMERS REPORT'!Q1175+'CUSTOMERS REPORT'!Q1212+'CUSTOMERS REPORT'!Q1249+'CUSTOMERS REPORT'!Q1286+'CUSTOMERS REPORT'!Q1323+'CUSTOMERS REPORT'!Q1360+'CUSTOMERS REPORT'!Q1397+'CUSTOMERS REPORT'!Q1433</f>
        <v>0</v>
      </c>
      <c r="AJ54" s="852">
        <f>'CUSTOMERS REPORT'!R19+'CUSTOMERS REPORT'!R65+'CUSTOMERS REPORT'!R103+'CUSTOMERS REPORT'!R142+'CUSTOMERS REPORT'!R180+'CUSTOMERS REPORT'!R220+'CUSTOMERS REPORT'!R257+'CUSTOMERS REPORT'!R297+'CUSTOMERS REPORT'!R338+'CUSTOMERS REPORT'!R380+'CUSTOMERS REPORT'!R419+'CUSTOMERS REPORT'!R457+'CUSTOMERS REPORT'!R493+'CUSTOMERS REPORT'!R530+'CUSTOMERS REPORT'!R568+'CUSTOMERS REPORT'!R604+'CUSTOMERS REPORT'!R642+'CUSTOMERS REPORT'!R680+'CUSTOMERS REPORT'!R718+'CUSTOMERS REPORT'!R756+'CUSTOMERS REPORT'!R794+'CUSTOMERS REPORT'!R832+'CUSTOMERS REPORT'!R870+'CUSTOMERS REPORT'!R909+'CUSTOMERS REPORT'!R948+'CUSTOMERS REPORT'!R986+'CUSTOMERS REPORT'!R1024+'CUSTOMERS REPORT'!R1062+'CUSTOMERS REPORT'!R1100+'CUSTOMERS REPORT'!R1138+'CUSTOMERS REPORT'!R1175+'CUSTOMERS REPORT'!R1212+'CUSTOMERS REPORT'!R1249+'CUSTOMERS REPORT'!R1286+'CUSTOMERS REPORT'!R1323+'CUSTOMERS REPORT'!R1360+'CUSTOMERS REPORT'!R1397+'CUSTOMERS REPORT'!R1433</f>
        <v>0</v>
      </c>
      <c r="AK54" s="852">
        <f>'CUSTOMERS REPORT'!S19+'CUSTOMERS REPORT'!S65+'CUSTOMERS REPORT'!S103+'CUSTOMERS REPORT'!S142+'CUSTOMERS REPORT'!S180+'CUSTOMERS REPORT'!S220+'CUSTOMERS REPORT'!S257+'CUSTOMERS REPORT'!S297+'CUSTOMERS REPORT'!S338+'CUSTOMERS REPORT'!S380+'CUSTOMERS REPORT'!S419+'CUSTOMERS REPORT'!S457+'CUSTOMERS REPORT'!S493+'CUSTOMERS REPORT'!S530+'CUSTOMERS REPORT'!S568+'CUSTOMERS REPORT'!S604+'CUSTOMERS REPORT'!S642+'CUSTOMERS REPORT'!S680+'CUSTOMERS REPORT'!S718+'CUSTOMERS REPORT'!S756+'CUSTOMERS REPORT'!S794+'CUSTOMERS REPORT'!S832+'CUSTOMERS REPORT'!S870+'CUSTOMERS REPORT'!S909+'CUSTOMERS REPORT'!S948+'CUSTOMERS REPORT'!S986+'CUSTOMERS REPORT'!S1024+'CUSTOMERS REPORT'!S1062+'CUSTOMERS REPORT'!S1100+'CUSTOMERS REPORT'!S1138+'CUSTOMERS REPORT'!S1175+'CUSTOMERS REPORT'!S1212+'CUSTOMERS REPORT'!S1249+'CUSTOMERS REPORT'!S1286+'CUSTOMERS REPORT'!S1323+'CUSTOMERS REPORT'!S1360+'CUSTOMERS REPORT'!S1397+'CUSTOMERS REPORT'!S1433</f>
        <v>0</v>
      </c>
      <c r="AL54" s="852">
        <f>'CUSTOMERS REPORT'!T19+'CUSTOMERS REPORT'!T65+'CUSTOMERS REPORT'!T103+'CUSTOMERS REPORT'!T142+'CUSTOMERS REPORT'!T180+'CUSTOMERS REPORT'!T220+'CUSTOMERS REPORT'!T257+'CUSTOMERS REPORT'!T297+'CUSTOMERS REPORT'!T338+'CUSTOMERS REPORT'!T380+'CUSTOMERS REPORT'!T419+'CUSTOMERS REPORT'!T457+'CUSTOMERS REPORT'!T493+'CUSTOMERS REPORT'!T530+'CUSTOMERS REPORT'!T568+'CUSTOMERS REPORT'!T604+'CUSTOMERS REPORT'!T642+'CUSTOMERS REPORT'!T680+'CUSTOMERS REPORT'!T718+'CUSTOMERS REPORT'!T756+'CUSTOMERS REPORT'!T794+'CUSTOMERS REPORT'!T832+'CUSTOMERS REPORT'!T870+'CUSTOMERS REPORT'!T909+'CUSTOMERS REPORT'!T948+'CUSTOMERS REPORT'!T986+'CUSTOMERS REPORT'!T1024+'CUSTOMERS REPORT'!T1062+'CUSTOMERS REPORT'!T1100+'CUSTOMERS REPORT'!T1138</f>
        <v>0</v>
      </c>
      <c r="AM54" s="852">
        <f>'CUSTOMERS REPORT'!U19+'CUSTOMERS REPORT'!U65+'CUSTOMERS REPORT'!U103+'CUSTOMERS REPORT'!U142+'CUSTOMERS REPORT'!U180+'CUSTOMERS REPORT'!U220+'CUSTOMERS REPORT'!U257+'CUSTOMERS REPORT'!U297+'CUSTOMERS REPORT'!U338+'CUSTOMERS REPORT'!U380+'CUSTOMERS REPORT'!U419+'CUSTOMERS REPORT'!U457+'CUSTOMERS REPORT'!U493+'CUSTOMERS REPORT'!U530+'CUSTOMERS REPORT'!U568+'CUSTOMERS REPORT'!U604+'CUSTOMERS REPORT'!U642+'CUSTOMERS REPORT'!U680+'CUSTOMERS REPORT'!U718+'CUSTOMERS REPORT'!U756+'CUSTOMERS REPORT'!U794+'CUSTOMERS REPORT'!U832+'CUSTOMERS REPORT'!U870+'CUSTOMERS REPORT'!U909+'CUSTOMERS REPORT'!U948+'CUSTOMERS REPORT'!U986+'CUSTOMERS REPORT'!U1024+'CUSTOMERS REPORT'!U1062+'CUSTOMERS REPORT'!U1100+'CUSTOMERS REPORT'!U1138</f>
        <v>0</v>
      </c>
      <c r="AN54" s="852">
        <f>'CUSTOMERS REPORT'!V19+'CUSTOMERS REPORT'!V65+'CUSTOMERS REPORT'!V103+'CUSTOMERS REPORT'!V142+'CUSTOMERS REPORT'!V180+'CUSTOMERS REPORT'!V220+'CUSTOMERS REPORT'!V257+'CUSTOMERS REPORT'!V297+'CUSTOMERS REPORT'!V338+'CUSTOMERS REPORT'!V380+'CUSTOMERS REPORT'!V419+'CUSTOMERS REPORT'!V457+'CUSTOMERS REPORT'!V493+'CUSTOMERS REPORT'!V530+'CUSTOMERS REPORT'!V568+'CUSTOMERS REPORT'!V604+'CUSTOMERS REPORT'!V642+'CUSTOMERS REPORT'!V680+'CUSTOMERS REPORT'!V718+'CUSTOMERS REPORT'!V756+'CUSTOMERS REPORT'!V794+'CUSTOMERS REPORT'!V832+'CUSTOMERS REPORT'!V870+'CUSTOMERS REPORT'!V909+'CUSTOMERS REPORT'!V948+'CUSTOMERS REPORT'!V986+'CUSTOMERS REPORT'!V1024+'CUSTOMERS REPORT'!V1062+'CUSTOMERS REPORT'!V1100+'CUSTOMERS REPORT'!V1138</f>
        <v>0</v>
      </c>
      <c r="AP54" t="s">
        <v>1</v>
      </c>
    </row>
    <row r="55" spans="1:42" ht="24.95" customHeight="1" thickBot="1">
      <c r="L55" s="417">
        <v>20</v>
      </c>
      <c r="M55" s="417"/>
      <c r="N55" s="417">
        <f t="shared" si="9"/>
        <v>0</v>
      </c>
      <c r="R55" s="123">
        <f>'11'!R57</f>
        <v>0</v>
      </c>
      <c r="S55" s="865" t="s">
        <v>169</v>
      </c>
      <c r="T55" s="866">
        <f t="shared" ref="T55:AN55" si="11">T53-T54-T51</f>
        <v>0</v>
      </c>
      <c r="U55" s="866">
        <f t="shared" si="11"/>
        <v>0</v>
      </c>
      <c r="V55" s="866">
        <f t="shared" si="11"/>
        <v>0</v>
      </c>
      <c r="W55" s="866">
        <f t="shared" si="11"/>
        <v>0</v>
      </c>
      <c r="X55" s="866">
        <f t="shared" si="11"/>
        <v>0</v>
      </c>
      <c r="Y55" s="866">
        <f t="shared" si="11"/>
        <v>0</v>
      </c>
      <c r="Z55" s="866">
        <f t="shared" si="11"/>
        <v>0</v>
      </c>
      <c r="AA55" s="866">
        <f t="shared" si="11"/>
        <v>0</v>
      </c>
      <c r="AB55" s="866">
        <f t="shared" si="11"/>
        <v>0</v>
      </c>
      <c r="AC55" s="866">
        <f t="shared" si="11"/>
        <v>0</v>
      </c>
      <c r="AD55" s="866">
        <f t="shared" si="11"/>
        <v>0</v>
      </c>
      <c r="AE55" s="866">
        <f t="shared" si="11"/>
        <v>0</v>
      </c>
      <c r="AF55" s="866">
        <f>AF53-AF54-AF51</f>
        <v>0</v>
      </c>
      <c r="AG55" s="866">
        <f t="shared" si="11"/>
        <v>0</v>
      </c>
      <c r="AH55" s="866">
        <f t="shared" si="11"/>
        <v>0</v>
      </c>
      <c r="AI55" s="866">
        <f t="shared" si="11"/>
        <v>0</v>
      </c>
      <c r="AJ55" s="866">
        <f t="shared" si="11"/>
        <v>0</v>
      </c>
      <c r="AK55" s="866">
        <f t="shared" si="11"/>
        <v>0</v>
      </c>
      <c r="AL55" s="866" t="e">
        <f t="shared" si="11"/>
        <v>#VALUE!</v>
      </c>
      <c r="AM55" s="866" t="e">
        <f t="shared" si="11"/>
        <v>#VALUE!</v>
      </c>
      <c r="AN55" s="872" t="e">
        <f t="shared" si="11"/>
        <v>#VALUE!</v>
      </c>
    </row>
    <row r="56" spans="1:42" ht="28.5" thickBot="1">
      <c r="A56" s="114"/>
      <c r="B56" s="120"/>
      <c r="C56" s="115"/>
      <c r="L56" s="417">
        <v>10</v>
      </c>
      <c r="M56" s="417"/>
      <c r="N56" s="417">
        <f t="shared" si="9"/>
        <v>0</v>
      </c>
      <c r="R56" s="123">
        <f>T56+U56+V56+W56+X56+Y56+Z56+AA56+AB56+AC56+AD56+AE56+AF56+AG56+AH56+AI56+AJ56+AK56+AL56+AM56+AN56</f>
        <v>0</v>
      </c>
      <c r="S56" s="874" t="s">
        <v>170</v>
      </c>
      <c r="T56" s="875"/>
      <c r="U56" s="875"/>
      <c r="V56" s="875"/>
      <c r="W56" s="875"/>
      <c r="X56" s="875"/>
      <c r="Y56" s="875"/>
      <c r="Z56" s="876"/>
      <c r="AA56" s="875"/>
      <c r="AB56" s="875"/>
      <c r="AC56" s="875"/>
      <c r="AD56" s="875"/>
      <c r="AE56" s="875"/>
      <c r="AF56" s="875"/>
      <c r="AG56" s="875"/>
      <c r="AH56" s="875"/>
      <c r="AI56" s="875"/>
      <c r="AJ56" s="877"/>
      <c r="AK56" s="877"/>
      <c r="AL56" s="52"/>
      <c r="AM56" s="52"/>
      <c r="AN56" s="928"/>
    </row>
    <row r="57" spans="1:42" ht="27" customHeight="1" thickBot="1">
      <c r="A57" s="114"/>
      <c r="B57" s="131"/>
      <c r="C57" s="115"/>
      <c r="D57" s="115"/>
      <c r="E57" s="19"/>
      <c r="F57" s="19"/>
      <c r="G57" s="19"/>
      <c r="H57" s="19"/>
      <c r="I57" s="19"/>
      <c r="J57" s="19"/>
      <c r="K57" s="19"/>
      <c r="L57" s="418">
        <v>1</v>
      </c>
      <c r="M57" s="418"/>
      <c r="N57" s="417">
        <f t="shared" si="9"/>
        <v>0</v>
      </c>
      <c r="O57" s="19"/>
      <c r="R57" s="736">
        <f>SUM(R55:R56)</f>
        <v>0</v>
      </c>
      <c r="S57" s="882" t="s">
        <v>23</v>
      </c>
      <c r="T57" s="883" t="e">
        <f t="shared" ref="T57:AI57" si="12">T50/T56</f>
        <v>#DIV/0!</v>
      </c>
      <c r="U57" s="883" t="e">
        <f t="shared" si="12"/>
        <v>#DIV/0!</v>
      </c>
      <c r="V57" s="883" t="e">
        <f t="shared" si="12"/>
        <v>#DIV/0!</v>
      </c>
      <c r="W57" s="883" t="e">
        <f t="shared" si="12"/>
        <v>#DIV/0!</v>
      </c>
      <c r="X57" s="883" t="e">
        <f t="shared" si="12"/>
        <v>#DIV/0!</v>
      </c>
      <c r="Y57" s="883" t="e">
        <f t="shared" si="12"/>
        <v>#DIV/0!</v>
      </c>
      <c r="Z57" s="883" t="e">
        <f t="shared" si="12"/>
        <v>#DIV/0!</v>
      </c>
      <c r="AA57" s="883" t="e">
        <f t="shared" si="12"/>
        <v>#DIV/0!</v>
      </c>
      <c r="AB57" s="883" t="e">
        <f t="shared" si="12"/>
        <v>#DIV/0!</v>
      </c>
      <c r="AC57" s="883" t="e">
        <f t="shared" si="12"/>
        <v>#DIV/0!</v>
      </c>
      <c r="AD57" s="883" t="e">
        <f t="shared" si="12"/>
        <v>#DIV/0!</v>
      </c>
      <c r="AE57" s="883" t="e">
        <f t="shared" si="12"/>
        <v>#DIV/0!</v>
      </c>
      <c r="AF57" s="883" t="e">
        <f t="shared" si="12"/>
        <v>#DIV/0!</v>
      </c>
      <c r="AG57" s="883" t="e">
        <f t="shared" si="12"/>
        <v>#DIV/0!</v>
      </c>
      <c r="AH57" s="883" t="e">
        <f t="shared" si="12"/>
        <v>#DIV/0!</v>
      </c>
      <c r="AI57" s="883" t="e">
        <f t="shared" si="12"/>
        <v>#DIV/0!</v>
      </c>
      <c r="AJ57" s="883" t="e">
        <f>AJ50/AJ56</f>
        <v>#DIV/0!</v>
      </c>
      <c r="AK57" s="883" t="e">
        <f>AK50/AK56</f>
        <v>#DIV/0!</v>
      </c>
      <c r="AL57" s="883" t="e">
        <f t="shared" ref="AL57:AN57" si="13">AL50/AL56</f>
        <v>#DIV/0!</v>
      </c>
      <c r="AM57" s="883" t="e">
        <f t="shared" si="13"/>
        <v>#DIV/0!</v>
      </c>
      <c r="AN57" s="884" t="e">
        <f t="shared" si="13"/>
        <v>#DIV/0!</v>
      </c>
    </row>
    <row r="58" spans="1:42" ht="27" customHeight="1" thickBot="1">
      <c r="A58" s="114"/>
      <c r="B58" s="131"/>
      <c r="C58" s="115"/>
      <c r="D58" s="115" t="s">
        <v>1</v>
      </c>
      <c r="L58" s="1501" t="s">
        <v>171</v>
      </c>
      <c r="M58" s="1501"/>
      <c r="N58" s="419">
        <f>SUM(N50:N57)</f>
        <v>0</v>
      </c>
      <c r="R58" s="19"/>
      <c r="S58" s="878" t="s">
        <v>172</v>
      </c>
      <c r="T58" s="879">
        <f>T54</f>
        <v>0</v>
      </c>
      <c r="U58" s="879">
        <f t="shared" ref="U58:AI58" si="14">U54</f>
        <v>0</v>
      </c>
      <c r="V58" s="879">
        <f t="shared" si="14"/>
        <v>0</v>
      </c>
      <c r="W58" s="879">
        <f t="shared" si="14"/>
        <v>0</v>
      </c>
      <c r="X58" s="879">
        <f t="shared" si="14"/>
        <v>0</v>
      </c>
      <c r="Y58" s="879">
        <f t="shared" si="14"/>
        <v>0</v>
      </c>
      <c r="Z58" s="879">
        <f t="shared" si="14"/>
        <v>0</v>
      </c>
      <c r="AA58" s="879">
        <f t="shared" si="14"/>
        <v>0</v>
      </c>
      <c r="AB58" s="879">
        <f t="shared" si="14"/>
        <v>0</v>
      </c>
      <c r="AC58" s="879">
        <f t="shared" si="14"/>
        <v>0</v>
      </c>
      <c r="AD58" s="879">
        <f t="shared" si="14"/>
        <v>0</v>
      </c>
      <c r="AE58" s="879">
        <f t="shared" si="14"/>
        <v>0</v>
      </c>
      <c r="AF58" s="879">
        <f t="shared" si="14"/>
        <v>0</v>
      </c>
      <c r="AG58" s="879">
        <f t="shared" si="14"/>
        <v>0</v>
      </c>
      <c r="AH58" s="879">
        <f t="shared" si="14"/>
        <v>0</v>
      </c>
      <c r="AI58" s="879">
        <f t="shared" si="14"/>
        <v>0</v>
      </c>
      <c r="AJ58" s="879">
        <f>AJ54</f>
        <v>0</v>
      </c>
      <c r="AK58" s="879">
        <f>AK54</f>
        <v>0</v>
      </c>
      <c r="AL58" s="880"/>
      <c r="AM58" s="880"/>
      <c r="AN58" s="881"/>
    </row>
    <row r="59" spans="1:42" ht="27" customHeight="1">
      <c r="A59" s="114"/>
      <c r="B59" s="132"/>
      <c r="C59" s="115"/>
      <c r="D59" s="115" t="s">
        <v>1</v>
      </c>
      <c r="K59" t="s">
        <v>1</v>
      </c>
      <c r="L59" s="1486" t="s">
        <v>173</v>
      </c>
      <c r="M59" s="1486"/>
      <c r="N59" s="420">
        <f>N58-Q48</f>
        <v>0</v>
      </c>
      <c r="R59" s="19"/>
      <c r="S59" s="114"/>
      <c r="T59" s="121"/>
      <c r="U59" s="121"/>
      <c r="V59" s="121"/>
      <c r="W59" s="121"/>
      <c r="X59" s="121"/>
      <c r="Y59" s="121"/>
      <c r="Z59" s="122"/>
      <c r="AA59" s="121"/>
      <c r="AB59" s="121"/>
      <c r="AC59" s="121"/>
      <c r="AD59" s="121"/>
      <c r="AE59" s="121"/>
      <c r="AF59" s="121"/>
      <c r="AG59" s="121"/>
      <c r="AH59" s="119"/>
      <c r="AI59" s="119"/>
    </row>
    <row r="60" spans="1:42" ht="23.25">
      <c r="A60" s="114"/>
      <c r="B60" s="132"/>
      <c r="C60" s="115"/>
      <c r="D60" s="115"/>
      <c r="P60" s="19"/>
      <c r="Q60" s="19"/>
      <c r="R60" s="19"/>
      <c r="S60" s="19"/>
      <c r="U60" t="s">
        <v>1</v>
      </c>
      <c r="V60" t="s">
        <v>1</v>
      </c>
    </row>
    <row r="61" spans="1:42" ht="23.25">
      <c r="A61" s="114"/>
      <c r="B61" s="132"/>
      <c r="C61" s="115"/>
      <c r="D61" s="116"/>
      <c r="M61" t="s">
        <v>1</v>
      </c>
      <c r="P61" s="185"/>
      <c r="Q61" s="186"/>
      <c r="R61" s="19"/>
      <c r="S61" s="19"/>
    </row>
    <row r="62" spans="1:42" ht="20.25">
      <c r="C62" s="116"/>
      <c r="P62" s="19"/>
      <c r="Q62" s="19"/>
      <c r="R62" s="19"/>
      <c r="S62" s="19"/>
    </row>
    <row r="63" spans="1:42">
      <c r="E63" s="19"/>
    </row>
    <row r="64" spans="1:42">
      <c r="E64" s="19"/>
      <c r="J64" t="s">
        <v>3</v>
      </c>
    </row>
    <row r="65" spans="3:5" ht="24" customHeight="1">
      <c r="C65" s="251"/>
      <c r="E65" s="19"/>
    </row>
    <row r="66" spans="3:5" ht="24" customHeight="1">
      <c r="E66" s="49"/>
    </row>
    <row r="67" spans="3:5" ht="24" customHeight="1">
      <c r="E67" s="113"/>
    </row>
  </sheetData>
  <mergeCells count="21">
    <mergeCell ref="L59:M59"/>
    <mergeCell ref="T47:W47"/>
    <mergeCell ref="X47:Z47"/>
    <mergeCell ref="S47:S48"/>
    <mergeCell ref="AJ47:AK47"/>
    <mergeCell ref="AL47:AM47"/>
    <mergeCell ref="AI7:AJ7"/>
    <mergeCell ref="AI20:AJ20"/>
    <mergeCell ref="L58:M58"/>
    <mergeCell ref="A6:Q6"/>
    <mergeCell ref="S6:AE6"/>
    <mergeCell ref="A7:B7"/>
    <mergeCell ref="P7:Q7"/>
    <mergeCell ref="H48:I48"/>
    <mergeCell ref="P24:Q24"/>
    <mergeCell ref="P33:Q33"/>
    <mergeCell ref="P42:Q42"/>
    <mergeCell ref="H46:I46"/>
    <mergeCell ref="H47:I47"/>
    <mergeCell ref="AA47:AB47"/>
    <mergeCell ref="AC47:AI47"/>
  </mergeCells>
  <conditionalFormatting sqref="M48:N48">
    <cfRule type="duplicateValues" dxfId="412" priority="29"/>
    <cfRule type="duplicateValues" dxfId="411" priority="30"/>
    <cfRule type="duplicateValues" dxfId="410" priority="31"/>
    <cfRule type="duplicateValues" dxfId="409" priority="32"/>
  </conditionalFormatting>
  <conditionalFormatting sqref="L48 N48">
    <cfRule type="cellIs" dxfId="408" priority="28" operator="equal">
      <formula>66890</formula>
    </cfRule>
  </conditionalFormatting>
  <conditionalFormatting sqref="N48">
    <cfRule type="cellIs" dxfId="407" priority="27" operator="lessThan">
      <formula>1</formula>
    </cfRule>
  </conditionalFormatting>
  <conditionalFormatting sqref="T57">
    <cfRule type="cellIs" dxfId="406" priority="16" operator="lessThan">
      <formula>63</formula>
    </cfRule>
  </conditionalFormatting>
  <conditionalFormatting sqref="U57">
    <cfRule type="cellIs" dxfId="405" priority="14" operator="lessThan">
      <formula>63</formula>
    </cfRule>
    <cfRule type="cellIs" dxfId="404" priority="15" operator="lessThan">
      <formula>63</formula>
    </cfRule>
  </conditionalFormatting>
  <conditionalFormatting sqref="W57">
    <cfRule type="cellIs" dxfId="403" priority="13" operator="lessThan">
      <formula>140</formula>
    </cfRule>
  </conditionalFormatting>
  <conditionalFormatting sqref="X57">
    <cfRule type="cellIs" dxfId="402" priority="12" operator="lessThan">
      <formula>125</formula>
    </cfRule>
  </conditionalFormatting>
  <conditionalFormatting sqref="Y57">
    <cfRule type="cellIs" dxfId="401" priority="11" operator="lessThan">
      <formula>150</formula>
    </cfRule>
  </conditionalFormatting>
  <conditionalFormatting sqref="Z57">
    <cfRule type="cellIs" dxfId="400" priority="10" operator="lessThan">
      <formula>590</formula>
    </cfRule>
  </conditionalFormatting>
  <conditionalFormatting sqref="AA57">
    <cfRule type="cellIs" dxfId="399" priority="9" operator="lessThan">
      <formula>704</formula>
    </cfRule>
  </conditionalFormatting>
  <conditionalFormatting sqref="AC57">
    <cfRule type="cellIs" dxfId="398" priority="8" operator="lessThan">
      <formula>52</formula>
    </cfRule>
  </conditionalFormatting>
  <conditionalFormatting sqref="AD57">
    <cfRule type="cellIs" dxfId="397" priority="7" operator="lessThan">
      <formula>52</formula>
    </cfRule>
  </conditionalFormatting>
  <conditionalFormatting sqref="AH57">
    <cfRule type="cellIs" dxfId="396" priority="6" operator="lessThan">
      <formula>63</formula>
    </cfRule>
  </conditionalFormatting>
  <conditionalFormatting sqref="AI57">
    <cfRule type="cellIs" dxfId="395" priority="5" operator="lessThan">
      <formula>63</formula>
    </cfRule>
  </conditionalFormatting>
  <conditionalFormatting sqref="AK57">
    <cfRule type="cellIs" dxfId="394" priority="4" operator="lessThan">
      <formula>270</formula>
    </cfRule>
  </conditionalFormatting>
  <conditionalFormatting sqref="AJ57">
    <cfRule type="cellIs" dxfId="393" priority="3" operator="lessThan">
      <formula>270</formula>
    </cfRule>
  </conditionalFormatting>
  <conditionalFormatting sqref="AL57:AN57">
    <cfRule type="cellIs" dxfId="392" priority="1" operator="lessThan">
      <formula>270</formula>
    </cfRule>
  </conditionalFormatting>
  <printOptions horizontalCentered="1" verticalCentered="1"/>
  <pageMargins left="0" right="0.5" top="0" bottom="0" header="0" footer="0"/>
  <pageSetup paperSize="5" scale="45" orientation="landscape" cellComments="asDisplayed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AP67"/>
  <sheetViews>
    <sheetView topLeftCell="R21" zoomScale="90" zoomScaleNormal="90" workbookViewId="0">
      <selection activeCell="R34" sqref="R34"/>
    </sheetView>
  </sheetViews>
  <sheetFormatPr defaultRowHeight="15"/>
  <cols>
    <col min="1" max="1" width="30.85546875" customWidth="1"/>
    <col min="2" max="2" width="20.28515625" customWidth="1"/>
    <col min="3" max="4" width="20.7109375" customWidth="1"/>
    <col min="5" max="5" width="4.7109375" customWidth="1"/>
    <col min="6" max="6" width="29.140625" bestFit="1" customWidth="1"/>
    <col min="7" max="7" width="17.7109375" customWidth="1"/>
    <col min="8" max="9" width="19.140625" bestFit="1" customWidth="1"/>
    <col min="10" max="11" width="17.7109375" customWidth="1"/>
    <col min="12" max="14" width="19.140625" bestFit="1" customWidth="1"/>
    <col min="15" max="15" width="7.7109375" customWidth="1"/>
    <col min="16" max="16" width="28.7109375" customWidth="1"/>
    <col min="17" max="17" width="20.7109375" customWidth="1"/>
    <col min="18" max="18" width="7.5703125" bestFit="1" customWidth="1"/>
    <col min="19" max="19" width="32.7109375" customWidth="1"/>
    <col min="20" max="20" width="20.28515625" bestFit="1" customWidth="1"/>
    <col min="21" max="21" width="17.7109375" customWidth="1"/>
    <col min="22" max="22" width="20.28515625" bestFit="1" customWidth="1"/>
    <col min="23" max="23" width="17.7109375" customWidth="1"/>
    <col min="24" max="24" width="20.28515625" bestFit="1" customWidth="1"/>
    <col min="25" max="25" width="14.7109375" customWidth="1"/>
    <col min="26" max="26" width="23.7109375" bestFit="1" customWidth="1"/>
    <col min="27" max="27" width="20.140625" bestFit="1" customWidth="1"/>
    <col min="28" max="28" width="18.140625" bestFit="1" customWidth="1"/>
    <col min="29" max="29" width="20.140625" bestFit="1" customWidth="1"/>
    <col min="30" max="30" width="17.7109375" customWidth="1"/>
    <col min="31" max="31" width="20.140625" bestFit="1" customWidth="1"/>
    <col min="32" max="33" width="20.7109375" customWidth="1"/>
    <col min="34" max="37" width="17.7109375" customWidth="1"/>
    <col min="38" max="38" width="13" hidden="1" customWidth="1"/>
    <col min="39" max="39" width="0" hidden="1" customWidth="1"/>
    <col min="40" max="40" width="13" hidden="1" customWidth="1"/>
  </cols>
  <sheetData>
    <row r="1" spans="1:36">
      <c r="E1" s="5"/>
    </row>
    <row r="2" spans="1:36">
      <c r="E2" s="5"/>
    </row>
    <row r="3" spans="1:36" ht="15.75" thickBot="1">
      <c r="C3" t="s">
        <v>1</v>
      </c>
      <c r="E3" s="5" t="s">
        <v>1</v>
      </c>
      <c r="F3" t="s">
        <v>1</v>
      </c>
      <c r="N3" t="s">
        <v>1</v>
      </c>
      <c r="S3" t="s">
        <v>1</v>
      </c>
      <c r="U3" t="s">
        <v>1</v>
      </c>
    </row>
    <row r="4" spans="1:36" ht="21.75" thickTop="1">
      <c r="B4" t="s">
        <v>1</v>
      </c>
      <c r="D4" t="s">
        <v>1</v>
      </c>
      <c r="E4" t="s">
        <v>1</v>
      </c>
      <c r="P4" s="617" t="s">
        <v>108</v>
      </c>
      <c r="Q4" s="618">
        <f>'8'!Q4+'9'!Q9+'9'!Q10+'9'!Q19+'9'!Q20+'9'!Q21+'9'!Q22</f>
        <v>0</v>
      </c>
    </row>
    <row r="5" spans="1:36" ht="21.75" thickBot="1">
      <c r="P5" s="619" t="s">
        <v>109</v>
      </c>
      <c r="Q5" s="620">
        <f>'8'!Q5+'9'!Q25+'9'!Q26+'9'!Q27+'9'!Q28+'9'!Q29+'9'!Q30+'9'!Q31</f>
        <v>0</v>
      </c>
    </row>
    <row r="6" spans="1:36" ht="48" thickTop="1" thickBot="1">
      <c r="A6" s="1502">
        <f>'Main Page'!E25</f>
        <v>44874</v>
      </c>
      <c r="B6" s="1507"/>
      <c r="C6" s="1507"/>
      <c r="D6" s="1507"/>
      <c r="E6" s="1507"/>
      <c r="F6" s="1507"/>
      <c r="G6" s="1507"/>
      <c r="H6" s="1507"/>
      <c r="I6" s="1507"/>
      <c r="J6" s="1507"/>
      <c r="K6" s="1507"/>
      <c r="L6" s="1507"/>
      <c r="M6" s="1507"/>
      <c r="N6" s="1507"/>
      <c r="O6" s="1507"/>
      <c r="P6" s="1507"/>
      <c r="Q6" s="1515"/>
      <c r="R6" t="s">
        <v>1</v>
      </c>
      <c r="S6" s="1502">
        <f>A6</f>
        <v>44874</v>
      </c>
      <c r="T6" s="1503"/>
      <c r="U6" s="1503"/>
      <c r="V6" s="1503"/>
      <c r="W6" s="1503"/>
      <c r="X6" s="1503"/>
      <c r="Y6" s="1503"/>
      <c r="Z6" s="1503"/>
      <c r="AA6" s="1503"/>
      <c r="AB6" s="1503"/>
      <c r="AC6" s="1503"/>
      <c r="AD6" s="1503"/>
      <c r="AE6" s="1504"/>
    </row>
    <row r="7" spans="1:36" ht="39.950000000000003" customHeight="1" thickTop="1" thickBot="1">
      <c r="A7" s="1505" t="s">
        <v>110</v>
      </c>
      <c r="B7" s="1506"/>
      <c r="C7" s="367" t="s">
        <v>97</v>
      </c>
      <c r="D7" s="368" t="s">
        <v>74</v>
      </c>
      <c r="F7" s="363" t="s">
        <v>111</v>
      </c>
      <c r="G7" s="364" t="s">
        <v>112</v>
      </c>
      <c r="H7" s="365" t="s">
        <v>113</v>
      </c>
      <c r="I7" s="365" t="s">
        <v>26</v>
      </c>
      <c r="J7" s="365" t="s">
        <v>114</v>
      </c>
      <c r="K7" s="366" t="s">
        <v>115</v>
      </c>
      <c r="L7" s="365" t="s">
        <v>116</v>
      </c>
      <c r="M7" s="365" t="s">
        <v>117</v>
      </c>
      <c r="N7" s="365" t="s">
        <v>118</v>
      </c>
      <c r="P7" s="1510" t="s">
        <v>69</v>
      </c>
      <c r="Q7" s="1511"/>
      <c r="R7" s="1084" t="s">
        <v>1</v>
      </c>
      <c r="S7" s="380" t="s">
        <v>58</v>
      </c>
      <c r="T7" s="380" t="s">
        <v>59</v>
      </c>
      <c r="U7" s="380" t="s">
        <v>119</v>
      </c>
      <c r="V7" s="380" t="s">
        <v>74</v>
      </c>
      <c r="W7" s="380" t="s">
        <v>120</v>
      </c>
      <c r="X7" s="380" t="s">
        <v>59</v>
      </c>
      <c r="Z7" s="367" t="s">
        <v>121</v>
      </c>
      <c r="AA7" s="367" t="s">
        <v>97</v>
      </c>
      <c r="AB7" s="415" t="s">
        <v>122</v>
      </c>
      <c r="AC7" s="416" t="s">
        <v>90</v>
      </c>
      <c r="AD7" s="367" t="s">
        <v>56</v>
      </c>
      <c r="AE7" s="381" t="s">
        <v>100</v>
      </c>
      <c r="AF7" s="560" t="s">
        <v>122</v>
      </c>
      <c r="AG7" s="570" t="s">
        <v>56</v>
      </c>
      <c r="AI7" s="1487" t="s">
        <v>123</v>
      </c>
      <c r="AJ7" s="1488"/>
    </row>
    <row r="8" spans="1:36" ht="27" customHeight="1" thickTop="1" thickBot="1">
      <c r="A8" s="717"/>
      <c r="B8" s="233"/>
      <c r="C8" s="463"/>
      <c r="D8" s="233"/>
      <c r="F8" s="478" t="str">
        <f>'8'!F8</f>
        <v>ISHAQ ANSARI</v>
      </c>
      <c r="G8" s="405">
        <f>'CUSTOMERS REPORT'!Y16</f>
        <v>0</v>
      </c>
      <c r="H8" s="503">
        <f>'CUSTOMERS REPORT'!Z16</f>
        <v>0</v>
      </c>
      <c r="I8" s="405">
        <f>'CUSTOMERS REPORT'!AA16</f>
        <v>0</v>
      </c>
      <c r="J8" s="497">
        <f>'CUSTOMERS REPORT'!AB16</f>
        <v>0</v>
      </c>
      <c r="K8" s="497">
        <f>'CUSTOMERS REPORT'!AC16</f>
        <v>0</v>
      </c>
      <c r="L8" s="508">
        <f>'CUSTOMERS REPORT'!AD16</f>
        <v>0</v>
      </c>
      <c r="M8" s="413">
        <f>'8'!M8+'9'!G8</f>
        <v>0</v>
      </c>
      <c r="N8" s="411">
        <f>'8'!N8+'9'!J8</f>
        <v>0</v>
      </c>
      <c r="P8" s="191" t="s">
        <v>124</v>
      </c>
      <c r="Q8" s="223">
        <f>'8'!Q32</f>
        <v>0</v>
      </c>
      <c r="S8" s="399" t="str">
        <f>'8'!S8</f>
        <v>FLOUR</v>
      </c>
      <c r="T8" s="446">
        <f>'8'!X8</f>
        <v>0</v>
      </c>
      <c r="U8" s="455"/>
      <c r="V8" s="450">
        <f t="shared" ref="V8:V43" si="0">SUM(T8:U8)</f>
        <v>0</v>
      </c>
      <c r="W8" s="450"/>
      <c r="X8" s="446">
        <f t="shared" ref="X8:X43" si="1">V8-W8</f>
        <v>0</v>
      </c>
      <c r="Z8" s="382" t="str">
        <f>'8'!Z8</f>
        <v>GHAZI</v>
      </c>
      <c r="AA8" s="464">
        <f>'8'!AE8</f>
        <v>0</v>
      </c>
      <c r="AB8" s="459"/>
      <c r="AC8" s="233">
        <f t="shared" ref="AC8:AC41" si="2">AA8+AB8</f>
        <v>0</v>
      </c>
      <c r="AD8" s="468"/>
      <c r="AE8" s="463">
        <f t="shared" ref="AE8:AE42" si="3">AC8-AD8</f>
        <v>0</v>
      </c>
      <c r="AF8" s="563">
        <f>'8'!AF8+'9'!AB8</f>
        <v>0</v>
      </c>
      <c r="AG8" s="233">
        <f>'8'!AG8+'9'!AD8</f>
        <v>0</v>
      </c>
      <c r="AI8" s="391" t="s">
        <v>126</v>
      </c>
      <c r="AJ8" s="392">
        <f>'8'!AJ10</f>
        <v>0</v>
      </c>
    </row>
    <row r="9" spans="1:36" ht="27" customHeight="1" thickTop="1" thickBot="1">
      <c r="A9" s="717"/>
      <c r="B9" s="526"/>
      <c r="C9" s="348"/>
      <c r="D9" s="550"/>
      <c r="F9" s="479" t="str">
        <f>'8'!F9</f>
        <v>MAKKI BAKERY</v>
      </c>
      <c r="G9" s="406">
        <f>'CUSTOMERS REPORT'!Y62</f>
        <v>0</v>
      </c>
      <c r="H9" s="504">
        <f>'CUSTOMERS REPORT'!Z62</f>
        <v>0</v>
      </c>
      <c r="I9" s="406">
        <f>'CUSTOMERS REPORT'!AA62</f>
        <v>0</v>
      </c>
      <c r="J9" s="498">
        <f>'CUSTOMERS REPORT'!AB62</f>
        <v>0</v>
      </c>
      <c r="K9" s="498">
        <f>'CUSTOMERS REPORT'!AC62</f>
        <v>0</v>
      </c>
      <c r="L9" s="509">
        <f>'CUSTOMERS REPORT'!AD62</f>
        <v>0</v>
      </c>
      <c r="M9" s="414">
        <f>'8'!M9+'9'!G9</f>
        <v>0</v>
      </c>
      <c r="N9" s="412">
        <f>'8'!N9+'9'!J9</f>
        <v>0</v>
      </c>
      <c r="P9" s="432"/>
      <c r="Q9" s="436"/>
      <c r="S9" s="400" t="str">
        <f>'8'!S9</f>
        <v>SUGAR</v>
      </c>
      <c r="T9" s="446">
        <f>'8'!X9</f>
        <v>0</v>
      </c>
      <c r="U9" s="456"/>
      <c r="V9" s="451">
        <f t="shared" si="0"/>
        <v>0</v>
      </c>
      <c r="W9" s="451"/>
      <c r="X9" s="447">
        <f t="shared" si="1"/>
        <v>0</v>
      </c>
      <c r="Z9" s="375" t="str">
        <f>'8'!Z9</f>
        <v>SOHNI</v>
      </c>
      <c r="AA9" s="464">
        <f>'8'!AE9</f>
        <v>0</v>
      </c>
      <c r="AB9" s="460"/>
      <c r="AC9" s="462">
        <f t="shared" si="2"/>
        <v>0</v>
      </c>
      <c r="AD9" s="469"/>
      <c r="AE9" s="348">
        <f t="shared" si="3"/>
        <v>0</v>
      </c>
      <c r="AF9" s="563">
        <f>'8'!AF9+'9'!AB9</f>
        <v>0</v>
      </c>
      <c r="AG9" s="234">
        <f>'8'!AG9+'9'!AD9</f>
        <v>0</v>
      </c>
      <c r="AI9" s="393" t="s">
        <v>128</v>
      </c>
      <c r="AJ9" s="394">
        <f>B26</f>
        <v>0</v>
      </c>
    </row>
    <row r="10" spans="1:36" ht="27" customHeight="1" thickTop="1" thickBot="1">
      <c r="A10" s="718"/>
      <c r="B10" s="528"/>
      <c r="C10" s="350"/>
      <c r="D10" s="550"/>
      <c r="F10" s="479" t="str">
        <f>'8'!F10</f>
        <v>ABID HUSSAIN</v>
      </c>
      <c r="G10" s="406">
        <f>'CUSTOMERS REPORT'!Y100</f>
        <v>0</v>
      </c>
      <c r="H10" s="504">
        <f>'CUSTOMERS REPORT'!Z100</f>
        <v>0</v>
      </c>
      <c r="I10" s="406">
        <f>'CUSTOMERS REPORT'!AA100</f>
        <v>0</v>
      </c>
      <c r="J10" s="498">
        <f>'CUSTOMERS REPORT'!AB100</f>
        <v>0</v>
      </c>
      <c r="K10" s="498">
        <f>'CUSTOMERS REPORT'!AC100</f>
        <v>0</v>
      </c>
      <c r="L10" s="509">
        <f>'CUSTOMERS REPORT'!AD100</f>
        <v>0</v>
      </c>
      <c r="M10" s="414">
        <f>'8'!M10+'9'!G10</f>
        <v>0</v>
      </c>
      <c r="N10" s="412">
        <f>'8'!N10+'9'!J10</f>
        <v>0</v>
      </c>
      <c r="P10" s="432"/>
      <c r="Q10" s="437"/>
      <c r="S10" s="400" t="str">
        <f>'8'!S10</f>
        <v>GHEE</v>
      </c>
      <c r="T10" s="446">
        <f>'8'!X10</f>
        <v>0</v>
      </c>
      <c r="U10" s="456"/>
      <c r="V10" s="451">
        <f t="shared" si="0"/>
        <v>0</v>
      </c>
      <c r="W10" s="451"/>
      <c r="X10" s="447">
        <f t="shared" si="1"/>
        <v>0</v>
      </c>
      <c r="Z10" s="375" t="str">
        <f>'8'!Z10</f>
        <v>HUSSAINI</v>
      </c>
      <c r="AA10" s="464">
        <f>'8'!AE10</f>
        <v>0</v>
      </c>
      <c r="AB10" s="460"/>
      <c r="AC10" s="462">
        <f t="shared" si="2"/>
        <v>0</v>
      </c>
      <c r="AD10" s="469"/>
      <c r="AE10" s="348">
        <f t="shared" si="3"/>
        <v>0</v>
      </c>
      <c r="AF10" s="563">
        <f>'8'!AF10+'9'!AB10</f>
        <v>0</v>
      </c>
      <c r="AG10" s="234">
        <f>'8'!AG10+'9'!AD10</f>
        <v>0</v>
      </c>
      <c r="AI10" s="395" t="s">
        <v>74</v>
      </c>
      <c r="AJ10" s="396">
        <f>AJ8+AJ9</f>
        <v>0</v>
      </c>
    </row>
    <row r="11" spans="1:36" ht="27" customHeight="1" thickTop="1">
      <c r="A11" s="718"/>
      <c r="B11" s="528"/>
      <c r="C11" s="350"/>
      <c r="D11" s="550"/>
      <c r="F11" s="479" t="str">
        <f>'8'!F11</f>
        <v>SHAHID 5 #</v>
      </c>
      <c r="G11" s="406">
        <f>'CUSTOMERS REPORT'!Y139</f>
        <v>0</v>
      </c>
      <c r="H11" s="504">
        <f>'CUSTOMERS REPORT'!Z139</f>
        <v>0</v>
      </c>
      <c r="I11" s="406">
        <f>'CUSTOMERS REPORT'!AA139</f>
        <v>0</v>
      </c>
      <c r="J11" s="498">
        <f>'CUSTOMERS REPORT'!AB139</f>
        <v>0</v>
      </c>
      <c r="K11" s="498">
        <f>'CUSTOMERS REPORT'!AC139</f>
        <v>0</v>
      </c>
      <c r="L11" s="406">
        <f>'CUSTOMERS REPORT'!AD139</f>
        <v>0</v>
      </c>
      <c r="M11" s="414">
        <f>'8'!M11+'9'!G11</f>
        <v>0</v>
      </c>
      <c r="N11" s="412">
        <f>'8'!N11+'9'!J11</f>
        <v>0</v>
      </c>
      <c r="P11" s="434"/>
      <c r="Q11" s="437"/>
      <c r="S11" s="400" t="str">
        <f>'8'!S11</f>
        <v>YEAST</v>
      </c>
      <c r="T11" s="446">
        <f>'8'!X11</f>
        <v>0</v>
      </c>
      <c r="U11" s="456"/>
      <c r="V11" s="451">
        <f t="shared" si="0"/>
        <v>0</v>
      </c>
      <c r="W11" s="451"/>
      <c r="X11" s="447">
        <f t="shared" si="1"/>
        <v>0</v>
      </c>
      <c r="Z11" s="375" t="str">
        <f>'8'!Z11</f>
        <v>IMRAN ALAM</v>
      </c>
      <c r="AA11" s="464">
        <f>'8'!AE11</f>
        <v>0</v>
      </c>
      <c r="AB11" s="460"/>
      <c r="AC11" s="462">
        <f t="shared" si="2"/>
        <v>0</v>
      </c>
      <c r="AD11" s="469"/>
      <c r="AE11" s="348">
        <f t="shared" si="3"/>
        <v>0</v>
      </c>
      <c r="AF11" s="563">
        <f>'8'!AF11+'9'!AB11</f>
        <v>0</v>
      </c>
      <c r="AG11" s="234">
        <f>'8'!AG11+'9'!AD11</f>
        <v>0</v>
      </c>
      <c r="AI11" s="1031"/>
      <c r="AJ11" s="1032"/>
    </row>
    <row r="12" spans="1:36" ht="27" customHeight="1">
      <c r="A12" s="718"/>
      <c r="B12" s="528"/>
      <c r="C12" s="350"/>
      <c r="D12" s="550"/>
      <c r="F12" s="479" t="str">
        <f>'8'!F12</f>
        <v>ZULFIQAR</v>
      </c>
      <c r="G12" s="406">
        <f>'CUSTOMERS REPORT'!Y177</f>
        <v>0</v>
      </c>
      <c r="H12" s="504">
        <f>'CUSTOMERS REPORT'!Z177</f>
        <v>0</v>
      </c>
      <c r="I12" s="406">
        <f>'CUSTOMERS REPORT'!AA177</f>
        <v>0</v>
      </c>
      <c r="J12" s="498">
        <f>'CUSTOMERS REPORT'!AB177</f>
        <v>0</v>
      </c>
      <c r="K12" s="498">
        <f>'CUSTOMERS REPORT'!AC177</f>
        <v>0</v>
      </c>
      <c r="L12" s="406">
        <f>'CUSTOMERS REPORT'!AD177</f>
        <v>0</v>
      </c>
      <c r="M12" s="414">
        <f>'8'!M12+'9'!G12</f>
        <v>0</v>
      </c>
      <c r="N12" s="412">
        <f>'8'!N12+'9'!J12</f>
        <v>0</v>
      </c>
      <c r="P12" s="434"/>
      <c r="Q12" s="437"/>
      <c r="S12" s="400" t="str">
        <f>'8'!S12</f>
        <v xml:space="preserve">EKKA </v>
      </c>
      <c r="T12" s="446">
        <f>'8'!X12</f>
        <v>0</v>
      </c>
      <c r="U12" s="456"/>
      <c r="V12" s="451">
        <f t="shared" si="0"/>
        <v>0</v>
      </c>
      <c r="W12" s="451"/>
      <c r="X12" s="447">
        <f t="shared" si="1"/>
        <v>0</v>
      </c>
      <c r="Z12" s="375" t="str">
        <f>'8'!Z12</f>
        <v>ZAHEER</v>
      </c>
      <c r="AA12" s="464">
        <f>'8'!AE12</f>
        <v>0</v>
      </c>
      <c r="AB12" s="460"/>
      <c r="AC12" s="462">
        <f t="shared" si="2"/>
        <v>0</v>
      </c>
      <c r="AD12" s="469"/>
      <c r="AE12" s="348">
        <f t="shared" si="3"/>
        <v>0</v>
      </c>
      <c r="AF12" s="563">
        <f>'8'!AF12+'9'!AB12</f>
        <v>0</v>
      </c>
      <c r="AG12" s="234">
        <f>'8'!AG12+'9'!AD12</f>
        <v>0</v>
      </c>
      <c r="AI12" s="1031"/>
      <c r="AJ12" s="1032"/>
    </row>
    <row r="13" spans="1:36" ht="27" customHeight="1">
      <c r="A13" s="718"/>
      <c r="B13" s="528"/>
      <c r="C13" s="350"/>
      <c r="D13" s="550"/>
      <c r="F13" s="479" t="str">
        <f>'8'!F13</f>
        <v>QASIM ORANGI</v>
      </c>
      <c r="G13" s="406">
        <f>'CUSTOMERS REPORT'!Y217</f>
        <v>0</v>
      </c>
      <c r="H13" s="504">
        <f>'CUSTOMERS REPORT'!Z217</f>
        <v>0</v>
      </c>
      <c r="I13" s="406">
        <f>'CUSTOMERS REPORT'!AA217</f>
        <v>0</v>
      </c>
      <c r="J13" s="498">
        <f>'CUSTOMERS REPORT'!AB217</f>
        <v>0</v>
      </c>
      <c r="K13" s="498">
        <f>'CUSTOMERS REPORT'!AC217</f>
        <v>0</v>
      </c>
      <c r="L13" s="406">
        <f>'CUSTOMERS REPORT'!AD217</f>
        <v>0</v>
      </c>
      <c r="M13" s="414">
        <f>'8'!M13+'9'!G13</f>
        <v>0</v>
      </c>
      <c r="N13" s="412">
        <f>'8'!N13+'9'!J13</f>
        <v>0</v>
      </c>
      <c r="P13" s="434"/>
      <c r="Q13" s="437"/>
      <c r="S13" s="400" t="str">
        <f>'8'!S13</f>
        <v>VANILLA</v>
      </c>
      <c r="T13" s="446">
        <f>'8'!X13</f>
        <v>0</v>
      </c>
      <c r="U13" s="456"/>
      <c r="V13" s="451">
        <f t="shared" si="0"/>
        <v>0</v>
      </c>
      <c r="W13" s="451"/>
      <c r="X13" s="447">
        <f t="shared" si="1"/>
        <v>0</v>
      </c>
      <c r="Z13" s="375" t="str">
        <f>'8'!Z13</f>
        <v>FAISAL</v>
      </c>
      <c r="AA13" s="464">
        <f>'8'!AE13</f>
        <v>0</v>
      </c>
      <c r="AB13" s="460"/>
      <c r="AC13" s="462">
        <f t="shared" si="2"/>
        <v>0</v>
      </c>
      <c r="AD13" s="469"/>
      <c r="AE13" s="348">
        <f t="shared" si="3"/>
        <v>0</v>
      </c>
      <c r="AF13" s="563">
        <f>'8'!AF13+'9'!AB13</f>
        <v>0</v>
      </c>
      <c r="AG13" s="234">
        <f>'8'!AG13+'9'!AD13</f>
        <v>0</v>
      </c>
      <c r="AI13" s="1031"/>
      <c r="AJ13" s="1032"/>
    </row>
    <row r="14" spans="1:36" ht="27" customHeight="1">
      <c r="A14" s="718"/>
      <c r="B14" s="528"/>
      <c r="C14" s="350"/>
      <c r="D14" s="550"/>
      <c r="F14" s="479" t="str">
        <f>'8'!F14</f>
        <v>BADSHAH KHAN HYD</v>
      </c>
      <c r="G14" s="406">
        <f>'CUSTOMERS REPORT'!Y254</f>
        <v>0</v>
      </c>
      <c r="H14" s="504">
        <f>'CUSTOMERS REPORT'!Z254</f>
        <v>0</v>
      </c>
      <c r="I14" s="406">
        <f>'CUSTOMERS REPORT'!AA254</f>
        <v>0</v>
      </c>
      <c r="J14" s="498">
        <f>'CUSTOMERS REPORT'!AB254</f>
        <v>0</v>
      </c>
      <c r="K14" s="498">
        <f>'CUSTOMERS REPORT'!AC254</f>
        <v>0</v>
      </c>
      <c r="L14" s="406">
        <f>'CUSTOMERS REPORT'!AD254</f>
        <v>0</v>
      </c>
      <c r="M14" s="414">
        <f>'8'!M14+'9'!G14</f>
        <v>0</v>
      </c>
      <c r="N14" s="412">
        <f>'8'!N14+'9'!J14</f>
        <v>0</v>
      </c>
      <c r="P14" s="434"/>
      <c r="Q14" s="437"/>
      <c r="S14" s="400" t="str">
        <f>'8'!S14</f>
        <v>COLOUR</v>
      </c>
      <c r="T14" s="446">
        <f>'8'!X14</f>
        <v>0</v>
      </c>
      <c r="U14" s="456"/>
      <c r="V14" s="451">
        <f t="shared" si="0"/>
        <v>0</v>
      </c>
      <c r="W14" s="451"/>
      <c r="X14" s="447">
        <f t="shared" si="1"/>
        <v>0</v>
      </c>
      <c r="Z14" s="375" t="str">
        <f>'8'!Z14</f>
        <v>RANA EKKA</v>
      </c>
      <c r="AA14" s="464">
        <f>'8'!AE14</f>
        <v>0</v>
      </c>
      <c r="AB14" s="460"/>
      <c r="AC14" s="462">
        <f t="shared" si="2"/>
        <v>0</v>
      </c>
      <c r="AD14" s="469"/>
      <c r="AE14" s="348">
        <f t="shared" si="3"/>
        <v>0</v>
      </c>
      <c r="AF14" s="563">
        <f>'8'!AF14+'9'!AB14</f>
        <v>0</v>
      </c>
      <c r="AG14" s="234">
        <f>'8'!AG14+'9'!AD14</f>
        <v>0</v>
      </c>
      <c r="AI14" s="1031"/>
      <c r="AJ14" s="1032"/>
    </row>
    <row r="15" spans="1:36" ht="27" customHeight="1">
      <c r="A15" s="718"/>
      <c r="B15" s="528"/>
      <c r="C15" s="350"/>
      <c r="D15" s="550"/>
      <c r="F15" s="479" t="str">
        <f>'8'!F15</f>
        <v>SHAMOON</v>
      </c>
      <c r="G15" s="406">
        <f>'CUSTOMERS REPORT'!Y294</f>
        <v>0</v>
      </c>
      <c r="H15" s="504">
        <f>'CUSTOMERS REPORT'!Z294</f>
        <v>0</v>
      </c>
      <c r="I15" s="406">
        <f>'CUSTOMERS REPORT'!AA294</f>
        <v>0</v>
      </c>
      <c r="J15" s="498">
        <f>'CUSTOMERS REPORT'!AB294</f>
        <v>0</v>
      </c>
      <c r="K15" s="498">
        <f>'CUSTOMERS REPORT'!AC294</f>
        <v>0</v>
      </c>
      <c r="L15" s="406">
        <f>'CUSTOMERS REPORT'!AD294</f>
        <v>0</v>
      </c>
      <c r="M15" s="414">
        <f>'8'!M15+'9'!G15</f>
        <v>0</v>
      </c>
      <c r="N15" s="412">
        <f>'8'!N15+'9'!J15</f>
        <v>0</v>
      </c>
      <c r="P15" s="434"/>
      <c r="Q15" s="437"/>
      <c r="S15" s="400" t="str">
        <f>'8'!S15</f>
        <v>TILL</v>
      </c>
      <c r="T15" s="446">
        <f>'8'!X15</f>
        <v>0</v>
      </c>
      <c r="U15" s="456"/>
      <c r="V15" s="451">
        <f t="shared" si="0"/>
        <v>0</v>
      </c>
      <c r="W15" s="451"/>
      <c r="X15" s="447">
        <f t="shared" si="1"/>
        <v>0</v>
      </c>
      <c r="Z15" s="375" t="str">
        <f>'8'!Z15</f>
        <v>sheeba</v>
      </c>
      <c r="AA15" s="464">
        <f>'8'!AE15</f>
        <v>0</v>
      </c>
      <c r="AB15" s="460"/>
      <c r="AC15" s="462">
        <f t="shared" si="2"/>
        <v>0</v>
      </c>
      <c r="AD15" s="469"/>
      <c r="AE15" s="348">
        <f t="shared" si="3"/>
        <v>0</v>
      </c>
      <c r="AF15" s="563">
        <f>'8'!AF15+'9'!AB15</f>
        <v>0</v>
      </c>
      <c r="AG15" s="234">
        <f>'8'!AG15+'9'!AD15</f>
        <v>0</v>
      </c>
      <c r="AI15" s="1031"/>
      <c r="AJ15" s="1032"/>
    </row>
    <row r="16" spans="1:36" ht="27" customHeight="1">
      <c r="A16" s="718"/>
      <c r="B16" s="528"/>
      <c r="C16" s="350"/>
      <c r="D16" s="550"/>
      <c r="F16" s="479" t="str">
        <f>'8'!F16</f>
        <v>MATEEN</v>
      </c>
      <c r="G16" s="406">
        <f>'CUSTOMERS REPORT'!Y335</f>
        <v>0</v>
      </c>
      <c r="H16" s="504">
        <f>'CUSTOMERS REPORT'!Z335</f>
        <v>0</v>
      </c>
      <c r="I16" s="406">
        <f>'CUSTOMERS REPORT'!AA335</f>
        <v>0</v>
      </c>
      <c r="J16" s="498">
        <f>'CUSTOMERS REPORT'!AB335</f>
        <v>0</v>
      </c>
      <c r="K16" s="498">
        <f>'CUSTOMERS REPORT'!AC335</f>
        <v>0</v>
      </c>
      <c r="L16" s="406">
        <f>'CUSTOMERS REPORT'!AD335</f>
        <v>0</v>
      </c>
      <c r="M16" s="414">
        <f>'8'!M16+'9'!G16</f>
        <v>0</v>
      </c>
      <c r="N16" s="412">
        <f>'8'!N16+'9'!J16</f>
        <v>0</v>
      </c>
      <c r="P16" s="434"/>
      <c r="Q16" s="437"/>
      <c r="S16" s="400" t="str">
        <f>'8'!S16</f>
        <v>ILLAICHI</v>
      </c>
      <c r="T16" s="446">
        <f>'8'!X16</f>
        <v>0</v>
      </c>
      <c r="U16" s="456"/>
      <c r="V16" s="451">
        <f t="shared" si="0"/>
        <v>0</v>
      </c>
      <c r="W16" s="451"/>
      <c r="X16" s="447">
        <f t="shared" si="1"/>
        <v>0</v>
      </c>
      <c r="Z16" s="375" t="str">
        <f>'8'!Z16</f>
        <v>COTTON</v>
      </c>
      <c r="AA16" s="464">
        <f>'8'!AE16</f>
        <v>0</v>
      </c>
      <c r="AB16" s="460"/>
      <c r="AC16" s="462">
        <f t="shared" si="2"/>
        <v>0</v>
      </c>
      <c r="AD16" s="469"/>
      <c r="AE16" s="348">
        <f t="shared" si="3"/>
        <v>0</v>
      </c>
      <c r="AF16" s="563">
        <f>'8'!AF16+'9'!AB16</f>
        <v>0</v>
      </c>
      <c r="AG16" s="234">
        <f>'8'!AG16+'9'!AD16</f>
        <v>0</v>
      </c>
      <c r="AI16" s="1031"/>
      <c r="AJ16" s="1032"/>
    </row>
    <row r="17" spans="1:36" ht="27" customHeight="1">
      <c r="A17" s="718"/>
      <c r="B17" s="528"/>
      <c r="C17" s="350"/>
      <c r="D17" s="550"/>
      <c r="F17" s="479" t="str">
        <f>'8'!F17</f>
        <v>AMJAD ORANGI</v>
      </c>
      <c r="G17" s="406">
        <f>'CUSTOMERS REPORT'!Y377</f>
        <v>0</v>
      </c>
      <c r="H17" s="504">
        <f>'CUSTOMERS REPORT'!Z377</f>
        <v>0</v>
      </c>
      <c r="I17" s="406">
        <f>'CUSTOMERS REPORT'!AA377</f>
        <v>0</v>
      </c>
      <c r="J17" s="498">
        <f>'CUSTOMERS REPORT'!AB377</f>
        <v>0</v>
      </c>
      <c r="K17" s="498">
        <f>'CUSTOMERS REPORT'!AC377</f>
        <v>0</v>
      </c>
      <c r="L17" s="406">
        <f>'CUSTOMERS REPORT'!AD377</f>
        <v>0</v>
      </c>
      <c r="M17" s="414">
        <f>'8'!M17+'9'!G17</f>
        <v>0</v>
      </c>
      <c r="N17" s="412">
        <f>'8'!N17+'9'!J17</f>
        <v>0</v>
      </c>
      <c r="P17" s="434"/>
      <c r="Q17" s="437"/>
      <c r="S17" s="400" t="str">
        <f>'8'!S17</f>
        <v>S-THELLI</v>
      </c>
      <c r="T17" s="446">
        <f>'8'!X17</f>
        <v>0</v>
      </c>
      <c r="U17" s="456"/>
      <c r="V17" s="451">
        <f t="shared" si="0"/>
        <v>0</v>
      </c>
      <c r="W17" s="451"/>
      <c r="X17" s="447">
        <f t="shared" si="1"/>
        <v>0</v>
      </c>
      <c r="Z17" s="375" t="str">
        <f>'8'!Z17</f>
        <v>SHAHID UP</v>
      </c>
      <c r="AA17" s="464">
        <f>'8'!AE17</f>
        <v>0</v>
      </c>
      <c r="AB17" s="460"/>
      <c r="AC17" s="462">
        <f t="shared" si="2"/>
        <v>0</v>
      </c>
      <c r="AD17" s="469"/>
      <c r="AE17" s="348">
        <f t="shared" si="3"/>
        <v>0</v>
      </c>
      <c r="AF17" s="563">
        <f>'8'!AF17+'9'!AB17</f>
        <v>0</v>
      </c>
      <c r="AG17" s="234">
        <f>'8'!AG17+'9'!AD17</f>
        <v>0</v>
      </c>
      <c r="AI17" s="1031"/>
      <c r="AJ17" s="1032"/>
    </row>
    <row r="18" spans="1:36" ht="27" customHeight="1">
      <c r="A18" s="718"/>
      <c r="B18" s="528"/>
      <c r="C18" s="350"/>
      <c r="D18" s="550"/>
      <c r="F18" s="479" t="str">
        <f>'8'!F18</f>
        <v>HAFIZ DRIVER</v>
      </c>
      <c r="G18" s="406">
        <f>'CUSTOMERS REPORT'!Y416</f>
        <v>0</v>
      </c>
      <c r="H18" s="504">
        <f>'CUSTOMERS REPORT'!Z416</f>
        <v>0</v>
      </c>
      <c r="I18" s="406">
        <f>'CUSTOMERS REPORT'!AA416</f>
        <v>0</v>
      </c>
      <c r="J18" s="498">
        <f>'CUSTOMERS REPORT'!AB416</f>
        <v>0</v>
      </c>
      <c r="K18" s="498">
        <f>'CUSTOMERS REPORT'!AC416</f>
        <v>0</v>
      </c>
      <c r="L18" s="406">
        <f>'CUSTOMERS REPORT'!AD416</f>
        <v>0</v>
      </c>
      <c r="M18" s="414">
        <f>'8'!M18+'9'!G18</f>
        <v>0</v>
      </c>
      <c r="N18" s="412">
        <f>'8'!N18+'9'!J18</f>
        <v>0</v>
      </c>
      <c r="P18" s="434"/>
      <c r="Q18" s="437"/>
      <c r="S18" s="400" t="str">
        <f>'8'!S18</f>
        <v>P-THELLI</v>
      </c>
      <c r="T18" s="446">
        <f>'8'!X18</f>
        <v>0</v>
      </c>
      <c r="U18" s="456"/>
      <c r="V18" s="451">
        <f t="shared" si="0"/>
        <v>0</v>
      </c>
      <c r="W18" s="451"/>
      <c r="X18" s="447">
        <f t="shared" si="1"/>
        <v>0</v>
      </c>
      <c r="Z18" s="375" t="str">
        <f>'8'!Z18</f>
        <v>SALT</v>
      </c>
      <c r="AA18" s="464">
        <f>'8'!AE18</f>
        <v>0</v>
      </c>
      <c r="AB18" s="460"/>
      <c r="AC18" s="462">
        <f t="shared" si="2"/>
        <v>0</v>
      </c>
      <c r="AD18" s="469"/>
      <c r="AE18" s="348">
        <f t="shared" si="3"/>
        <v>0</v>
      </c>
      <c r="AF18" s="563">
        <f>'8'!AF18+'9'!AB18</f>
        <v>0</v>
      </c>
      <c r="AG18" s="234">
        <f>'8'!AG18+'9'!AD18</f>
        <v>0</v>
      </c>
      <c r="AI18" s="1031"/>
      <c r="AJ18" s="1032"/>
    </row>
    <row r="19" spans="1:36" ht="27" customHeight="1" thickBot="1">
      <c r="A19" s="719"/>
      <c r="B19" s="529"/>
      <c r="C19" s="350"/>
      <c r="D19" s="550"/>
      <c r="F19" s="479" t="str">
        <f>'8'!F19</f>
        <v>GHULAM QUETTA</v>
      </c>
      <c r="G19" s="406">
        <f>'CUSTOMERS REPORT'!Y454</f>
        <v>0</v>
      </c>
      <c r="H19" s="504">
        <f>'CUSTOMERS REPORT'!Z454</f>
        <v>0</v>
      </c>
      <c r="I19" s="406">
        <f>'CUSTOMERS REPORT'!AA454</f>
        <v>0</v>
      </c>
      <c r="J19" s="498">
        <f>'CUSTOMERS REPORT'!AB454</f>
        <v>0</v>
      </c>
      <c r="K19" s="498">
        <f>'CUSTOMERS REPORT'!AC454</f>
        <v>0</v>
      </c>
      <c r="L19" s="406">
        <f>'CUSTOMERS REPORT'!AD454</f>
        <v>0</v>
      </c>
      <c r="M19" s="414">
        <f>'8'!M19+'9'!G19</f>
        <v>0</v>
      </c>
      <c r="N19" s="412">
        <f>'8'!N19+'9'!J19</f>
        <v>0</v>
      </c>
      <c r="P19" s="433"/>
      <c r="Q19" s="437"/>
      <c r="S19" s="400" t="str">
        <f>'8'!S19</f>
        <v>RUBBER</v>
      </c>
      <c r="T19" s="446">
        <f>'8'!X19</f>
        <v>0</v>
      </c>
      <c r="U19" s="456"/>
      <c r="V19" s="451">
        <f t="shared" si="0"/>
        <v>0</v>
      </c>
      <c r="W19" s="451"/>
      <c r="X19" s="447">
        <f t="shared" si="1"/>
        <v>0</v>
      </c>
      <c r="Z19" s="375" t="str">
        <f>'8'!Z19</f>
        <v>NAVEED</v>
      </c>
      <c r="AA19" s="464">
        <f>'8'!AE19</f>
        <v>0</v>
      </c>
      <c r="AB19" s="460"/>
      <c r="AC19" s="462">
        <f t="shared" si="2"/>
        <v>0</v>
      </c>
      <c r="AD19" s="469"/>
      <c r="AE19" s="348">
        <f t="shared" si="3"/>
        <v>0</v>
      </c>
      <c r="AF19" s="563">
        <f>'8'!AF19+'9'!AB19</f>
        <v>0</v>
      </c>
      <c r="AG19" s="234">
        <f>'8'!AG19+'9'!AD19</f>
        <v>0</v>
      </c>
    </row>
    <row r="20" spans="1:36" ht="27" customHeight="1" thickTop="1" thickBot="1">
      <c r="A20" s="719"/>
      <c r="B20" s="529"/>
      <c r="C20" s="350"/>
      <c r="D20" s="550"/>
      <c r="F20" s="479" t="str">
        <f>'8'!F20</f>
        <v>HUSSAN GWADAR</v>
      </c>
      <c r="G20" s="406">
        <f>'CUSTOMERS REPORT'!Y490</f>
        <v>0</v>
      </c>
      <c r="H20" s="504">
        <f>'CUSTOMERS REPORT'!Z490</f>
        <v>0</v>
      </c>
      <c r="I20" s="406">
        <f>'CUSTOMERS REPORT'!AA490</f>
        <v>0</v>
      </c>
      <c r="J20" s="498">
        <f>'CUSTOMERS REPORT'!AB490</f>
        <v>0</v>
      </c>
      <c r="K20" s="498">
        <f>'CUSTOMERS REPORT'!AC490</f>
        <v>0</v>
      </c>
      <c r="L20" s="406">
        <f>'CUSTOMERS REPORT'!AD490</f>
        <v>0</v>
      </c>
      <c r="M20" s="414">
        <f>'8'!M20+'9'!G20</f>
        <v>0</v>
      </c>
      <c r="N20" s="412">
        <f>'8'!N20+'9'!J20</f>
        <v>0</v>
      </c>
      <c r="P20" s="433"/>
      <c r="Q20" s="437"/>
      <c r="S20" s="400" t="str">
        <f>'8'!S20</f>
        <v>SALT</v>
      </c>
      <c r="T20" s="446">
        <f>'8'!X20</f>
        <v>0</v>
      </c>
      <c r="U20" s="456"/>
      <c r="V20" s="451">
        <f t="shared" si="0"/>
        <v>0</v>
      </c>
      <c r="W20" s="451"/>
      <c r="X20" s="447">
        <f t="shared" si="1"/>
        <v>0</v>
      </c>
      <c r="Z20" s="375" t="str">
        <f>'8'!Z20</f>
        <v>YOUSUF BHAI</v>
      </c>
      <c r="AA20" s="464">
        <f>'8'!AE20</f>
        <v>0</v>
      </c>
      <c r="AB20" s="460"/>
      <c r="AC20" s="462">
        <f t="shared" si="2"/>
        <v>0</v>
      </c>
      <c r="AD20" s="469"/>
      <c r="AE20" s="348">
        <f t="shared" si="3"/>
        <v>0</v>
      </c>
      <c r="AF20" s="563">
        <f>'8'!AF20+'9'!AB20</f>
        <v>0</v>
      </c>
      <c r="AG20" s="234">
        <f>'8'!AG20+'9'!AD20</f>
        <v>0</v>
      </c>
      <c r="AI20" s="1487" t="s">
        <v>132</v>
      </c>
      <c r="AJ20" s="1488"/>
    </row>
    <row r="21" spans="1:36" ht="27" customHeight="1" thickTop="1" thickBot="1">
      <c r="A21" s="720"/>
      <c r="B21" s="530"/>
      <c r="C21" s="531"/>
      <c r="D21" s="553"/>
      <c r="F21" s="479" t="str">
        <f>'8'!F21</f>
        <v>AQASH S KOT</v>
      </c>
      <c r="G21" s="406">
        <f>'CUSTOMERS REPORT'!Y527</f>
        <v>0</v>
      </c>
      <c r="H21" s="504">
        <f>'CUSTOMERS REPORT'!Z527</f>
        <v>0</v>
      </c>
      <c r="I21" s="406">
        <f>'CUSTOMERS REPORT'!AA527</f>
        <v>0</v>
      </c>
      <c r="J21" s="498">
        <f>'CUSTOMERS REPORT'!AB527</f>
        <v>0</v>
      </c>
      <c r="K21" s="498">
        <f>'CUSTOMERS REPORT'!AC527</f>
        <v>0</v>
      </c>
      <c r="L21" s="406">
        <f>'CUSTOMERS REPORT'!AD527</f>
        <v>0</v>
      </c>
      <c r="M21" s="414">
        <f>'8'!M21+'9'!G21</f>
        <v>0</v>
      </c>
      <c r="N21" s="412">
        <f>'8'!N21+'9'!J21</f>
        <v>0</v>
      </c>
      <c r="P21" s="433"/>
      <c r="Q21" s="435"/>
      <c r="S21" s="400" t="str">
        <f>'8'!S21</f>
        <v>TAPE</v>
      </c>
      <c r="T21" s="446">
        <f>'8'!X21</f>
        <v>0</v>
      </c>
      <c r="U21" s="456"/>
      <c r="V21" s="451">
        <f t="shared" si="0"/>
        <v>0</v>
      </c>
      <c r="W21" s="451"/>
      <c r="X21" s="447">
        <f t="shared" si="1"/>
        <v>0</v>
      </c>
      <c r="Z21" s="375" t="str">
        <f>'8'!Z21</f>
        <v>SULEMAN  PRINT</v>
      </c>
      <c r="AA21" s="464">
        <f>'8'!AE21</f>
        <v>0</v>
      </c>
      <c r="AB21" s="460"/>
      <c r="AC21" s="462">
        <f t="shared" si="2"/>
        <v>0</v>
      </c>
      <c r="AD21" s="469"/>
      <c r="AE21" s="348">
        <f t="shared" si="3"/>
        <v>0</v>
      </c>
      <c r="AF21" s="563">
        <f>'8'!AF21+'9'!AB21</f>
        <v>0</v>
      </c>
      <c r="AG21" s="234">
        <f>'8'!AG21+'9'!AD21</f>
        <v>0</v>
      </c>
      <c r="AI21" s="391" t="s">
        <v>126</v>
      </c>
      <c r="AJ21" s="392">
        <f>'8'!AJ23</f>
        <v>0</v>
      </c>
    </row>
    <row r="22" spans="1:36" ht="27" customHeight="1" thickTop="1" thickBot="1">
      <c r="A22" s="486" t="s">
        <v>74</v>
      </c>
      <c r="B22" s="533">
        <f>SUM(B8:B21)</f>
        <v>0</v>
      </c>
      <c r="C22" s="534">
        <f>'8'!D22</f>
        <v>0</v>
      </c>
      <c r="D22" s="535">
        <f t="shared" ref="D22" si="4">B22+C22</f>
        <v>0</v>
      </c>
      <c r="F22" s="479" t="str">
        <f>'8'!F22</f>
        <v>SALEEM T JAM</v>
      </c>
      <c r="G22" s="406">
        <f>'CUSTOMERS REPORT'!Y565</f>
        <v>0</v>
      </c>
      <c r="H22" s="504">
        <f>'CUSTOMERS REPORT'!Z565</f>
        <v>0</v>
      </c>
      <c r="I22" s="406">
        <f>'CUSTOMERS REPORT'!AA565</f>
        <v>0</v>
      </c>
      <c r="J22" s="498">
        <f>'CUSTOMERS REPORT'!AB565</f>
        <v>0</v>
      </c>
      <c r="K22" s="498">
        <f>'CUSTOMERS REPORT'!AC565</f>
        <v>0</v>
      </c>
      <c r="L22" s="406">
        <f>'CUSTOMERS REPORT'!AD565</f>
        <v>0</v>
      </c>
      <c r="M22" s="414">
        <f>'8'!M22+'9'!G22</f>
        <v>0</v>
      </c>
      <c r="N22" s="412">
        <f>'8'!N22+'9'!J22</f>
        <v>0</v>
      </c>
      <c r="P22" s="433"/>
      <c r="Q22" s="438"/>
      <c r="S22" s="400" t="str">
        <f>'8'!S22</f>
        <v>COTTON</v>
      </c>
      <c r="T22" s="446">
        <f>'8'!X22</f>
        <v>0</v>
      </c>
      <c r="U22" s="456"/>
      <c r="V22" s="451">
        <f t="shared" si="0"/>
        <v>0</v>
      </c>
      <c r="W22" s="451"/>
      <c r="X22" s="447">
        <f t="shared" si="1"/>
        <v>0</v>
      </c>
      <c r="Z22" s="375" t="str">
        <f>'8'!Z22</f>
        <v>IRFAN VANILA</v>
      </c>
      <c r="AA22" s="464">
        <f>'8'!AE22</f>
        <v>0</v>
      </c>
      <c r="AB22" s="460"/>
      <c r="AC22" s="462">
        <f t="shared" si="2"/>
        <v>0</v>
      </c>
      <c r="AD22" s="469"/>
      <c r="AE22" s="348">
        <f t="shared" si="3"/>
        <v>0</v>
      </c>
      <c r="AF22" s="563">
        <f>'8'!AF22+'9'!AB22</f>
        <v>0</v>
      </c>
      <c r="AG22" s="234">
        <f>'8'!AG22+'9'!AD22</f>
        <v>0</v>
      </c>
      <c r="AI22" s="393">
        <f>R56</f>
        <v>0</v>
      </c>
      <c r="AJ22" s="394">
        <f>R56*1800</f>
        <v>0</v>
      </c>
    </row>
    <row r="23" spans="1:36" ht="27" customHeight="1" thickTop="1" thickBot="1">
      <c r="A23" s="715" t="str">
        <f>'8'!A23</f>
        <v>OFFICE FOOD</v>
      </c>
      <c r="B23" s="462"/>
      <c r="C23" s="536">
        <f>'8'!D23</f>
        <v>0</v>
      </c>
      <c r="D23" s="537">
        <f t="shared" ref="D23:D48" si="5">B23+C23</f>
        <v>0</v>
      </c>
      <c r="F23" s="479" t="str">
        <f>'8'!F23</f>
        <v>JAMSHAD BADEEN</v>
      </c>
      <c r="G23" s="406">
        <f>'CUSTOMERS REPORT'!Y601</f>
        <v>0</v>
      </c>
      <c r="H23" s="504">
        <f>'CUSTOMERS REPORT'!Z601</f>
        <v>0</v>
      </c>
      <c r="I23" s="406">
        <f>'CUSTOMERS REPORT'!AA601</f>
        <v>0</v>
      </c>
      <c r="J23" s="498">
        <f>'CUSTOMERS REPORT'!AB601</f>
        <v>0</v>
      </c>
      <c r="K23" s="498">
        <f>'CUSTOMERS REPORT'!AC601</f>
        <v>0</v>
      </c>
      <c r="L23" s="406">
        <f>'CUSTOMERS REPORT'!AD601</f>
        <v>0</v>
      </c>
      <c r="M23" s="414">
        <f>'8'!M23+'9'!G23</f>
        <v>0</v>
      </c>
      <c r="N23" s="412">
        <f>'8'!N23+'9'!J23</f>
        <v>0</v>
      </c>
      <c r="P23" s="190" t="s">
        <v>48</v>
      </c>
      <c r="Q23" s="439">
        <f>SUM(Q8:Q22)</f>
        <v>0</v>
      </c>
      <c r="S23" s="400" t="str">
        <f>'8'!S23</f>
        <v>WHITE 6</v>
      </c>
      <c r="T23" s="446">
        <f>'8'!X23</f>
        <v>0</v>
      </c>
      <c r="U23" s="456"/>
      <c r="V23" s="451">
        <f t="shared" si="0"/>
        <v>0</v>
      </c>
      <c r="W23" s="451"/>
      <c r="X23" s="447">
        <f t="shared" si="1"/>
        <v>0</v>
      </c>
      <c r="Z23" s="375" t="str">
        <f>'8'!Z23</f>
        <v>IRANI GHEE</v>
      </c>
      <c r="AA23" s="464">
        <f>'8'!AE23</f>
        <v>0</v>
      </c>
      <c r="AB23" s="460"/>
      <c r="AC23" s="462">
        <f t="shared" si="2"/>
        <v>0</v>
      </c>
      <c r="AD23" s="469"/>
      <c r="AE23" s="348">
        <f t="shared" si="3"/>
        <v>0</v>
      </c>
      <c r="AF23" s="563">
        <f>'8'!AF23+'9'!AB23</f>
        <v>0</v>
      </c>
      <c r="AG23" s="234">
        <f>'8'!AG23+'9'!AD23</f>
        <v>0</v>
      </c>
      <c r="AI23" s="395" t="s">
        <v>74</v>
      </c>
      <c r="AJ23" s="396">
        <f>AJ21+AJ22</f>
        <v>0</v>
      </c>
    </row>
    <row r="24" spans="1:36" ht="27" customHeight="1" thickTop="1" thickBot="1">
      <c r="A24" s="715" t="str">
        <f>'8'!A24</f>
        <v>LABOUR FOOD EXP</v>
      </c>
      <c r="B24" s="234"/>
      <c r="C24" s="348">
        <f>'8'!D24</f>
        <v>0</v>
      </c>
      <c r="D24" s="234">
        <f t="shared" si="5"/>
        <v>0</v>
      </c>
      <c r="F24" s="479" t="str">
        <f>'8'!F24</f>
        <v>SARFAZ MP</v>
      </c>
      <c r="G24" s="406">
        <f>'CUSTOMERS REPORT'!Y639</f>
        <v>0</v>
      </c>
      <c r="H24" s="504">
        <f>'CUSTOMERS REPORT'!Z639</f>
        <v>0</v>
      </c>
      <c r="I24" s="406">
        <f>'CUSTOMERS REPORT'!AA639</f>
        <v>0</v>
      </c>
      <c r="J24" s="498">
        <f>'CUSTOMERS REPORT'!AB639</f>
        <v>0</v>
      </c>
      <c r="K24" s="498">
        <f>'CUSTOMERS REPORT'!AC639</f>
        <v>0</v>
      </c>
      <c r="L24" s="406">
        <f>'CUSTOMERS REPORT'!AD639</f>
        <v>0</v>
      </c>
      <c r="M24" s="414">
        <f>'8'!M24+'9'!G24</f>
        <v>0</v>
      </c>
      <c r="N24" s="412">
        <f>'8'!N24+'9'!J24</f>
        <v>0</v>
      </c>
      <c r="P24" s="1514" t="s">
        <v>137</v>
      </c>
      <c r="Q24" s="1514"/>
      <c r="R24" t="s">
        <v>1</v>
      </c>
      <c r="S24" s="400" t="str">
        <f>'8'!S24</f>
        <v>ORANGE</v>
      </c>
      <c r="T24" s="446">
        <f>'8'!X24</f>
        <v>0</v>
      </c>
      <c r="U24" s="456"/>
      <c r="V24" s="451">
        <f t="shared" si="0"/>
        <v>0</v>
      </c>
      <c r="W24" s="451"/>
      <c r="X24" s="447">
        <f t="shared" si="1"/>
        <v>0</v>
      </c>
      <c r="Z24" s="375">
        <f>'8'!Z24</f>
        <v>0</v>
      </c>
      <c r="AA24" s="464">
        <f>'8'!AE24</f>
        <v>0</v>
      </c>
      <c r="AB24" s="460"/>
      <c r="AC24" s="462">
        <f t="shared" si="2"/>
        <v>0</v>
      </c>
      <c r="AD24" s="469"/>
      <c r="AE24" s="348">
        <f t="shared" si="3"/>
        <v>0</v>
      </c>
      <c r="AF24" s="563">
        <f>'8'!AF24+'9'!AB24</f>
        <v>0</v>
      </c>
      <c r="AG24" s="234">
        <f>'8'!AG24+'9'!AD24</f>
        <v>0</v>
      </c>
    </row>
    <row r="25" spans="1:36" ht="27" customHeight="1" thickTop="1" thickBot="1">
      <c r="A25" s="715" t="str">
        <f>'8'!A25</f>
        <v>OFFICE SALARY</v>
      </c>
      <c r="B25" s="234"/>
      <c r="C25" s="348">
        <f>'8'!D25</f>
        <v>0</v>
      </c>
      <c r="D25" s="234">
        <f t="shared" si="5"/>
        <v>0</v>
      </c>
      <c r="F25" s="479" t="str">
        <f>'8'!F25</f>
        <v>AFZAL MATLI</v>
      </c>
      <c r="G25" s="406">
        <f>'CUSTOMERS REPORT'!Y677</f>
        <v>0</v>
      </c>
      <c r="H25" s="504">
        <f>'CUSTOMERS REPORT'!Z677</f>
        <v>0</v>
      </c>
      <c r="I25" s="406">
        <f>'CUSTOMERS REPORT'!AA677</f>
        <v>0</v>
      </c>
      <c r="J25" s="498">
        <f>'CUSTOMERS REPORT'!AB677</f>
        <v>0</v>
      </c>
      <c r="K25" s="498">
        <f>'CUSTOMERS REPORT'!AC677</f>
        <v>0</v>
      </c>
      <c r="L25" s="406">
        <f>'CUSTOMERS REPORT'!AD677</f>
        <v>0</v>
      </c>
      <c r="M25" s="414">
        <f>'8'!M25+'9'!G25</f>
        <v>0</v>
      </c>
      <c r="N25" s="412">
        <f>'8'!N25+'9'!J25</f>
        <v>0</v>
      </c>
      <c r="P25" s="434"/>
      <c r="Q25" s="440"/>
      <c r="S25" s="400" t="str">
        <f>'8'!S25</f>
        <v>MAKKI 7</v>
      </c>
      <c r="T25" s="446">
        <f>'8'!X25</f>
        <v>0</v>
      </c>
      <c r="U25" s="456"/>
      <c r="V25" s="451">
        <f t="shared" si="0"/>
        <v>0</v>
      </c>
      <c r="W25" s="451"/>
      <c r="X25" s="447">
        <f t="shared" si="1"/>
        <v>0</v>
      </c>
      <c r="Z25" s="375">
        <f>'8'!Z25</f>
        <v>0</v>
      </c>
      <c r="AA25" s="464">
        <f>'8'!AE25</f>
        <v>0</v>
      </c>
      <c r="AB25" s="745"/>
      <c r="AC25" s="462">
        <f t="shared" si="2"/>
        <v>0</v>
      </c>
      <c r="AD25" s="469"/>
      <c r="AE25" s="348">
        <f t="shared" si="3"/>
        <v>0</v>
      </c>
      <c r="AF25" s="563">
        <f>'8'!AF25+'9'!AB25</f>
        <v>0</v>
      </c>
      <c r="AG25" s="234">
        <f>'8'!AG25+'9'!AD25</f>
        <v>0</v>
      </c>
      <c r="AI25" s="397" t="s">
        <v>59</v>
      </c>
      <c r="AJ25" s="398">
        <f>AJ23-AJ10</f>
        <v>0</v>
      </c>
    </row>
    <row r="26" spans="1:36" ht="27" customHeight="1" thickTop="1">
      <c r="A26" s="715" t="str">
        <f>'8'!A26</f>
        <v>LABOUR SALARY</v>
      </c>
      <c r="B26" s="234">
        <f>SUM('SALERY SHEET'!T97:U97)</f>
        <v>0</v>
      </c>
      <c r="C26" s="348">
        <f>'8'!D26</f>
        <v>0</v>
      </c>
      <c r="D26" s="234">
        <f t="shared" si="5"/>
        <v>0</v>
      </c>
      <c r="F26" s="479" t="str">
        <f>'8'!F26</f>
        <v xml:space="preserve">ABDUL RASHEED </v>
      </c>
      <c r="G26" s="406">
        <f>'CUSTOMERS REPORT'!Y715</f>
        <v>0</v>
      </c>
      <c r="H26" s="504">
        <f>'CUSTOMERS REPORT'!Z715</f>
        <v>0</v>
      </c>
      <c r="I26" s="406">
        <f>'CUSTOMERS REPORT'!AA715</f>
        <v>0</v>
      </c>
      <c r="J26" s="498">
        <f>'CUSTOMERS REPORT'!AB715</f>
        <v>0</v>
      </c>
      <c r="K26" s="498">
        <f>'CUSTOMERS REPORT'!AC715</f>
        <v>0</v>
      </c>
      <c r="L26" s="406">
        <f>'CUSTOMERS REPORT'!AD715</f>
        <v>0</v>
      </c>
      <c r="M26" s="414">
        <f>'8'!M26+'9'!G26</f>
        <v>0</v>
      </c>
      <c r="N26" s="412">
        <f>'8'!N26+'9'!J26</f>
        <v>0</v>
      </c>
      <c r="P26" s="433"/>
      <c r="Q26" s="438"/>
      <c r="R26" t="s">
        <v>1</v>
      </c>
      <c r="S26" s="400" t="str">
        <f>'8'!S26</f>
        <v>BLUE 125 GM</v>
      </c>
      <c r="T26" s="446">
        <f>'8'!X26</f>
        <v>0</v>
      </c>
      <c r="U26" s="456"/>
      <c r="V26" s="451">
        <f t="shared" si="0"/>
        <v>0</v>
      </c>
      <c r="W26" s="451"/>
      <c r="X26" s="447">
        <f t="shared" si="1"/>
        <v>0</v>
      </c>
      <c r="Z26" s="375">
        <f>'8'!Z26</f>
        <v>0</v>
      </c>
      <c r="AA26" s="464">
        <f>'8'!AE26</f>
        <v>0</v>
      </c>
      <c r="AB26" s="460"/>
      <c r="AC26" s="462">
        <f t="shared" si="2"/>
        <v>0</v>
      </c>
      <c r="AD26" s="469"/>
      <c r="AE26" s="348">
        <f t="shared" si="3"/>
        <v>0</v>
      </c>
      <c r="AF26" s="563">
        <f>'8'!AF26+'9'!AB26</f>
        <v>0</v>
      </c>
      <c r="AG26" s="234">
        <f>'8'!AG26+'9'!AD26</f>
        <v>0</v>
      </c>
    </row>
    <row r="27" spans="1:36" ht="27" customHeight="1">
      <c r="A27" s="715" t="str">
        <f>'8'!A27</f>
        <v>SHAHZORE</v>
      </c>
      <c r="B27" s="234"/>
      <c r="C27" s="348">
        <f>'8'!D27</f>
        <v>0</v>
      </c>
      <c r="D27" s="234">
        <f t="shared" si="5"/>
        <v>0</v>
      </c>
      <c r="F27" s="479" t="str">
        <f>'8'!F27</f>
        <v>SALEEM ORANGI</v>
      </c>
      <c r="G27" s="406">
        <f>'CUSTOMERS REPORT'!Y753</f>
        <v>0</v>
      </c>
      <c r="H27" s="504">
        <f>'CUSTOMERS REPORT'!Z753</f>
        <v>0</v>
      </c>
      <c r="I27" s="406">
        <f>'CUSTOMERS REPORT'!AA753</f>
        <v>0</v>
      </c>
      <c r="J27" s="498">
        <f>'CUSTOMERS REPORT'!AB753</f>
        <v>0</v>
      </c>
      <c r="K27" s="498">
        <f>'CUSTOMERS REPORT'!AC753</f>
        <v>0</v>
      </c>
      <c r="L27" s="406">
        <f>'CUSTOMERS REPORT'!AD753</f>
        <v>0</v>
      </c>
      <c r="M27" s="414">
        <f>'8'!M27+'9'!G27</f>
        <v>0</v>
      </c>
      <c r="N27" s="412">
        <f>'8'!N27+'9'!J27</f>
        <v>0</v>
      </c>
      <c r="P27" s="433"/>
      <c r="Q27" s="435"/>
      <c r="R27" t="s">
        <v>1</v>
      </c>
      <c r="S27" s="400" t="str">
        <f>'8'!S27</f>
        <v>MAKKI 5</v>
      </c>
      <c r="T27" s="446">
        <f>'8'!X27</f>
        <v>0</v>
      </c>
      <c r="U27" s="456"/>
      <c r="V27" s="451">
        <f t="shared" si="0"/>
        <v>0</v>
      </c>
      <c r="W27" s="451"/>
      <c r="X27" s="447">
        <f t="shared" si="1"/>
        <v>0</v>
      </c>
      <c r="Z27" s="375">
        <f>'8'!Z27</f>
        <v>0</v>
      </c>
      <c r="AA27" s="464">
        <f>'8'!AE27</f>
        <v>0</v>
      </c>
      <c r="AB27" s="460"/>
      <c r="AC27" s="462">
        <f t="shared" si="2"/>
        <v>0</v>
      </c>
      <c r="AD27" s="469"/>
      <c r="AE27" s="348">
        <f t="shared" si="3"/>
        <v>0</v>
      </c>
      <c r="AF27" s="563">
        <f>'8'!AF27+'9'!AB27</f>
        <v>0</v>
      </c>
      <c r="AG27" s="234">
        <f>'8'!AG27+'9'!AD27</f>
        <v>0</v>
      </c>
    </row>
    <row r="28" spans="1:36" ht="27" customHeight="1">
      <c r="A28" s="715" t="str">
        <f>'8'!A28</f>
        <v>GENERATOR</v>
      </c>
      <c r="B28" s="234"/>
      <c r="C28" s="348">
        <f>'8'!D28</f>
        <v>0</v>
      </c>
      <c r="D28" s="234">
        <f t="shared" si="5"/>
        <v>0</v>
      </c>
      <c r="F28" s="479" t="str">
        <f>'8'!F28</f>
        <v>AYAZ OUSTA</v>
      </c>
      <c r="G28" s="406">
        <f>'CUSTOMERS REPORT'!Y791</f>
        <v>0</v>
      </c>
      <c r="H28" s="504">
        <f>'CUSTOMERS REPORT'!Z791</f>
        <v>0</v>
      </c>
      <c r="I28" s="406">
        <f>'CUSTOMERS REPORT'!AA791</f>
        <v>0</v>
      </c>
      <c r="J28" s="498">
        <f>'CUSTOMERS REPORT'!AB791</f>
        <v>0</v>
      </c>
      <c r="K28" s="498">
        <f>'CUSTOMERS REPORT'!AC791</f>
        <v>0</v>
      </c>
      <c r="L28" s="406">
        <f>'CUSTOMERS REPORT'!AD791</f>
        <v>0</v>
      </c>
      <c r="M28" s="414">
        <f>'8'!M28+'9'!G28</f>
        <v>0</v>
      </c>
      <c r="N28" s="412">
        <f>'8'!N28+'9'!J28</f>
        <v>0</v>
      </c>
      <c r="P28" s="433"/>
      <c r="Q28" s="438"/>
      <c r="S28" s="400" t="str">
        <f>'8'!S28</f>
        <v>MAKKI 2 PES</v>
      </c>
      <c r="T28" s="446">
        <f>'8'!X28</f>
        <v>0</v>
      </c>
      <c r="U28" s="456"/>
      <c r="V28" s="451">
        <f t="shared" si="0"/>
        <v>0</v>
      </c>
      <c r="W28" s="451"/>
      <c r="X28" s="447">
        <f t="shared" si="1"/>
        <v>0</v>
      </c>
      <c r="Z28" s="375">
        <f>'8'!Z28</f>
        <v>0</v>
      </c>
      <c r="AA28" s="464">
        <f>'8'!AE28</f>
        <v>0</v>
      </c>
      <c r="AB28" s="460"/>
      <c r="AC28" s="462">
        <f t="shared" si="2"/>
        <v>0</v>
      </c>
      <c r="AD28" s="469"/>
      <c r="AE28" s="348">
        <f t="shared" si="3"/>
        <v>0</v>
      </c>
      <c r="AF28" s="563">
        <f>'8'!AF28+'9'!AB28</f>
        <v>0</v>
      </c>
      <c r="AG28" s="234">
        <f>'8'!AG28+'9'!AD28</f>
        <v>0</v>
      </c>
    </row>
    <row r="29" spans="1:36" ht="27" customHeight="1">
      <c r="A29" s="715" t="str">
        <f>'8'!A29</f>
        <v>PATROL FAW</v>
      </c>
      <c r="B29" s="234"/>
      <c r="C29" s="348">
        <f>'8'!D29</f>
        <v>0</v>
      </c>
      <c r="D29" s="234">
        <f t="shared" si="5"/>
        <v>0</v>
      </c>
      <c r="F29" s="479" t="str">
        <f>'8'!F29</f>
        <v>AZHAR BADEEN</v>
      </c>
      <c r="G29" s="406">
        <f>'CUSTOMERS REPORT'!Y829</f>
        <v>0</v>
      </c>
      <c r="H29" s="504">
        <f>'CUSTOMERS REPORT'!Z829</f>
        <v>0</v>
      </c>
      <c r="I29" s="406">
        <f>'CUSTOMERS REPORT'!AA829</f>
        <v>0</v>
      </c>
      <c r="J29" s="498">
        <f>'CUSTOMERS REPORT'!AB829</f>
        <v>0</v>
      </c>
      <c r="K29" s="498">
        <f>'CUSTOMERS REPORT'!AC829</f>
        <v>0</v>
      </c>
      <c r="L29" s="406">
        <f>'CUSTOMERS REPORT'!AD829</f>
        <v>0</v>
      </c>
      <c r="M29" s="414">
        <f>'8'!M29+'9'!G29</f>
        <v>0</v>
      </c>
      <c r="N29" s="412">
        <f>'8'!N29+'9'!J29</f>
        <v>0</v>
      </c>
      <c r="P29" s="433"/>
      <c r="Q29" s="441"/>
      <c r="S29" s="400" t="str">
        <f>'8'!S29</f>
        <v xml:space="preserve">PRIME </v>
      </c>
      <c r="T29" s="446">
        <f>'8'!X29</f>
        <v>0</v>
      </c>
      <c r="U29" s="456"/>
      <c r="V29" s="451">
        <f t="shared" si="0"/>
        <v>0</v>
      </c>
      <c r="W29" s="451"/>
      <c r="X29" s="447">
        <f t="shared" si="1"/>
        <v>0</v>
      </c>
      <c r="Z29" s="375">
        <f>'8'!Z29</f>
        <v>0</v>
      </c>
      <c r="AA29" s="464">
        <f>'8'!AE29</f>
        <v>0</v>
      </c>
      <c r="AB29" s="460"/>
      <c r="AC29" s="462">
        <f t="shared" si="2"/>
        <v>0</v>
      </c>
      <c r="AD29" s="469"/>
      <c r="AE29" s="348">
        <f t="shared" si="3"/>
        <v>0</v>
      </c>
      <c r="AF29" s="563">
        <f>'8'!AF29+'9'!AB29</f>
        <v>0</v>
      </c>
      <c r="AG29" s="234">
        <f>'8'!AG29+'9'!AD29</f>
        <v>0</v>
      </c>
    </row>
    <row r="30" spans="1:36" ht="27" customHeight="1">
      <c r="A30" s="715" t="str">
        <f>'8'!A30</f>
        <v>FOTON DIESEL</v>
      </c>
      <c r="B30" s="234"/>
      <c r="C30" s="348">
        <f>'8'!D30</f>
        <v>0</v>
      </c>
      <c r="D30" s="234">
        <f t="shared" si="5"/>
        <v>0</v>
      </c>
      <c r="F30" s="479" t="str">
        <f>'8'!F30</f>
        <v>FAISAL HUB</v>
      </c>
      <c r="G30" s="406">
        <f>'CUSTOMERS REPORT'!Y867</f>
        <v>0</v>
      </c>
      <c r="H30" s="504">
        <f>'CUSTOMERS REPORT'!Z867</f>
        <v>0</v>
      </c>
      <c r="I30" s="406">
        <f>'CUSTOMERS REPORT'!AA867</f>
        <v>0</v>
      </c>
      <c r="J30" s="498">
        <f>'CUSTOMERS REPORT'!AB867</f>
        <v>0</v>
      </c>
      <c r="K30" s="498">
        <f>'CUSTOMERS REPORT'!AC867</f>
        <v>0</v>
      </c>
      <c r="L30" s="406">
        <f>'CUSTOMERS REPORT'!AD867</f>
        <v>0</v>
      </c>
      <c r="M30" s="414">
        <f>'8'!M30+'9'!G30</f>
        <v>0</v>
      </c>
      <c r="N30" s="412">
        <f>'8'!N30+'9'!J30</f>
        <v>0</v>
      </c>
      <c r="P30" s="433"/>
      <c r="Q30" s="442"/>
      <c r="S30" s="400" t="str">
        <f>'8'!S30</f>
        <v>PRIMR 15</v>
      </c>
      <c r="T30" s="446">
        <f>'8'!X30</f>
        <v>0</v>
      </c>
      <c r="U30" s="456"/>
      <c r="V30" s="451">
        <f t="shared" si="0"/>
        <v>0</v>
      </c>
      <c r="W30" s="451"/>
      <c r="X30" s="447">
        <f t="shared" si="1"/>
        <v>0</v>
      </c>
      <c r="Z30" s="375">
        <f>'8'!Z30</f>
        <v>0</v>
      </c>
      <c r="AA30" s="464">
        <f>'8'!AE30</f>
        <v>0</v>
      </c>
      <c r="AB30" s="460"/>
      <c r="AC30" s="462">
        <f t="shared" si="2"/>
        <v>0</v>
      </c>
      <c r="AD30" s="469"/>
      <c r="AE30" s="348">
        <f t="shared" si="3"/>
        <v>0</v>
      </c>
      <c r="AF30" s="563">
        <f>'8'!AF30+'9'!AB30</f>
        <v>0</v>
      </c>
      <c r="AG30" s="234">
        <f>'8'!AG30+'9'!AD30</f>
        <v>0</v>
      </c>
    </row>
    <row r="31" spans="1:36" ht="27" customHeight="1" thickBot="1">
      <c r="A31" s="715" t="str">
        <f>'8'!A31</f>
        <v>UTILITY BILLS</v>
      </c>
      <c r="B31" s="234"/>
      <c r="C31" s="348">
        <f>'8'!D31</f>
        <v>0</v>
      </c>
      <c r="D31" s="234">
        <f t="shared" si="5"/>
        <v>0</v>
      </c>
      <c r="F31" s="479" t="str">
        <f>'8'!F31</f>
        <v>ABDUL RAHMAN</v>
      </c>
      <c r="G31" s="406">
        <f>'CUSTOMERS REPORT'!Y906</f>
        <v>0</v>
      </c>
      <c r="H31" s="504">
        <f>'CUSTOMERS REPORT'!Z906</f>
        <v>0</v>
      </c>
      <c r="I31" s="406">
        <f>'CUSTOMERS REPORT'!AA906</f>
        <v>0</v>
      </c>
      <c r="J31" s="498">
        <f>'CUSTOMERS REPORT'!AB906</f>
        <v>0</v>
      </c>
      <c r="K31" s="498">
        <f>'CUSTOMERS REPORT'!AC906</f>
        <v>0</v>
      </c>
      <c r="L31" s="406">
        <f>'CUSTOMERS REPORT'!AD906</f>
        <v>0</v>
      </c>
      <c r="M31" s="414">
        <f>'8'!M31+'9'!G31</f>
        <v>0</v>
      </c>
      <c r="N31" s="412">
        <f>'8'!N31+'9'!J31</f>
        <v>0</v>
      </c>
      <c r="P31" s="433"/>
      <c r="Q31" s="435"/>
      <c r="S31" s="400" t="str">
        <f>'8'!S31</f>
        <v>KARACHI</v>
      </c>
      <c r="T31" s="446">
        <f>'8'!X31</f>
        <v>0</v>
      </c>
      <c r="U31" s="456"/>
      <c r="V31" s="451">
        <f t="shared" si="0"/>
        <v>0</v>
      </c>
      <c r="W31" s="451"/>
      <c r="X31" s="447">
        <f t="shared" si="1"/>
        <v>0</v>
      </c>
      <c r="Z31" s="375">
        <f>'8'!Z31</f>
        <v>0</v>
      </c>
      <c r="AA31" s="464">
        <f>'8'!AE31</f>
        <v>0</v>
      </c>
      <c r="AB31" s="460"/>
      <c r="AC31" s="462">
        <f t="shared" si="2"/>
        <v>0</v>
      </c>
      <c r="AD31" s="469"/>
      <c r="AE31" s="348">
        <f t="shared" si="3"/>
        <v>0</v>
      </c>
      <c r="AF31" s="563">
        <f>'8'!AF31+'9'!AB31</f>
        <v>0</v>
      </c>
      <c r="AG31" s="234">
        <f>'8'!AG31+'9'!AD31</f>
        <v>0</v>
      </c>
      <c r="AI31" t="s">
        <v>1</v>
      </c>
    </row>
    <row r="32" spans="1:36" ht="27" customHeight="1" thickTop="1" thickBot="1">
      <c r="A32" s="715" t="str">
        <f>'8'!A32</f>
        <v>WOOD</v>
      </c>
      <c r="B32" s="234"/>
      <c r="C32" s="348">
        <f>'8'!D32</f>
        <v>0</v>
      </c>
      <c r="D32" s="234">
        <f t="shared" si="5"/>
        <v>0</v>
      </c>
      <c r="F32" s="479" t="str">
        <f>'8'!F32</f>
        <v>HAJI JAN GIWANI</v>
      </c>
      <c r="G32" s="406">
        <f>'CUSTOMERS REPORT'!Y945</f>
        <v>0</v>
      </c>
      <c r="H32" s="504">
        <f>'CUSTOMERS REPORT'!Z945</f>
        <v>0</v>
      </c>
      <c r="I32" s="406">
        <f>'CUSTOMERS REPORT'!AA945</f>
        <v>0</v>
      </c>
      <c r="J32" s="498">
        <f>'CUSTOMERS REPORT'!AB945</f>
        <v>0</v>
      </c>
      <c r="K32" s="498">
        <f>'CUSTOMERS REPORT'!AC945</f>
        <v>0</v>
      </c>
      <c r="L32" s="406">
        <f>'CUSTOMERS REPORT'!AD945</f>
        <v>0</v>
      </c>
      <c r="M32" s="414">
        <f>'8'!M32+'9'!G32</f>
        <v>0</v>
      </c>
      <c r="N32" s="412">
        <f>'8'!N32+'9'!J32</f>
        <v>0</v>
      </c>
      <c r="P32" s="190" t="s">
        <v>51</v>
      </c>
      <c r="Q32" s="439">
        <f>Q23-Q25-Q26-Q27-Q28-Q29-Q30-Q31</f>
        <v>0</v>
      </c>
      <c r="R32" t="s">
        <v>1</v>
      </c>
      <c r="S32" s="400" t="str">
        <f>'8'!S32</f>
        <v>MARVI</v>
      </c>
      <c r="T32" s="446">
        <f>'8'!X32</f>
        <v>0</v>
      </c>
      <c r="U32" s="456"/>
      <c r="V32" s="451">
        <f t="shared" si="0"/>
        <v>0</v>
      </c>
      <c r="W32" s="451"/>
      <c r="X32" s="447">
        <f t="shared" si="1"/>
        <v>0</v>
      </c>
      <c r="Z32" s="375">
        <f>'8'!Z32</f>
        <v>0</v>
      </c>
      <c r="AA32" s="464">
        <f>'8'!AE32</f>
        <v>0</v>
      </c>
      <c r="AB32" s="460"/>
      <c r="AC32" s="462">
        <f t="shared" si="2"/>
        <v>0</v>
      </c>
      <c r="AD32" s="469"/>
      <c r="AE32" s="348">
        <f t="shared" si="3"/>
        <v>0</v>
      </c>
      <c r="AF32" s="563">
        <f>'8'!AF32+'9'!AB32</f>
        <v>0</v>
      </c>
      <c r="AG32" s="234">
        <f>'8'!AG32+'9'!AD32</f>
        <v>0</v>
      </c>
    </row>
    <row r="33" spans="1:42" ht="27" customHeight="1" thickTop="1" thickBot="1">
      <c r="A33" s="715" t="str">
        <f>'8'!A33</f>
        <v>TOLL</v>
      </c>
      <c r="B33" s="538"/>
      <c r="C33" s="348">
        <f>'8'!D33</f>
        <v>0</v>
      </c>
      <c r="D33" s="550">
        <f t="shared" si="5"/>
        <v>0</v>
      </c>
      <c r="F33" s="479" t="str">
        <f>'8'!F33</f>
        <v>ALI QURESHI HYD</v>
      </c>
      <c r="G33" s="406">
        <f>'CUSTOMERS REPORT'!Y983</f>
        <v>0</v>
      </c>
      <c r="H33" s="504">
        <f>'CUSTOMERS REPORT'!Z983</f>
        <v>0</v>
      </c>
      <c r="I33" s="406">
        <f>'CUSTOMERS REPORT'!AA983</f>
        <v>0</v>
      </c>
      <c r="J33" s="498">
        <f>'CUSTOMERS REPORT'!AB983</f>
        <v>0</v>
      </c>
      <c r="K33" s="498">
        <f>'CUSTOMERS REPORT'!AC983</f>
        <v>0</v>
      </c>
      <c r="L33" s="406">
        <f>'CUSTOMERS REPORT'!AD983</f>
        <v>0</v>
      </c>
      <c r="M33" s="414">
        <f>'8'!M33+'9'!G33</f>
        <v>0</v>
      </c>
      <c r="N33" s="412">
        <f>'8'!N33+'9'!J33</f>
        <v>0</v>
      </c>
      <c r="P33" s="1499" t="s">
        <v>149</v>
      </c>
      <c r="Q33" s="1500"/>
      <c r="S33" s="400" t="str">
        <f>'8'!S33</f>
        <v>TS</v>
      </c>
      <c r="T33" s="446">
        <f>'8'!X33</f>
        <v>0</v>
      </c>
      <c r="U33" s="456"/>
      <c r="V33" s="451">
        <f t="shared" si="0"/>
        <v>0</v>
      </c>
      <c r="W33" s="451"/>
      <c r="X33" s="447">
        <f t="shared" si="1"/>
        <v>0</v>
      </c>
      <c r="Z33" s="375">
        <f>'8'!Z33</f>
        <v>0</v>
      </c>
      <c r="AA33" s="464">
        <f>'8'!AE33</f>
        <v>0</v>
      </c>
      <c r="AB33" s="460"/>
      <c r="AC33" s="462">
        <f t="shared" si="2"/>
        <v>0</v>
      </c>
      <c r="AD33" s="469"/>
      <c r="AE33" s="348">
        <f t="shared" si="3"/>
        <v>0</v>
      </c>
      <c r="AF33" s="563">
        <f>'8'!AF33+'9'!AB33</f>
        <v>0</v>
      </c>
      <c r="AG33" s="234">
        <f>'8'!AG33+'9'!AD33</f>
        <v>0</v>
      </c>
    </row>
    <row r="34" spans="1:42" ht="27" customHeight="1" thickTop="1" thickBot="1">
      <c r="A34" s="716" t="str">
        <f>'8'!A34</f>
        <v>FLOUR / SHGER</v>
      </c>
      <c r="B34" s="538"/>
      <c r="C34" s="348">
        <f>'8'!D34</f>
        <v>0</v>
      </c>
      <c r="D34" s="234">
        <f t="shared" si="5"/>
        <v>0</v>
      </c>
      <c r="F34" s="479" t="str">
        <f>'8'!F34</f>
        <v>ALI RAZA KAND KOT</v>
      </c>
      <c r="G34" s="406">
        <f>'CUSTOMERS REPORT'!Y1021</f>
        <v>0</v>
      </c>
      <c r="H34" s="504">
        <f>'CUSTOMERS REPORT'!Z1021</f>
        <v>0</v>
      </c>
      <c r="I34" s="406">
        <f>'CUSTOMERS REPORT'!AA1021</f>
        <v>0</v>
      </c>
      <c r="J34" s="498">
        <f>'CUSTOMERS REPORT'!AB1021</f>
        <v>0</v>
      </c>
      <c r="K34" s="498">
        <f>'CUSTOMERS REPORT'!AC1021</f>
        <v>0</v>
      </c>
      <c r="L34" s="406">
        <f>'CUSTOMERS REPORT'!AD1021</f>
        <v>0</v>
      </c>
      <c r="M34" s="414">
        <f>'8'!M34+'9'!G34</f>
        <v>0</v>
      </c>
      <c r="N34" s="412">
        <f>'8'!N34+'9'!J34</f>
        <v>0</v>
      </c>
      <c r="P34" s="220" t="s">
        <v>150</v>
      </c>
      <c r="Q34" s="223">
        <f>'8'!Q34</f>
        <v>0</v>
      </c>
      <c r="S34" s="400" t="str">
        <f>'8'!S34</f>
        <v>MAXI</v>
      </c>
      <c r="T34" s="446">
        <f>'8'!X34</f>
        <v>0</v>
      </c>
      <c r="U34" s="457"/>
      <c r="V34" s="452">
        <f t="shared" si="0"/>
        <v>0</v>
      </c>
      <c r="W34" s="452"/>
      <c r="X34" s="448">
        <f t="shared" si="1"/>
        <v>0</v>
      </c>
      <c r="Z34" s="375">
        <f>'8'!Z34</f>
        <v>0</v>
      </c>
      <c r="AA34" s="464">
        <f>'8'!AE34</f>
        <v>0</v>
      </c>
      <c r="AB34" s="460"/>
      <c r="AC34" s="462">
        <f t="shared" si="2"/>
        <v>0</v>
      </c>
      <c r="AD34" s="469"/>
      <c r="AE34" s="348">
        <f t="shared" si="3"/>
        <v>0</v>
      </c>
      <c r="AF34" s="563">
        <f>'8'!AF34+'9'!AB34</f>
        <v>0</v>
      </c>
      <c r="AG34" s="234">
        <f>'8'!AG34+'9'!AD34</f>
        <v>0</v>
      </c>
    </row>
    <row r="35" spans="1:42" ht="27" customHeight="1" thickTop="1">
      <c r="A35" s="716" t="str">
        <f>'8'!A35</f>
        <v>OVEN &amp; PP MACHINE</v>
      </c>
      <c r="B35" s="529"/>
      <c r="C35" s="348">
        <f>'8'!D35</f>
        <v>0</v>
      </c>
      <c r="D35" s="529">
        <f t="shared" si="5"/>
        <v>0</v>
      </c>
      <c r="F35" s="479" t="str">
        <f>'8'!F35</f>
        <v>IQBAL MORO</v>
      </c>
      <c r="G35" s="407">
        <f>'CUSTOMERS REPORT'!Y1059</f>
        <v>0</v>
      </c>
      <c r="H35" s="505">
        <f>'CUSTOMERS REPORT'!Z1059</f>
        <v>0</v>
      </c>
      <c r="I35" s="407">
        <f>'CUSTOMERS REPORT'!AA1059</f>
        <v>0</v>
      </c>
      <c r="J35" s="499">
        <f>'CUSTOMERS REPORT'!AB1059</f>
        <v>0</v>
      </c>
      <c r="K35" s="499">
        <f>'CUSTOMERS REPORT'!AC1059</f>
        <v>0</v>
      </c>
      <c r="L35" s="407">
        <f>'CUSTOMERS REPORT'!AD1059</f>
        <v>0</v>
      </c>
      <c r="M35" s="414">
        <f>'8'!M35+'9'!G35</f>
        <v>0</v>
      </c>
      <c r="N35" s="412">
        <f>'8'!N35+'9'!J35</f>
        <v>0</v>
      </c>
      <c r="P35" s="252" t="s">
        <v>151</v>
      </c>
      <c r="Q35" s="443">
        <f>'8'!Q35</f>
        <v>0</v>
      </c>
      <c r="R35" t="s">
        <v>1</v>
      </c>
      <c r="S35" s="400" t="str">
        <f>'8'!S35</f>
        <v>M A WHITE</v>
      </c>
      <c r="T35" s="446">
        <f>'8'!X35</f>
        <v>0</v>
      </c>
      <c r="U35" s="457"/>
      <c r="V35" s="452">
        <f t="shared" si="0"/>
        <v>0</v>
      </c>
      <c r="W35" s="452"/>
      <c r="X35" s="448">
        <f t="shared" si="1"/>
        <v>0</v>
      </c>
      <c r="Z35" s="375">
        <f>'8'!Z35</f>
        <v>0</v>
      </c>
      <c r="AA35" s="464">
        <f>'8'!AE35</f>
        <v>0</v>
      </c>
      <c r="AB35" s="460"/>
      <c r="AC35" s="462">
        <f t="shared" si="2"/>
        <v>0</v>
      </c>
      <c r="AD35" s="469"/>
      <c r="AE35" s="348">
        <f t="shared" si="3"/>
        <v>0</v>
      </c>
      <c r="AF35" s="563">
        <f>'8'!AF35+'9'!AB35</f>
        <v>0</v>
      </c>
      <c r="AG35" s="234">
        <f>'8'!AG35+'9'!AD35</f>
        <v>0</v>
      </c>
    </row>
    <row r="36" spans="1:42" ht="27" customHeight="1">
      <c r="A36" s="716" t="str">
        <f>'8'!A36</f>
        <v>zakat</v>
      </c>
      <c r="B36" s="539"/>
      <c r="C36" s="348">
        <f>'8'!D36</f>
        <v>0</v>
      </c>
      <c r="D36" s="529">
        <f t="shared" si="5"/>
        <v>0</v>
      </c>
      <c r="F36" s="479" t="str">
        <f>'8'!F36</f>
        <v>SARFARAZ T ADAM</v>
      </c>
      <c r="G36" s="407">
        <f>'CUSTOMERS REPORT'!Y1097</f>
        <v>0</v>
      </c>
      <c r="H36" s="505">
        <f>'CUSTOMERS REPORT'!Z1097</f>
        <v>0</v>
      </c>
      <c r="I36" s="407">
        <f>'CUSTOMERS REPORT'!AA1097</f>
        <v>0</v>
      </c>
      <c r="J36" s="499">
        <f>'CUSTOMERS REPORT'!AB1097</f>
        <v>0</v>
      </c>
      <c r="K36" s="499">
        <f>'CUSTOMERS REPORT'!AC1097</f>
        <v>0</v>
      </c>
      <c r="L36" s="407">
        <f>'CUSTOMERS REPORT'!AD1097</f>
        <v>0</v>
      </c>
      <c r="M36" s="414">
        <f>'8'!M36+'9'!G36</f>
        <v>0</v>
      </c>
      <c r="N36" s="412">
        <f>'8'!N36+'9'!J36</f>
        <v>0</v>
      </c>
      <c r="P36" s="372" t="s">
        <v>152</v>
      </c>
      <c r="Q36" s="444">
        <f>J48</f>
        <v>0</v>
      </c>
      <c r="R36" t="s">
        <v>1</v>
      </c>
      <c r="S36" s="400" t="str">
        <f>'8'!S36</f>
        <v>M A ORING</v>
      </c>
      <c r="T36" s="446">
        <f>'8'!X36</f>
        <v>0</v>
      </c>
      <c r="U36" s="456"/>
      <c r="V36" s="451">
        <f t="shared" si="0"/>
        <v>0</v>
      </c>
      <c r="W36" s="452"/>
      <c r="X36" s="448">
        <f t="shared" si="1"/>
        <v>0</v>
      </c>
      <c r="Z36" s="375">
        <f>'8'!Z36</f>
        <v>0</v>
      </c>
      <c r="AA36" s="464">
        <f>'8'!AE36</f>
        <v>0</v>
      </c>
      <c r="AB36" s="460"/>
      <c r="AC36" s="462">
        <f t="shared" si="2"/>
        <v>0</v>
      </c>
      <c r="AD36" s="469"/>
      <c r="AE36" s="348">
        <f t="shared" si="3"/>
        <v>0</v>
      </c>
      <c r="AF36" s="563">
        <f>'8'!AF36+'9'!AB36</f>
        <v>0</v>
      </c>
      <c r="AG36" s="234">
        <f>'8'!AG36+'9'!AD36</f>
        <v>0</v>
      </c>
    </row>
    <row r="37" spans="1:42" ht="27" customHeight="1">
      <c r="A37" s="715" t="str">
        <f>'8'!A37</f>
        <v>javeed manghopir</v>
      </c>
      <c r="B37" s="234"/>
      <c r="C37" s="348">
        <f>'8'!D37</f>
        <v>0</v>
      </c>
      <c r="D37" s="234">
        <f t="shared" si="5"/>
        <v>0</v>
      </c>
      <c r="F37" s="479" t="str">
        <f>'8'!F37</f>
        <v>MUMTAZ K N SHAH</v>
      </c>
      <c r="G37" s="406">
        <f>'CUSTOMERS REPORT'!Y1135</f>
        <v>0</v>
      </c>
      <c r="H37" s="504">
        <f>'CUSTOMERS REPORT'!Z1135</f>
        <v>0</v>
      </c>
      <c r="I37" s="406">
        <f>'CUSTOMERS REPORT'!AA1135</f>
        <v>0</v>
      </c>
      <c r="J37" s="498">
        <f>'CUSTOMERS REPORT'!AB1135</f>
        <v>0</v>
      </c>
      <c r="K37" s="498">
        <f>'CUSTOMERS REPORT'!AC1135</f>
        <v>0</v>
      </c>
      <c r="L37" s="406">
        <f>'CUSTOMERS REPORT'!AD1135</f>
        <v>0</v>
      </c>
      <c r="M37" s="414">
        <f>'8'!M37+'9'!G37</f>
        <v>0</v>
      </c>
      <c r="N37" s="412">
        <f>'8'!N37+'9'!J37</f>
        <v>0</v>
      </c>
      <c r="P37" s="373" t="s">
        <v>153</v>
      </c>
      <c r="Q37" s="445">
        <f>Q34+Q35+Q36</f>
        <v>0</v>
      </c>
      <c r="R37" t="s">
        <v>1</v>
      </c>
      <c r="S37" s="400">
        <f>'8'!S37</f>
        <v>0</v>
      </c>
      <c r="T37" s="446">
        <f>'8'!X37</f>
        <v>0</v>
      </c>
      <c r="U37" s="456"/>
      <c r="V37" s="451">
        <f t="shared" si="0"/>
        <v>0</v>
      </c>
      <c r="W37" s="452"/>
      <c r="X37" s="448">
        <f t="shared" si="1"/>
        <v>0</v>
      </c>
      <c r="Z37" s="375">
        <f>'8'!Z37</f>
        <v>0</v>
      </c>
      <c r="AA37" s="464">
        <f>'8'!AE37</f>
        <v>0</v>
      </c>
      <c r="AB37" s="460"/>
      <c r="AC37" s="462">
        <f t="shared" si="2"/>
        <v>0</v>
      </c>
      <c r="AD37" s="469"/>
      <c r="AE37" s="348">
        <f t="shared" si="3"/>
        <v>0</v>
      </c>
      <c r="AF37" s="563">
        <f>'8'!AF37+'9'!AB37</f>
        <v>0</v>
      </c>
      <c r="AG37" s="234">
        <f>'8'!AG37+'9'!AD37</f>
        <v>0</v>
      </c>
    </row>
    <row r="38" spans="1:42" ht="27" customHeight="1">
      <c r="A38" s="715" t="str">
        <f>'8'!A38</f>
        <v>EXSIS CASH</v>
      </c>
      <c r="B38" s="234"/>
      <c r="C38" s="348">
        <f>'8'!D38</f>
        <v>0</v>
      </c>
      <c r="D38" s="234">
        <f t="shared" si="5"/>
        <v>0</v>
      </c>
      <c r="F38" s="479" t="str">
        <f>'8'!F38</f>
        <v>GHULAM RASOOL QU</v>
      </c>
      <c r="G38" s="408">
        <f>'CUSTOMERS REPORT'!Y1172</f>
        <v>0</v>
      </c>
      <c r="H38" s="506">
        <f>'CUSTOMERS REPORT'!Z1172</f>
        <v>0</v>
      </c>
      <c r="I38" s="408">
        <f>'CUSTOMERS REPORT'!AA1172</f>
        <v>0</v>
      </c>
      <c r="J38" s="500">
        <f>'CUSTOMERS REPORT'!AB1172</f>
        <v>0</v>
      </c>
      <c r="K38" s="500">
        <f>'CUSTOMERS REPORT'!AC1172</f>
        <v>0</v>
      </c>
      <c r="L38" s="408">
        <f>'CUSTOMERS REPORT'!AD1172</f>
        <v>0</v>
      </c>
      <c r="M38" s="414">
        <f>'8'!M38+'9'!G38</f>
        <v>0</v>
      </c>
      <c r="N38" s="412">
        <f>'8'!N38+'9'!J38</f>
        <v>0</v>
      </c>
      <c r="P38" s="373" t="s">
        <v>154</v>
      </c>
      <c r="Q38" s="445">
        <f>D48</f>
        <v>0</v>
      </c>
      <c r="S38" s="400">
        <f>'8'!S38</f>
        <v>0</v>
      </c>
      <c r="T38" s="446">
        <f>'8'!X38</f>
        <v>0</v>
      </c>
      <c r="U38" s="456"/>
      <c r="V38" s="451">
        <f t="shared" si="0"/>
        <v>0</v>
      </c>
      <c r="W38" s="452"/>
      <c r="X38" s="448">
        <f t="shared" si="1"/>
        <v>0</v>
      </c>
      <c r="Z38" s="375">
        <f>'8'!Z38</f>
        <v>0</v>
      </c>
      <c r="AA38" s="464">
        <f>'8'!AE38</f>
        <v>0</v>
      </c>
      <c r="AB38" s="460"/>
      <c r="AC38" s="462">
        <f t="shared" si="2"/>
        <v>0</v>
      </c>
      <c r="AD38" s="469"/>
      <c r="AE38" s="348">
        <f t="shared" si="3"/>
        <v>0</v>
      </c>
      <c r="AF38" s="563">
        <f>'8'!AF38+'9'!AB38</f>
        <v>0</v>
      </c>
      <c r="AG38" s="234">
        <f>'8'!AG38+'9'!AD38</f>
        <v>0</v>
      </c>
    </row>
    <row r="39" spans="1:42" ht="27" customHeight="1">
      <c r="A39" s="715" t="str">
        <f>'8'!A39</f>
        <v>SHORT CASH</v>
      </c>
      <c r="B39" s="234"/>
      <c r="C39" s="348">
        <f>'8'!D39</f>
        <v>0</v>
      </c>
      <c r="D39" s="234">
        <f t="shared" si="5"/>
        <v>0</v>
      </c>
      <c r="F39" s="479" t="str">
        <f>'8'!F39</f>
        <v>SHAMSHAD UNCLE</v>
      </c>
      <c r="G39" s="406">
        <f>'CUSTOMERS REPORT'!Y1209</f>
        <v>0</v>
      </c>
      <c r="H39" s="504">
        <f>'CUSTOMERS REPORT'!Z1209</f>
        <v>0</v>
      </c>
      <c r="I39" s="406">
        <f>'CUSTOMERS REPORT'!AA1209</f>
        <v>0</v>
      </c>
      <c r="J39" s="498">
        <f>'CUSTOMERS REPORT'!AB1209</f>
        <v>0</v>
      </c>
      <c r="K39" s="498">
        <f>'CUSTOMERS REPORT'!AC1209</f>
        <v>0</v>
      </c>
      <c r="L39" s="406">
        <f>'CUSTOMERS REPORT'!AD1209</f>
        <v>0</v>
      </c>
      <c r="M39" s="414">
        <f>'8'!M39+'9'!G39</f>
        <v>0</v>
      </c>
      <c r="N39" s="412">
        <f>'8'!N39+'9'!J39</f>
        <v>0</v>
      </c>
      <c r="P39" s="373" t="s">
        <v>109</v>
      </c>
      <c r="Q39" s="445">
        <f>'8'!Q39+'9'!Q25+'9'!Q26+'9'!Q27+'9'!Q28+'9'!Q29+'9'!Q30+'9'!Q31</f>
        <v>0</v>
      </c>
      <c r="R39" t="s">
        <v>1</v>
      </c>
      <c r="S39" s="400">
        <f>'8'!S39</f>
        <v>0</v>
      </c>
      <c r="T39" s="446">
        <f>'8'!X39</f>
        <v>0</v>
      </c>
      <c r="U39" s="456"/>
      <c r="V39" s="451">
        <f t="shared" si="0"/>
        <v>0</v>
      </c>
      <c r="W39" s="452"/>
      <c r="X39" s="448">
        <f t="shared" si="1"/>
        <v>0</v>
      </c>
      <c r="Z39" s="375">
        <f>'8'!Z39</f>
        <v>0</v>
      </c>
      <c r="AA39" s="464">
        <f>'8'!AE39</f>
        <v>0</v>
      </c>
      <c r="AB39" s="460"/>
      <c r="AC39" s="462">
        <f t="shared" si="2"/>
        <v>0</v>
      </c>
      <c r="AD39" s="469"/>
      <c r="AE39" s="348">
        <f t="shared" si="3"/>
        <v>0</v>
      </c>
      <c r="AF39" s="563">
        <f>'8'!AF39+'9'!AB39</f>
        <v>0</v>
      </c>
      <c r="AG39" s="234">
        <f>'8'!AG39+'9'!AD39</f>
        <v>0</v>
      </c>
    </row>
    <row r="40" spans="1:42" ht="27" customHeight="1" thickBot="1">
      <c r="A40" s="715" t="str">
        <f>'8'!A40</f>
        <v>ASSETS</v>
      </c>
      <c r="B40" s="234"/>
      <c r="C40" s="348">
        <f>'8'!D40</f>
        <v>0</v>
      </c>
      <c r="D40" s="234">
        <f t="shared" si="5"/>
        <v>0</v>
      </c>
      <c r="F40" s="479" t="str">
        <f>'8'!F40</f>
        <v>IBRAHEEM D.G KHAN</v>
      </c>
      <c r="G40" s="406">
        <f>'CUSTOMERS REPORT'!Y1246</f>
        <v>0</v>
      </c>
      <c r="H40" s="504">
        <f>'CUSTOMERS REPORT'!Z1246</f>
        <v>0</v>
      </c>
      <c r="I40" s="406">
        <f>'CUSTOMERS REPORT'!AA1246</f>
        <v>0</v>
      </c>
      <c r="J40" s="498">
        <f>'CUSTOMERS REPORT'!AB1246</f>
        <v>0</v>
      </c>
      <c r="K40" s="498">
        <f>'CUSTOMERS REPORT'!AC1246</f>
        <v>0</v>
      </c>
      <c r="L40" s="406">
        <f>'CUSTOMERS REPORT'!AD1246</f>
        <v>0</v>
      </c>
      <c r="M40" s="414">
        <f>'8'!M40+'9'!G40</f>
        <v>0</v>
      </c>
      <c r="N40" s="412">
        <f>'8'!N40+'9'!J40</f>
        <v>0</v>
      </c>
      <c r="P40" s="374" t="s">
        <v>155</v>
      </c>
      <c r="Q40" s="445">
        <f>Q48</f>
        <v>0</v>
      </c>
      <c r="S40" s="400">
        <f>'8'!S40</f>
        <v>0</v>
      </c>
      <c r="T40" s="446">
        <f>'8'!X40</f>
        <v>0</v>
      </c>
      <c r="U40" s="456"/>
      <c r="V40" s="451">
        <f t="shared" si="0"/>
        <v>0</v>
      </c>
      <c r="W40" s="452"/>
      <c r="X40" s="448">
        <f t="shared" si="1"/>
        <v>0</v>
      </c>
      <c r="Z40" s="375">
        <f>'8'!Z40</f>
        <v>0</v>
      </c>
      <c r="AA40" s="464">
        <f>'8'!AE40</f>
        <v>0</v>
      </c>
      <c r="AB40" s="460"/>
      <c r="AC40" s="462">
        <f t="shared" si="2"/>
        <v>0</v>
      </c>
      <c r="AD40" s="469"/>
      <c r="AE40" s="348">
        <f t="shared" si="3"/>
        <v>0</v>
      </c>
      <c r="AF40" s="563">
        <f>'8'!AF40+'9'!AB40</f>
        <v>0</v>
      </c>
      <c r="AG40" s="234">
        <f>'8'!AG40+'9'!AD40</f>
        <v>0</v>
      </c>
    </row>
    <row r="41" spans="1:42" ht="27" customHeight="1" thickTop="1" thickBot="1">
      <c r="A41" s="715" t="str">
        <f>'8'!A41</f>
        <v>BIKE.INSTALMINT</v>
      </c>
      <c r="B41" s="234"/>
      <c r="C41" s="348">
        <f>'8'!D41</f>
        <v>0</v>
      </c>
      <c r="D41" s="234">
        <f t="shared" si="5"/>
        <v>0</v>
      </c>
      <c r="E41" t="s">
        <v>1</v>
      </c>
      <c r="F41" s="479" t="str">
        <f>'8'!F41</f>
        <v>PISHAWAR</v>
      </c>
      <c r="G41" s="409">
        <f>'CUSTOMERS REPORT'!Y1283</f>
        <v>0</v>
      </c>
      <c r="H41" s="507">
        <f>'CUSTOMERS REPORT'!Z1283</f>
        <v>0</v>
      </c>
      <c r="I41" s="409">
        <f>'CUSTOMERS REPORT'!AA1283</f>
        <v>0</v>
      </c>
      <c r="J41" s="501">
        <f>'CUSTOMERS REPORT'!AB1283</f>
        <v>0</v>
      </c>
      <c r="K41" s="501">
        <f>'CUSTOMERS REPORT'!AC1283</f>
        <v>0</v>
      </c>
      <c r="L41" s="409">
        <f>'CUSTOMERS REPORT'!AD1283</f>
        <v>0</v>
      </c>
      <c r="M41" s="414">
        <f>'8'!M41+'9'!G41</f>
        <v>0</v>
      </c>
      <c r="N41" s="412">
        <f>'8'!N41+'9'!J41</f>
        <v>0</v>
      </c>
      <c r="P41" s="221" t="s">
        <v>51</v>
      </c>
      <c r="Q41" s="223">
        <f>Q37-Q38-Q39-Q40</f>
        <v>0</v>
      </c>
      <c r="S41" s="400">
        <f>'8'!S41</f>
        <v>0</v>
      </c>
      <c r="T41" s="446">
        <f>'8'!X41</f>
        <v>0</v>
      </c>
      <c r="U41" s="456"/>
      <c r="V41" s="451">
        <f t="shared" si="0"/>
        <v>0</v>
      </c>
      <c r="W41" s="452"/>
      <c r="X41" s="448">
        <f t="shared" si="1"/>
        <v>0</v>
      </c>
      <c r="Z41" s="375">
        <f>'8'!Z41</f>
        <v>0</v>
      </c>
      <c r="AA41" s="464">
        <f>'8'!AE41</f>
        <v>0</v>
      </c>
      <c r="AB41" s="460"/>
      <c r="AC41" s="462">
        <f t="shared" si="2"/>
        <v>0</v>
      </c>
      <c r="AD41" s="469"/>
      <c r="AE41" s="348">
        <f t="shared" si="3"/>
        <v>0</v>
      </c>
      <c r="AF41" s="563">
        <f>'8'!AF41+'9'!AB41</f>
        <v>0</v>
      </c>
      <c r="AG41" s="234">
        <f>'8'!AG41+'9'!AD41</f>
        <v>0</v>
      </c>
    </row>
    <row r="42" spans="1:42" ht="27" customHeight="1" thickTop="1" thickBot="1">
      <c r="A42" s="715" t="str">
        <f>'8'!A42</f>
        <v>B.C</v>
      </c>
      <c r="B42" s="529"/>
      <c r="C42" s="348">
        <f>'8'!D42</f>
        <v>0</v>
      </c>
      <c r="D42" s="529">
        <f t="shared" si="5"/>
        <v>0</v>
      </c>
      <c r="F42" s="479" t="str">
        <f>'8'!F42</f>
        <v>HUZAFA KOTRI</v>
      </c>
      <c r="G42" s="409">
        <f>'CUSTOMERS REPORT'!Y1320</f>
        <v>0</v>
      </c>
      <c r="H42" s="507">
        <f>'CUSTOMERS REPORT'!Z1320</f>
        <v>0</v>
      </c>
      <c r="I42" s="409">
        <f>'CUSTOMERS REPORT'!AA1320</f>
        <v>0</v>
      </c>
      <c r="J42" s="501">
        <f>'CUSTOMERS REPORT'!AB1320</f>
        <v>0</v>
      </c>
      <c r="K42" s="501">
        <f>'CUSTOMERS REPORT'!AC1320</f>
        <v>0</v>
      </c>
      <c r="L42" s="409">
        <f>'CUSTOMERS REPORT'!AD1320</f>
        <v>0</v>
      </c>
      <c r="M42" s="414">
        <f>'8'!M42+'9'!G42</f>
        <v>0</v>
      </c>
      <c r="N42" s="412">
        <f>'8'!N42+'9'!J42</f>
        <v>0</v>
      </c>
      <c r="P42" s="1499" t="s">
        <v>157</v>
      </c>
      <c r="Q42" s="1500"/>
      <c r="S42" s="400">
        <f>'8'!S42</f>
        <v>0</v>
      </c>
      <c r="T42" s="446">
        <f>'8'!X42</f>
        <v>0</v>
      </c>
      <c r="U42" s="458"/>
      <c r="V42" s="453">
        <f t="shared" si="0"/>
        <v>0</v>
      </c>
      <c r="W42" s="454"/>
      <c r="X42" s="449">
        <f t="shared" si="1"/>
        <v>0</v>
      </c>
      <c r="Z42" s="375">
        <f>'8'!Z42</f>
        <v>0</v>
      </c>
      <c r="AA42" s="464">
        <f>'8'!AE42</f>
        <v>0</v>
      </c>
      <c r="AB42" s="461"/>
      <c r="AC42" s="462">
        <f>AA42+AB42</f>
        <v>0</v>
      </c>
      <c r="AD42" s="470"/>
      <c r="AE42" s="348">
        <f t="shared" si="3"/>
        <v>0</v>
      </c>
      <c r="AF42" s="564">
        <f>'8'!AF42+'9'!AB42</f>
        <v>0</v>
      </c>
      <c r="AG42" s="572">
        <f>'8'!AG42+'9'!AD42</f>
        <v>0</v>
      </c>
    </row>
    <row r="43" spans="1:42" ht="27" customHeight="1" thickTop="1" thickBot="1">
      <c r="A43" s="715" t="str">
        <f>'8'!A43</f>
        <v>AQEEL</v>
      </c>
      <c r="B43" s="539"/>
      <c r="C43" s="348">
        <f>'8'!D43</f>
        <v>0</v>
      </c>
      <c r="D43" s="529">
        <f t="shared" si="5"/>
        <v>0</v>
      </c>
      <c r="F43" s="479" t="str">
        <f>'8'!F43</f>
        <v>ZAHID LAHORE</v>
      </c>
      <c r="G43" s="409">
        <f>'CUSTOMERS REPORT'!Y1357</f>
        <v>0</v>
      </c>
      <c r="H43" s="507">
        <f>'CUSTOMERS REPORT'!Z1357</f>
        <v>0</v>
      </c>
      <c r="I43" s="409">
        <f>'CUSTOMERS REPORT'!AA1357</f>
        <v>0</v>
      </c>
      <c r="J43" s="501">
        <f>'CUSTOMERS REPORT'!AB1357</f>
        <v>0</v>
      </c>
      <c r="K43" s="501">
        <f>'CUSTOMERS REPORT'!AC1357</f>
        <v>0</v>
      </c>
      <c r="L43" s="409">
        <f>'CUSTOMERS REPORT'!AD1357</f>
        <v>0</v>
      </c>
      <c r="M43" s="414">
        <f>'8'!M43+'9'!G43</f>
        <v>0</v>
      </c>
      <c r="N43" s="412">
        <f>'8'!N43+'9'!J43</f>
        <v>0</v>
      </c>
      <c r="P43" s="220" t="s">
        <v>124</v>
      </c>
      <c r="Q43" s="223">
        <f>'8'!Q48</f>
        <v>0</v>
      </c>
      <c r="R43" t="s">
        <v>1</v>
      </c>
      <c r="S43" s="400">
        <f>'8'!S43</f>
        <v>0</v>
      </c>
      <c r="T43" s="446">
        <f>'8'!X43</f>
        <v>0</v>
      </c>
      <c r="U43" s="358"/>
      <c r="V43" s="453">
        <f t="shared" si="0"/>
        <v>0</v>
      </c>
      <c r="W43" s="403"/>
      <c r="X43" s="449">
        <f t="shared" si="1"/>
        <v>0</v>
      </c>
      <c r="Z43" s="383"/>
      <c r="AA43" s="356">
        <f>SUM(AA8:AA42)</f>
        <v>0</v>
      </c>
      <c r="AB43" s="385">
        <f>SUM(AB8:AB42)</f>
        <v>0</v>
      </c>
      <c r="AC43" s="357" t="s">
        <v>74</v>
      </c>
      <c r="AD43" s="387">
        <f>SUM(AD8:AD42)</f>
        <v>0</v>
      </c>
      <c r="AE43" s="358">
        <f>SUM(AE8:AE42)</f>
        <v>0</v>
      </c>
      <c r="AF43" s="565">
        <f>SUM(AF8:AF42)</f>
        <v>0</v>
      </c>
      <c r="AG43" s="571">
        <f>SUM(AG8:AG42)</f>
        <v>0</v>
      </c>
    </row>
    <row r="44" spans="1:42" ht="27" customHeight="1" thickTop="1">
      <c r="A44" s="715" t="str">
        <f>'8'!A44</f>
        <v>M.YOUSUF</v>
      </c>
      <c r="B44" s="234"/>
      <c r="C44" s="348">
        <f>'8'!D44</f>
        <v>0</v>
      </c>
      <c r="D44" s="234">
        <f t="shared" si="5"/>
        <v>0</v>
      </c>
      <c r="F44" s="479" t="str">
        <f>'8'!F44</f>
        <v>CASH SALE</v>
      </c>
      <c r="G44" s="409">
        <f>'CUSTOMERS REPORT'!Y1394</f>
        <v>0</v>
      </c>
      <c r="H44" s="507">
        <f>'CUSTOMERS REPORT'!Z1394</f>
        <v>0</v>
      </c>
      <c r="I44" s="409">
        <f>'CUSTOMERS REPORT'!AA1394</f>
        <v>0</v>
      </c>
      <c r="J44" s="501">
        <f>'CUSTOMERS REPORT'!AB1394</f>
        <v>0</v>
      </c>
      <c r="K44" s="501">
        <f>'CUSTOMERS REPORT'!AC1394</f>
        <v>0</v>
      </c>
      <c r="L44" s="409">
        <f>'CUSTOMERS REPORT'!AD1394</f>
        <v>0</v>
      </c>
      <c r="M44" s="414">
        <f>'8'!M44+'9'!G44</f>
        <v>0</v>
      </c>
      <c r="N44" s="412">
        <f>'8'!N44+'9'!J44</f>
        <v>0</v>
      </c>
      <c r="P44" s="222" t="s">
        <v>114</v>
      </c>
      <c r="Q44" s="377">
        <f>J46</f>
        <v>0</v>
      </c>
      <c r="S44" s="400"/>
      <c r="T44" s="348"/>
      <c r="U44" s="306"/>
      <c r="V44" s="349"/>
      <c r="W44" s="351"/>
      <c r="X44" s="350"/>
      <c r="Z44" s="375"/>
      <c r="AA44" s="339"/>
      <c r="AB44" s="386">
        <f>'8'!AB45</f>
        <v>0</v>
      </c>
      <c r="AC44" s="340" t="s">
        <v>126</v>
      </c>
      <c r="AD44" s="388">
        <f>'8'!AD45</f>
        <v>0</v>
      </c>
      <c r="AE44" s="341"/>
      <c r="AF44" s="561"/>
      <c r="AG44" s="83" t="s">
        <v>1</v>
      </c>
    </row>
    <row r="45" spans="1:42" ht="27" customHeight="1" thickBot="1">
      <c r="A45" s="715" t="str">
        <f>'8'!A45</f>
        <v>SHAKEEL</v>
      </c>
      <c r="B45" s="234"/>
      <c r="C45" s="348">
        <f>'8'!D45</f>
        <v>0</v>
      </c>
      <c r="D45" s="234">
        <f t="shared" si="5"/>
        <v>0</v>
      </c>
      <c r="F45" s="479" t="str">
        <f>'8'!F45</f>
        <v xml:space="preserve">FREE </v>
      </c>
      <c r="G45" s="410">
        <f>'CUSTOMERS REPORT'!Y1431</f>
        <v>0</v>
      </c>
      <c r="H45" s="362">
        <f>'CUSTOMERS REPORT'!Z1431</f>
        <v>0</v>
      </c>
      <c r="I45" s="410">
        <f>'CUSTOMERS REPORT'!AA1431</f>
        <v>0</v>
      </c>
      <c r="J45" s="410">
        <f>'CUSTOMERS REPORT'!AB1431</f>
        <v>0</v>
      </c>
      <c r="K45" s="410">
        <f>'CUSTOMERS REPORT'!AC1431</f>
        <v>0</v>
      </c>
      <c r="L45" s="410">
        <f>'CUSTOMERS REPORT'!AD1431</f>
        <v>0</v>
      </c>
      <c r="M45" s="414">
        <f>'8'!M45+'9'!G45</f>
        <v>0</v>
      </c>
      <c r="N45" s="412">
        <f>'8'!N45+'9'!J45</f>
        <v>0</v>
      </c>
      <c r="P45" s="222" t="s">
        <v>153</v>
      </c>
      <c r="Q45" s="378">
        <f>Q43+Q44</f>
        <v>0</v>
      </c>
      <c r="S45" s="401"/>
      <c r="T45" s="352"/>
      <c r="U45" s="307"/>
      <c r="V45" s="353"/>
      <c r="W45" s="354"/>
      <c r="X45" s="355"/>
      <c r="Z45" s="384"/>
      <c r="AA45" s="359"/>
      <c r="AB45" s="390">
        <f>SUM(AB43:AB44)</f>
        <v>0</v>
      </c>
      <c r="AC45" s="360" t="s">
        <v>74</v>
      </c>
      <c r="AD45" s="389">
        <f>SUM(AD43:AD44)</f>
        <v>0</v>
      </c>
      <c r="AE45" s="361"/>
      <c r="AF45" s="562"/>
      <c r="AG45" s="573"/>
    </row>
    <row r="46" spans="1:42" ht="27" customHeight="1" thickTop="1" thickBot="1">
      <c r="A46" s="715" t="str">
        <f>'8'!A46</f>
        <v>ZAHID HUSSAN</v>
      </c>
      <c r="B46" s="234"/>
      <c r="C46" s="348">
        <f>'8'!D46</f>
        <v>0</v>
      </c>
      <c r="D46" s="234">
        <f t="shared" si="5"/>
        <v>0</v>
      </c>
      <c r="F46" s="369"/>
      <c r="G46" s="424">
        <f>SUM(G8:G45)</f>
        <v>0</v>
      </c>
      <c r="H46" s="1497" t="s">
        <v>160</v>
      </c>
      <c r="I46" s="1498"/>
      <c r="J46" s="421">
        <f>SUM(J8:J45)</f>
        <v>0</v>
      </c>
      <c r="K46" s="427">
        <f>SUM(K8:K45)</f>
        <v>0</v>
      </c>
      <c r="L46" s="431">
        <f>SUM(L8:L45)</f>
        <v>0</v>
      </c>
      <c r="M46" s="429">
        <f>SUM(M8:M45)</f>
        <v>0</v>
      </c>
      <c r="N46" s="430">
        <f>SUM(N8:N45)</f>
        <v>0</v>
      </c>
      <c r="P46" s="222" t="s">
        <v>154</v>
      </c>
      <c r="Q46" s="378">
        <f>B48</f>
        <v>0</v>
      </c>
      <c r="AP46" t="s">
        <v>1</v>
      </c>
    </row>
    <row r="47" spans="1:42" ht="27" customHeight="1" thickTop="1" thickBot="1">
      <c r="A47" s="715" t="str">
        <f>'8'!A47</f>
        <v xml:space="preserve">INVESTOR </v>
      </c>
      <c r="B47" s="540"/>
      <c r="C47" s="348">
        <f>'8'!D47</f>
        <v>0</v>
      </c>
      <c r="D47" s="542">
        <f t="shared" si="5"/>
        <v>0</v>
      </c>
      <c r="F47" s="370"/>
      <c r="G47" s="425">
        <f>'8'!G48</f>
        <v>0</v>
      </c>
      <c r="H47" s="1512" t="s">
        <v>162</v>
      </c>
      <c r="I47" s="1513"/>
      <c r="J47" s="423">
        <f>'8'!J48</f>
        <v>0</v>
      </c>
      <c r="K47" s="423">
        <f>'8'!K48</f>
        <v>0</v>
      </c>
      <c r="L47" s="343"/>
      <c r="M47" s="344"/>
      <c r="N47" s="345"/>
      <c r="P47" s="375" t="s">
        <v>163</v>
      </c>
      <c r="Q47" s="378">
        <f>Q9+Q10+Q19+Q20+Q21+Q22</f>
        <v>0</v>
      </c>
      <c r="R47" s="19"/>
      <c r="S47" s="1489" t="s">
        <v>92</v>
      </c>
      <c r="T47" s="1402" t="s">
        <v>95</v>
      </c>
      <c r="U47" s="1403"/>
      <c r="V47" s="1403"/>
      <c r="W47" s="1404"/>
      <c r="X47" s="1402" t="s">
        <v>7</v>
      </c>
      <c r="Y47" s="1403"/>
      <c r="Z47" s="1404"/>
      <c r="AA47" s="1402" t="s">
        <v>8</v>
      </c>
      <c r="AB47" s="1404"/>
      <c r="AC47" s="1402" t="s">
        <v>9</v>
      </c>
      <c r="AD47" s="1403"/>
      <c r="AE47" s="1403"/>
      <c r="AF47" s="1403"/>
      <c r="AG47" s="1403"/>
      <c r="AH47" s="1403"/>
      <c r="AI47" s="1403"/>
      <c r="AJ47" s="1405" t="s">
        <v>10</v>
      </c>
      <c r="AK47" s="1406"/>
      <c r="AL47" s="1400" t="s">
        <v>289</v>
      </c>
      <c r="AM47" s="1401"/>
      <c r="AN47" s="842" t="s">
        <v>290</v>
      </c>
    </row>
    <row r="48" spans="1:42" ht="27" customHeight="1" thickTop="1" thickBot="1">
      <c r="A48" s="192" t="s">
        <v>74</v>
      </c>
      <c r="B48" s="544">
        <f>SUM(B22:B47)</f>
        <v>0</v>
      </c>
      <c r="C48" s="543">
        <f>'8'!D48</f>
        <v>0</v>
      </c>
      <c r="D48" s="544">
        <f t="shared" si="5"/>
        <v>0</v>
      </c>
      <c r="F48" s="371"/>
      <c r="G48" s="426">
        <f>G46+G47</f>
        <v>0</v>
      </c>
      <c r="H48" s="1495" t="s">
        <v>164</v>
      </c>
      <c r="I48" s="1496"/>
      <c r="J48" s="422">
        <f>J46+J47</f>
        <v>0</v>
      </c>
      <c r="K48" s="428">
        <f>K46+K47</f>
        <v>0</v>
      </c>
      <c r="L48" s="346"/>
      <c r="M48" s="347"/>
      <c r="N48" s="622">
        <f>G48-J48</f>
        <v>0</v>
      </c>
      <c r="P48" s="376" t="s">
        <v>155</v>
      </c>
      <c r="Q48" s="379">
        <f>Q45-Q46-Q47</f>
        <v>0</v>
      </c>
      <c r="R48" s="19"/>
      <c r="S48" s="1490"/>
      <c r="T48" s="482" t="s">
        <v>12</v>
      </c>
      <c r="U48" s="482" t="s">
        <v>13</v>
      </c>
      <c r="V48" s="482" t="s">
        <v>14</v>
      </c>
      <c r="W48" s="958" t="s">
        <v>263</v>
      </c>
      <c r="X48" s="482" t="s">
        <v>12</v>
      </c>
      <c r="Y48" s="482" t="s">
        <v>13</v>
      </c>
      <c r="Z48" s="482" t="s">
        <v>282</v>
      </c>
      <c r="AA48" s="482" t="s">
        <v>12</v>
      </c>
      <c r="AB48" s="482" t="s">
        <v>16</v>
      </c>
      <c r="AC48" s="482" t="s">
        <v>17</v>
      </c>
      <c r="AD48" s="482" t="s">
        <v>18</v>
      </c>
      <c r="AE48" s="482" t="s">
        <v>19</v>
      </c>
      <c r="AF48" s="484" t="s">
        <v>96</v>
      </c>
      <c r="AG48" s="484" t="s">
        <v>257</v>
      </c>
      <c r="AH48" s="482" t="s">
        <v>254</v>
      </c>
      <c r="AI48" s="482" t="s">
        <v>20</v>
      </c>
      <c r="AJ48" s="483" t="s">
        <v>298</v>
      </c>
      <c r="AK48" s="482" t="s">
        <v>13</v>
      </c>
      <c r="AL48" s="846" t="s">
        <v>284</v>
      </c>
      <c r="AM48" s="846" t="s">
        <v>288</v>
      </c>
      <c r="AN48" s="484" t="s">
        <v>291</v>
      </c>
    </row>
    <row r="49" spans="1:42" ht="24.95" customHeight="1" thickTop="1" thickBot="1">
      <c r="Q49" s="111">
        <f>Q48+Q41</f>
        <v>0</v>
      </c>
      <c r="R49" s="19"/>
      <c r="S49" s="865" t="s">
        <v>165</v>
      </c>
      <c r="T49" s="866">
        <f>'8'!T55</f>
        <v>0</v>
      </c>
      <c r="U49" s="866">
        <f>'8'!U55</f>
        <v>0</v>
      </c>
      <c r="V49" s="866">
        <f>'8'!V55</f>
        <v>0</v>
      </c>
      <c r="W49" s="866">
        <f>'8'!W55</f>
        <v>0</v>
      </c>
      <c r="X49" s="866">
        <f>'8'!X55</f>
        <v>0</v>
      </c>
      <c r="Y49" s="866">
        <f>'8'!Y55</f>
        <v>0</v>
      </c>
      <c r="Z49" s="866">
        <f>'8'!Z55</f>
        <v>0</v>
      </c>
      <c r="AA49" s="866">
        <f>'8'!AA55</f>
        <v>0</v>
      </c>
      <c r="AB49" s="866">
        <f>'8'!AB55</f>
        <v>0</v>
      </c>
      <c r="AC49" s="866">
        <f>'8'!AC55</f>
        <v>0</v>
      </c>
      <c r="AD49" s="866">
        <f>'8'!AD55</f>
        <v>0</v>
      </c>
      <c r="AE49" s="866">
        <f>'8'!AE55</f>
        <v>0</v>
      </c>
      <c r="AF49" s="866">
        <f>'8'!AF55</f>
        <v>0</v>
      </c>
      <c r="AG49" s="866">
        <f>'8'!AG55</f>
        <v>0</v>
      </c>
      <c r="AH49" s="866">
        <f>'8'!AH55</f>
        <v>0</v>
      </c>
      <c r="AI49" s="866">
        <f>'8'!AI55</f>
        <v>0</v>
      </c>
      <c r="AJ49" s="866">
        <f>'8'!AJ55</f>
        <v>0</v>
      </c>
      <c r="AK49" s="866">
        <f>'8'!AK55</f>
        <v>0</v>
      </c>
      <c r="AL49" s="866" t="e">
        <f>'8'!AL55</f>
        <v>#VALUE!</v>
      </c>
      <c r="AM49" s="866" t="e">
        <f>'8'!AM55</f>
        <v>#VALUE!</v>
      </c>
      <c r="AN49" s="866" t="e">
        <f>'8'!AN55</f>
        <v>#VALUE!</v>
      </c>
      <c r="AP49" t="s">
        <v>1</v>
      </c>
    </row>
    <row r="50" spans="1:42" ht="24.95" customHeight="1" thickBot="1">
      <c r="C50" t="s">
        <v>1</v>
      </c>
      <c r="K50">
        <v>4</v>
      </c>
      <c r="L50" s="417">
        <v>5000</v>
      </c>
      <c r="M50" s="417"/>
      <c r="N50" s="417">
        <f t="shared" ref="N50:N57" si="6">L50*M50</f>
        <v>0</v>
      </c>
      <c r="O50">
        <v>1</v>
      </c>
      <c r="Q50" s="111">
        <f>Q48-Q49</f>
        <v>0</v>
      </c>
      <c r="R50" s="19"/>
      <c r="S50" s="854" t="s">
        <v>166</v>
      </c>
      <c r="T50" s="852"/>
      <c r="U50" s="852"/>
      <c r="V50" s="852"/>
      <c r="W50" s="852"/>
      <c r="X50" s="852"/>
      <c r="Y50" s="852"/>
      <c r="Z50" s="852"/>
      <c r="AA50" s="852"/>
      <c r="AB50" s="852"/>
      <c r="AC50" s="852"/>
      <c r="AD50" s="852"/>
      <c r="AE50" s="852"/>
      <c r="AF50" s="852"/>
      <c r="AG50" s="855"/>
      <c r="AH50" s="852"/>
      <c r="AI50" s="852"/>
      <c r="AJ50" s="848"/>
      <c r="AK50" s="848"/>
      <c r="AL50" s="848"/>
      <c r="AM50" s="849"/>
      <c r="AN50" s="930"/>
    </row>
    <row r="51" spans="1:42" ht="24.95" customHeight="1" thickBot="1">
      <c r="K51">
        <v>30</v>
      </c>
      <c r="L51" s="417">
        <v>1000</v>
      </c>
      <c r="M51" s="417"/>
      <c r="N51" s="417">
        <f t="shared" si="6"/>
        <v>0</v>
      </c>
      <c r="R51" s="19"/>
      <c r="S51" s="867" t="s">
        <v>91</v>
      </c>
      <c r="T51" s="868"/>
      <c r="U51" s="868"/>
      <c r="V51" s="868"/>
      <c r="W51" s="868"/>
      <c r="X51" s="868"/>
      <c r="Y51" s="868"/>
      <c r="Z51" s="868"/>
      <c r="AA51" s="868"/>
      <c r="AB51" s="868"/>
      <c r="AC51" s="868"/>
      <c r="AD51" s="868"/>
      <c r="AE51" s="868"/>
      <c r="AF51" s="868"/>
      <c r="AG51" s="869"/>
      <c r="AH51" s="868"/>
      <c r="AI51" s="870"/>
      <c r="AJ51" s="868"/>
      <c r="AK51" s="868"/>
      <c r="AL51" s="849"/>
      <c r="AM51" s="849"/>
      <c r="AN51" s="850"/>
    </row>
    <row r="52" spans="1:42" ht="24.95" customHeight="1" thickBot="1">
      <c r="K52">
        <v>108</v>
      </c>
      <c r="L52" s="417">
        <v>500</v>
      </c>
      <c r="M52" s="417"/>
      <c r="N52" s="417">
        <f t="shared" si="6"/>
        <v>0</v>
      </c>
      <c r="O52" t="s">
        <v>1</v>
      </c>
      <c r="R52" s="19"/>
      <c r="S52" s="856" t="s">
        <v>167</v>
      </c>
      <c r="T52" s="857"/>
      <c r="U52" s="857"/>
      <c r="V52" s="857"/>
      <c r="W52" s="857"/>
      <c r="X52" s="857"/>
      <c r="Y52" s="857"/>
      <c r="Z52" s="857"/>
      <c r="AA52" s="857"/>
      <c r="AB52" s="857"/>
      <c r="AC52" s="857"/>
      <c r="AD52" s="857"/>
      <c r="AE52" s="857"/>
      <c r="AF52" s="857"/>
      <c r="AG52" s="858"/>
      <c r="AH52" s="859"/>
      <c r="AI52" s="860"/>
      <c r="AJ52" s="851"/>
      <c r="AK52" s="851"/>
      <c r="AL52" s="849"/>
      <c r="AM52" s="849"/>
      <c r="AN52" s="850"/>
    </row>
    <row r="53" spans="1:42" ht="24.95" customHeight="1" thickBot="1">
      <c r="K53">
        <v>450</v>
      </c>
      <c r="L53" s="417">
        <v>100</v>
      </c>
      <c r="M53" s="417"/>
      <c r="N53" s="417">
        <f t="shared" si="6"/>
        <v>0</v>
      </c>
      <c r="R53" s="19"/>
      <c r="S53" s="871" t="s">
        <v>81</v>
      </c>
      <c r="T53" s="866">
        <f t="shared" ref="T53:AN53" si="7">SUM(T49+T50+T52)</f>
        <v>0</v>
      </c>
      <c r="U53" s="866">
        <f t="shared" si="7"/>
        <v>0</v>
      </c>
      <c r="V53" s="866">
        <f t="shared" si="7"/>
        <v>0</v>
      </c>
      <c r="W53" s="866">
        <f t="shared" si="7"/>
        <v>0</v>
      </c>
      <c r="X53" s="866">
        <f t="shared" si="7"/>
        <v>0</v>
      </c>
      <c r="Y53" s="866">
        <f t="shared" si="7"/>
        <v>0</v>
      </c>
      <c r="Z53" s="866">
        <f t="shared" si="7"/>
        <v>0</v>
      </c>
      <c r="AA53" s="866">
        <f t="shared" si="7"/>
        <v>0</v>
      </c>
      <c r="AB53" s="866">
        <f t="shared" si="7"/>
        <v>0</v>
      </c>
      <c r="AC53" s="866">
        <f t="shared" si="7"/>
        <v>0</v>
      </c>
      <c r="AD53" s="866">
        <f t="shared" si="7"/>
        <v>0</v>
      </c>
      <c r="AE53" s="866">
        <f t="shared" si="7"/>
        <v>0</v>
      </c>
      <c r="AF53" s="866">
        <f t="shared" si="7"/>
        <v>0</v>
      </c>
      <c r="AG53" s="866">
        <f t="shared" si="7"/>
        <v>0</v>
      </c>
      <c r="AH53" s="866">
        <f t="shared" si="7"/>
        <v>0</v>
      </c>
      <c r="AI53" s="866">
        <f t="shared" si="7"/>
        <v>0</v>
      </c>
      <c r="AJ53" s="866">
        <f t="shared" si="7"/>
        <v>0</v>
      </c>
      <c r="AK53" s="866">
        <f t="shared" si="7"/>
        <v>0</v>
      </c>
      <c r="AL53" s="866" t="e">
        <f t="shared" si="7"/>
        <v>#VALUE!</v>
      </c>
      <c r="AM53" s="866" t="e">
        <f t="shared" si="7"/>
        <v>#VALUE!</v>
      </c>
      <c r="AN53" s="872" t="e">
        <f t="shared" si="7"/>
        <v>#VALUE!</v>
      </c>
    </row>
    <row r="54" spans="1:42" ht="24.95" customHeight="1" thickBot="1">
      <c r="K54">
        <v>319</v>
      </c>
      <c r="L54" s="417">
        <v>50</v>
      </c>
      <c r="M54" s="417"/>
      <c r="N54" s="417">
        <f t="shared" si="6"/>
        <v>0</v>
      </c>
      <c r="R54" s="19"/>
      <c r="S54" s="854" t="s">
        <v>168</v>
      </c>
      <c r="T54" s="852">
        <f>'CUSTOMERS REPORT'!B16+'CUSTOMERS REPORT'!B62+'CUSTOMERS REPORT'!B100+'CUSTOMERS REPORT'!B139+'CUSTOMERS REPORT'!B177+'CUSTOMERS REPORT'!B217+'CUSTOMERS REPORT'!B254+'CUSTOMERS REPORT'!B294+'CUSTOMERS REPORT'!B335+'CUSTOMERS REPORT'!B377+'CUSTOMERS REPORT'!B416+'CUSTOMERS REPORT'!B454+'CUSTOMERS REPORT'!B490+'CUSTOMERS REPORT'!B527+'CUSTOMERS REPORT'!B565+'CUSTOMERS REPORT'!B601+'CUSTOMERS REPORT'!B639+'CUSTOMERS REPORT'!B677+'CUSTOMERS REPORT'!B715+'CUSTOMERS REPORT'!B753+'CUSTOMERS REPORT'!B791+'CUSTOMERS REPORT'!B829+'CUSTOMERS REPORT'!B867+'CUSTOMERS REPORT'!B906+'CUSTOMERS REPORT'!B945+'CUSTOMERS REPORT'!B983+'CUSTOMERS REPORT'!B1021+'CUSTOMERS REPORT'!B1059+'CUSTOMERS REPORT'!B1097+'CUSTOMERS REPORT'!B1135+'CUSTOMERS REPORT'!B1172+'CUSTOMERS REPORT'!B1209+'CUSTOMERS REPORT'!B1246+'CUSTOMERS REPORT'!B1283+'CUSTOMERS REPORT'!B1320+'CUSTOMERS REPORT'!B1357+'CUSTOMERS REPORT'!B1394+'CUSTOMERS REPORT'!B1430</f>
        <v>0</v>
      </c>
      <c r="U54" s="852">
        <f>'CUSTOMERS REPORT'!C16+'CUSTOMERS REPORT'!C62+'CUSTOMERS REPORT'!C100+'CUSTOMERS REPORT'!C139+'CUSTOMERS REPORT'!C177+'CUSTOMERS REPORT'!C217+'CUSTOMERS REPORT'!C254+'CUSTOMERS REPORT'!C294+'CUSTOMERS REPORT'!C335+'CUSTOMERS REPORT'!C377+'CUSTOMERS REPORT'!C416+'CUSTOMERS REPORT'!C454+'CUSTOMERS REPORT'!C490+'CUSTOMERS REPORT'!C527+'CUSTOMERS REPORT'!C565+'CUSTOMERS REPORT'!C601+'CUSTOMERS REPORT'!C639+'CUSTOMERS REPORT'!C677+'CUSTOMERS REPORT'!C715+'CUSTOMERS REPORT'!C753+'CUSTOMERS REPORT'!C791+'CUSTOMERS REPORT'!C829+'CUSTOMERS REPORT'!C867+'CUSTOMERS REPORT'!C906+'CUSTOMERS REPORT'!C945+'CUSTOMERS REPORT'!C983+'CUSTOMERS REPORT'!C1021+'CUSTOMERS REPORT'!C1059+'CUSTOMERS REPORT'!C1097+'CUSTOMERS REPORT'!C1135+'CUSTOMERS REPORT'!C1172+'CUSTOMERS REPORT'!C1209+'CUSTOMERS REPORT'!C1246+'CUSTOMERS REPORT'!C1283+'CUSTOMERS REPORT'!C1320+'CUSTOMERS REPORT'!C1357+'CUSTOMERS REPORT'!C1394+'CUSTOMERS REPORT'!C1430</f>
        <v>0</v>
      </c>
      <c r="V54" s="852">
        <f>'CUSTOMERS REPORT'!D16+'CUSTOMERS REPORT'!D62+'CUSTOMERS REPORT'!D100+'CUSTOMERS REPORT'!D139+'CUSTOMERS REPORT'!D177+'CUSTOMERS REPORT'!D217+'CUSTOMERS REPORT'!D254+'CUSTOMERS REPORT'!D294+'CUSTOMERS REPORT'!D335+'CUSTOMERS REPORT'!D377+'CUSTOMERS REPORT'!D416+'CUSTOMERS REPORT'!D454+'CUSTOMERS REPORT'!D490+'CUSTOMERS REPORT'!D527+'CUSTOMERS REPORT'!D565+'CUSTOMERS REPORT'!D601+'CUSTOMERS REPORT'!D639+'CUSTOMERS REPORT'!D677+'CUSTOMERS REPORT'!D715+'CUSTOMERS REPORT'!D753+'CUSTOMERS REPORT'!D791+'CUSTOMERS REPORT'!D829+'CUSTOMERS REPORT'!D867+'CUSTOMERS REPORT'!D906+'CUSTOMERS REPORT'!D945+'CUSTOMERS REPORT'!D983+'CUSTOMERS REPORT'!D1021+'CUSTOMERS REPORT'!D1059+'CUSTOMERS REPORT'!D1097+'CUSTOMERS REPORT'!D1135+'CUSTOMERS REPORT'!D1172+'CUSTOMERS REPORT'!D1209+'CUSTOMERS REPORT'!D1246+'CUSTOMERS REPORT'!D1283+'CUSTOMERS REPORT'!D1320+'CUSTOMERS REPORT'!D1357+'CUSTOMERS REPORT'!D1394+'CUSTOMERS REPORT'!D1430</f>
        <v>0</v>
      </c>
      <c r="W54" s="852">
        <f>'CUSTOMERS REPORT'!E16+'CUSTOMERS REPORT'!E62+'CUSTOMERS REPORT'!E100+'CUSTOMERS REPORT'!E139+'CUSTOMERS REPORT'!E177+'CUSTOMERS REPORT'!E217+'CUSTOMERS REPORT'!E254+'CUSTOMERS REPORT'!E294+'CUSTOMERS REPORT'!E335+'CUSTOMERS REPORT'!E377+'CUSTOMERS REPORT'!E416+'CUSTOMERS REPORT'!E454+'CUSTOMERS REPORT'!E490+'CUSTOMERS REPORT'!E527+'CUSTOMERS REPORT'!E565+'CUSTOMERS REPORT'!E601+'CUSTOMERS REPORT'!E639+'CUSTOMERS REPORT'!E677+'CUSTOMERS REPORT'!E715+'CUSTOMERS REPORT'!E753+'CUSTOMERS REPORT'!E791+'CUSTOMERS REPORT'!E829+'CUSTOMERS REPORT'!E867+'CUSTOMERS REPORT'!E906+'CUSTOMERS REPORT'!E945+'CUSTOMERS REPORT'!E983+'CUSTOMERS REPORT'!E1021+'CUSTOMERS REPORT'!E1059+'CUSTOMERS REPORT'!E1097+'CUSTOMERS REPORT'!E1135+'CUSTOMERS REPORT'!E1172+'CUSTOMERS REPORT'!E1209+'CUSTOMERS REPORT'!E1246+'CUSTOMERS REPORT'!E1283+'CUSTOMERS REPORT'!E1320+'CUSTOMERS REPORT'!E1357+'CUSTOMERS REPORT'!E1394+'CUSTOMERS REPORT'!E1430</f>
        <v>0</v>
      </c>
      <c r="X54" s="852">
        <f>'CUSTOMERS REPORT'!F16+'CUSTOMERS REPORT'!F62+'CUSTOMERS REPORT'!F100+'CUSTOMERS REPORT'!F139+'CUSTOMERS REPORT'!F177+'CUSTOMERS REPORT'!F217+'CUSTOMERS REPORT'!F254+'CUSTOMERS REPORT'!F294+'CUSTOMERS REPORT'!F335+'CUSTOMERS REPORT'!F377+'CUSTOMERS REPORT'!F416+'CUSTOMERS REPORT'!F454+'CUSTOMERS REPORT'!F490+'CUSTOMERS REPORT'!F527+'CUSTOMERS REPORT'!F565+'CUSTOMERS REPORT'!F601+'CUSTOMERS REPORT'!F639+'CUSTOMERS REPORT'!F677+'CUSTOMERS REPORT'!F715+'CUSTOMERS REPORT'!F753+'CUSTOMERS REPORT'!F791+'CUSTOMERS REPORT'!F829+'CUSTOMERS REPORT'!F867+'CUSTOMERS REPORT'!F906+'CUSTOMERS REPORT'!F945+'CUSTOMERS REPORT'!F983+'CUSTOMERS REPORT'!F1021+'CUSTOMERS REPORT'!F1059+'CUSTOMERS REPORT'!F1097+'CUSTOMERS REPORT'!F1135+'CUSTOMERS REPORT'!F1172+'CUSTOMERS REPORT'!F1209+'CUSTOMERS REPORT'!F1246+'CUSTOMERS REPORT'!F1283+'CUSTOMERS REPORT'!F1320+'CUSTOMERS REPORT'!F1357+'CUSTOMERS REPORT'!F1394+'CUSTOMERS REPORT'!F1430</f>
        <v>0</v>
      </c>
      <c r="Y54" s="852">
        <f>'CUSTOMERS REPORT'!G16+'CUSTOMERS REPORT'!G62+'CUSTOMERS REPORT'!G100+'CUSTOMERS REPORT'!G139+'CUSTOMERS REPORT'!G177+'CUSTOMERS REPORT'!G217+'CUSTOMERS REPORT'!G254+'CUSTOMERS REPORT'!G294+'CUSTOMERS REPORT'!G335+'CUSTOMERS REPORT'!G377+'CUSTOMERS REPORT'!G416+'CUSTOMERS REPORT'!G454+'CUSTOMERS REPORT'!G490+'CUSTOMERS REPORT'!G527+'CUSTOMERS REPORT'!G565+'CUSTOMERS REPORT'!G601+'CUSTOMERS REPORT'!G639+'CUSTOMERS REPORT'!G677+'CUSTOMERS REPORT'!G715+'CUSTOMERS REPORT'!G753+'CUSTOMERS REPORT'!G791+'CUSTOMERS REPORT'!G829+'CUSTOMERS REPORT'!G867+'CUSTOMERS REPORT'!G906+'CUSTOMERS REPORT'!G945+'CUSTOMERS REPORT'!G983+'CUSTOMERS REPORT'!G1021+'CUSTOMERS REPORT'!G1059+'CUSTOMERS REPORT'!G1097+'CUSTOMERS REPORT'!G1135+'CUSTOMERS REPORT'!G1172+'CUSTOMERS REPORT'!G1209+'CUSTOMERS REPORT'!G1246+'CUSTOMERS REPORT'!G1283+'CUSTOMERS REPORT'!G1320+'CUSTOMERS REPORT'!G1357+'CUSTOMERS REPORT'!G1394+'CUSTOMERS REPORT'!G1430</f>
        <v>0</v>
      </c>
      <c r="Z54" s="852">
        <f>'CUSTOMERS REPORT'!H16+'CUSTOMERS REPORT'!H62+'CUSTOMERS REPORT'!H100+'CUSTOMERS REPORT'!H139+'CUSTOMERS REPORT'!H177+'CUSTOMERS REPORT'!H217+'CUSTOMERS REPORT'!H254+'CUSTOMERS REPORT'!H294+'CUSTOMERS REPORT'!H335+'CUSTOMERS REPORT'!H377+'CUSTOMERS REPORT'!H416+'CUSTOMERS REPORT'!H454+'CUSTOMERS REPORT'!H490+'CUSTOMERS REPORT'!H527+'CUSTOMERS REPORT'!H565+'CUSTOMERS REPORT'!H601+'CUSTOMERS REPORT'!H639+'CUSTOMERS REPORT'!H677+'CUSTOMERS REPORT'!H715+'CUSTOMERS REPORT'!H753+'CUSTOMERS REPORT'!H791+'CUSTOMERS REPORT'!H829+'CUSTOMERS REPORT'!H867+'CUSTOMERS REPORT'!H906+'CUSTOMERS REPORT'!H945+'CUSTOMERS REPORT'!H983+'CUSTOMERS REPORT'!H1021+'CUSTOMERS REPORT'!H1059+'CUSTOMERS REPORT'!H1097+'CUSTOMERS REPORT'!H1135+'CUSTOMERS REPORT'!H1172+'CUSTOMERS REPORT'!H1209+'CUSTOMERS REPORT'!H1246+'CUSTOMERS REPORT'!H1283+'CUSTOMERS REPORT'!H1320+'CUSTOMERS REPORT'!H1357+'CUSTOMERS REPORT'!H1394+'CUSTOMERS REPORT'!H1430</f>
        <v>0</v>
      </c>
      <c r="AA54" s="852">
        <f>'CUSTOMERS REPORT'!I16+'CUSTOMERS REPORT'!I62+'CUSTOMERS REPORT'!I100+'CUSTOMERS REPORT'!I139+'CUSTOMERS REPORT'!I177+'CUSTOMERS REPORT'!I217+'CUSTOMERS REPORT'!I254+'CUSTOMERS REPORT'!I294+'CUSTOMERS REPORT'!I335+'CUSTOMERS REPORT'!I377+'CUSTOMERS REPORT'!I416+'CUSTOMERS REPORT'!I454+'CUSTOMERS REPORT'!I490+'CUSTOMERS REPORT'!I527+'CUSTOMERS REPORT'!I565+'CUSTOMERS REPORT'!I601+'CUSTOMERS REPORT'!I639+'CUSTOMERS REPORT'!I677+'CUSTOMERS REPORT'!I715+'CUSTOMERS REPORT'!I753+'CUSTOMERS REPORT'!I791+'CUSTOMERS REPORT'!I829+'CUSTOMERS REPORT'!I867+'CUSTOMERS REPORT'!I906+'CUSTOMERS REPORT'!I945+'CUSTOMERS REPORT'!I983+'CUSTOMERS REPORT'!I1021+'CUSTOMERS REPORT'!I1059+'CUSTOMERS REPORT'!I1097+'CUSTOMERS REPORT'!I1135+'CUSTOMERS REPORT'!I1172+'CUSTOMERS REPORT'!I1209+'CUSTOMERS REPORT'!I1246+'CUSTOMERS REPORT'!I1283+'CUSTOMERS REPORT'!I1320+'CUSTOMERS REPORT'!I1357+'CUSTOMERS REPORT'!I1394+'CUSTOMERS REPORT'!I1430</f>
        <v>0</v>
      </c>
      <c r="AB54" s="852">
        <f>'CUSTOMERS REPORT'!J16+'CUSTOMERS REPORT'!J62+'CUSTOMERS REPORT'!J100+'CUSTOMERS REPORT'!J139+'CUSTOMERS REPORT'!J177+'CUSTOMERS REPORT'!J217+'CUSTOMERS REPORT'!J254+'CUSTOMERS REPORT'!J294+'CUSTOMERS REPORT'!J335+'CUSTOMERS REPORT'!J377+'CUSTOMERS REPORT'!J416+'CUSTOMERS REPORT'!J454+'CUSTOMERS REPORT'!J490+'CUSTOMERS REPORT'!J527+'CUSTOMERS REPORT'!J565+'CUSTOMERS REPORT'!J601+'CUSTOMERS REPORT'!J639+'CUSTOMERS REPORT'!J677+'CUSTOMERS REPORT'!J715+'CUSTOMERS REPORT'!J753+'CUSTOMERS REPORT'!J791+'CUSTOMERS REPORT'!J829+'CUSTOMERS REPORT'!J867+'CUSTOMERS REPORT'!J906+'CUSTOMERS REPORT'!J945+'CUSTOMERS REPORT'!J983+'CUSTOMERS REPORT'!J1021+'CUSTOMERS REPORT'!J1059+'CUSTOMERS REPORT'!J1097+'CUSTOMERS REPORT'!J1135+'CUSTOMERS REPORT'!J1172+'CUSTOMERS REPORT'!J1209+'CUSTOMERS REPORT'!J1246+'CUSTOMERS REPORT'!J1283+'CUSTOMERS REPORT'!J1320+'CUSTOMERS REPORT'!J1357+'CUSTOMERS REPORT'!J1394+'CUSTOMERS REPORT'!J1430</f>
        <v>0</v>
      </c>
      <c r="AC54" s="852">
        <f>'CUSTOMERS REPORT'!K16+'CUSTOMERS REPORT'!K62+'CUSTOMERS REPORT'!K100+'CUSTOMERS REPORT'!K139+'CUSTOMERS REPORT'!K177+'CUSTOMERS REPORT'!K217+'CUSTOMERS REPORT'!K254+'CUSTOMERS REPORT'!K294+'CUSTOMERS REPORT'!K335+'CUSTOMERS REPORT'!K377+'CUSTOMERS REPORT'!K416+'CUSTOMERS REPORT'!K454+'CUSTOMERS REPORT'!K490+'CUSTOMERS REPORT'!K527+'CUSTOMERS REPORT'!K565+'CUSTOMERS REPORT'!K601+'CUSTOMERS REPORT'!K639+'CUSTOMERS REPORT'!K677+'CUSTOMERS REPORT'!K715+'CUSTOMERS REPORT'!K753+'CUSTOMERS REPORT'!K791+'CUSTOMERS REPORT'!K829+'CUSTOMERS REPORT'!K867+'CUSTOMERS REPORT'!K906+'CUSTOMERS REPORT'!K945+'CUSTOMERS REPORT'!K983+'CUSTOMERS REPORT'!K1021+'CUSTOMERS REPORT'!K1059+'CUSTOMERS REPORT'!K1097+'CUSTOMERS REPORT'!K1135+'CUSTOMERS REPORT'!K1172+'CUSTOMERS REPORT'!K1209+'CUSTOMERS REPORT'!K1246+'CUSTOMERS REPORT'!K1283+'CUSTOMERS REPORT'!K1320+'CUSTOMERS REPORT'!K1357+'CUSTOMERS REPORT'!K1394+'CUSTOMERS REPORT'!K1430</f>
        <v>0</v>
      </c>
      <c r="AD54" s="852">
        <f>'CUSTOMERS REPORT'!L16+'CUSTOMERS REPORT'!L62+'CUSTOMERS REPORT'!L100+'CUSTOMERS REPORT'!L139+'CUSTOMERS REPORT'!L177+'CUSTOMERS REPORT'!L217+'CUSTOMERS REPORT'!L254+'CUSTOMERS REPORT'!L294+'CUSTOMERS REPORT'!L335+'CUSTOMERS REPORT'!L377+'CUSTOMERS REPORT'!L416+'CUSTOMERS REPORT'!L454+'CUSTOMERS REPORT'!L490+'CUSTOMERS REPORT'!L527+'CUSTOMERS REPORT'!L565+'CUSTOMERS REPORT'!L601+'CUSTOMERS REPORT'!L639+'CUSTOMERS REPORT'!L677+'CUSTOMERS REPORT'!L715+'CUSTOMERS REPORT'!L753+'CUSTOMERS REPORT'!L791+'CUSTOMERS REPORT'!L829+'CUSTOMERS REPORT'!L867+'CUSTOMERS REPORT'!L906+'CUSTOMERS REPORT'!L945+'CUSTOMERS REPORT'!L983+'CUSTOMERS REPORT'!L1021+'CUSTOMERS REPORT'!L1059+'CUSTOMERS REPORT'!L1097+'CUSTOMERS REPORT'!L1135+'CUSTOMERS REPORT'!L1172+'CUSTOMERS REPORT'!L1209+'CUSTOMERS REPORT'!L1246+'CUSTOMERS REPORT'!L1283+'CUSTOMERS REPORT'!L1320+'CUSTOMERS REPORT'!L1357+'CUSTOMERS REPORT'!L1394+'CUSTOMERS REPORT'!L1430</f>
        <v>0</v>
      </c>
      <c r="AE54" s="852">
        <f>'CUSTOMERS REPORT'!M16+'CUSTOMERS REPORT'!M62+'CUSTOMERS REPORT'!M100+'CUSTOMERS REPORT'!M139+'CUSTOMERS REPORT'!M177+'CUSTOMERS REPORT'!M217+'CUSTOMERS REPORT'!M254+'CUSTOMERS REPORT'!M294+'CUSTOMERS REPORT'!M335+'CUSTOMERS REPORT'!M377+'CUSTOMERS REPORT'!M416+'CUSTOMERS REPORT'!M454+'CUSTOMERS REPORT'!M490+'CUSTOMERS REPORT'!M527+'CUSTOMERS REPORT'!M565+'CUSTOMERS REPORT'!M601+'CUSTOMERS REPORT'!M639+'CUSTOMERS REPORT'!M677+'CUSTOMERS REPORT'!M715+'CUSTOMERS REPORT'!M753+'CUSTOMERS REPORT'!M791+'CUSTOMERS REPORT'!M829+'CUSTOMERS REPORT'!M867+'CUSTOMERS REPORT'!M906+'CUSTOMERS REPORT'!M945+'CUSTOMERS REPORT'!M983+'CUSTOMERS REPORT'!M1021+'CUSTOMERS REPORT'!M1059+'CUSTOMERS REPORT'!M1097+'CUSTOMERS REPORT'!M1135+'CUSTOMERS REPORT'!M1172+'CUSTOMERS REPORT'!M1209+'CUSTOMERS REPORT'!M1246+'CUSTOMERS REPORT'!M1283+'CUSTOMERS REPORT'!M1320+'CUSTOMERS REPORT'!M1357+'CUSTOMERS REPORT'!M1394+'CUSTOMERS REPORT'!M1430</f>
        <v>0</v>
      </c>
      <c r="AF54" s="852">
        <f>'CUSTOMERS REPORT'!N16+'CUSTOMERS REPORT'!N62+'CUSTOMERS REPORT'!N100+'CUSTOMERS REPORT'!N139+'CUSTOMERS REPORT'!N177+'CUSTOMERS REPORT'!N217+'CUSTOMERS REPORT'!N254+'CUSTOMERS REPORT'!N294+'CUSTOMERS REPORT'!N335+'CUSTOMERS REPORT'!N377+'CUSTOMERS REPORT'!N416+'CUSTOMERS REPORT'!N454+'CUSTOMERS REPORT'!N490+'CUSTOMERS REPORT'!N527+'CUSTOMERS REPORT'!N565+'CUSTOMERS REPORT'!N601+'CUSTOMERS REPORT'!N639+'CUSTOMERS REPORT'!N677+'CUSTOMERS REPORT'!N715+'CUSTOMERS REPORT'!N753+'CUSTOMERS REPORT'!N791+'CUSTOMERS REPORT'!N829+'CUSTOMERS REPORT'!N867+'CUSTOMERS REPORT'!N906+'CUSTOMERS REPORT'!N945+'CUSTOMERS REPORT'!N983+'CUSTOMERS REPORT'!N1021+'CUSTOMERS REPORT'!N1059+'CUSTOMERS REPORT'!N1097+'CUSTOMERS REPORT'!N1135+'CUSTOMERS REPORT'!N1172+'CUSTOMERS REPORT'!N1209+'CUSTOMERS REPORT'!N1246+'CUSTOMERS REPORT'!N1283+'CUSTOMERS REPORT'!N1320+'CUSTOMERS REPORT'!N1357+'CUSTOMERS REPORT'!N1394+'CUSTOMERS REPORT'!N1430</f>
        <v>0</v>
      </c>
      <c r="AG54" s="852">
        <f>'CUSTOMERS REPORT'!O16+'CUSTOMERS REPORT'!O62+'CUSTOMERS REPORT'!O100+'CUSTOMERS REPORT'!O139+'CUSTOMERS REPORT'!O177+'CUSTOMERS REPORT'!O217+'CUSTOMERS REPORT'!O254+'CUSTOMERS REPORT'!O294+'CUSTOMERS REPORT'!O335+'CUSTOMERS REPORT'!O377+'CUSTOMERS REPORT'!O416+'CUSTOMERS REPORT'!O454+'CUSTOMERS REPORT'!O490+'CUSTOMERS REPORT'!O527+'CUSTOMERS REPORT'!O565+'CUSTOMERS REPORT'!O601+'CUSTOMERS REPORT'!O639+'CUSTOMERS REPORT'!O677+'CUSTOMERS REPORT'!O715+'CUSTOMERS REPORT'!O753+'CUSTOMERS REPORT'!O791+'CUSTOMERS REPORT'!O829+'CUSTOMERS REPORT'!O867+'CUSTOMERS REPORT'!O906+'CUSTOMERS REPORT'!O945+'CUSTOMERS REPORT'!O983+'CUSTOMERS REPORT'!O1021+'CUSTOMERS REPORT'!O1059+'CUSTOMERS REPORT'!O1097+'CUSTOMERS REPORT'!O1135+'CUSTOMERS REPORT'!O1172+'CUSTOMERS REPORT'!O1209+'CUSTOMERS REPORT'!O1246+'CUSTOMERS REPORT'!O1283+'CUSTOMERS REPORT'!O1320+'CUSTOMERS REPORT'!O1357+'CUSTOMERS REPORT'!O1394+'CUSTOMERS REPORT'!O1430</f>
        <v>0</v>
      </c>
      <c r="AH54" s="852">
        <f>'CUSTOMERS REPORT'!P16+'CUSTOMERS REPORT'!P62+'CUSTOMERS REPORT'!P100+'CUSTOMERS REPORT'!P139+'CUSTOMERS REPORT'!P177+'CUSTOMERS REPORT'!P217+'CUSTOMERS REPORT'!P254+'CUSTOMERS REPORT'!P294+'CUSTOMERS REPORT'!P335+'CUSTOMERS REPORT'!P377+'CUSTOMERS REPORT'!P416+'CUSTOMERS REPORT'!P454+'CUSTOMERS REPORT'!P490+'CUSTOMERS REPORT'!P527+'CUSTOMERS REPORT'!P565+'CUSTOMERS REPORT'!P601+'CUSTOMERS REPORT'!P639+'CUSTOMERS REPORT'!P677+'CUSTOMERS REPORT'!P715+'CUSTOMERS REPORT'!P753+'CUSTOMERS REPORT'!P791+'CUSTOMERS REPORT'!P829+'CUSTOMERS REPORT'!P867+'CUSTOMERS REPORT'!P906+'CUSTOMERS REPORT'!P945+'CUSTOMERS REPORT'!P983+'CUSTOMERS REPORT'!P1021+'CUSTOMERS REPORT'!P1059+'CUSTOMERS REPORT'!P1097+'CUSTOMERS REPORT'!P1135+'CUSTOMERS REPORT'!P1172+'CUSTOMERS REPORT'!P1209+'CUSTOMERS REPORT'!P1246+'CUSTOMERS REPORT'!P1283+'CUSTOMERS REPORT'!P1320+'CUSTOMERS REPORT'!P1357+'CUSTOMERS REPORT'!P1394+'CUSTOMERS REPORT'!P1430</f>
        <v>0</v>
      </c>
      <c r="AI54" s="852">
        <f>'CUSTOMERS REPORT'!Q16+'CUSTOMERS REPORT'!Q62+'CUSTOMERS REPORT'!Q100+'CUSTOMERS REPORT'!Q139+'CUSTOMERS REPORT'!Q177+'CUSTOMERS REPORT'!Q217+'CUSTOMERS REPORT'!Q254+'CUSTOMERS REPORT'!Q294+'CUSTOMERS REPORT'!Q335+'CUSTOMERS REPORT'!Q377+'CUSTOMERS REPORT'!Q416+'CUSTOMERS REPORT'!Q454+'CUSTOMERS REPORT'!Q490+'CUSTOMERS REPORT'!Q527+'CUSTOMERS REPORT'!Q565+'CUSTOMERS REPORT'!Q601+'CUSTOMERS REPORT'!Q639+'CUSTOMERS REPORT'!Q677+'CUSTOMERS REPORT'!Q715+'CUSTOMERS REPORT'!Q753+'CUSTOMERS REPORT'!Q791+'CUSTOMERS REPORT'!Q829+'CUSTOMERS REPORT'!Q867+'CUSTOMERS REPORT'!Q906+'CUSTOMERS REPORT'!Q945+'CUSTOMERS REPORT'!Q983+'CUSTOMERS REPORT'!Q1021+'CUSTOMERS REPORT'!Q1059+'CUSTOMERS REPORT'!Q1097+'CUSTOMERS REPORT'!Q1135+'CUSTOMERS REPORT'!Q1172+'CUSTOMERS REPORT'!Q1209+'CUSTOMERS REPORT'!Q1246+'CUSTOMERS REPORT'!Q1283+'CUSTOMERS REPORT'!Q1320+'CUSTOMERS REPORT'!Q1357+'CUSTOMERS REPORT'!Q1394+'CUSTOMERS REPORT'!Q1430</f>
        <v>0</v>
      </c>
      <c r="AJ54" s="852">
        <f>'CUSTOMERS REPORT'!R16+'CUSTOMERS REPORT'!R62+'CUSTOMERS REPORT'!R100+'CUSTOMERS REPORT'!R139+'CUSTOMERS REPORT'!R177+'CUSTOMERS REPORT'!R217+'CUSTOMERS REPORT'!R254+'CUSTOMERS REPORT'!R294+'CUSTOMERS REPORT'!R335+'CUSTOMERS REPORT'!R377+'CUSTOMERS REPORT'!R416+'CUSTOMERS REPORT'!R454+'CUSTOMERS REPORT'!R490+'CUSTOMERS REPORT'!R527+'CUSTOMERS REPORT'!R565+'CUSTOMERS REPORT'!R601+'CUSTOMERS REPORT'!R639+'CUSTOMERS REPORT'!R677+'CUSTOMERS REPORT'!R715+'CUSTOMERS REPORT'!R753+'CUSTOMERS REPORT'!R791+'CUSTOMERS REPORT'!R829+'CUSTOMERS REPORT'!R867+'CUSTOMERS REPORT'!R906+'CUSTOMERS REPORT'!R945+'CUSTOMERS REPORT'!R983+'CUSTOMERS REPORT'!R1021+'CUSTOMERS REPORT'!R1059+'CUSTOMERS REPORT'!R1097+'CUSTOMERS REPORT'!R1135+'CUSTOMERS REPORT'!R1172+'CUSTOMERS REPORT'!R1209+'CUSTOMERS REPORT'!R1246+'CUSTOMERS REPORT'!R1283+'CUSTOMERS REPORT'!R1320+'CUSTOMERS REPORT'!R1357+'CUSTOMERS REPORT'!R1394+'CUSTOMERS REPORT'!R1430</f>
        <v>0</v>
      </c>
      <c r="AK54" s="852">
        <f>'CUSTOMERS REPORT'!S16+'CUSTOMERS REPORT'!S62+'CUSTOMERS REPORT'!S100+'CUSTOMERS REPORT'!S139+'CUSTOMERS REPORT'!S177+'CUSTOMERS REPORT'!S217+'CUSTOMERS REPORT'!S254+'CUSTOMERS REPORT'!S294+'CUSTOMERS REPORT'!S335+'CUSTOMERS REPORT'!S377+'CUSTOMERS REPORT'!S416+'CUSTOMERS REPORT'!S454+'CUSTOMERS REPORT'!S490+'CUSTOMERS REPORT'!S527+'CUSTOMERS REPORT'!S565+'CUSTOMERS REPORT'!S601+'CUSTOMERS REPORT'!S639+'CUSTOMERS REPORT'!S677+'CUSTOMERS REPORT'!S715+'CUSTOMERS REPORT'!S753+'CUSTOMERS REPORT'!S791+'CUSTOMERS REPORT'!S829+'CUSTOMERS REPORT'!S867+'CUSTOMERS REPORT'!S906+'CUSTOMERS REPORT'!S945+'CUSTOMERS REPORT'!S983+'CUSTOMERS REPORT'!S1021+'CUSTOMERS REPORT'!S1059+'CUSTOMERS REPORT'!S1097+'CUSTOMERS REPORT'!S1135+'CUSTOMERS REPORT'!S1172+'CUSTOMERS REPORT'!S1209+'CUSTOMERS REPORT'!S1246+'CUSTOMERS REPORT'!S1283+'CUSTOMERS REPORT'!S1320+'CUSTOMERS REPORT'!S1357+'CUSTOMERS REPORT'!S1394+'CUSTOMERS REPORT'!S1430</f>
        <v>0</v>
      </c>
      <c r="AL54" s="852">
        <f>'CUSTOMERS REPORT'!T16+'CUSTOMERS REPORT'!T62+'CUSTOMERS REPORT'!T100+'CUSTOMERS REPORT'!T139+'CUSTOMERS REPORT'!T177+'CUSTOMERS REPORT'!T217+'CUSTOMERS REPORT'!T254+'CUSTOMERS REPORT'!T294+'CUSTOMERS REPORT'!T335+'CUSTOMERS REPORT'!T377+'CUSTOMERS REPORT'!T416+'CUSTOMERS REPORT'!T454+'CUSTOMERS REPORT'!T490+'CUSTOMERS REPORT'!T527+'CUSTOMERS REPORT'!T565+'CUSTOMERS REPORT'!T601+'CUSTOMERS REPORT'!T639+'CUSTOMERS REPORT'!T677+'CUSTOMERS REPORT'!T715+'CUSTOMERS REPORT'!T753+'CUSTOMERS REPORT'!T791+'CUSTOMERS REPORT'!T829+'CUSTOMERS REPORT'!T867+'CUSTOMERS REPORT'!T906+'CUSTOMERS REPORT'!T945+'CUSTOMERS REPORT'!T983+'CUSTOMERS REPORT'!T1021+'CUSTOMERS REPORT'!T1059+'CUSTOMERS REPORT'!T1097+'CUSTOMERS REPORT'!T1135</f>
        <v>0</v>
      </c>
      <c r="AM54" s="852">
        <f>'CUSTOMERS REPORT'!U16+'CUSTOMERS REPORT'!U62+'CUSTOMERS REPORT'!U100+'CUSTOMERS REPORT'!U139+'CUSTOMERS REPORT'!U177+'CUSTOMERS REPORT'!U217+'CUSTOMERS REPORT'!U254+'CUSTOMERS REPORT'!U294+'CUSTOMERS REPORT'!U335+'CUSTOMERS REPORT'!U377+'CUSTOMERS REPORT'!U416+'CUSTOMERS REPORT'!U454+'CUSTOMERS REPORT'!U490+'CUSTOMERS REPORT'!U527+'CUSTOMERS REPORT'!U565+'CUSTOMERS REPORT'!U601+'CUSTOMERS REPORT'!U639+'CUSTOMERS REPORT'!U677+'CUSTOMERS REPORT'!U715+'CUSTOMERS REPORT'!U753+'CUSTOMERS REPORT'!U791+'CUSTOMERS REPORT'!U829+'CUSTOMERS REPORT'!U867+'CUSTOMERS REPORT'!U906+'CUSTOMERS REPORT'!U945+'CUSTOMERS REPORT'!U983+'CUSTOMERS REPORT'!U1021+'CUSTOMERS REPORT'!U1059+'CUSTOMERS REPORT'!U1097+'CUSTOMERS REPORT'!U1135</f>
        <v>0</v>
      </c>
      <c r="AN54" s="852">
        <f>'CUSTOMERS REPORT'!V16+'CUSTOMERS REPORT'!V62+'CUSTOMERS REPORT'!V100+'CUSTOMERS REPORT'!V139+'CUSTOMERS REPORT'!V177+'CUSTOMERS REPORT'!V217+'CUSTOMERS REPORT'!V254+'CUSTOMERS REPORT'!V294+'CUSTOMERS REPORT'!V335+'CUSTOMERS REPORT'!V377+'CUSTOMERS REPORT'!V416+'CUSTOMERS REPORT'!V454+'CUSTOMERS REPORT'!V490+'CUSTOMERS REPORT'!V527+'CUSTOMERS REPORT'!V565+'CUSTOMERS REPORT'!V601+'CUSTOMERS REPORT'!V639+'CUSTOMERS REPORT'!V677+'CUSTOMERS REPORT'!V715+'CUSTOMERS REPORT'!V753+'CUSTOMERS REPORT'!V791+'CUSTOMERS REPORT'!V829+'CUSTOMERS REPORT'!V867+'CUSTOMERS REPORT'!V906+'CUSTOMERS REPORT'!V945+'CUSTOMERS REPORT'!V983+'CUSTOMERS REPORT'!V1021+'CUSTOMERS REPORT'!V1059+'CUSTOMERS REPORT'!V1097+'CUSTOMERS REPORT'!V1135</f>
        <v>0</v>
      </c>
    </row>
    <row r="55" spans="1:42" ht="24.95" customHeight="1" thickBot="1">
      <c r="K55">
        <v>259</v>
      </c>
      <c r="L55" s="417">
        <v>20</v>
      </c>
      <c r="M55" s="417"/>
      <c r="N55" s="417">
        <f t="shared" si="6"/>
        <v>0</v>
      </c>
      <c r="R55" s="123">
        <f>'8'!R57</f>
        <v>0</v>
      </c>
      <c r="S55" s="865" t="s">
        <v>169</v>
      </c>
      <c r="T55" s="866">
        <f t="shared" ref="T55:AN55" si="8">T53-T54-T51</f>
        <v>0</v>
      </c>
      <c r="U55" s="866">
        <f t="shared" si="8"/>
        <v>0</v>
      </c>
      <c r="V55" s="866">
        <f t="shared" si="8"/>
        <v>0</v>
      </c>
      <c r="W55" s="866">
        <f t="shared" si="8"/>
        <v>0</v>
      </c>
      <c r="X55" s="866">
        <f t="shared" si="8"/>
        <v>0</v>
      </c>
      <c r="Y55" s="866">
        <f t="shared" si="8"/>
        <v>0</v>
      </c>
      <c r="Z55" s="866">
        <f t="shared" si="8"/>
        <v>0</v>
      </c>
      <c r="AA55" s="866">
        <f t="shared" si="8"/>
        <v>0</v>
      </c>
      <c r="AB55" s="866">
        <f t="shared" si="8"/>
        <v>0</v>
      </c>
      <c r="AC55" s="866">
        <f t="shared" si="8"/>
        <v>0</v>
      </c>
      <c r="AD55" s="866">
        <f t="shared" si="8"/>
        <v>0</v>
      </c>
      <c r="AE55" s="866">
        <f t="shared" si="8"/>
        <v>0</v>
      </c>
      <c r="AF55" s="866">
        <f>AF53-AF54-AF51</f>
        <v>0</v>
      </c>
      <c r="AG55" s="866">
        <f t="shared" si="8"/>
        <v>0</v>
      </c>
      <c r="AH55" s="866">
        <f t="shared" si="8"/>
        <v>0</v>
      </c>
      <c r="AI55" s="866">
        <f t="shared" si="8"/>
        <v>0</v>
      </c>
      <c r="AJ55" s="866">
        <f t="shared" si="8"/>
        <v>0</v>
      </c>
      <c r="AK55" s="866">
        <f t="shared" si="8"/>
        <v>0</v>
      </c>
      <c r="AL55" s="866" t="e">
        <f t="shared" si="8"/>
        <v>#VALUE!</v>
      </c>
      <c r="AM55" s="866" t="e">
        <f t="shared" si="8"/>
        <v>#VALUE!</v>
      </c>
      <c r="AN55" s="872" t="e">
        <f t="shared" si="8"/>
        <v>#VALUE!</v>
      </c>
    </row>
    <row r="56" spans="1:42" ht="28.5" thickBot="1">
      <c r="A56" s="114"/>
      <c r="B56" s="120"/>
      <c r="C56" s="115"/>
      <c r="K56">
        <v>302</v>
      </c>
      <c r="L56" s="417">
        <v>10</v>
      </c>
      <c r="M56" s="417"/>
      <c r="N56" s="417">
        <f t="shared" si="6"/>
        <v>0</v>
      </c>
      <c r="R56" s="123">
        <f>T56+U56+V56+W56+X56+Y56+Z56+AA56+AB56+AC56+AD56+AE56+AF56+AG56+AH56+AI56+AJ56+AK56+AL56+AM56+AN56</f>
        <v>0</v>
      </c>
      <c r="S56" s="874" t="s">
        <v>170</v>
      </c>
      <c r="T56" s="875"/>
      <c r="U56" s="875"/>
      <c r="V56" s="875"/>
      <c r="W56" s="875"/>
      <c r="X56" s="875"/>
      <c r="Y56" s="875"/>
      <c r="Z56" s="876"/>
      <c r="AA56" s="875"/>
      <c r="AB56" s="875"/>
      <c r="AC56" s="875"/>
      <c r="AD56" s="875"/>
      <c r="AE56" s="875"/>
      <c r="AF56" s="875"/>
      <c r="AG56" s="875"/>
      <c r="AH56" s="875"/>
      <c r="AI56" s="875"/>
      <c r="AJ56" s="877"/>
      <c r="AK56" s="877"/>
      <c r="AL56" s="877"/>
      <c r="AM56" s="52"/>
      <c r="AN56" s="928"/>
    </row>
    <row r="57" spans="1:42" ht="27" customHeight="1" thickBot="1">
      <c r="A57" s="114"/>
      <c r="B57" s="131"/>
      <c r="C57" s="115"/>
      <c r="D57" s="115"/>
      <c r="E57" s="19"/>
      <c r="F57" s="19"/>
      <c r="G57" s="19"/>
      <c r="H57" s="19"/>
      <c r="I57" s="19"/>
      <c r="J57" s="19"/>
      <c r="K57" s="19"/>
      <c r="L57" s="418">
        <v>1</v>
      </c>
      <c r="M57" s="418">
        <v>1193517</v>
      </c>
      <c r="N57" s="417">
        <f t="shared" si="6"/>
        <v>1193517</v>
      </c>
      <c r="O57" s="19"/>
      <c r="R57" s="736">
        <f>SUM(R55:R56)</f>
        <v>0</v>
      </c>
      <c r="S57" s="882" t="s">
        <v>23</v>
      </c>
      <c r="T57" s="883" t="e">
        <f t="shared" ref="T57:AI57" si="9">T50/T56</f>
        <v>#DIV/0!</v>
      </c>
      <c r="U57" s="883" t="e">
        <f t="shared" si="9"/>
        <v>#DIV/0!</v>
      </c>
      <c r="V57" s="883" t="e">
        <f t="shared" si="9"/>
        <v>#DIV/0!</v>
      </c>
      <c r="W57" s="883" t="e">
        <f t="shared" si="9"/>
        <v>#DIV/0!</v>
      </c>
      <c r="X57" s="883" t="e">
        <f t="shared" si="9"/>
        <v>#DIV/0!</v>
      </c>
      <c r="Y57" s="883" t="e">
        <f t="shared" si="9"/>
        <v>#DIV/0!</v>
      </c>
      <c r="Z57" s="883" t="e">
        <f t="shared" si="9"/>
        <v>#DIV/0!</v>
      </c>
      <c r="AA57" s="883" t="e">
        <f t="shared" si="9"/>
        <v>#DIV/0!</v>
      </c>
      <c r="AB57" s="883" t="e">
        <f t="shared" si="9"/>
        <v>#DIV/0!</v>
      </c>
      <c r="AC57" s="883" t="e">
        <f t="shared" si="9"/>
        <v>#DIV/0!</v>
      </c>
      <c r="AD57" s="883" t="e">
        <f t="shared" si="9"/>
        <v>#DIV/0!</v>
      </c>
      <c r="AE57" s="883" t="e">
        <f t="shared" si="9"/>
        <v>#DIV/0!</v>
      </c>
      <c r="AF57" s="883" t="e">
        <f t="shared" si="9"/>
        <v>#DIV/0!</v>
      </c>
      <c r="AG57" s="883" t="e">
        <f t="shared" si="9"/>
        <v>#DIV/0!</v>
      </c>
      <c r="AH57" s="883" t="e">
        <f t="shared" si="9"/>
        <v>#DIV/0!</v>
      </c>
      <c r="AI57" s="883" t="e">
        <f t="shared" si="9"/>
        <v>#DIV/0!</v>
      </c>
      <c r="AJ57" s="883" t="e">
        <f>AJ50/AJ56</f>
        <v>#DIV/0!</v>
      </c>
      <c r="AK57" s="883" t="e">
        <f>AK50/AK56</f>
        <v>#DIV/0!</v>
      </c>
      <c r="AL57" s="883" t="e">
        <f t="shared" ref="AL57:AN57" si="10">AL50/AL56</f>
        <v>#DIV/0!</v>
      </c>
      <c r="AM57" s="883" t="e">
        <f t="shared" si="10"/>
        <v>#DIV/0!</v>
      </c>
      <c r="AN57" s="884" t="e">
        <f t="shared" si="10"/>
        <v>#DIV/0!</v>
      </c>
    </row>
    <row r="58" spans="1:42" ht="27" customHeight="1" thickBot="1">
      <c r="A58" s="114"/>
      <c r="B58" s="131"/>
      <c r="C58" s="115"/>
      <c r="D58" s="115" t="s">
        <v>1</v>
      </c>
      <c r="K58">
        <f>K56*10+K55*20+K54*50+K53*100+K52*500+K51*1000+K50*5000</f>
        <v>173150</v>
      </c>
      <c r="L58" s="1501" t="s">
        <v>171</v>
      </c>
      <c r="M58" s="1501"/>
      <c r="N58" s="419">
        <f>SUM(N50:N57)</f>
        <v>1193517</v>
      </c>
      <c r="R58" s="19"/>
      <c r="S58" s="878" t="s">
        <v>172</v>
      </c>
      <c r="T58" s="879">
        <f>T54</f>
        <v>0</v>
      </c>
      <c r="U58" s="879">
        <f t="shared" ref="U58:AI58" si="11">U54</f>
        <v>0</v>
      </c>
      <c r="V58" s="879">
        <f t="shared" si="11"/>
        <v>0</v>
      </c>
      <c r="W58" s="879">
        <f t="shared" si="11"/>
        <v>0</v>
      </c>
      <c r="X58" s="879">
        <f t="shared" si="11"/>
        <v>0</v>
      </c>
      <c r="Y58" s="879">
        <f t="shared" si="11"/>
        <v>0</v>
      </c>
      <c r="Z58" s="879">
        <f t="shared" si="11"/>
        <v>0</v>
      </c>
      <c r="AA58" s="879">
        <f t="shared" si="11"/>
        <v>0</v>
      </c>
      <c r="AB58" s="879">
        <f t="shared" si="11"/>
        <v>0</v>
      </c>
      <c r="AC58" s="879">
        <f t="shared" si="11"/>
        <v>0</v>
      </c>
      <c r="AD58" s="879">
        <f t="shared" si="11"/>
        <v>0</v>
      </c>
      <c r="AE58" s="879">
        <f t="shared" si="11"/>
        <v>0</v>
      </c>
      <c r="AF58" s="879">
        <f t="shared" si="11"/>
        <v>0</v>
      </c>
      <c r="AG58" s="879">
        <f t="shared" si="11"/>
        <v>0</v>
      </c>
      <c r="AH58" s="879">
        <f t="shared" si="11"/>
        <v>0</v>
      </c>
      <c r="AI58" s="879">
        <f t="shared" si="11"/>
        <v>0</v>
      </c>
      <c r="AJ58" s="879">
        <f>AJ54</f>
        <v>0</v>
      </c>
      <c r="AK58" s="879">
        <f>AK54</f>
        <v>0</v>
      </c>
      <c r="AL58" s="880"/>
      <c r="AM58" s="880"/>
      <c r="AN58" s="881"/>
    </row>
    <row r="59" spans="1:42" ht="27" customHeight="1">
      <c r="A59" s="114"/>
      <c r="B59" s="132"/>
      <c r="C59" s="115"/>
      <c r="D59" s="115" t="s">
        <v>1</v>
      </c>
      <c r="K59" t="s">
        <v>1</v>
      </c>
      <c r="L59" s="1486" t="s">
        <v>173</v>
      </c>
      <c r="M59" s="1486"/>
      <c r="N59" s="420">
        <f>N58-Q48</f>
        <v>1193517</v>
      </c>
      <c r="R59" s="19"/>
      <c r="S59" s="114"/>
      <c r="T59" s="121"/>
      <c r="U59" s="121" t="s">
        <v>1</v>
      </c>
      <c r="V59" s="121"/>
      <c r="W59" s="121"/>
      <c r="X59" s="121"/>
      <c r="Y59" s="121"/>
      <c r="Z59" s="122"/>
      <c r="AA59" s="121"/>
      <c r="AB59" s="121"/>
      <c r="AC59" s="121"/>
      <c r="AD59" s="121"/>
      <c r="AE59" s="121"/>
      <c r="AF59" s="121"/>
      <c r="AG59" s="121"/>
      <c r="AH59" s="119"/>
      <c r="AI59" s="119"/>
    </row>
    <row r="60" spans="1:42" ht="23.25">
      <c r="A60" s="114"/>
      <c r="B60" s="132"/>
      <c r="C60" s="115"/>
      <c r="D60" s="115"/>
      <c r="P60" s="19"/>
      <c r="Q60" s="19"/>
      <c r="R60" s="19"/>
      <c r="S60" s="19"/>
      <c r="U60" s="1021" t="s">
        <v>1</v>
      </c>
      <c r="V60" s="1021"/>
      <c r="W60" s="1021"/>
      <c r="X60" s="1021"/>
      <c r="Y60" s="1021"/>
      <c r="Z60" s="1021"/>
    </row>
    <row r="61" spans="1:42" ht="23.25">
      <c r="A61" s="114"/>
      <c r="B61" s="132"/>
      <c r="C61" s="115"/>
      <c r="D61" s="116"/>
      <c r="M61" t="s">
        <v>1</v>
      </c>
      <c r="P61" s="185"/>
      <c r="Q61" s="186"/>
      <c r="R61" s="19"/>
      <c r="S61" s="19"/>
      <c r="U61" s="1021" t="s">
        <v>1</v>
      </c>
      <c r="V61" s="1021"/>
      <c r="W61" s="1021"/>
      <c r="X61" s="1021"/>
      <c r="Y61" s="1021"/>
      <c r="Z61" s="1021"/>
    </row>
    <row r="62" spans="1:42" ht="20.25">
      <c r="C62" s="116"/>
      <c r="P62" s="19"/>
      <c r="Q62" s="19"/>
      <c r="R62" s="19"/>
      <c r="S62" s="19"/>
      <c r="T62" t="s">
        <v>1</v>
      </c>
    </row>
    <row r="63" spans="1:42">
      <c r="E63" s="19"/>
    </row>
    <row r="64" spans="1:42">
      <c r="E64" s="19"/>
      <c r="J64" t="s">
        <v>3</v>
      </c>
    </row>
    <row r="65" spans="3:5" ht="21">
      <c r="C65" s="251"/>
      <c r="E65" s="19"/>
    </row>
    <row r="66" spans="3:5">
      <c r="E66" s="49"/>
    </row>
    <row r="67" spans="3:5" ht="23.25">
      <c r="E67" s="113"/>
    </row>
  </sheetData>
  <mergeCells count="21">
    <mergeCell ref="L59:M59"/>
    <mergeCell ref="T47:W47"/>
    <mergeCell ref="X47:Z47"/>
    <mergeCell ref="S47:S48"/>
    <mergeCell ref="AJ47:AK47"/>
    <mergeCell ref="AL47:AM47"/>
    <mergeCell ref="AI7:AJ7"/>
    <mergeCell ref="AI20:AJ20"/>
    <mergeCell ref="L58:M58"/>
    <mergeCell ref="A6:Q6"/>
    <mergeCell ref="S6:AE6"/>
    <mergeCell ref="A7:B7"/>
    <mergeCell ref="P7:Q7"/>
    <mergeCell ref="H48:I48"/>
    <mergeCell ref="P24:Q24"/>
    <mergeCell ref="P33:Q33"/>
    <mergeCell ref="P42:Q42"/>
    <mergeCell ref="H46:I46"/>
    <mergeCell ref="H47:I47"/>
    <mergeCell ref="AA47:AB47"/>
    <mergeCell ref="AC47:AI47"/>
  </mergeCells>
  <conditionalFormatting sqref="M48:N48">
    <cfRule type="duplicateValues" dxfId="475" priority="29"/>
    <cfRule type="duplicateValues" dxfId="474" priority="30"/>
    <cfRule type="duplicateValues" dxfId="473" priority="31"/>
    <cfRule type="duplicateValues" dxfId="472" priority="32"/>
  </conditionalFormatting>
  <conditionalFormatting sqref="L48 N48">
    <cfRule type="cellIs" dxfId="471" priority="28" operator="equal">
      <formula>66890</formula>
    </cfRule>
  </conditionalFormatting>
  <conditionalFormatting sqref="N48">
    <cfRule type="cellIs" dxfId="470" priority="27" operator="lessThan">
      <formula>1</formula>
    </cfRule>
  </conditionalFormatting>
  <conditionalFormatting sqref="T57">
    <cfRule type="cellIs" dxfId="469" priority="16" operator="lessThan">
      <formula>63</formula>
    </cfRule>
  </conditionalFormatting>
  <conditionalFormatting sqref="U57">
    <cfRule type="cellIs" dxfId="468" priority="14" operator="lessThan">
      <formula>63</formula>
    </cfRule>
    <cfRule type="cellIs" dxfId="467" priority="15" operator="lessThan">
      <formula>63</formula>
    </cfRule>
  </conditionalFormatting>
  <conditionalFormatting sqref="W57">
    <cfRule type="cellIs" dxfId="466" priority="13" operator="lessThan">
      <formula>140</formula>
    </cfRule>
  </conditionalFormatting>
  <conditionalFormatting sqref="X57">
    <cfRule type="cellIs" dxfId="465" priority="12" operator="lessThan">
      <formula>125</formula>
    </cfRule>
  </conditionalFormatting>
  <conditionalFormatting sqref="Y57">
    <cfRule type="cellIs" dxfId="464" priority="11" operator="lessThan">
      <formula>150</formula>
    </cfRule>
  </conditionalFormatting>
  <conditionalFormatting sqref="Z57">
    <cfRule type="cellIs" dxfId="463" priority="10" operator="lessThan">
      <formula>590</formula>
    </cfRule>
  </conditionalFormatting>
  <conditionalFormatting sqref="AA57">
    <cfRule type="cellIs" dxfId="462" priority="9" operator="lessThan">
      <formula>704</formula>
    </cfRule>
  </conditionalFormatting>
  <conditionalFormatting sqref="AC57">
    <cfRule type="cellIs" dxfId="461" priority="8" operator="lessThan">
      <formula>52</formula>
    </cfRule>
  </conditionalFormatting>
  <conditionalFormatting sqref="AD57">
    <cfRule type="cellIs" dxfId="460" priority="7" operator="lessThan">
      <formula>52</formula>
    </cfRule>
  </conditionalFormatting>
  <conditionalFormatting sqref="AH57">
    <cfRule type="cellIs" dxfId="459" priority="6" operator="lessThan">
      <formula>63</formula>
    </cfRule>
  </conditionalFormatting>
  <conditionalFormatting sqref="AI57">
    <cfRule type="cellIs" dxfId="458" priority="5" operator="lessThan">
      <formula>63</formula>
    </cfRule>
  </conditionalFormatting>
  <conditionalFormatting sqref="AK57">
    <cfRule type="cellIs" dxfId="457" priority="4" operator="lessThan">
      <formula>270</formula>
    </cfRule>
  </conditionalFormatting>
  <conditionalFormatting sqref="AJ57">
    <cfRule type="cellIs" dxfId="456" priority="3" operator="lessThan">
      <formula>270</formula>
    </cfRule>
  </conditionalFormatting>
  <conditionalFormatting sqref="AL57:AN57">
    <cfRule type="cellIs" dxfId="455" priority="1" operator="lessThan">
      <formula>270</formula>
    </cfRule>
  </conditionalFormatting>
  <printOptions horizontalCentered="1" verticalCentered="1"/>
  <pageMargins left="0" right="0.5" top="0" bottom="0" header="0" footer="0"/>
  <pageSetup paperSize="5" scale="45" orientation="landscape" cellComments="asDisplayed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Q67"/>
  <sheetViews>
    <sheetView topLeftCell="AB1" zoomScale="90" zoomScaleNormal="90" workbookViewId="0">
      <selection activeCell="AO1" sqref="AO1"/>
    </sheetView>
  </sheetViews>
  <sheetFormatPr defaultRowHeight="15"/>
  <cols>
    <col min="1" max="1" width="32.7109375" bestFit="1" customWidth="1"/>
    <col min="2" max="2" width="17.7109375" customWidth="1"/>
    <col min="3" max="4" width="20.7109375" customWidth="1"/>
    <col min="5" max="5" width="4.7109375" customWidth="1"/>
    <col min="6" max="6" width="29.140625" bestFit="1" customWidth="1"/>
    <col min="7" max="7" width="17.7109375" customWidth="1"/>
    <col min="8" max="9" width="19.140625" bestFit="1" customWidth="1"/>
    <col min="10" max="11" width="17.7109375" customWidth="1"/>
    <col min="12" max="14" width="19.140625" bestFit="1" customWidth="1"/>
    <col min="15" max="15" width="7.7109375" customWidth="1"/>
    <col min="16" max="16" width="28.7109375" customWidth="1"/>
    <col min="17" max="17" width="20.7109375" customWidth="1"/>
    <col min="18" max="18" width="7.7109375" customWidth="1"/>
    <col min="19" max="19" width="32.7109375" customWidth="1"/>
    <col min="20" max="20" width="20.28515625" bestFit="1" customWidth="1"/>
    <col min="21" max="21" width="17.7109375" customWidth="1"/>
    <col min="22" max="22" width="20.28515625" bestFit="1" customWidth="1"/>
    <col min="23" max="23" width="17.7109375" customWidth="1"/>
    <col min="24" max="24" width="20.28515625" bestFit="1" customWidth="1"/>
    <col min="25" max="25" width="14.7109375" customWidth="1"/>
    <col min="26" max="26" width="23.7109375" bestFit="1" customWidth="1"/>
    <col min="27" max="27" width="20.140625" bestFit="1" customWidth="1"/>
    <col min="28" max="28" width="20" customWidth="1"/>
    <col min="29" max="29" width="20.140625" bestFit="1" customWidth="1"/>
    <col min="30" max="30" width="17.7109375" customWidth="1"/>
    <col min="31" max="31" width="20.140625" bestFit="1" customWidth="1"/>
    <col min="32" max="33" width="20.7109375" customWidth="1"/>
    <col min="34" max="37" width="17.7109375" customWidth="1"/>
    <col min="38" max="38" width="14.140625" hidden="1" customWidth="1"/>
    <col min="39" max="39" width="19.85546875" hidden="1" customWidth="1"/>
    <col min="40" max="40" width="13" hidden="1" customWidth="1"/>
  </cols>
  <sheetData>
    <row r="1" spans="1:36">
      <c r="E1" s="5"/>
    </row>
    <row r="2" spans="1:36">
      <c r="E2" s="5"/>
    </row>
    <row r="3" spans="1:36" ht="15.75" thickBot="1">
      <c r="C3" t="s">
        <v>1</v>
      </c>
      <c r="E3" s="5" t="s">
        <v>1</v>
      </c>
      <c r="F3" t="s">
        <v>1</v>
      </c>
      <c r="N3" t="s">
        <v>1</v>
      </c>
      <c r="S3" t="s">
        <v>1</v>
      </c>
      <c r="U3" t="s">
        <v>1</v>
      </c>
    </row>
    <row r="4" spans="1:36" ht="21.75" thickTop="1">
      <c r="B4" t="s">
        <v>1</v>
      </c>
      <c r="D4" t="s">
        <v>1</v>
      </c>
      <c r="E4" t="s">
        <v>1</v>
      </c>
      <c r="P4" s="617" t="s">
        <v>108</v>
      </c>
      <c r="Q4" s="618">
        <f>'9'!Q4+'10'!Q9+'10'!Q10+'10'!Q19+'10'!Q20+'10'!Q21+'10'!Q22</f>
        <v>0</v>
      </c>
    </row>
    <row r="5" spans="1:36" ht="21.75" thickBot="1">
      <c r="P5" s="619" t="s">
        <v>109</v>
      </c>
      <c r="Q5" s="620">
        <f>'9'!Q5+'10'!Q25+'10'!Q26+'10'!Q27+'10'!Q28+'10'!Q29+'10'!Q30+'10'!Q31</f>
        <v>0</v>
      </c>
    </row>
    <row r="6" spans="1:36" ht="48" thickTop="1" thickBot="1">
      <c r="A6" s="1502">
        <f>'Main Page'!E26</f>
        <v>44875</v>
      </c>
      <c r="B6" s="1507"/>
      <c r="C6" s="1507"/>
      <c r="D6" s="1507"/>
      <c r="E6" s="1507"/>
      <c r="F6" s="1507"/>
      <c r="G6" s="1507"/>
      <c r="H6" s="1507"/>
      <c r="I6" s="1507"/>
      <c r="J6" s="1507"/>
      <c r="K6" s="1507"/>
      <c r="L6" s="1507"/>
      <c r="M6" s="1507"/>
      <c r="N6" s="1507"/>
      <c r="O6" s="1507"/>
      <c r="P6" s="1507"/>
      <c r="Q6" s="1515"/>
      <c r="R6" t="s">
        <v>1</v>
      </c>
      <c r="S6" s="1502">
        <f>A6</f>
        <v>44875</v>
      </c>
      <c r="T6" s="1503"/>
      <c r="U6" s="1503"/>
      <c r="V6" s="1503"/>
      <c r="W6" s="1503"/>
      <c r="X6" s="1503"/>
      <c r="Y6" s="1503"/>
      <c r="Z6" s="1503"/>
      <c r="AA6" s="1503"/>
      <c r="AB6" s="1503"/>
      <c r="AC6" s="1503"/>
      <c r="AD6" s="1503"/>
      <c r="AE6" s="1504"/>
    </row>
    <row r="7" spans="1:36" ht="39.950000000000003" customHeight="1" thickTop="1" thickBot="1">
      <c r="A7" s="1505" t="s">
        <v>110</v>
      </c>
      <c r="B7" s="1506"/>
      <c r="C7" s="367" t="s">
        <v>97</v>
      </c>
      <c r="D7" s="368" t="s">
        <v>74</v>
      </c>
      <c r="F7" s="363" t="s">
        <v>111</v>
      </c>
      <c r="G7" s="364" t="s">
        <v>112</v>
      </c>
      <c r="H7" s="365" t="s">
        <v>113</v>
      </c>
      <c r="I7" s="365" t="s">
        <v>26</v>
      </c>
      <c r="J7" s="365" t="s">
        <v>114</v>
      </c>
      <c r="K7" s="366" t="s">
        <v>115</v>
      </c>
      <c r="L7" s="365" t="s">
        <v>116</v>
      </c>
      <c r="M7" s="365" t="s">
        <v>117</v>
      </c>
      <c r="N7" s="365" t="s">
        <v>118</v>
      </c>
      <c r="P7" s="1510" t="s">
        <v>69</v>
      </c>
      <c r="Q7" s="1511"/>
      <c r="S7" s="380" t="s">
        <v>58</v>
      </c>
      <c r="T7" s="380" t="s">
        <v>59</v>
      </c>
      <c r="U7" s="380" t="s">
        <v>119</v>
      </c>
      <c r="V7" s="380" t="s">
        <v>74</v>
      </c>
      <c r="W7" s="380" t="s">
        <v>120</v>
      </c>
      <c r="X7" s="380" t="s">
        <v>59</v>
      </c>
      <c r="Z7" s="367" t="s">
        <v>121</v>
      </c>
      <c r="AA7" s="367" t="s">
        <v>97</v>
      </c>
      <c r="AB7" s="415" t="s">
        <v>122</v>
      </c>
      <c r="AC7" s="416" t="s">
        <v>90</v>
      </c>
      <c r="AD7" s="367" t="s">
        <v>56</v>
      </c>
      <c r="AE7" s="381" t="s">
        <v>100</v>
      </c>
      <c r="AF7" s="560" t="s">
        <v>122</v>
      </c>
      <c r="AG7" s="570" t="s">
        <v>56</v>
      </c>
      <c r="AI7" s="1487" t="s">
        <v>123</v>
      </c>
      <c r="AJ7" s="1488"/>
    </row>
    <row r="8" spans="1:36" ht="27" customHeight="1" thickTop="1" thickBot="1">
      <c r="A8" s="717"/>
      <c r="B8" s="233"/>
      <c r="C8" s="463"/>
      <c r="D8" s="233"/>
      <c r="F8" s="478" t="str">
        <f>'9'!F8</f>
        <v>ISHAQ ANSARI</v>
      </c>
      <c r="G8" s="405">
        <f>'CUSTOMERS REPORT'!Y17</f>
        <v>0</v>
      </c>
      <c r="H8" s="503">
        <f>'CUSTOMERS REPORT'!Z17</f>
        <v>0</v>
      </c>
      <c r="I8" s="405">
        <f>'CUSTOMERS REPORT'!AA17</f>
        <v>0</v>
      </c>
      <c r="J8" s="497">
        <f>'CUSTOMERS REPORT'!AB17</f>
        <v>0</v>
      </c>
      <c r="K8" s="497">
        <f>'CUSTOMERS REPORT'!AC17</f>
        <v>0</v>
      </c>
      <c r="L8" s="508">
        <f>'CUSTOMERS REPORT'!AD17</f>
        <v>0</v>
      </c>
      <c r="M8" s="413">
        <f>'9'!M8+'10'!G8</f>
        <v>0</v>
      </c>
      <c r="N8" s="411">
        <f>'9'!N8+'10'!J8</f>
        <v>0</v>
      </c>
      <c r="P8" s="191" t="s">
        <v>124</v>
      </c>
      <c r="Q8" s="223">
        <f>'9'!Q32</f>
        <v>0</v>
      </c>
      <c r="S8" s="399" t="str">
        <f>'9'!S8</f>
        <v>FLOUR</v>
      </c>
      <c r="T8" s="446">
        <f>'9'!X8</f>
        <v>0</v>
      </c>
      <c r="U8" s="455"/>
      <c r="V8" s="450">
        <f t="shared" ref="V8:V43" si="0">SUM(T8:U8)</f>
        <v>0</v>
      </c>
      <c r="W8" s="450"/>
      <c r="X8" s="446">
        <f t="shared" ref="X8:X43" si="1">V8-W8</f>
        <v>0</v>
      </c>
      <c r="Z8" s="382" t="str">
        <f>'9'!Z8</f>
        <v>GHAZI</v>
      </c>
      <c r="AA8" s="464">
        <f>'9'!AE8</f>
        <v>0</v>
      </c>
      <c r="AB8" s="459"/>
      <c r="AC8" s="233">
        <f t="shared" ref="AC8:AC41" si="2">AA8+AB8</f>
        <v>0</v>
      </c>
      <c r="AD8" s="468"/>
      <c r="AE8" s="463">
        <f t="shared" ref="AE8:AE42" si="3">AC8-AD8</f>
        <v>0</v>
      </c>
      <c r="AF8" s="563">
        <f>'9'!AF8+'10'!AB8</f>
        <v>0</v>
      </c>
      <c r="AG8" s="233">
        <f>'9'!AG8+'10'!AD8</f>
        <v>0</v>
      </c>
      <c r="AI8" s="391" t="s">
        <v>126</v>
      </c>
      <c r="AJ8" s="392">
        <f>'9'!AJ10</f>
        <v>0</v>
      </c>
    </row>
    <row r="9" spans="1:36" ht="27" customHeight="1" thickTop="1">
      <c r="A9" s="718"/>
      <c r="B9" s="526"/>
      <c r="C9" s="348"/>
      <c r="D9" s="550"/>
      <c r="F9" s="479" t="str">
        <f>'9'!F9</f>
        <v>MAKKI BAKERY</v>
      </c>
      <c r="G9" s="406">
        <f>'CUSTOMERS REPORT'!Y63</f>
        <v>0</v>
      </c>
      <c r="H9" s="504">
        <f>'CUSTOMERS REPORT'!Z63</f>
        <v>0</v>
      </c>
      <c r="I9" s="406">
        <f>'CUSTOMERS REPORT'!AA63</f>
        <v>0</v>
      </c>
      <c r="J9" s="498">
        <f>'CUSTOMERS REPORT'!AB63</f>
        <v>0</v>
      </c>
      <c r="K9" s="498">
        <f>'CUSTOMERS REPORT'!AC63</f>
        <v>0</v>
      </c>
      <c r="L9" s="509">
        <f>'CUSTOMERS REPORT'!AD63</f>
        <v>0</v>
      </c>
      <c r="M9" s="414">
        <f>'9'!M9+'10'!G9</f>
        <v>0</v>
      </c>
      <c r="N9" s="412">
        <f>'9'!N9+'10'!J9</f>
        <v>0</v>
      </c>
      <c r="P9" s="432"/>
      <c r="Q9" s="436"/>
      <c r="S9" s="400" t="str">
        <f>'9'!S9</f>
        <v>SUGAR</v>
      </c>
      <c r="T9" s="446">
        <f>'9'!X9</f>
        <v>0</v>
      </c>
      <c r="U9" s="456"/>
      <c r="V9" s="451">
        <f t="shared" si="0"/>
        <v>0</v>
      </c>
      <c r="W9" s="451"/>
      <c r="X9" s="447">
        <f t="shared" si="1"/>
        <v>0</v>
      </c>
      <c r="Z9" s="375" t="str">
        <f>'9'!Z9</f>
        <v>SOHNI</v>
      </c>
      <c r="AA9" s="464">
        <f>'9'!AE9</f>
        <v>0</v>
      </c>
      <c r="AB9" s="460"/>
      <c r="AC9" s="462">
        <f t="shared" si="2"/>
        <v>0</v>
      </c>
      <c r="AD9" s="469"/>
      <c r="AE9" s="348">
        <f t="shared" si="3"/>
        <v>0</v>
      </c>
      <c r="AF9" s="563">
        <f>'9'!AF9+'10'!AB9</f>
        <v>0</v>
      </c>
      <c r="AG9" s="234">
        <f>'9'!AG9+'10'!AD9</f>
        <v>0</v>
      </c>
      <c r="AI9" s="393" t="s">
        <v>128</v>
      </c>
      <c r="AJ9" s="394">
        <f>B26</f>
        <v>0</v>
      </c>
    </row>
    <row r="10" spans="1:36" ht="27" customHeight="1" thickBot="1">
      <c r="A10" s="718"/>
      <c r="B10" s="528"/>
      <c r="C10" s="350"/>
      <c r="D10" s="550"/>
      <c r="F10" s="479" t="str">
        <f>'9'!F10</f>
        <v>ABID HUSSAIN</v>
      </c>
      <c r="G10" s="406">
        <f>'CUSTOMERS REPORT'!Y101</f>
        <v>0</v>
      </c>
      <c r="H10" s="504">
        <f>'CUSTOMERS REPORT'!Z101</f>
        <v>0</v>
      </c>
      <c r="I10" s="406">
        <f>'CUSTOMERS REPORT'!AA101</f>
        <v>0</v>
      </c>
      <c r="J10" s="498">
        <f>'CUSTOMERS REPORT'!AB101</f>
        <v>0</v>
      </c>
      <c r="K10" s="498">
        <f>'CUSTOMERS REPORT'!AC101</f>
        <v>0</v>
      </c>
      <c r="L10" s="509">
        <f>'CUSTOMERS REPORT'!AD101</f>
        <v>0</v>
      </c>
      <c r="M10" s="414">
        <f>'9'!M10+'10'!G10</f>
        <v>0</v>
      </c>
      <c r="N10" s="412">
        <f>'9'!N10+'10'!J10</f>
        <v>0</v>
      </c>
      <c r="P10" s="433"/>
      <c r="Q10" s="437"/>
      <c r="S10" s="400" t="str">
        <f>'9'!S10</f>
        <v>GHEE</v>
      </c>
      <c r="T10" s="446">
        <f>'9'!X10</f>
        <v>0</v>
      </c>
      <c r="U10" s="456"/>
      <c r="V10" s="451">
        <f t="shared" si="0"/>
        <v>0</v>
      </c>
      <c r="W10" s="451"/>
      <c r="X10" s="447">
        <f t="shared" si="1"/>
        <v>0</v>
      </c>
      <c r="Z10" s="375" t="str">
        <f>'9'!Z10</f>
        <v>HUSSAINI</v>
      </c>
      <c r="AA10" s="464">
        <f>'9'!AE10</f>
        <v>0</v>
      </c>
      <c r="AB10" s="460"/>
      <c r="AC10" s="462">
        <f t="shared" si="2"/>
        <v>0</v>
      </c>
      <c r="AD10" s="469"/>
      <c r="AE10" s="348">
        <f t="shared" si="3"/>
        <v>0</v>
      </c>
      <c r="AF10" s="563">
        <f>'9'!AF10+'10'!AB10</f>
        <v>0</v>
      </c>
      <c r="AG10" s="234">
        <f>'9'!AG10+'10'!AD10</f>
        <v>0</v>
      </c>
      <c r="AI10" s="395" t="s">
        <v>74</v>
      </c>
      <c r="AJ10" s="396">
        <f>AJ8+AJ9</f>
        <v>0</v>
      </c>
    </row>
    <row r="11" spans="1:36" ht="27" customHeight="1" thickTop="1">
      <c r="A11" s="718"/>
      <c r="B11" s="528"/>
      <c r="C11" s="350"/>
      <c r="D11" s="550"/>
      <c r="F11" s="479" t="str">
        <f>'9'!F11</f>
        <v>SHAHID 5 #</v>
      </c>
      <c r="G11" s="406">
        <f>'CUSTOMERS REPORT'!Y140</f>
        <v>0</v>
      </c>
      <c r="H11" s="504">
        <f>'CUSTOMERS REPORT'!Z140</f>
        <v>0</v>
      </c>
      <c r="I11" s="406">
        <f>'CUSTOMERS REPORT'!AA140</f>
        <v>0</v>
      </c>
      <c r="J11" s="498">
        <f>'CUSTOMERS REPORT'!AB140</f>
        <v>0</v>
      </c>
      <c r="K11" s="498">
        <f>'CUSTOMERS REPORT'!AC140</f>
        <v>0</v>
      </c>
      <c r="L11" s="509">
        <f>'CUSTOMERS REPORT'!AD140</f>
        <v>0</v>
      </c>
      <c r="M11" s="414">
        <f>'9'!M11+'10'!G11</f>
        <v>0</v>
      </c>
      <c r="N11" s="412">
        <f>'9'!N11+'10'!J11</f>
        <v>0</v>
      </c>
      <c r="P11" s="433"/>
      <c r="Q11" s="437"/>
      <c r="S11" s="400" t="str">
        <f>'9'!S11</f>
        <v>YEAST</v>
      </c>
      <c r="T11" s="446">
        <f>'9'!X11</f>
        <v>0</v>
      </c>
      <c r="U11" s="456"/>
      <c r="V11" s="451">
        <f t="shared" si="0"/>
        <v>0</v>
      </c>
      <c r="W11" s="451"/>
      <c r="X11" s="447">
        <f t="shared" si="1"/>
        <v>0</v>
      </c>
      <c r="Z11" s="375" t="str">
        <f>'9'!Z11</f>
        <v>IMRAN ALAM</v>
      </c>
      <c r="AA11" s="464">
        <f>'9'!AE11</f>
        <v>0</v>
      </c>
      <c r="AB11" s="460"/>
      <c r="AC11" s="462">
        <f t="shared" si="2"/>
        <v>0</v>
      </c>
      <c r="AD11" s="469"/>
      <c r="AE11" s="348">
        <f t="shared" si="3"/>
        <v>0</v>
      </c>
      <c r="AF11" s="563">
        <f>'9'!AF11+'10'!AB11</f>
        <v>0</v>
      </c>
      <c r="AG11" s="234">
        <f>'9'!AG11+'10'!AD11</f>
        <v>0</v>
      </c>
      <c r="AI11" s="1031"/>
      <c r="AJ11" s="1032"/>
    </row>
    <row r="12" spans="1:36" ht="27" customHeight="1">
      <c r="A12" s="718"/>
      <c r="B12" s="528"/>
      <c r="C12" s="350"/>
      <c r="D12" s="550"/>
      <c r="F12" s="479" t="str">
        <f>'9'!F12</f>
        <v>ZULFIQAR</v>
      </c>
      <c r="G12" s="406">
        <f>'CUSTOMERS REPORT'!Y178</f>
        <v>0</v>
      </c>
      <c r="H12" s="504">
        <f>'CUSTOMERS REPORT'!Z178</f>
        <v>0</v>
      </c>
      <c r="I12" s="406">
        <f>'CUSTOMERS REPORT'!AA178</f>
        <v>0</v>
      </c>
      <c r="J12" s="498">
        <f>'CUSTOMERS REPORT'!AB178</f>
        <v>0</v>
      </c>
      <c r="K12" s="498">
        <f>'CUSTOMERS REPORT'!AC178</f>
        <v>0</v>
      </c>
      <c r="L12" s="509">
        <f>'CUSTOMERS REPORT'!AD178</f>
        <v>0</v>
      </c>
      <c r="M12" s="414">
        <f>'9'!M12+'10'!G12</f>
        <v>0</v>
      </c>
      <c r="N12" s="412">
        <f>'9'!N12+'10'!J12</f>
        <v>0</v>
      </c>
      <c r="P12" s="433"/>
      <c r="Q12" s="437"/>
      <c r="S12" s="400" t="str">
        <f>'9'!S12</f>
        <v xml:space="preserve">EKKA </v>
      </c>
      <c r="T12" s="446">
        <f>'9'!X12</f>
        <v>0</v>
      </c>
      <c r="U12" s="456"/>
      <c r="V12" s="451">
        <f t="shared" si="0"/>
        <v>0</v>
      </c>
      <c r="W12" s="451"/>
      <c r="X12" s="447">
        <f t="shared" si="1"/>
        <v>0</v>
      </c>
      <c r="Z12" s="375" t="str">
        <f>'9'!Z12</f>
        <v>ZAHEER</v>
      </c>
      <c r="AA12" s="464">
        <f>'9'!AE12</f>
        <v>0</v>
      </c>
      <c r="AB12" s="460"/>
      <c r="AC12" s="462">
        <f t="shared" si="2"/>
        <v>0</v>
      </c>
      <c r="AD12" s="469"/>
      <c r="AE12" s="348">
        <f t="shared" si="3"/>
        <v>0</v>
      </c>
      <c r="AF12" s="563">
        <f>'9'!AF12+'10'!AB12</f>
        <v>0</v>
      </c>
      <c r="AG12" s="234">
        <f>'9'!AG12+'10'!AD12</f>
        <v>0</v>
      </c>
      <c r="AI12" s="1031"/>
      <c r="AJ12" s="1032"/>
    </row>
    <row r="13" spans="1:36" ht="27" customHeight="1">
      <c r="A13" s="718"/>
      <c r="B13" s="528"/>
      <c r="C13" s="350"/>
      <c r="D13" s="550"/>
      <c r="F13" s="479" t="str">
        <f>'9'!F13</f>
        <v>QASIM ORANGI</v>
      </c>
      <c r="G13" s="406">
        <f>'CUSTOMERS REPORT'!Y218</f>
        <v>0</v>
      </c>
      <c r="H13" s="504">
        <f>'CUSTOMERS REPORT'!Z218</f>
        <v>0</v>
      </c>
      <c r="I13" s="406">
        <f>'CUSTOMERS REPORT'!AA218</f>
        <v>0</v>
      </c>
      <c r="J13" s="498">
        <f>'CUSTOMERS REPORT'!AB218</f>
        <v>0</v>
      </c>
      <c r="K13" s="498">
        <f>'CUSTOMERS REPORT'!AC218</f>
        <v>0</v>
      </c>
      <c r="L13" s="509">
        <f>'CUSTOMERS REPORT'!AD218</f>
        <v>0</v>
      </c>
      <c r="M13" s="414">
        <f>'9'!M13+'10'!G13</f>
        <v>0</v>
      </c>
      <c r="N13" s="412">
        <f>'9'!N13+'10'!J13</f>
        <v>0</v>
      </c>
      <c r="P13" s="433"/>
      <c r="Q13" s="437"/>
      <c r="S13" s="400" t="str">
        <f>'9'!S13</f>
        <v>VANILLA</v>
      </c>
      <c r="T13" s="446">
        <f>'9'!X13</f>
        <v>0</v>
      </c>
      <c r="U13" s="456"/>
      <c r="V13" s="451">
        <f t="shared" si="0"/>
        <v>0</v>
      </c>
      <c r="W13" s="451"/>
      <c r="X13" s="447">
        <f t="shared" si="1"/>
        <v>0</v>
      </c>
      <c r="Z13" s="375" t="str">
        <f>'9'!Z13</f>
        <v>FAISAL</v>
      </c>
      <c r="AA13" s="464">
        <f>'9'!AE13</f>
        <v>0</v>
      </c>
      <c r="AB13" s="460"/>
      <c r="AC13" s="462">
        <f t="shared" si="2"/>
        <v>0</v>
      </c>
      <c r="AD13" s="469"/>
      <c r="AE13" s="348">
        <f t="shared" si="3"/>
        <v>0</v>
      </c>
      <c r="AF13" s="563">
        <f>'9'!AF13+'10'!AB13</f>
        <v>0</v>
      </c>
      <c r="AG13" s="234">
        <f>'9'!AG13+'10'!AD13</f>
        <v>0</v>
      </c>
      <c r="AI13" s="1031"/>
      <c r="AJ13" s="1032"/>
    </row>
    <row r="14" spans="1:36" ht="27" customHeight="1">
      <c r="A14" s="718"/>
      <c r="B14" s="528"/>
      <c r="C14" s="350"/>
      <c r="D14" s="550"/>
      <c r="F14" s="479" t="str">
        <f>'9'!F14</f>
        <v>BADSHAH KHAN HYD</v>
      </c>
      <c r="G14" s="406">
        <f>'CUSTOMERS REPORT'!Y255</f>
        <v>0</v>
      </c>
      <c r="H14" s="504">
        <f>'CUSTOMERS REPORT'!Z255</f>
        <v>0</v>
      </c>
      <c r="I14" s="406">
        <f>'CUSTOMERS REPORT'!AA255</f>
        <v>0</v>
      </c>
      <c r="J14" s="498">
        <f>'CUSTOMERS REPORT'!AB255</f>
        <v>0</v>
      </c>
      <c r="K14" s="498">
        <f>'CUSTOMERS REPORT'!AC255</f>
        <v>0</v>
      </c>
      <c r="L14" s="509">
        <f>'CUSTOMERS REPORT'!AD255</f>
        <v>0</v>
      </c>
      <c r="M14" s="414">
        <f>'9'!M14+'10'!G14</f>
        <v>0</v>
      </c>
      <c r="N14" s="412">
        <f>'9'!N14+'10'!J14</f>
        <v>0</v>
      </c>
      <c r="P14" s="433"/>
      <c r="Q14" s="437"/>
      <c r="S14" s="400" t="str">
        <f>'9'!S14</f>
        <v>COLOUR</v>
      </c>
      <c r="T14" s="446">
        <f>'9'!X14</f>
        <v>0</v>
      </c>
      <c r="U14" s="456"/>
      <c r="V14" s="451">
        <f t="shared" si="0"/>
        <v>0</v>
      </c>
      <c r="W14" s="451"/>
      <c r="X14" s="447">
        <f t="shared" si="1"/>
        <v>0</v>
      </c>
      <c r="Z14" s="375" t="str">
        <f>'9'!Z14</f>
        <v>RANA EKKA</v>
      </c>
      <c r="AA14" s="464">
        <f>'9'!AE14</f>
        <v>0</v>
      </c>
      <c r="AB14" s="460"/>
      <c r="AC14" s="462">
        <f t="shared" si="2"/>
        <v>0</v>
      </c>
      <c r="AD14" s="469"/>
      <c r="AE14" s="348">
        <f t="shared" si="3"/>
        <v>0</v>
      </c>
      <c r="AF14" s="563">
        <f>'9'!AF14+'10'!AB14</f>
        <v>0</v>
      </c>
      <c r="AG14" s="234">
        <f>'9'!AG14+'10'!AD14</f>
        <v>0</v>
      </c>
      <c r="AI14" s="1031"/>
      <c r="AJ14" s="1032"/>
    </row>
    <row r="15" spans="1:36" ht="27" customHeight="1">
      <c r="A15" s="718"/>
      <c r="B15" s="528"/>
      <c r="C15" s="350"/>
      <c r="D15" s="550"/>
      <c r="F15" s="479" t="str">
        <f>'9'!F15</f>
        <v>SHAMOON</v>
      </c>
      <c r="G15" s="406">
        <f>'CUSTOMERS REPORT'!Y295</f>
        <v>0</v>
      </c>
      <c r="H15" s="504">
        <f>'CUSTOMERS REPORT'!Z295</f>
        <v>0</v>
      </c>
      <c r="I15" s="406">
        <f>'CUSTOMERS REPORT'!AA295</f>
        <v>0</v>
      </c>
      <c r="J15" s="498">
        <f>'CUSTOMERS REPORT'!AB295</f>
        <v>0</v>
      </c>
      <c r="K15" s="498">
        <f>'CUSTOMERS REPORT'!AC295</f>
        <v>0</v>
      </c>
      <c r="L15" s="509">
        <f>'CUSTOMERS REPORT'!AD295</f>
        <v>0</v>
      </c>
      <c r="M15" s="414">
        <f>'9'!M15+'10'!G15</f>
        <v>0</v>
      </c>
      <c r="N15" s="412">
        <f>'9'!N15+'10'!J15</f>
        <v>0</v>
      </c>
      <c r="P15" s="433"/>
      <c r="Q15" s="437"/>
      <c r="S15" s="400" t="str">
        <f>'9'!S15</f>
        <v>TILL</v>
      </c>
      <c r="T15" s="446">
        <f>'9'!X15</f>
        <v>0</v>
      </c>
      <c r="U15" s="456"/>
      <c r="V15" s="451">
        <f t="shared" si="0"/>
        <v>0</v>
      </c>
      <c r="W15" s="451"/>
      <c r="X15" s="447">
        <f t="shared" si="1"/>
        <v>0</v>
      </c>
      <c r="Z15" s="375" t="str">
        <f>'9'!Z15</f>
        <v>sheeba</v>
      </c>
      <c r="AA15" s="464">
        <f>'9'!AE15</f>
        <v>0</v>
      </c>
      <c r="AB15" s="460"/>
      <c r="AC15" s="462">
        <f t="shared" si="2"/>
        <v>0</v>
      </c>
      <c r="AD15" s="469"/>
      <c r="AE15" s="348">
        <f t="shared" si="3"/>
        <v>0</v>
      </c>
      <c r="AF15" s="563">
        <f>'9'!AF15+'10'!AB15</f>
        <v>0</v>
      </c>
      <c r="AG15" s="234">
        <f>'9'!AG15+'10'!AD15</f>
        <v>0</v>
      </c>
      <c r="AI15" s="1031"/>
      <c r="AJ15" s="1032"/>
    </row>
    <row r="16" spans="1:36" ht="27" customHeight="1">
      <c r="A16" s="718"/>
      <c r="B16" s="528"/>
      <c r="C16" s="350"/>
      <c r="D16" s="550"/>
      <c r="F16" s="479" t="str">
        <f>'9'!F16</f>
        <v>MATEEN</v>
      </c>
      <c r="G16" s="406">
        <f>'CUSTOMERS REPORT'!Y336</f>
        <v>0</v>
      </c>
      <c r="H16" s="504">
        <f>'CUSTOMERS REPORT'!Z336</f>
        <v>0</v>
      </c>
      <c r="I16" s="406">
        <f>'CUSTOMERS REPORT'!AA336</f>
        <v>0</v>
      </c>
      <c r="J16" s="498">
        <f>'CUSTOMERS REPORT'!AB336</f>
        <v>0</v>
      </c>
      <c r="K16" s="498">
        <f>'CUSTOMERS REPORT'!AC336</f>
        <v>0</v>
      </c>
      <c r="L16" s="509">
        <f>'CUSTOMERS REPORT'!AD336</f>
        <v>0</v>
      </c>
      <c r="M16" s="414">
        <f>'9'!M16+'10'!G16</f>
        <v>0</v>
      </c>
      <c r="N16" s="412">
        <f>'9'!N16+'10'!J16</f>
        <v>0</v>
      </c>
      <c r="P16" s="433"/>
      <c r="Q16" s="437"/>
      <c r="S16" s="400" t="str">
        <f>'9'!S16</f>
        <v>ILLAICHI</v>
      </c>
      <c r="T16" s="446">
        <f>'9'!X16</f>
        <v>0</v>
      </c>
      <c r="U16" s="456"/>
      <c r="V16" s="451">
        <f t="shared" si="0"/>
        <v>0</v>
      </c>
      <c r="W16" s="451"/>
      <c r="X16" s="447">
        <f t="shared" si="1"/>
        <v>0</v>
      </c>
      <c r="Z16" s="375" t="str">
        <f>'9'!Z16</f>
        <v>COTTON</v>
      </c>
      <c r="AA16" s="464">
        <f>'9'!AE16</f>
        <v>0</v>
      </c>
      <c r="AB16" s="460"/>
      <c r="AC16" s="462">
        <f t="shared" si="2"/>
        <v>0</v>
      </c>
      <c r="AD16" s="469"/>
      <c r="AE16" s="348">
        <f t="shared" si="3"/>
        <v>0</v>
      </c>
      <c r="AF16" s="563">
        <f>'9'!AF16+'10'!AB16</f>
        <v>0</v>
      </c>
      <c r="AG16" s="234">
        <f>'9'!AG16+'10'!AD16</f>
        <v>0</v>
      </c>
      <c r="AI16" s="1031"/>
      <c r="AJ16" s="1032"/>
    </row>
    <row r="17" spans="1:36" ht="27" customHeight="1">
      <c r="A17" s="718"/>
      <c r="B17" s="528"/>
      <c r="C17" s="350"/>
      <c r="D17" s="550"/>
      <c r="F17" s="479" t="str">
        <f>'9'!F17</f>
        <v>AMJAD ORANGI</v>
      </c>
      <c r="G17" s="406">
        <f>'CUSTOMERS REPORT'!Y378</f>
        <v>0</v>
      </c>
      <c r="H17" s="504">
        <f>'CUSTOMERS REPORT'!Z378</f>
        <v>0</v>
      </c>
      <c r="I17" s="406">
        <f>'CUSTOMERS REPORT'!AA378</f>
        <v>0</v>
      </c>
      <c r="J17" s="498">
        <f>'CUSTOMERS REPORT'!AB378</f>
        <v>0</v>
      </c>
      <c r="K17" s="498">
        <f>'CUSTOMERS REPORT'!AC378</f>
        <v>0</v>
      </c>
      <c r="L17" s="509">
        <f>'CUSTOMERS REPORT'!AD378</f>
        <v>0</v>
      </c>
      <c r="M17" s="414">
        <f>'9'!M17+'10'!G17</f>
        <v>0</v>
      </c>
      <c r="N17" s="412">
        <f>'9'!N17+'10'!J17</f>
        <v>0</v>
      </c>
      <c r="P17" s="433"/>
      <c r="Q17" s="437"/>
      <c r="S17" s="400" t="str">
        <f>'9'!S17</f>
        <v>S-THELLI</v>
      </c>
      <c r="T17" s="446">
        <f>'9'!X17</f>
        <v>0</v>
      </c>
      <c r="U17" s="456"/>
      <c r="V17" s="451">
        <f t="shared" si="0"/>
        <v>0</v>
      </c>
      <c r="W17" s="451"/>
      <c r="X17" s="447">
        <f t="shared" si="1"/>
        <v>0</v>
      </c>
      <c r="Z17" s="375" t="str">
        <f>'9'!Z17</f>
        <v>SHAHID UP</v>
      </c>
      <c r="AA17" s="464">
        <f>'9'!AE17</f>
        <v>0</v>
      </c>
      <c r="AB17" s="460"/>
      <c r="AC17" s="462">
        <f t="shared" si="2"/>
        <v>0</v>
      </c>
      <c r="AD17" s="469"/>
      <c r="AE17" s="348">
        <f t="shared" si="3"/>
        <v>0</v>
      </c>
      <c r="AF17" s="563">
        <f>'9'!AF17+'10'!AB17</f>
        <v>0</v>
      </c>
      <c r="AG17" s="234">
        <f>'9'!AG17+'10'!AD17</f>
        <v>0</v>
      </c>
      <c r="AI17" s="1031"/>
      <c r="AJ17" s="1032"/>
    </row>
    <row r="18" spans="1:36" ht="27" customHeight="1">
      <c r="A18" s="718"/>
      <c r="B18" s="528"/>
      <c r="C18" s="350"/>
      <c r="D18" s="550"/>
      <c r="F18" s="479" t="str">
        <f>'9'!F18</f>
        <v>HAFIZ DRIVER</v>
      </c>
      <c r="G18" s="406">
        <f>'CUSTOMERS REPORT'!Y417</f>
        <v>0</v>
      </c>
      <c r="H18" s="504">
        <f>'CUSTOMERS REPORT'!Z417</f>
        <v>0</v>
      </c>
      <c r="I18" s="406">
        <f>'CUSTOMERS REPORT'!AA417</f>
        <v>0</v>
      </c>
      <c r="J18" s="498">
        <f>'CUSTOMERS REPORT'!AB417</f>
        <v>0</v>
      </c>
      <c r="K18" s="498">
        <f>'CUSTOMERS REPORT'!AC417</f>
        <v>0</v>
      </c>
      <c r="L18" s="509">
        <f>'CUSTOMERS REPORT'!AD417</f>
        <v>0</v>
      </c>
      <c r="M18" s="414">
        <f>'9'!M18+'10'!G18</f>
        <v>0</v>
      </c>
      <c r="N18" s="412">
        <f>'9'!N18+'10'!J18</f>
        <v>0</v>
      </c>
      <c r="P18" s="433"/>
      <c r="Q18" s="437"/>
      <c r="S18" s="400" t="str">
        <f>'9'!S18</f>
        <v>P-THELLI</v>
      </c>
      <c r="T18" s="446">
        <f>'9'!X18</f>
        <v>0</v>
      </c>
      <c r="U18" s="456"/>
      <c r="V18" s="451">
        <f t="shared" si="0"/>
        <v>0</v>
      </c>
      <c r="W18" s="451"/>
      <c r="X18" s="447">
        <f t="shared" si="1"/>
        <v>0</v>
      </c>
      <c r="Z18" s="375" t="str">
        <f>'9'!Z18</f>
        <v>SALT</v>
      </c>
      <c r="AA18" s="464">
        <f>'9'!AE18</f>
        <v>0</v>
      </c>
      <c r="AB18" s="460"/>
      <c r="AC18" s="462">
        <f t="shared" si="2"/>
        <v>0</v>
      </c>
      <c r="AD18" s="469"/>
      <c r="AE18" s="348">
        <f t="shared" si="3"/>
        <v>0</v>
      </c>
      <c r="AF18" s="563">
        <f>'9'!AF18+'10'!AB18</f>
        <v>0</v>
      </c>
      <c r="AG18" s="234">
        <f>'9'!AG18+'10'!AD18</f>
        <v>0</v>
      </c>
      <c r="AI18" s="1031"/>
      <c r="AJ18" s="1032"/>
    </row>
    <row r="19" spans="1:36" ht="27" customHeight="1" thickBot="1">
      <c r="A19" s="719"/>
      <c r="B19" s="529"/>
      <c r="C19" s="350"/>
      <c r="D19" s="550"/>
      <c r="F19" s="479" t="str">
        <f>'9'!F19</f>
        <v>GHULAM QUETTA</v>
      </c>
      <c r="G19" s="406">
        <f>'CUSTOMERS REPORT'!Y455</f>
        <v>0</v>
      </c>
      <c r="H19" s="504">
        <f>'CUSTOMERS REPORT'!Z455</f>
        <v>0</v>
      </c>
      <c r="I19" s="406">
        <f>'CUSTOMERS REPORT'!AA455</f>
        <v>0</v>
      </c>
      <c r="J19" s="498">
        <f>'CUSTOMERS REPORT'!AB455</f>
        <v>0</v>
      </c>
      <c r="K19" s="498">
        <f>'CUSTOMERS REPORT'!AC455</f>
        <v>0</v>
      </c>
      <c r="L19" s="509">
        <f>'CUSTOMERS REPORT'!AD455</f>
        <v>0</v>
      </c>
      <c r="M19" s="414">
        <f>'9'!M19+'10'!G19</f>
        <v>0</v>
      </c>
      <c r="N19" s="412">
        <f>'9'!N19+'10'!J19</f>
        <v>0</v>
      </c>
      <c r="P19" s="433"/>
      <c r="Q19" s="437"/>
      <c r="S19" s="400" t="str">
        <f>'9'!S19</f>
        <v>RUBBER</v>
      </c>
      <c r="T19" s="446">
        <f>'9'!X19</f>
        <v>0</v>
      </c>
      <c r="U19" s="456"/>
      <c r="V19" s="451">
        <f t="shared" si="0"/>
        <v>0</v>
      </c>
      <c r="W19" s="451"/>
      <c r="X19" s="447">
        <f t="shared" si="1"/>
        <v>0</v>
      </c>
      <c r="Z19" s="375" t="str">
        <f>'9'!Z19</f>
        <v>NAVEED</v>
      </c>
      <c r="AA19" s="464">
        <f>'9'!AE19</f>
        <v>0</v>
      </c>
      <c r="AB19" s="460"/>
      <c r="AC19" s="462">
        <f t="shared" si="2"/>
        <v>0</v>
      </c>
      <c r="AD19" s="469"/>
      <c r="AE19" s="348">
        <f t="shared" si="3"/>
        <v>0</v>
      </c>
      <c r="AF19" s="563">
        <f>'9'!AF19+'10'!AB19</f>
        <v>0</v>
      </c>
      <c r="AG19" s="234">
        <f>'9'!AG19+'10'!AD19</f>
        <v>0</v>
      </c>
    </row>
    <row r="20" spans="1:36" ht="27" customHeight="1" thickTop="1" thickBot="1">
      <c r="A20" s="719"/>
      <c r="B20" s="529"/>
      <c r="C20" s="350"/>
      <c r="D20" s="550"/>
      <c r="F20" s="479" t="str">
        <f>'9'!F20</f>
        <v>HUSSAN GWADAR</v>
      </c>
      <c r="G20" s="406">
        <f>'CUSTOMERS REPORT'!Y491</f>
        <v>0</v>
      </c>
      <c r="H20" s="504">
        <f>'CUSTOMERS REPORT'!Z491</f>
        <v>0</v>
      </c>
      <c r="I20" s="406">
        <f>'CUSTOMERS REPORT'!AA491</f>
        <v>0</v>
      </c>
      <c r="J20" s="498">
        <f>'CUSTOMERS REPORT'!AB491</f>
        <v>0</v>
      </c>
      <c r="K20" s="498">
        <f>'CUSTOMERS REPORT'!AC491</f>
        <v>0</v>
      </c>
      <c r="L20" s="509">
        <f>'CUSTOMERS REPORT'!AD491</f>
        <v>0</v>
      </c>
      <c r="M20" s="414">
        <f>'9'!M20+'10'!G20</f>
        <v>0</v>
      </c>
      <c r="N20" s="412">
        <f>'9'!N20+'10'!J20</f>
        <v>0</v>
      </c>
      <c r="P20" s="433"/>
      <c r="Q20" s="437"/>
      <c r="S20" s="400" t="str">
        <f>'9'!S20</f>
        <v>SALT</v>
      </c>
      <c r="T20" s="446">
        <f>'9'!X20</f>
        <v>0</v>
      </c>
      <c r="U20" s="456"/>
      <c r="V20" s="451">
        <f t="shared" si="0"/>
        <v>0</v>
      </c>
      <c r="W20" s="451"/>
      <c r="X20" s="447">
        <f t="shared" si="1"/>
        <v>0</v>
      </c>
      <c r="Z20" s="375" t="str">
        <f>'9'!Z20</f>
        <v>YOUSUF BHAI</v>
      </c>
      <c r="AA20" s="464">
        <f>'9'!AE20</f>
        <v>0</v>
      </c>
      <c r="AB20" s="460"/>
      <c r="AC20" s="462">
        <f t="shared" si="2"/>
        <v>0</v>
      </c>
      <c r="AD20" s="469"/>
      <c r="AE20" s="348">
        <f t="shared" si="3"/>
        <v>0</v>
      </c>
      <c r="AF20" s="563">
        <f>'9'!AF20+'10'!AB20</f>
        <v>0</v>
      </c>
      <c r="AG20" s="234">
        <f>'9'!AG20+'10'!AD20</f>
        <v>0</v>
      </c>
      <c r="AI20" s="1487" t="s">
        <v>132</v>
      </c>
      <c r="AJ20" s="1488"/>
    </row>
    <row r="21" spans="1:36" ht="27" customHeight="1" thickTop="1" thickBot="1">
      <c r="A21" s="720"/>
      <c r="B21" s="530"/>
      <c r="C21" s="531"/>
      <c r="D21" s="553"/>
      <c r="F21" s="479" t="str">
        <f>'9'!F21</f>
        <v>AQASH S KOT</v>
      </c>
      <c r="G21" s="406">
        <f>'CUSTOMERS REPORT'!Y528</f>
        <v>0</v>
      </c>
      <c r="H21" s="504">
        <f>'CUSTOMERS REPORT'!Z528</f>
        <v>0</v>
      </c>
      <c r="I21" s="406">
        <f>'CUSTOMERS REPORT'!AA528</f>
        <v>0</v>
      </c>
      <c r="J21" s="498">
        <f>'CUSTOMERS REPORT'!AB528</f>
        <v>0</v>
      </c>
      <c r="K21" s="498">
        <f>'CUSTOMERS REPORT'!AC528</f>
        <v>0</v>
      </c>
      <c r="L21" s="509">
        <f>'CUSTOMERS REPORT'!AD528</f>
        <v>0</v>
      </c>
      <c r="M21" s="414">
        <f>'9'!M21+'10'!G21</f>
        <v>0</v>
      </c>
      <c r="N21" s="412">
        <f>'9'!N21+'10'!J21</f>
        <v>0</v>
      </c>
      <c r="P21" s="433"/>
      <c r="Q21" s="435"/>
      <c r="S21" s="400" t="str">
        <f>'9'!S21</f>
        <v>TAPE</v>
      </c>
      <c r="T21" s="446">
        <f>'9'!X21</f>
        <v>0</v>
      </c>
      <c r="U21" s="456"/>
      <c r="V21" s="451">
        <f t="shared" si="0"/>
        <v>0</v>
      </c>
      <c r="W21" s="451"/>
      <c r="X21" s="447">
        <f t="shared" si="1"/>
        <v>0</v>
      </c>
      <c r="Z21" s="375" t="str">
        <f>'9'!Z21</f>
        <v>SULEMAN  PRINT</v>
      </c>
      <c r="AA21" s="464">
        <f>'9'!AE21</f>
        <v>0</v>
      </c>
      <c r="AB21" s="460"/>
      <c r="AC21" s="462">
        <f t="shared" si="2"/>
        <v>0</v>
      </c>
      <c r="AD21" s="469"/>
      <c r="AE21" s="348">
        <f t="shared" si="3"/>
        <v>0</v>
      </c>
      <c r="AF21" s="563">
        <f>'9'!AF21+'10'!AB21</f>
        <v>0</v>
      </c>
      <c r="AG21" s="234">
        <f>'9'!AG21+'10'!AD21</f>
        <v>0</v>
      </c>
      <c r="AI21" s="391" t="s">
        <v>126</v>
      </c>
      <c r="AJ21" s="392">
        <f>'9'!AJ23</f>
        <v>0</v>
      </c>
    </row>
    <row r="22" spans="1:36" ht="27" customHeight="1" thickTop="1" thickBot="1">
      <c r="A22" s="486" t="s">
        <v>74</v>
      </c>
      <c r="B22" s="533">
        <f>SUM(B8:B21)</f>
        <v>0</v>
      </c>
      <c r="C22" s="534">
        <f>'9'!D22</f>
        <v>0</v>
      </c>
      <c r="D22" s="535">
        <f t="shared" ref="D22" si="4">B22+C22</f>
        <v>0</v>
      </c>
      <c r="F22" s="479" t="str">
        <f>'9'!F22</f>
        <v>SALEEM T JAM</v>
      </c>
      <c r="G22" s="406">
        <f>'CUSTOMERS REPORT'!Y566</f>
        <v>0</v>
      </c>
      <c r="H22" s="504">
        <f>'CUSTOMERS REPORT'!Z566</f>
        <v>0</v>
      </c>
      <c r="I22" s="406">
        <f>'CUSTOMERS REPORT'!AA566</f>
        <v>0</v>
      </c>
      <c r="J22" s="498">
        <f>'CUSTOMERS REPORT'!AB566</f>
        <v>0</v>
      </c>
      <c r="K22" s="498">
        <f>'CUSTOMERS REPORT'!AC566</f>
        <v>0</v>
      </c>
      <c r="L22" s="509">
        <f>'CUSTOMERS REPORT'!AD566</f>
        <v>0</v>
      </c>
      <c r="M22" s="414">
        <f>'9'!M22+'10'!G22</f>
        <v>0</v>
      </c>
      <c r="N22" s="412">
        <f>'9'!N22+'10'!J22</f>
        <v>0</v>
      </c>
      <c r="P22" s="433"/>
      <c r="Q22" s="438"/>
      <c r="S22" s="400" t="str">
        <f>'9'!S22</f>
        <v>COTTON</v>
      </c>
      <c r="T22" s="446">
        <f>'9'!X22</f>
        <v>0</v>
      </c>
      <c r="U22" s="456"/>
      <c r="V22" s="451">
        <f t="shared" si="0"/>
        <v>0</v>
      </c>
      <c r="W22" s="451"/>
      <c r="X22" s="447">
        <f t="shared" si="1"/>
        <v>0</v>
      </c>
      <c r="Z22" s="375" t="str">
        <f>'9'!Z22</f>
        <v>IRFAN VANILA</v>
      </c>
      <c r="AA22" s="464">
        <f>'9'!AE22</f>
        <v>0</v>
      </c>
      <c r="AB22" s="460"/>
      <c r="AC22" s="462">
        <f t="shared" si="2"/>
        <v>0</v>
      </c>
      <c r="AD22" s="469"/>
      <c r="AE22" s="348">
        <f t="shared" si="3"/>
        <v>0</v>
      </c>
      <c r="AF22" s="563">
        <f>'9'!AF22+'10'!AB22</f>
        <v>0</v>
      </c>
      <c r="AG22" s="234">
        <f>'9'!AG22+'10'!AD22</f>
        <v>0</v>
      </c>
      <c r="AI22" s="393">
        <f>R56</f>
        <v>0</v>
      </c>
      <c r="AJ22" s="394">
        <f>R56*1800</f>
        <v>0</v>
      </c>
    </row>
    <row r="23" spans="1:36" ht="27" customHeight="1" thickTop="1" thickBot="1">
      <c r="A23" s="715" t="str">
        <f>'9'!A23</f>
        <v>OFFICE FOOD</v>
      </c>
      <c r="B23" s="462"/>
      <c r="C23" s="536">
        <f>'9'!D23</f>
        <v>0</v>
      </c>
      <c r="D23" s="537">
        <f t="shared" ref="D23:D48" si="5">B23+C23</f>
        <v>0</v>
      </c>
      <c r="F23" s="479" t="str">
        <f>'9'!F23</f>
        <v>JAMSHAD BADEEN</v>
      </c>
      <c r="G23" s="406">
        <f>'CUSTOMERS REPORT'!Y602</f>
        <v>0</v>
      </c>
      <c r="H23" s="504">
        <f>'CUSTOMERS REPORT'!Z602</f>
        <v>0</v>
      </c>
      <c r="I23" s="406">
        <f>'CUSTOMERS REPORT'!AA602</f>
        <v>0</v>
      </c>
      <c r="J23" s="498">
        <f>'CUSTOMERS REPORT'!AB602</f>
        <v>0</v>
      </c>
      <c r="K23" s="498">
        <f>'CUSTOMERS REPORT'!AC602</f>
        <v>0</v>
      </c>
      <c r="L23" s="509">
        <f>'CUSTOMERS REPORT'!AD602</f>
        <v>0</v>
      </c>
      <c r="M23" s="414">
        <f>'9'!M23+'10'!G23</f>
        <v>0</v>
      </c>
      <c r="N23" s="412">
        <f>'9'!N23+'10'!J23</f>
        <v>0</v>
      </c>
      <c r="P23" s="190" t="s">
        <v>48</v>
      </c>
      <c r="Q23" s="439">
        <f>SUM(Q8:Q22)</f>
        <v>0</v>
      </c>
      <c r="S23" s="400" t="str">
        <f>'9'!S23</f>
        <v>WHITE 6</v>
      </c>
      <c r="T23" s="446">
        <f>'9'!X23</f>
        <v>0</v>
      </c>
      <c r="U23" s="456"/>
      <c r="V23" s="451">
        <f t="shared" si="0"/>
        <v>0</v>
      </c>
      <c r="W23" s="451"/>
      <c r="X23" s="447">
        <f t="shared" si="1"/>
        <v>0</v>
      </c>
      <c r="Z23" s="375" t="str">
        <f>'9'!Z23</f>
        <v>IRANI GHEE</v>
      </c>
      <c r="AA23" s="464">
        <f>'9'!AE23</f>
        <v>0</v>
      </c>
      <c r="AB23" s="460"/>
      <c r="AC23" s="462">
        <f t="shared" si="2"/>
        <v>0</v>
      </c>
      <c r="AD23" s="469"/>
      <c r="AE23" s="348">
        <f t="shared" si="3"/>
        <v>0</v>
      </c>
      <c r="AF23" s="563">
        <f>'9'!AF23+'10'!AB23</f>
        <v>0</v>
      </c>
      <c r="AG23" s="234">
        <f>'9'!AG23+'10'!AD23</f>
        <v>0</v>
      </c>
      <c r="AI23" s="395" t="s">
        <v>74</v>
      </c>
      <c r="AJ23" s="396">
        <f>AJ21+AJ22</f>
        <v>0</v>
      </c>
    </row>
    <row r="24" spans="1:36" ht="27" customHeight="1" thickTop="1" thickBot="1">
      <c r="A24" s="715" t="str">
        <f>'9'!A24</f>
        <v>LABOUR FOOD EXP</v>
      </c>
      <c r="B24" s="234"/>
      <c r="C24" s="348">
        <f>'9'!D24</f>
        <v>0</v>
      </c>
      <c r="D24" s="234">
        <f t="shared" si="5"/>
        <v>0</v>
      </c>
      <c r="F24" s="479" t="str">
        <f>'9'!F24</f>
        <v>SARFAZ MP</v>
      </c>
      <c r="G24" s="406">
        <f>'CUSTOMERS REPORT'!Y640</f>
        <v>0</v>
      </c>
      <c r="H24" s="504">
        <f>'CUSTOMERS REPORT'!Z640</f>
        <v>0</v>
      </c>
      <c r="I24" s="406">
        <f>'CUSTOMERS REPORT'!AA640</f>
        <v>0</v>
      </c>
      <c r="J24" s="498">
        <f>'CUSTOMERS REPORT'!AB640</f>
        <v>0</v>
      </c>
      <c r="K24" s="498">
        <f>'CUSTOMERS REPORT'!AC640</f>
        <v>0</v>
      </c>
      <c r="L24" s="509">
        <f>'CUSTOMERS REPORT'!AD640</f>
        <v>0</v>
      </c>
      <c r="M24" s="414">
        <f>'9'!M24+'10'!G24</f>
        <v>0</v>
      </c>
      <c r="N24" s="412">
        <f>'9'!N24+'10'!J24</f>
        <v>0</v>
      </c>
      <c r="P24" s="1514" t="s">
        <v>137</v>
      </c>
      <c r="Q24" s="1514"/>
      <c r="R24" t="s">
        <v>1</v>
      </c>
      <c r="S24" s="400" t="str">
        <f>'9'!S24</f>
        <v>ORANGE</v>
      </c>
      <c r="T24" s="446">
        <f>'9'!X24</f>
        <v>0</v>
      </c>
      <c r="U24" s="456"/>
      <c r="V24" s="451">
        <f t="shared" si="0"/>
        <v>0</v>
      </c>
      <c r="W24" s="451"/>
      <c r="X24" s="447">
        <f t="shared" si="1"/>
        <v>0</v>
      </c>
      <c r="Z24" s="375">
        <f>'9'!Z24</f>
        <v>0</v>
      </c>
      <c r="AA24" s="464">
        <f>'9'!AE24</f>
        <v>0</v>
      </c>
      <c r="AB24" s="734"/>
      <c r="AC24" s="462">
        <f t="shared" si="2"/>
        <v>0</v>
      </c>
      <c r="AD24" s="469"/>
      <c r="AE24" s="348">
        <f t="shared" si="3"/>
        <v>0</v>
      </c>
      <c r="AF24" s="563">
        <f>'9'!AF24+'10'!AB24</f>
        <v>0</v>
      </c>
      <c r="AG24" s="234">
        <f>'9'!AG24+'10'!AD24</f>
        <v>0</v>
      </c>
    </row>
    <row r="25" spans="1:36" ht="27" customHeight="1" thickTop="1" thickBot="1">
      <c r="A25" s="715" t="str">
        <f>'9'!A25</f>
        <v>OFFICE SALARY</v>
      </c>
      <c r="B25" s="234">
        <f>ATTENDANCE!U28</f>
        <v>0</v>
      </c>
      <c r="C25" s="348">
        <f>'9'!D25</f>
        <v>0</v>
      </c>
      <c r="D25" s="234">
        <f t="shared" si="5"/>
        <v>0</v>
      </c>
      <c r="F25" s="479" t="str">
        <f>'9'!F25</f>
        <v>AFZAL MATLI</v>
      </c>
      <c r="G25" s="406">
        <f>'CUSTOMERS REPORT'!Y678</f>
        <v>0</v>
      </c>
      <c r="H25" s="504">
        <f>'CUSTOMERS REPORT'!Z678</f>
        <v>0</v>
      </c>
      <c r="I25" s="406">
        <f>'CUSTOMERS REPORT'!AA678</f>
        <v>0</v>
      </c>
      <c r="J25" s="498">
        <f>'CUSTOMERS REPORT'!AB678</f>
        <v>0</v>
      </c>
      <c r="K25" s="498">
        <f>'CUSTOMERS REPORT'!AC678</f>
        <v>0</v>
      </c>
      <c r="L25" s="509">
        <f>'CUSTOMERS REPORT'!AD678</f>
        <v>0</v>
      </c>
      <c r="M25" s="414">
        <f>'9'!M25+'10'!G25</f>
        <v>0</v>
      </c>
      <c r="N25" s="412">
        <f>'9'!N25+'10'!J25</f>
        <v>0</v>
      </c>
      <c r="P25" s="434"/>
      <c r="Q25" s="440"/>
      <c r="S25" s="400" t="str">
        <f>'9'!S25</f>
        <v>MAKKI 7</v>
      </c>
      <c r="T25" s="446">
        <f>'9'!X25</f>
        <v>0</v>
      </c>
      <c r="U25" s="456"/>
      <c r="V25" s="451">
        <f t="shared" si="0"/>
        <v>0</v>
      </c>
      <c r="W25" s="451"/>
      <c r="X25" s="447">
        <f t="shared" si="1"/>
        <v>0</v>
      </c>
      <c r="Z25" s="375">
        <f>'9'!Z25</f>
        <v>0</v>
      </c>
      <c r="AA25" s="464">
        <f>'9'!AE25</f>
        <v>0</v>
      </c>
      <c r="AB25" s="745"/>
      <c r="AC25" s="462">
        <f t="shared" si="2"/>
        <v>0</v>
      </c>
      <c r="AD25" s="469"/>
      <c r="AE25" s="348">
        <f t="shared" si="3"/>
        <v>0</v>
      </c>
      <c r="AF25" s="563">
        <f>'9'!AF25+'10'!AB25</f>
        <v>0</v>
      </c>
      <c r="AG25" s="234">
        <f>'9'!AG25+'10'!AD25</f>
        <v>0</v>
      </c>
      <c r="AI25" s="397" t="s">
        <v>59</v>
      </c>
      <c r="AJ25" s="398">
        <f>AJ23-AJ10</f>
        <v>0</v>
      </c>
    </row>
    <row r="26" spans="1:36" ht="27" customHeight="1" thickTop="1">
      <c r="A26" s="715" t="str">
        <f>'9'!A26</f>
        <v>LABOUR SALARY</v>
      </c>
      <c r="B26" s="234"/>
      <c r="C26" s="348">
        <f>'9'!D26</f>
        <v>0</v>
      </c>
      <c r="D26" s="234">
        <f t="shared" ref="D26:D32" si="6">B26+C26</f>
        <v>0</v>
      </c>
      <c r="F26" s="479" t="str">
        <f>'9'!F26</f>
        <v xml:space="preserve">ABDUL RASHEED </v>
      </c>
      <c r="G26" s="406">
        <f>'CUSTOMERS REPORT'!Y716</f>
        <v>0</v>
      </c>
      <c r="H26" s="504">
        <f>'CUSTOMERS REPORT'!Z716</f>
        <v>0</v>
      </c>
      <c r="I26" s="406">
        <f>'CUSTOMERS REPORT'!AA716</f>
        <v>0</v>
      </c>
      <c r="J26" s="498">
        <f>'CUSTOMERS REPORT'!AB716</f>
        <v>0</v>
      </c>
      <c r="K26" s="498">
        <f>'CUSTOMERS REPORT'!AC716</f>
        <v>0</v>
      </c>
      <c r="L26" s="509">
        <f>'CUSTOMERS REPORT'!AD716</f>
        <v>0</v>
      </c>
      <c r="M26" s="414">
        <f>'9'!M26+'10'!G26</f>
        <v>0</v>
      </c>
      <c r="N26" s="412">
        <f>'9'!N26+'10'!J26</f>
        <v>0</v>
      </c>
      <c r="P26" s="433"/>
      <c r="Q26" s="438"/>
      <c r="R26" t="s">
        <v>1</v>
      </c>
      <c r="S26" s="400" t="str">
        <f>'9'!S26</f>
        <v>BLUE 125 GM</v>
      </c>
      <c r="T26" s="446">
        <f>'9'!X26</f>
        <v>0</v>
      </c>
      <c r="U26" s="456"/>
      <c r="V26" s="451">
        <f t="shared" si="0"/>
        <v>0</v>
      </c>
      <c r="W26" s="451"/>
      <c r="X26" s="447">
        <f t="shared" si="1"/>
        <v>0</v>
      </c>
      <c r="Z26" s="375">
        <f>'9'!Z26</f>
        <v>0</v>
      </c>
      <c r="AA26" s="464">
        <f>'9'!AE26</f>
        <v>0</v>
      </c>
      <c r="AB26" s="460"/>
      <c r="AC26" s="462">
        <f t="shared" si="2"/>
        <v>0</v>
      </c>
      <c r="AD26" s="469"/>
      <c r="AE26" s="348">
        <f t="shared" si="3"/>
        <v>0</v>
      </c>
      <c r="AF26" s="563">
        <f>'9'!AF26+'10'!AB26</f>
        <v>0</v>
      </c>
      <c r="AG26" s="234">
        <f>'9'!AG26+'10'!AD26</f>
        <v>0</v>
      </c>
    </row>
    <row r="27" spans="1:36" ht="27" customHeight="1">
      <c r="A27" s="715" t="str">
        <f>'9'!A27</f>
        <v>SHAHZORE</v>
      </c>
      <c r="B27" s="234"/>
      <c r="C27" s="348">
        <f>'9'!D27</f>
        <v>0</v>
      </c>
      <c r="D27" s="234">
        <f t="shared" si="6"/>
        <v>0</v>
      </c>
      <c r="F27" s="479" t="str">
        <f>'9'!F27</f>
        <v>SALEEM ORANGI</v>
      </c>
      <c r="G27" s="406">
        <f>'CUSTOMERS REPORT'!Y754</f>
        <v>0</v>
      </c>
      <c r="H27" s="504">
        <f>'CUSTOMERS REPORT'!Z754</f>
        <v>0</v>
      </c>
      <c r="I27" s="406">
        <f>'CUSTOMERS REPORT'!AA754</f>
        <v>0</v>
      </c>
      <c r="J27" s="498">
        <f>'CUSTOMERS REPORT'!AB754</f>
        <v>0</v>
      </c>
      <c r="K27" s="498">
        <f>'CUSTOMERS REPORT'!AC754</f>
        <v>0</v>
      </c>
      <c r="L27" s="509">
        <f>'CUSTOMERS REPORT'!AD754</f>
        <v>0</v>
      </c>
      <c r="M27" s="414">
        <f>'9'!M27+'10'!G27</f>
        <v>0</v>
      </c>
      <c r="N27" s="412">
        <f>'9'!N27+'10'!J27</f>
        <v>0</v>
      </c>
      <c r="P27" s="433"/>
      <c r="Q27" s="435"/>
      <c r="R27" t="s">
        <v>1</v>
      </c>
      <c r="S27" s="400" t="str">
        <f>'9'!S27</f>
        <v>MAKKI 5</v>
      </c>
      <c r="T27" s="446">
        <f>'9'!X27</f>
        <v>0</v>
      </c>
      <c r="U27" s="456"/>
      <c r="V27" s="451">
        <f t="shared" si="0"/>
        <v>0</v>
      </c>
      <c r="W27" s="451"/>
      <c r="X27" s="447">
        <f t="shared" si="1"/>
        <v>0</v>
      </c>
      <c r="Z27" s="375">
        <f>'9'!Z27</f>
        <v>0</v>
      </c>
      <c r="AA27" s="464">
        <f>'9'!AE27</f>
        <v>0</v>
      </c>
      <c r="AB27" s="460"/>
      <c r="AC27" s="462">
        <f t="shared" si="2"/>
        <v>0</v>
      </c>
      <c r="AD27" s="469"/>
      <c r="AE27" s="348">
        <f t="shared" si="3"/>
        <v>0</v>
      </c>
      <c r="AF27" s="563">
        <f>'9'!AF27+'10'!AB27</f>
        <v>0</v>
      </c>
      <c r="AG27" s="234">
        <f>'9'!AG27+'10'!AD27</f>
        <v>0</v>
      </c>
    </row>
    <row r="28" spans="1:36" ht="27" customHeight="1">
      <c r="A28" s="715" t="str">
        <f>'9'!A28</f>
        <v>GENERATOR</v>
      </c>
      <c r="B28" s="234"/>
      <c r="C28" s="348">
        <f>'9'!D28</f>
        <v>0</v>
      </c>
      <c r="D28" s="234">
        <f t="shared" si="6"/>
        <v>0</v>
      </c>
      <c r="F28" s="479" t="str">
        <f>'9'!F28</f>
        <v>AYAZ OUSTA</v>
      </c>
      <c r="G28" s="406">
        <f>'CUSTOMERS REPORT'!Y792</f>
        <v>0</v>
      </c>
      <c r="H28" s="504">
        <f>'CUSTOMERS REPORT'!Z792</f>
        <v>0</v>
      </c>
      <c r="I28" s="406">
        <f>'CUSTOMERS REPORT'!AA792</f>
        <v>0</v>
      </c>
      <c r="J28" s="498">
        <f>'CUSTOMERS REPORT'!AB792</f>
        <v>0</v>
      </c>
      <c r="K28" s="498">
        <f>'CUSTOMERS REPORT'!AC792</f>
        <v>0</v>
      </c>
      <c r="L28" s="509">
        <f>'CUSTOMERS REPORT'!AD792</f>
        <v>0</v>
      </c>
      <c r="M28" s="414">
        <f>'9'!M28+'10'!G28</f>
        <v>0</v>
      </c>
      <c r="N28" s="412">
        <f>'9'!N28+'10'!J28</f>
        <v>0</v>
      </c>
      <c r="P28" s="433"/>
      <c r="Q28" s="438"/>
      <c r="S28" s="400" t="str">
        <f>'9'!S28</f>
        <v>MAKKI 2 PES</v>
      </c>
      <c r="T28" s="446">
        <f>'9'!X28</f>
        <v>0</v>
      </c>
      <c r="U28" s="456"/>
      <c r="V28" s="451">
        <f t="shared" si="0"/>
        <v>0</v>
      </c>
      <c r="W28" s="451"/>
      <c r="X28" s="447">
        <f t="shared" si="1"/>
        <v>0</v>
      </c>
      <c r="Z28" s="375">
        <f>'9'!Z28</f>
        <v>0</v>
      </c>
      <c r="AA28" s="464">
        <f>'9'!AE28</f>
        <v>0</v>
      </c>
      <c r="AB28" s="460"/>
      <c r="AC28" s="462">
        <f t="shared" si="2"/>
        <v>0</v>
      </c>
      <c r="AD28" s="469"/>
      <c r="AE28" s="348">
        <f t="shared" si="3"/>
        <v>0</v>
      </c>
      <c r="AF28" s="563">
        <f>'9'!AF28+'10'!AB28</f>
        <v>0</v>
      </c>
      <c r="AG28" s="234">
        <f>'9'!AG28+'10'!AD28</f>
        <v>0</v>
      </c>
    </row>
    <row r="29" spans="1:36" ht="27" customHeight="1">
      <c r="A29" s="715" t="str">
        <f>'9'!A29</f>
        <v>PATROL FAW</v>
      </c>
      <c r="B29" s="234"/>
      <c r="C29" s="348">
        <f>'9'!D29</f>
        <v>0</v>
      </c>
      <c r="D29" s="234">
        <f t="shared" si="6"/>
        <v>0</v>
      </c>
      <c r="F29" s="479" t="str">
        <f>'9'!F29</f>
        <v>AZHAR BADEEN</v>
      </c>
      <c r="G29" s="406">
        <f>'CUSTOMERS REPORT'!Y830</f>
        <v>0</v>
      </c>
      <c r="H29" s="504">
        <f>'CUSTOMERS REPORT'!Z830</f>
        <v>0</v>
      </c>
      <c r="I29" s="406">
        <f>'CUSTOMERS REPORT'!AA830</f>
        <v>0</v>
      </c>
      <c r="J29" s="498">
        <f>'CUSTOMERS REPORT'!AB830</f>
        <v>0</v>
      </c>
      <c r="K29" s="498">
        <f>'CUSTOMERS REPORT'!AC830</f>
        <v>0</v>
      </c>
      <c r="L29" s="509">
        <f>'CUSTOMERS REPORT'!AD830</f>
        <v>0</v>
      </c>
      <c r="M29" s="414">
        <f>'9'!M29+'10'!G29</f>
        <v>0</v>
      </c>
      <c r="N29" s="412">
        <f>'9'!N29+'10'!J29</f>
        <v>0</v>
      </c>
      <c r="P29" s="433"/>
      <c r="Q29" s="441"/>
      <c r="S29" s="400" t="str">
        <f>'9'!S29</f>
        <v xml:space="preserve">PRIME </v>
      </c>
      <c r="T29" s="446">
        <f>'9'!X29</f>
        <v>0</v>
      </c>
      <c r="U29" s="456"/>
      <c r="V29" s="451">
        <f t="shared" si="0"/>
        <v>0</v>
      </c>
      <c r="W29" s="451"/>
      <c r="X29" s="447">
        <f t="shared" si="1"/>
        <v>0</v>
      </c>
      <c r="Z29" s="375">
        <f>'9'!Z29</f>
        <v>0</v>
      </c>
      <c r="AA29" s="464">
        <f>'9'!AE29</f>
        <v>0</v>
      </c>
      <c r="AB29" s="460"/>
      <c r="AC29" s="462">
        <f t="shared" si="2"/>
        <v>0</v>
      </c>
      <c r="AD29" s="469"/>
      <c r="AE29" s="348">
        <f t="shared" si="3"/>
        <v>0</v>
      </c>
      <c r="AF29" s="563">
        <f>'9'!AF29+'10'!AB29</f>
        <v>0</v>
      </c>
      <c r="AG29" s="234">
        <f>'9'!AG29+'10'!AD29</f>
        <v>0</v>
      </c>
    </row>
    <row r="30" spans="1:36" ht="27" customHeight="1">
      <c r="A30" s="715" t="str">
        <f>'9'!A30</f>
        <v>FOTON DIESEL</v>
      </c>
      <c r="B30" s="234"/>
      <c r="C30" s="348">
        <f>'9'!D30</f>
        <v>0</v>
      </c>
      <c r="D30" s="234">
        <f t="shared" si="6"/>
        <v>0</v>
      </c>
      <c r="F30" s="479" t="str">
        <f>'9'!F30</f>
        <v>FAISAL HUB</v>
      </c>
      <c r="G30" s="406">
        <f>'CUSTOMERS REPORT'!Y868</f>
        <v>0</v>
      </c>
      <c r="H30" s="504">
        <f>'CUSTOMERS REPORT'!Z868</f>
        <v>0</v>
      </c>
      <c r="I30" s="406">
        <f>'CUSTOMERS REPORT'!AA868</f>
        <v>0</v>
      </c>
      <c r="J30" s="498">
        <f>'CUSTOMERS REPORT'!AB868</f>
        <v>0</v>
      </c>
      <c r="K30" s="498">
        <f>'CUSTOMERS REPORT'!AC868</f>
        <v>0</v>
      </c>
      <c r="L30" s="509">
        <f>'CUSTOMERS REPORT'!AD868</f>
        <v>0</v>
      </c>
      <c r="M30" s="414">
        <f>'9'!M30+'10'!G30</f>
        <v>0</v>
      </c>
      <c r="N30" s="412">
        <f>'9'!N30+'10'!J30</f>
        <v>0</v>
      </c>
      <c r="P30" s="433"/>
      <c r="Q30" s="442"/>
      <c r="S30" s="400" t="str">
        <f>'9'!S30</f>
        <v>PRIMR 15</v>
      </c>
      <c r="T30" s="446">
        <f>'9'!X30</f>
        <v>0</v>
      </c>
      <c r="U30" s="456"/>
      <c r="V30" s="451">
        <f t="shared" si="0"/>
        <v>0</v>
      </c>
      <c r="W30" s="451"/>
      <c r="X30" s="447">
        <f t="shared" si="1"/>
        <v>0</v>
      </c>
      <c r="Z30" s="375">
        <f>'9'!Z30</f>
        <v>0</v>
      </c>
      <c r="AA30" s="464">
        <f>'9'!AE30</f>
        <v>0</v>
      </c>
      <c r="AB30" s="460"/>
      <c r="AC30" s="462">
        <f t="shared" si="2"/>
        <v>0</v>
      </c>
      <c r="AD30" s="469"/>
      <c r="AE30" s="348">
        <f t="shared" si="3"/>
        <v>0</v>
      </c>
      <c r="AF30" s="563">
        <f>'9'!AF30+'10'!AB30</f>
        <v>0</v>
      </c>
      <c r="AG30" s="234">
        <f>'9'!AG30+'10'!AD30</f>
        <v>0</v>
      </c>
    </row>
    <row r="31" spans="1:36" ht="27" customHeight="1" thickBot="1">
      <c r="A31" s="715" t="str">
        <f>'9'!A31</f>
        <v>UTILITY BILLS</v>
      </c>
      <c r="B31" s="234"/>
      <c r="C31" s="348">
        <f>'9'!D31</f>
        <v>0</v>
      </c>
      <c r="D31" s="234">
        <f t="shared" si="6"/>
        <v>0</v>
      </c>
      <c r="F31" s="479" t="str">
        <f>'9'!F31</f>
        <v>ABDUL RAHMAN</v>
      </c>
      <c r="G31" s="406">
        <f>'CUSTOMERS REPORT'!Y907</f>
        <v>0</v>
      </c>
      <c r="H31" s="504">
        <f>'CUSTOMERS REPORT'!Z907</f>
        <v>0</v>
      </c>
      <c r="I31" s="406">
        <f>'CUSTOMERS REPORT'!AA907</f>
        <v>0</v>
      </c>
      <c r="J31" s="498">
        <f>'CUSTOMERS REPORT'!AB907</f>
        <v>0</v>
      </c>
      <c r="K31" s="498">
        <f>'CUSTOMERS REPORT'!AC907</f>
        <v>0</v>
      </c>
      <c r="L31" s="509">
        <f>'CUSTOMERS REPORT'!AD907</f>
        <v>0</v>
      </c>
      <c r="M31" s="414">
        <f>'9'!M31+'10'!G31</f>
        <v>0</v>
      </c>
      <c r="N31" s="412">
        <f>'9'!N31+'10'!J31</f>
        <v>0</v>
      </c>
      <c r="P31" s="433"/>
      <c r="Q31" s="435"/>
      <c r="S31" s="400" t="str">
        <f>'9'!S31</f>
        <v>KARACHI</v>
      </c>
      <c r="T31" s="446">
        <f>'9'!X31</f>
        <v>0</v>
      </c>
      <c r="U31" s="456"/>
      <c r="V31" s="451">
        <f t="shared" si="0"/>
        <v>0</v>
      </c>
      <c r="W31" s="451"/>
      <c r="X31" s="447">
        <f t="shared" si="1"/>
        <v>0</v>
      </c>
      <c r="Z31" s="375">
        <f>'9'!Z31</f>
        <v>0</v>
      </c>
      <c r="AA31" s="464">
        <f>'9'!AE31</f>
        <v>0</v>
      </c>
      <c r="AB31" s="460"/>
      <c r="AC31" s="462">
        <f t="shared" si="2"/>
        <v>0</v>
      </c>
      <c r="AD31" s="469"/>
      <c r="AE31" s="348">
        <f t="shared" si="3"/>
        <v>0</v>
      </c>
      <c r="AF31" s="563">
        <f>'9'!AF31+'10'!AB31</f>
        <v>0</v>
      </c>
      <c r="AG31" s="234">
        <f>'9'!AG31+'10'!AD31</f>
        <v>0</v>
      </c>
      <c r="AI31" t="s">
        <v>1</v>
      </c>
    </row>
    <row r="32" spans="1:36" ht="27" customHeight="1" thickTop="1" thickBot="1">
      <c r="A32" s="715" t="str">
        <f>'9'!A32</f>
        <v>WOOD</v>
      </c>
      <c r="B32" s="234"/>
      <c r="C32" s="348">
        <f>'9'!D32</f>
        <v>0</v>
      </c>
      <c r="D32" s="234">
        <f t="shared" si="6"/>
        <v>0</v>
      </c>
      <c r="F32" s="479" t="str">
        <f>'9'!F32</f>
        <v>HAJI JAN GIWANI</v>
      </c>
      <c r="G32" s="406">
        <f>'CUSTOMERS REPORT'!Y946</f>
        <v>0</v>
      </c>
      <c r="H32" s="504">
        <f>'CUSTOMERS REPORT'!Z946</f>
        <v>0</v>
      </c>
      <c r="I32" s="406">
        <f>'CUSTOMERS REPORT'!AA946</f>
        <v>0</v>
      </c>
      <c r="J32" s="498">
        <f>'CUSTOMERS REPORT'!AB946</f>
        <v>0</v>
      </c>
      <c r="K32" s="498">
        <f>'CUSTOMERS REPORT'!AC946</f>
        <v>0</v>
      </c>
      <c r="L32" s="509">
        <f>'CUSTOMERS REPORT'!AD946</f>
        <v>0</v>
      </c>
      <c r="M32" s="414">
        <f>'9'!M32+'10'!G32</f>
        <v>0</v>
      </c>
      <c r="N32" s="412">
        <f>'9'!N32+'10'!J32</f>
        <v>0</v>
      </c>
      <c r="P32" s="190" t="s">
        <v>51</v>
      </c>
      <c r="Q32" s="439">
        <f>Q23-Q25-Q26-Q27-Q28-Q29-Q30-Q31</f>
        <v>0</v>
      </c>
      <c r="R32" t="s">
        <v>1</v>
      </c>
      <c r="S32" s="400" t="str">
        <f>'9'!S32</f>
        <v>MARVI</v>
      </c>
      <c r="T32" s="446">
        <f>'9'!X32</f>
        <v>0</v>
      </c>
      <c r="U32" s="456"/>
      <c r="V32" s="451">
        <f t="shared" si="0"/>
        <v>0</v>
      </c>
      <c r="W32" s="451"/>
      <c r="X32" s="447">
        <f t="shared" si="1"/>
        <v>0</v>
      </c>
      <c r="Z32" s="375">
        <f>'9'!Z32</f>
        <v>0</v>
      </c>
      <c r="AA32" s="464">
        <f>'9'!AE32</f>
        <v>0</v>
      </c>
      <c r="AB32" s="460"/>
      <c r="AC32" s="462">
        <f t="shared" si="2"/>
        <v>0</v>
      </c>
      <c r="AD32" s="469"/>
      <c r="AE32" s="348">
        <f t="shared" si="3"/>
        <v>0</v>
      </c>
      <c r="AF32" s="563">
        <f>'9'!AF32+'10'!AB32</f>
        <v>0</v>
      </c>
      <c r="AG32" s="234">
        <f>'9'!AG32+'10'!AD32</f>
        <v>0</v>
      </c>
    </row>
    <row r="33" spans="1:42" ht="27" customHeight="1" thickTop="1" thickBot="1">
      <c r="A33" s="716" t="str">
        <f>'9'!A33</f>
        <v>TOLL</v>
      </c>
      <c r="B33" s="538"/>
      <c r="C33" s="348">
        <f>'9'!D33</f>
        <v>0</v>
      </c>
      <c r="D33" s="234">
        <f t="shared" si="5"/>
        <v>0</v>
      </c>
      <c r="F33" s="479" t="str">
        <f>'9'!F33</f>
        <v>ALI QURESHI HYD</v>
      </c>
      <c r="G33" s="406">
        <f>'CUSTOMERS REPORT'!Y984</f>
        <v>0</v>
      </c>
      <c r="H33" s="504">
        <f>'CUSTOMERS REPORT'!Z984</f>
        <v>0</v>
      </c>
      <c r="I33" s="406">
        <f>'CUSTOMERS REPORT'!AA984</f>
        <v>0</v>
      </c>
      <c r="J33" s="498">
        <f>'CUSTOMERS REPORT'!AB984</f>
        <v>0</v>
      </c>
      <c r="K33" s="498">
        <f>'CUSTOMERS REPORT'!AC984</f>
        <v>0</v>
      </c>
      <c r="L33" s="509">
        <f>'CUSTOMERS REPORT'!AD984</f>
        <v>0</v>
      </c>
      <c r="M33" s="414">
        <f>'9'!M33+'10'!G33</f>
        <v>0</v>
      </c>
      <c r="N33" s="412">
        <f>'9'!N33+'10'!J33</f>
        <v>0</v>
      </c>
      <c r="P33" s="1499" t="s">
        <v>149</v>
      </c>
      <c r="Q33" s="1500"/>
      <c r="S33" s="400" t="str">
        <f>'9'!S33</f>
        <v>TS</v>
      </c>
      <c r="T33" s="446">
        <f>'9'!X33</f>
        <v>0</v>
      </c>
      <c r="U33" s="456"/>
      <c r="V33" s="451">
        <f t="shared" si="0"/>
        <v>0</v>
      </c>
      <c r="W33" s="451"/>
      <c r="X33" s="447">
        <f t="shared" si="1"/>
        <v>0</v>
      </c>
      <c r="Z33" s="375">
        <f>'9'!Z33</f>
        <v>0</v>
      </c>
      <c r="AA33" s="464">
        <f>'9'!AE33</f>
        <v>0</v>
      </c>
      <c r="AB33" s="460"/>
      <c r="AC33" s="462">
        <f t="shared" si="2"/>
        <v>0</v>
      </c>
      <c r="AD33" s="469"/>
      <c r="AE33" s="348">
        <f t="shared" si="3"/>
        <v>0</v>
      </c>
      <c r="AF33" s="563">
        <f>'9'!AF33+'10'!AB33</f>
        <v>0</v>
      </c>
      <c r="AG33" s="234">
        <f>'9'!AG33+'10'!AD33</f>
        <v>0</v>
      </c>
    </row>
    <row r="34" spans="1:42" ht="27" customHeight="1" thickTop="1" thickBot="1">
      <c r="A34" s="716" t="str">
        <f>'9'!A34</f>
        <v>FLOUR / SHGER</v>
      </c>
      <c r="B34" s="538"/>
      <c r="C34" s="348">
        <f>'9'!D34</f>
        <v>0</v>
      </c>
      <c r="D34" s="234">
        <f t="shared" si="5"/>
        <v>0</v>
      </c>
      <c r="F34" s="479" t="str">
        <f>'9'!F34</f>
        <v>ALI RAZA KAND KOT</v>
      </c>
      <c r="G34" s="406">
        <f>'CUSTOMERS REPORT'!Y1022</f>
        <v>0</v>
      </c>
      <c r="H34" s="504">
        <f>'CUSTOMERS REPORT'!Z1022</f>
        <v>0</v>
      </c>
      <c r="I34" s="406">
        <f>'CUSTOMERS REPORT'!AA1022</f>
        <v>0</v>
      </c>
      <c r="J34" s="498">
        <f>'CUSTOMERS REPORT'!AB1022</f>
        <v>0</v>
      </c>
      <c r="K34" s="498">
        <f>'CUSTOMERS REPORT'!AC1022</f>
        <v>0</v>
      </c>
      <c r="L34" s="509">
        <f>'CUSTOMERS REPORT'!AD1022</f>
        <v>0</v>
      </c>
      <c r="M34" s="414">
        <f>'9'!M34+'10'!G34</f>
        <v>0</v>
      </c>
      <c r="N34" s="412">
        <f>'9'!N34+'10'!J34</f>
        <v>0</v>
      </c>
      <c r="P34" s="220" t="s">
        <v>150</v>
      </c>
      <c r="Q34" s="223">
        <f>'9'!Q34</f>
        <v>0</v>
      </c>
      <c r="S34" s="400" t="str">
        <f>'9'!S34</f>
        <v>MAXI</v>
      </c>
      <c r="T34" s="446">
        <f>'9'!X34</f>
        <v>0</v>
      </c>
      <c r="U34" s="457"/>
      <c r="V34" s="452">
        <f t="shared" si="0"/>
        <v>0</v>
      </c>
      <c r="W34" s="452"/>
      <c r="X34" s="448">
        <f t="shared" si="1"/>
        <v>0</v>
      </c>
      <c r="Z34" s="375">
        <f>'9'!Z34</f>
        <v>0</v>
      </c>
      <c r="AA34" s="464">
        <f>'9'!AE34</f>
        <v>0</v>
      </c>
      <c r="AB34" s="460"/>
      <c r="AC34" s="462">
        <f t="shared" si="2"/>
        <v>0</v>
      </c>
      <c r="AD34" s="469"/>
      <c r="AE34" s="348">
        <f t="shared" si="3"/>
        <v>0</v>
      </c>
      <c r="AF34" s="563">
        <f>'9'!AF34+'10'!AB34</f>
        <v>0</v>
      </c>
      <c r="AG34" s="234">
        <f>'9'!AG34+'10'!AD34</f>
        <v>0</v>
      </c>
    </row>
    <row r="35" spans="1:42" ht="27" customHeight="1" thickTop="1">
      <c r="A35" s="716" t="str">
        <f>'9'!A35</f>
        <v>OVEN &amp; PP MACHINE</v>
      </c>
      <c r="B35" s="529"/>
      <c r="C35" s="348">
        <f>'9'!D35</f>
        <v>0</v>
      </c>
      <c r="D35" s="529">
        <f t="shared" si="5"/>
        <v>0</v>
      </c>
      <c r="F35" s="479" t="str">
        <f>'9'!F35</f>
        <v>IQBAL MORO</v>
      </c>
      <c r="G35" s="407">
        <f>'CUSTOMERS REPORT'!Y1060</f>
        <v>0</v>
      </c>
      <c r="H35" s="505">
        <f>'CUSTOMERS REPORT'!Z1060</f>
        <v>0</v>
      </c>
      <c r="I35" s="407">
        <f>'CUSTOMERS REPORT'!AA1060</f>
        <v>0</v>
      </c>
      <c r="J35" s="499">
        <f>'CUSTOMERS REPORT'!AB1060</f>
        <v>0</v>
      </c>
      <c r="K35" s="499">
        <f>'CUSTOMERS REPORT'!AC1060</f>
        <v>0</v>
      </c>
      <c r="L35" s="510">
        <f>'CUSTOMERS REPORT'!AD1060</f>
        <v>0</v>
      </c>
      <c r="M35" s="414">
        <f>'9'!M35+'10'!G35</f>
        <v>0</v>
      </c>
      <c r="N35" s="412">
        <f>'9'!N35+'10'!J35</f>
        <v>0</v>
      </c>
      <c r="P35" s="252" t="s">
        <v>151</v>
      </c>
      <c r="Q35" s="443">
        <f>'9'!Q35</f>
        <v>0</v>
      </c>
      <c r="R35" t="s">
        <v>1</v>
      </c>
      <c r="S35" s="400" t="str">
        <f>'9'!S35</f>
        <v>M A WHITE</v>
      </c>
      <c r="T35" s="446">
        <f>'9'!X35</f>
        <v>0</v>
      </c>
      <c r="U35" s="457"/>
      <c r="V35" s="452">
        <f t="shared" si="0"/>
        <v>0</v>
      </c>
      <c r="W35" s="452"/>
      <c r="X35" s="448">
        <f t="shared" si="1"/>
        <v>0</v>
      </c>
      <c r="Z35" s="375">
        <f>'9'!Z35</f>
        <v>0</v>
      </c>
      <c r="AA35" s="464">
        <f>'9'!AE35</f>
        <v>0</v>
      </c>
      <c r="AB35" s="460"/>
      <c r="AC35" s="462">
        <f t="shared" si="2"/>
        <v>0</v>
      </c>
      <c r="AD35" s="469"/>
      <c r="AE35" s="348">
        <f t="shared" si="3"/>
        <v>0</v>
      </c>
      <c r="AF35" s="563">
        <f>'9'!AF35+'10'!AB35</f>
        <v>0</v>
      </c>
      <c r="AG35" s="234">
        <f>'9'!AG35+'10'!AD35</f>
        <v>0</v>
      </c>
    </row>
    <row r="36" spans="1:42" ht="27" customHeight="1">
      <c r="A36" s="716" t="str">
        <f>'9'!A36</f>
        <v>zakat</v>
      </c>
      <c r="B36" s="539"/>
      <c r="C36" s="348">
        <f>'9'!D36</f>
        <v>0</v>
      </c>
      <c r="D36" s="529">
        <f t="shared" si="5"/>
        <v>0</v>
      </c>
      <c r="F36" s="479" t="str">
        <f>'9'!F36</f>
        <v>SARFARAZ T ADAM</v>
      </c>
      <c r="G36" s="407">
        <f>'CUSTOMERS REPORT'!Y1098</f>
        <v>0</v>
      </c>
      <c r="H36" s="505">
        <f>'CUSTOMERS REPORT'!Z1098</f>
        <v>0</v>
      </c>
      <c r="I36" s="407">
        <f>'CUSTOMERS REPORT'!AA1098</f>
        <v>0</v>
      </c>
      <c r="J36" s="499">
        <f>'CUSTOMERS REPORT'!AB1098</f>
        <v>0</v>
      </c>
      <c r="K36" s="499">
        <f>'CUSTOMERS REPORT'!AC1098</f>
        <v>0</v>
      </c>
      <c r="L36" s="510">
        <f>'CUSTOMERS REPORT'!AD1098</f>
        <v>0</v>
      </c>
      <c r="M36" s="414">
        <f>'9'!M36+'10'!G36</f>
        <v>0</v>
      </c>
      <c r="N36" s="412">
        <f>'9'!N36+'10'!J36</f>
        <v>0</v>
      </c>
      <c r="P36" s="372" t="s">
        <v>152</v>
      </c>
      <c r="Q36" s="444">
        <f>J48</f>
        <v>0</v>
      </c>
      <c r="R36" t="s">
        <v>1</v>
      </c>
      <c r="S36" s="400" t="str">
        <f>'9'!S36</f>
        <v>M A ORING</v>
      </c>
      <c r="T36" s="446">
        <f>'9'!X36</f>
        <v>0</v>
      </c>
      <c r="U36" s="456"/>
      <c r="V36" s="451">
        <f t="shared" si="0"/>
        <v>0</v>
      </c>
      <c r="W36" s="452"/>
      <c r="X36" s="448">
        <f t="shared" si="1"/>
        <v>0</v>
      </c>
      <c r="Z36" s="375">
        <f>'9'!Z36</f>
        <v>0</v>
      </c>
      <c r="AA36" s="464">
        <f>'9'!AE36</f>
        <v>0</v>
      </c>
      <c r="AB36" s="460"/>
      <c r="AC36" s="462">
        <f t="shared" si="2"/>
        <v>0</v>
      </c>
      <c r="AD36" s="469"/>
      <c r="AE36" s="348">
        <f t="shared" si="3"/>
        <v>0</v>
      </c>
      <c r="AF36" s="563">
        <f>'9'!AF36+'10'!AB36</f>
        <v>0</v>
      </c>
      <c r="AG36" s="234">
        <f>'9'!AG36+'10'!AD36</f>
        <v>0</v>
      </c>
    </row>
    <row r="37" spans="1:42" ht="27" customHeight="1">
      <c r="A37" s="716" t="str">
        <f>'9'!A37</f>
        <v>javeed manghopir</v>
      </c>
      <c r="B37" s="234"/>
      <c r="C37" s="348">
        <f>'9'!D37</f>
        <v>0</v>
      </c>
      <c r="D37" s="234">
        <f t="shared" si="5"/>
        <v>0</v>
      </c>
      <c r="F37" s="479" t="str">
        <f>'9'!F37</f>
        <v>MUMTAZ K N SHAH</v>
      </c>
      <c r="G37" s="406">
        <f>'CUSTOMERS REPORT'!Y1136</f>
        <v>0</v>
      </c>
      <c r="H37" s="504">
        <f>'CUSTOMERS REPORT'!Z1136</f>
        <v>0</v>
      </c>
      <c r="I37" s="406">
        <f>'CUSTOMERS REPORT'!AA1136</f>
        <v>0</v>
      </c>
      <c r="J37" s="498">
        <f>'CUSTOMERS REPORT'!AB1136</f>
        <v>0</v>
      </c>
      <c r="K37" s="498">
        <f>'CUSTOMERS REPORT'!AC1136</f>
        <v>0</v>
      </c>
      <c r="L37" s="509">
        <f>'CUSTOMERS REPORT'!AD1136</f>
        <v>0</v>
      </c>
      <c r="M37" s="414">
        <f>'9'!M37+'10'!G37</f>
        <v>0</v>
      </c>
      <c r="N37" s="412">
        <f>'9'!N37+'10'!J37</f>
        <v>0</v>
      </c>
      <c r="P37" s="373" t="s">
        <v>153</v>
      </c>
      <c r="Q37" s="445">
        <f>Q34+Q35+Q36</f>
        <v>0</v>
      </c>
      <c r="R37" t="s">
        <v>1</v>
      </c>
      <c r="S37" s="400">
        <f>'9'!S37</f>
        <v>0</v>
      </c>
      <c r="T37" s="446">
        <f>'9'!X37</f>
        <v>0</v>
      </c>
      <c r="U37" s="456"/>
      <c r="V37" s="451">
        <f t="shared" si="0"/>
        <v>0</v>
      </c>
      <c r="W37" s="452"/>
      <c r="X37" s="448">
        <f t="shared" si="1"/>
        <v>0</v>
      </c>
      <c r="Z37" s="375">
        <f>'9'!Z37</f>
        <v>0</v>
      </c>
      <c r="AA37" s="464">
        <f>'9'!AE37</f>
        <v>0</v>
      </c>
      <c r="AB37" s="460"/>
      <c r="AC37" s="462">
        <f t="shared" si="2"/>
        <v>0</v>
      </c>
      <c r="AD37" s="469"/>
      <c r="AE37" s="348">
        <f t="shared" si="3"/>
        <v>0</v>
      </c>
      <c r="AF37" s="563">
        <f>'9'!AF37+'10'!AB37</f>
        <v>0</v>
      </c>
      <c r="AG37" s="234">
        <f>'9'!AG37+'10'!AD37</f>
        <v>0</v>
      </c>
    </row>
    <row r="38" spans="1:42" ht="27" customHeight="1">
      <c r="A38" s="715" t="str">
        <f>'9'!A38</f>
        <v>EXSIS CASH</v>
      </c>
      <c r="B38" s="234"/>
      <c r="C38" s="348">
        <f>'9'!D38</f>
        <v>0</v>
      </c>
      <c r="D38" s="234">
        <f t="shared" ref="D38:D44" si="7">B38+C38</f>
        <v>0</v>
      </c>
      <c r="F38" s="479" t="str">
        <f>'9'!F38</f>
        <v>GHULAM RASOOL QU</v>
      </c>
      <c r="G38" s="408">
        <f>'CUSTOMERS REPORT'!Y1173</f>
        <v>0</v>
      </c>
      <c r="H38" s="506">
        <f>'CUSTOMERS REPORT'!Z1173</f>
        <v>0</v>
      </c>
      <c r="I38" s="408">
        <f>'CUSTOMERS REPORT'!AA1173</f>
        <v>0</v>
      </c>
      <c r="J38" s="500">
        <f>'CUSTOMERS REPORT'!AB1173</f>
        <v>0</v>
      </c>
      <c r="K38" s="500">
        <f>'CUSTOMERS REPORT'!AC1173</f>
        <v>0</v>
      </c>
      <c r="L38" s="511">
        <f>'CUSTOMERS REPORT'!AD1173</f>
        <v>0</v>
      </c>
      <c r="M38" s="414">
        <f>'9'!M38+'10'!G38</f>
        <v>0</v>
      </c>
      <c r="N38" s="412">
        <f>'9'!N38+'10'!J38</f>
        <v>0</v>
      </c>
      <c r="P38" s="373" t="s">
        <v>154</v>
      </c>
      <c r="Q38" s="445">
        <f>D48</f>
        <v>0</v>
      </c>
      <c r="S38" s="400">
        <f>'9'!S38</f>
        <v>0</v>
      </c>
      <c r="T38" s="446">
        <f>'9'!X38</f>
        <v>0</v>
      </c>
      <c r="U38" s="456"/>
      <c r="V38" s="451">
        <f t="shared" si="0"/>
        <v>0</v>
      </c>
      <c r="W38" s="452"/>
      <c r="X38" s="448">
        <f t="shared" si="1"/>
        <v>0</v>
      </c>
      <c r="Z38" s="375">
        <f>'9'!Z38</f>
        <v>0</v>
      </c>
      <c r="AA38" s="464">
        <f>'9'!AE38</f>
        <v>0</v>
      </c>
      <c r="AB38" s="460"/>
      <c r="AC38" s="462">
        <f t="shared" si="2"/>
        <v>0</v>
      </c>
      <c r="AD38" s="469"/>
      <c r="AE38" s="348">
        <f t="shared" si="3"/>
        <v>0</v>
      </c>
      <c r="AF38" s="563">
        <f>'9'!AF38+'10'!AB38</f>
        <v>0</v>
      </c>
      <c r="AG38" s="234">
        <f>'9'!AG38+'10'!AD38</f>
        <v>0</v>
      </c>
    </row>
    <row r="39" spans="1:42" ht="27" customHeight="1">
      <c r="A39" s="715" t="str">
        <f>'9'!A39</f>
        <v>SHORT CASH</v>
      </c>
      <c r="B39" s="234"/>
      <c r="C39" s="348">
        <f>'9'!D39</f>
        <v>0</v>
      </c>
      <c r="D39" s="550">
        <f t="shared" si="7"/>
        <v>0</v>
      </c>
      <c r="F39" s="479" t="str">
        <f>'9'!F39</f>
        <v>SHAMSHAD UNCLE</v>
      </c>
      <c r="G39" s="406">
        <f>'CUSTOMERS REPORT'!Y1210</f>
        <v>0</v>
      </c>
      <c r="H39" s="504">
        <f>'CUSTOMERS REPORT'!Z1210</f>
        <v>0</v>
      </c>
      <c r="I39" s="406">
        <f>'CUSTOMERS REPORT'!AA1210</f>
        <v>0</v>
      </c>
      <c r="J39" s="498">
        <f>'CUSTOMERS REPORT'!AB1210</f>
        <v>0</v>
      </c>
      <c r="K39" s="498">
        <f>'CUSTOMERS REPORT'!AC1210</f>
        <v>0</v>
      </c>
      <c r="L39" s="509">
        <f>'CUSTOMERS REPORT'!AD1210</f>
        <v>0</v>
      </c>
      <c r="M39" s="414">
        <f>'9'!M39+'10'!G39</f>
        <v>0</v>
      </c>
      <c r="N39" s="412">
        <f>'9'!N39+'10'!J39</f>
        <v>0</v>
      </c>
      <c r="P39" s="373" t="s">
        <v>109</v>
      </c>
      <c r="Q39" s="445">
        <f>'9'!Q39+'10'!Q25+'10'!Q26+'10'!Q27+'10'!Q28+'10'!Q29+'10'!Q30+'10'!Q31</f>
        <v>0</v>
      </c>
      <c r="R39" t="s">
        <v>1</v>
      </c>
      <c r="S39" s="400">
        <f>'9'!S39</f>
        <v>0</v>
      </c>
      <c r="T39" s="446">
        <f>'9'!X39</f>
        <v>0</v>
      </c>
      <c r="U39" s="456"/>
      <c r="V39" s="451">
        <f t="shared" si="0"/>
        <v>0</v>
      </c>
      <c r="W39" s="452"/>
      <c r="X39" s="448">
        <f t="shared" si="1"/>
        <v>0</v>
      </c>
      <c r="Z39" s="375">
        <f>'9'!Z39</f>
        <v>0</v>
      </c>
      <c r="AA39" s="464">
        <f>'9'!AE39</f>
        <v>0</v>
      </c>
      <c r="AB39" s="460"/>
      <c r="AC39" s="462">
        <f t="shared" si="2"/>
        <v>0</v>
      </c>
      <c r="AD39" s="469"/>
      <c r="AE39" s="348">
        <f t="shared" si="3"/>
        <v>0</v>
      </c>
      <c r="AF39" s="563">
        <f>'9'!AF39+'10'!AB39</f>
        <v>0</v>
      </c>
      <c r="AG39" s="234">
        <f>'9'!AG39+'10'!AD39</f>
        <v>0</v>
      </c>
    </row>
    <row r="40" spans="1:42" ht="27" customHeight="1" thickBot="1">
      <c r="A40" s="715" t="str">
        <f>'9'!A40</f>
        <v>ASSETS</v>
      </c>
      <c r="B40" s="234"/>
      <c r="C40" s="548">
        <f>'9'!D40</f>
        <v>0</v>
      </c>
      <c r="D40" s="234">
        <f t="shared" si="7"/>
        <v>0</v>
      </c>
      <c r="F40" s="479" t="str">
        <f>'9'!F40</f>
        <v>IBRAHEEM D.G KHAN</v>
      </c>
      <c r="G40" s="406">
        <f>'CUSTOMERS REPORT'!Y1247</f>
        <v>0</v>
      </c>
      <c r="H40" s="504">
        <f>'CUSTOMERS REPORT'!Z1247</f>
        <v>0</v>
      </c>
      <c r="I40" s="406">
        <f>'CUSTOMERS REPORT'!AA1247</f>
        <v>0</v>
      </c>
      <c r="J40" s="498">
        <f>'CUSTOMERS REPORT'!AB1247</f>
        <v>0</v>
      </c>
      <c r="K40" s="498">
        <f>'CUSTOMERS REPORT'!AC1247</f>
        <v>0</v>
      </c>
      <c r="L40" s="509">
        <f>'CUSTOMERS REPORT'!AD1247</f>
        <v>0</v>
      </c>
      <c r="M40" s="414">
        <f>'9'!M40+'10'!G40</f>
        <v>0</v>
      </c>
      <c r="N40" s="412">
        <f>'9'!N40+'10'!J40</f>
        <v>0</v>
      </c>
      <c r="P40" s="374" t="s">
        <v>155</v>
      </c>
      <c r="Q40" s="445">
        <f>Q48</f>
        <v>0</v>
      </c>
      <c r="S40" s="400">
        <f>'9'!S40</f>
        <v>0</v>
      </c>
      <c r="T40" s="446">
        <f>'9'!X40</f>
        <v>0</v>
      </c>
      <c r="U40" s="456"/>
      <c r="V40" s="451">
        <f t="shared" si="0"/>
        <v>0</v>
      </c>
      <c r="W40" s="452"/>
      <c r="X40" s="448">
        <f t="shared" si="1"/>
        <v>0</v>
      </c>
      <c r="Z40" s="375">
        <f>'9'!Z40</f>
        <v>0</v>
      </c>
      <c r="AA40" s="464">
        <f>'9'!AE40</f>
        <v>0</v>
      </c>
      <c r="AB40" s="460"/>
      <c r="AC40" s="462">
        <f t="shared" si="2"/>
        <v>0</v>
      </c>
      <c r="AD40" s="469"/>
      <c r="AE40" s="348">
        <f t="shared" si="3"/>
        <v>0</v>
      </c>
      <c r="AF40" s="563">
        <f>'9'!AF40+'10'!AB40</f>
        <v>0</v>
      </c>
      <c r="AG40" s="234">
        <f>'9'!AG40+'10'!AD40</f>
        <v>0</v>
      </c>
    </row>
    <row r="41" spans="1:42" ht="27" customHeight="1" thickTop="1" thickBot="1">
      <c r="A41" s="715" t="str">
        <f>'9'!A41</f>
        <v>BIKE.INSTALMINT</v>
      </c>
      <c r="B41" s="234"/>
      <c r="C41" s="348">
        <f>'9'!D41</f>
        <v>0</v>
      </c>
      <c r="D41" s="234">
        <f t="shared" si="7"/>
        <v>0</v>
      </c>
      <c r="E41" t="s">
        <v>1</v>
      </c>
      <c r="F41" s="479" t="str">
        <f>'9'!F41</f>
        <v>PISHAWAR</v>
      </c>
      <c r="G41" s="409">
        <f>'CUSTOMERS REPORT'!Y1284</f>
        <v>0</v>
      </c>
      <c r="H41" s="507">
        <f>'CUSTOMERS REPORT'!Z1284</f>
        <v>0</v>
      </c>
      <c r="I41" s="409">
        <f>'CUSTOMERS REPORT'!AA1284</f>
        <v>0</v>
      </c>
      <c r="J41" s="501">
        <f>'CUSTOMERS REPORT'!AB1284</f>
        <v>0</v>
      </c>
      <c r="K41" s="501">
        <f>'CUSTOMERS REPORT'!AC1284</f>
        <v>0</v>
      </c>
      <c r="L41" s="512">
        <f>'CUSTOMERS REPORT'!AD1284</f>
        <v>0</v>
      </c>
      <c r="M41" s="414">
        <f>'9'!M41+'10'!G41</f>
        <v>0</v>
      </c>
      <c r="N41" s="412">
        <f>'9'!N41+'10'!J41</f>
        <v>0</v>
      </c>
      <c r="P41" s="221" t="s">
        <v>51</v>
      </c>
      <c r="Q41" s="223">
        <f>Q37-Q38-Q39-Q40</f>
        <v>0</v>
      </c>
      <c r="S41" s="400">
        <f>'9'!S41</f>
        <v>0</v>
      </c>
      <c r="T41" s="446">
        <f>'9'!X41</f>
        <v>0</v>
      </c>
      <c r="U41" s="456"/>
      <c r="V41" s="451">
        <f t="shared" si="0"/>
        <v>0</v>
      </c>
      <c r="W41" s="452"/>
      <c r="X41" s="448">
        <f t="shared" si="1"/>
        <v>0</v>
      </c>
      <c r="Z41" s="375">
        <f>'9'!Z41</f>
        <v>0</v>
      </c>
      <c r="AA41" s="464">
        <f>'9'!AE41</f>
        <v>0</v>
      </c>
      <c r="AB41" s="460"/>
      <c r="AC41" s="462">
        <f t="shared" si="2"/>
        <v>0</v>
      </c>
      <c r="AD41" s="469"/>
      <c r="AE41" s="348">
        <f t="shared" si="3"/>
        <v>0</v>
      </c>
      <c r="AF41" s="563">
        <f>'9'!AF41+'10'!AB41</f>
        <v>0</v>
      </c>
      <c r="AG41" s="234">
        <f>'9'!AG41+'10'!AD41</f>
        <v>0</v>
      </c>
    </row>
    <row r="42" spans="1:42" ht="27" customHeight="1" thickTop="1" thickBot="1">
      <c r="A42" s="715" t="str">
        <f>'9'!A42</f>
        <v>B.C</v>
      </c>
      <c r="B42" s="529"/>
      <c r="C42" s="348">
        <f>'9'!D42</f>
        <v>0</v>
      </c>
      <c r="D42" s="529">
        <f t="shared" si="7"/>
        <v>0</v>
      </c>
      <c r="F42" s="479" t="str">
        <f>'9'!F42</f>
        <v>HUZAFA KOTRI</v>
      </c>
      <c r="G42" s="409">
        <f>'CUSTOMERS REPORT'!Y1321</f>
        <v>0</v>
      </c>
      <c r="H42" s="507">
        <f>'CUSTOMERS REPORT'!Z1321</f>
        <v>0</v>
      </c>
      <c r="I42" s="409">
        <f>'CUSTOMERS REPORT'!AA1321</f>
        <v>0</v>
      </c>
      <c r="J42" s="501">
        <f>'CUSTOMERS REPORT'!AB1321</f>
        <v>0</v>
      </c>
      <c r="K42" s="501">
        <f>'CUSTOMERS REPORT'!AC1321</f>
        <v>0</v>
      </c>
      <c r="L42" s="512">
        <f>'CUSTOMERS REPORT'!AD1321</f>
        <v>0</v>
      </c>
      <c r="M42" s="414">
        <f>'9'!M42+'10'!G42</f>
        <v>0</v>
      </c>
      <c r="N42" s="412">
        <f>'9'!N42+'10'!J42</f>
        <v>0</v>
      </c>
      <c r="P42" s="1499" t="s">
        <v>157</v>
      </c>
      <c r="Q42" s="1500"/>
      <c r="S42" s="400">
        <f>'9'!S42</f>
        <v>0</v>
      </c>
      <c r="T42" s="446">
        <f>'9'!X42</f>
        <v>0</v>
      </c>
      <c r="U42" s="458"/>
      <c r="V42" s="453">
        <f t="shared" si="0"/>
        <v>0</v>
      </c>
      <c r="W42" s="454"/>
      <c r="X42" s="449">
        <f t="shared" si="1"/>
        <v>0</v>
      </c>
      <c r="Z42" s="375">
        <f>'9'!Z42</f>
        <v>0</v>
      </c>
      <c r="AA42" s="464">
        <f>'9'!AE42</f>
        <v>0</v>
      </c>
      <c r="AB42" s="461"/>
      <c r="AC42" s="462">
        <f>AA42+AB42</f>
        <v>0</v>
      </c>
      <c r="AD42" s="470"/>
      <c r="AE42" s="348">
        <f t="shared" si="3"/>
        <v>0</v>
      </c>
      <c r="AF42" s="564">
        <f>'9'!AF42+'10'!AB42</f>
        <v>0</v>
      </c>
      <c r="AG42" s="572">
        <f>'9'!AG42+'10'!AD42</f>
        <v>0</v>
      </c>
    </row>
    <row r="43" spans="1:42" ht="27" customHeight="1" thickTop="1" thickBot="1">
      <c r="A43" s="715" t="str">
        <f>'9'!A43</f>
        <v>AQEEL</v>
      </c>
      <c r="B43" s="539"/>
      <c r="C43" s="348">
        <f>'9'!D43</f>
        <v>0</v>
      </c>
      <c r="D43" s="529">
        <f t="shared" si="7"/>
        <v>0</v>
      </c>
      <c r="F43" s="479" t="str">
        <f>'9'!F43</f>
        <v>ZAHID LAHORE</v>
      </c>
      <c r="G43" s="409">
        <f>'CUSTOMERS REPORT'!Y1358</f>
        <v>0</v>
      </c>
      <c r="H43" s="507">
        <f>'CUSTOMERS REPORT'!Z1358</f>
        <v>0</v>
      </c>
      <c r="I43" s="409">
        <f>'CUSTOMERS REPORT'!AA1358</f>
        <v>0</v>
      </c>
      <c r="J43" s="501">
        <f>'CUSTOMERS REPORT'!AB1358</f>
        <v>0</v>
      </c>
      <c r="K43" s="501">
        <f>'CUSTOMERS REPORT'!AC1358</f>
        <v>0</v>
      </c>
      <c r="L43" s="512">
        <f>'CUSTOMERS REPORT'!AD1358</f>
        <v>0</v>
      </c>
      <c r="M43" s="414">
        <f>'9'!M43+'10'!G43</f>
        <v>0</v>
      </c>
      <c r="N43" s="412">
        <f>'9'!N43+'10'!J43</f>
        <v>0</v>
      </c>
      <c r="P43" s="220" t="s">
        <v>124</v>
      </c>
      <c r="Q43" s="223">
        <f>'9'!Q48</f>
        <v>0</v>
      </c>
      <c r="R43" t="s">
        <v>1</v>
      </c>
      <c r="S43" s="400">
        <f>'9'!S43</f>
        <v>0</v>
      </c>
      <c r="T43" s="446">
        <f>'9'!X43</f>
        <v>0</v>
      </c>
      <c r="U43" s="358"/>
      <c r="V43" s="453">
        <f t="shared" si="0"/>
        <v>0</v>
      </c>
      <c r="W43" s="403"/>
      <c r="X43" s="449">
        <f t="shared" si="1"/>
        <v>0</v>
      </c>
      <c r="Z43" s="383"/>
      <c r="AA43" s="356">
        <f>SUM(AA8:AA42)</f>
        <v>0</v>
      </c>
      <c r="AB43" s="385">
        <f>SUM(AB8:AB42)</f>
        <v>0</v>
      </c>
      <c r="AC43" s="357" t="s">
        <v>74</v>
      </c>
      <c r="AD43" s="387">
        <f>SUM(AD8:AD42)</f>
        <v>0</v>
      </c>
      <c r="AE43" s="358">
        <f>SUM(AE8:AE42)</f>
        <v>0</v>
      </c>
      <c r="AF43" s="565">
        <f>SUM(AF8:AF42)</f>
        <v>0</v>
      </c>
      <c r="AG43" s="571">
        <f>SUM(AG8:AG42)</f>
        <v>0</v>
      </c>
    </row>
    <row r="44" spans="1:42" ht="27" customHeight="1" thickTop="1">
      <c r="A44" s="715" t="str">
        <f>'9'!A44</f>
        <v>M.YOUSUF</v>
      </c>
      <c r="B44" s="234"/>
      <c r="C44" s="348">
        <f>'9'!D44</f>
        <v>0</v>
      </c>
      <c r="D44" s="234">
        <f t="shared" si="7"/>
        <v>0</v>
      </c>
      <c r="F44" s="479" t="str">
        <f>'9'!F44</f>
        <v>CASH SALE</v>
      </c>
      <c r="G44" s="409">
        <f>'CUSTOMERS REPORT'!Y1395</f>
        <v>0</v>
      </c>
      <c r="H44" s="507">
        <f>'CUSTOMERS REPORT'!Z1395</f>
        <v>0</v>
      </c>
      <c r="I44" s="409">
        <f>'CUSTOMERS REPORT'!AA1395</f>
        <v>0</v>
      </c>
      <c r="J44" s="501">
        <f>'CUSTOMERS REPORT'!AB1395</f>
        <v>0</v>
      </c>
      <c r="K44" s="501">
        <f>'CUSTOMERS REPORT'!AC1395</f>
        <v>0</v>
      </c>
      <c r="L44" s="512">
        <f>'CUSTOMERS REPORT'!AD1395</f>
        <v>0</v>
      </c>
      <c r="M44" s="414">
        <f>'9'!M44+'10'!G44</f>
        <v>0</v>
      </c>
      <c r="N44" s="412">
        <f>'9'!N44+'10'!J44</f>
        <v>0</v>
      </c>
      <c r="P44" s="222" t="s">
        <v>114</v>
      </c>
      <c r="Q44" s="377">
        <f>J46</f>
        <v>0</v>
      </c>
      <c r="S44" s="400"/>
      <c r="T44" s="348"/>
      <c r="U44" s="306"/>
      <c r="V44" s="349"/>
      <c r="W44" s="351"/>
      <c r="X44" s="350"/>
      <c r="Z44" s="375"/>
      <c r="AA44" s="339"/>
      <c r="AB44" s="386">
        <f>'9'!AB45</f>
        <v>0</v>
      </c>
      <c r="AC44" s="340" t="s">
        <v>126</v>
      </c>
      <c r="AD44" s="388">
        <f>'9'!AD45</f>
        <v>0</v>
      </c>
      <c r="AE44" s="341"/>
      <c r="AF44" s="561"/>
      <c r="AG44" s="83" t="s">
        <v>1</v>
      </c>
    </row>
    <row r="45" spans="1:42" ht="27" customHeight="1" thickBot="1">
      <c r="A45" s="715" t="str">
        <f>'9'!A45</f>
        <v>SHAKEEL</v>
      </c>
      <c r="B45" s="234"/>
      <c r="C45" s="348">
        <f>'9'!D45</f>
        <v>0</v>
      </c>
      <c r="D45" s="234">
        <f t="shared" si="5"/>
        <v>0</v>
      </c>
      <c r="F45" s="479" t="str">
        <f>'9'!F45</f>
        <v xml:space="preserve">FREE </v>
      </c>
      <c r="G45" s="410">
        <f>'CUSTOMERS REPORT'!Y1432</f>
        <v>0</v>
      </c>
      <c r="H45" s="362">
        <f>'CUSTOMERS REPORT'!Z1432</f>
        <v>0</v>
      </c>
      <c r="I45" s="410">
        <f>'CUSTOMERS REPORT'!AA1432</f>
        <v>0</v>
      </c>
      <c r="J45" s="502">
        <f>'CUSTOMERS REPORT'!AB1432</f>
        <v>0</v>
      </c>
      <c r="K45" s="502">
        <f>'CUSTOMERS REPORT'!AC1432</f>
        <v>0</v>
      </c>
      <c r="L45" s="513">
        <f>'CUSTOMERS REPORT'!AD1432</f>
        <v>0</v>
      </c>
      <c r="M45" s="414">
        <f>'9'!M45+'10'!G45</f>
        <v>0</v>
      </c>
      <c r="N45" s="412">
        <f>'9'!N45+'10'!J45</f>
        <v>0</v>
      </c>
      <c r="P45" s="222" t="s">
        <v>153</v>
      </c>
      <c r="Q45" s="378">
        <f>Q43+Q44</f>
        <v>0</v>
      </c>
      <c r="S45" s="401"/>
      <c r="T45" s="352"/>
      <c r="U45" s="307"/>
      <c r="V45" s="353"/>
      <c r="W45" s="354"/>
      <c r="X45" s="355"/>
      <c r="Z45" s="384"/>
      <c r="AA45" s="359"/>
      <c r="AB45" s="390">
        <f>SUM(AB43:AB44)</f>
        <v>0</v>
      </c>
      <c r="AC45" s="360" t="s">
        <v>74</v>
      </c>
      <c r="AD45" s="389">
        <f>SUM(AD43:AD44)</f>
        <v>0</v>
      </c>
      <c r="AE45" s="361"/>
      <c r="AF45" s="562"/>
      <c r="AG45" s="573"/>
    </row>
    <row r="46" spans="1:42" ht="27" customHeight="1" thickTop="1" thickBot="1">
      <c r="A46" s="715" t="str">
        <f>'9'!A46</f>
        <v>ZAHID HUSSAN</v>
      </c>
      <c r="B46" s="234"/>
      <c r="C46" s="348">
        <f>'9'!D46</f>
        <v>0</v>
      </c>
      <c r="D46" s="234">
        <f t="shared" si="5"/>
        <v>0</v>
      </c>
      <c r="F46" s="369"/>
      <c r="G46" s="424">
        <f>SUM(G8:G45)</f>
        <v>0</v>
      </c>
      <c r="H46" s="1497" t="s">
        <v>160</v>
      </c>
      <c r="I46" s="1498"/>
      <c r="J46" s="421">
        <f>SUM(J8:J45)</f>
        <v>0</v>
      </c>
      <c r="K46" s="427">
        <f>SUM(K8:K45)</f>
        <v>0</v>
      </c>
      <c r="L46" s="431">
        <f>SUM(L8:L45)</f>
        <v>0</v>
      </c>
      <c r="M46" s="429">
        <f>SUM(M8:M45)</f>
        <v>0</v>
      </c>
      <c r="N46" s="430">
        <f>SUM(N8:N45)</f>
        <v>0</v>
      </c>
      <c r="P46" s="222" t="s">
        <v>154</v>
      </c>
      <c r="Q46" s="378">
        <f>B48</f>
        <v>0</v>
      </c>
      <c r="AO46" s="2"/>
      <c r="AP46" s="2"/>
    </row>
    <row r="47" spans="1:42" ht="27" customHeight="1" thickBot="1">
      <c r="A47" s="715" t="str">
        <f>'9'!A47</f>
        <v xml:space="preserve">INVESTOR </v>
      </c>
      <c r="B47" s="540"/>
      <c r="C47" s="348">
        <f>'9'!D47</f>
        <v>0</v>
      </c>
      <c r="D47" s="542">
        <f t="shared" si="5"/>
        <v>0</v>
      </c>
      <c r="F47" s="370"/>
      <c r="G47" s="425">
        <f>'9'!G48</f>
        <v>0</v>
      </c>
      <c r="H47" s="1512" t="s">
        <v>162</v>
      </c>
      <c r="I47" s="1513"/>
      <c r="J47" s="423">
        <f>'9'!J48</f>
        <v>0</v>
      </c>
      <c r="K47" s="423">
        <f>'9'!K48</f>
        <v>0</v>
      </c>
      <c r="L47" s="343"/>
      <c r="M47" s="344"/>
      <c r="N47" s="345"/>
      <c r="P47" s="375" t="s">
        <v>163</v>
      </c>
      <c r="Q47" s="378">
        <f>Q9+Q10+Q19+Q20+Q21+Q22</f>
        <v>0</v>
      </c>
      <c r="R47" s="19"/>
      <c r="S47" s="1489" t="s">
        <v>92</v>
      </c>
      <c r="T47" s="1516" t="s">
        <v>95</v>
      </c>
      <c r="U47" s="1518"/>
      <c r="V47" s="1518"/>
      <c r="W47" s="1517"/>
      <c r="X47" s="1516" t="s">
        <v>7</v>
      </c>
      <c r="Y47" s="1518"/>
      <c r="Z47" s="1517"/>
      <c r="AA47" s="1516" t="s">
        <v>8</v>
      </c>
      <c r="AB47" s="1517"/>
      <c r="AC47" s="1516" t="s">
        <v>9</v>
      </c>
      <c r="AD47" s="1518"/>
      <c r="AE47" s="1518"/>
      <c r="AF47" s="1518"/>
      <c r="AG47" s="1518"/>
      <c r="AH47" s="1518"/>
      <c r="AI47" s="1518"/>
      <c r="AJ47" s="1405" t="s">
        <v>10</v>
      </c>
      <c r="AK47" s="1406"/>
      <c r="AL47" s="1400" t="s">
        <v>289</v>
      </c>
      <c r="AM47" s="1401"/>
      <c r="AN47" s="842" t="s">
        <v>290</v>
      </c>
      <c r="AO47" s="962"/>
      <c r="AP47" s="19"/>
    </row>
    <row r="48" spans="1:42" ht="27" customHeight="1" thickTop="1" thickBot="1">
      <c r="A48" s="192" t="s">
        <v>74</v>
      </c>
      <c r="B48" s="544">
        <f>SUM(B22:B47)</f>
        <v>0</v>
      </c>
      <c r="C48" s="543">
        <f>'9'!D48</f>
        <v>0</v>
      </c>
      <c r="D48" s="544">
        <f t="shared" si="5"/>
        <v>0</v>
      </c>
      <c r="F48" s="371"/>
      <c r="G48" s="426">
        <f>G46+G47</f>
        <v>0</v>
      </c>
      <c r="H48" s="1495" t="s">
        <v>164</v>
      </c>
      <c r="I48" s="1496"/>
      <c r="J48" s="422">
        <f>J46+J47</f>
        <v>0</v>
      </c>
      <c r="K48" s="428">
        <f>K46+K47</f>
        <v>0</v>
      </c>
      <c r="L48" s="346"/>
      <c r="M48" s="347"/>
      <c r="N48" s="622">
        <f>G48-J48</f>
        <v>0</v>
      </c>
      <c r="P48" s="376" t="s">
        <v>155</v>
      </c>
      <c r="Q48" s="379">
        <f>Q45-Q46-Q47</f>
        <v>0</v>
      </c>
      <c r="R48" s="19"/>
      <c r="S48" s="1490"/>
      <c r="T48" s="482" t="s">
        <v>12</v>
      </c>
      <c r="U48" s="482" t="s">
        <v>13</v>
      </c>
      <c r="V48" s="482" t="s">
        <v>14</v>
      </c>
      <c r="W48" s="958" t="s">
        <v>263</v>
      </c>
      <c r="X48" s="482" t="s">
        <v>12</v>
      </c>
      <c r="Y48" s="482" t="s">
        <v>13</v>
      </c>
      <c r="Z48" s="482" t="s">
        <v>282</v>
      </c>
      <c r="AA48" s="482" t="s">
        <v>12</v>
      </c>
      <c r="AB48" s="482" t="s">
        <v>16</v>
      </c>
      <c r="AC48" s="482" t="s">
        <v>17</v>
      </c>
      <c r="AD48" s="482" t="s">
        <v>18</v>
      </c>
      <c r="AE48" s="482" t="s">
        <v>19</v>
      </c>
      <c r="AF48" s="484" t="s">
        <v>96</v>
      </c>
      <c r="AG48" s="484" t="s">
        <v>257</v>
      </c>
      <c r="AH48" s="482" t="s">
        <v>254</v>
      </c>
      <c r="AI48" s="482" t="s">
        <v>20</v>
      </c>
      <c r="AJ48" s="483" t="s">
        <v>300</v>
      </c>
      <c r="AK48" s="482" t="s">
        <v>301</v>
      </c>
      <c r="AL48" s="846" t="s">
        <v>284</v>
      </c>
      <c r="AM48" s="846" t="s">
        <v>288</v>
      </c>
      <c r="AN48" s="966" t="s">
        <v>291</v>
      </c>
      <c r="AO48" s="23"/>
      <c r="AP48" s="19"/>
    </row>
    <row r="49" spans="1:43" ht="24.95" customHeight="1" thickTop="1" thickBot="1">
      <c r="Q49" s="111">
        <f>Q48+Q41</f>
        <v>0</v>
      </c>
      <c r="R49" s="19"/>
      <c r="S49" s="865" t="s">
        <v>165</v>
      </c>
      <c r="T49" s="866">
        <f>'9'!T55</f>
        <v>0</v>
      </c>
      <c r="U49" s="866">
        <f>'9'!U55</f>
        <v>0</v>
      </c>
      <c r="V49" s="866">
        <f>'9'!V55</f>
        <v>0</v>
      </c>
      <c r="W49" s="866">
        <f>'9'!W55</f>
        <v>0</v>
      </c>
      <c r="X49" s="866">
        <f>'9'!X55</f>
        <v>0</v>
      </c>
      <c r="Y49" s="866">
        <f>'9'!Y55</f>
        <v>0</v>
      </c>
      <c r="Z49" s="866">
        <f>'9'!Z55</f>
        <v>0</v>
      </c>
      <c r="AA49" s="866">
        <f>'9'!AA55</f>
        <v>0</v>
      </c>
      <c r="AB49" s="866">
        <f>'9'!AB55</f>
        <v>0</v>
      </c>
      <c r="AC49" s="866">
        <f>'9'!AC55</f>
        <v>0</v>
      </c>
      <c r="AD49" s="866">
        <f>'9'!AD55</f>
        <v>0</v>
      </c>
      <c r="AE49" s="866">
        <f>'9'!AE55</f>
        <v>0</v>
      </c>
      <c r="AF49" s="866">
        <f>'9'!AF55</f>
        <v>0</v>
      </c>
      <c r="AG49" s="866">
        <f>'9'!AG55</f>
        <v>0</v>
      </c>
      <c r="AH49" s="866">
        <f>'9'!AH55</f>
        <v>0</v>
      </c>
      <c r="AI49" s="866">
        <f>'9'!AI55</f>
        <v>0</v>
      </c>
      <c r="AJ49" s="866">
        <f>'9'!AJ55</f>
        <v>0</v>
      </c>
      <c r="AK49" s="866">
        <f>'9'!AK55</f>
        <v>0</v>
      </c>
      <c r="AL49" s="866" t="e">
        <f>'9'!AL55</f>
        <v>#VALUE!</v>
      </c>
      <c r="AM49" s="866" t="e">
        <f>'9'!AM55</f>
        <v>#VALUE!</v>
      </c>
      <c r="AN49" s="872" t="e">
        <f>'9'!AN55</f>
        <v>#VALUE!</v>
      </c>
      <c r="AO49" s="963"/>
      <c r="AP49" s="19" t="s">
        <v>1</v>
      </c>
      <c r="AQ49" t="s">
        <v>1</v>
      </c>
    </row>
    <row r="50" spans="1:43" ht="24.95" customHeight="1" thickBot="1">
      <c r="C50" t="s">
        <v>1</v>
      </c>
      <c r="L50" s="417">
        <v>5000</v>
      </c>
      <c r="M50" s="417"/>
      <c r="N50" s="417">
        <f t="shared" ref="N50:N57" si="8">L50*M50</f>
        <v>0</v>
      </c>
      <c r="Q50" s="111"/>
      <c r="R50" s="19"/>
      <c r="S50" s="854" t="s">
        <v>166</v>
      </c>
      <c r="T50" s="852"/>
      <c r="U50" s="852"/>
      <c r="V50" s="852"/>
      <c r="W50" s="852"/>
      <c r="X50" s="852"/>
      <c r="Y50" s="852"/>
      <c r="Z50" s="852"/>
      <c r="AA50" s="852"/>
      <c r="AB50" s="852"/>
      <c r="AC50" s="852"/>
      <c r="AD50" s="852"/>
      <c r="AE50" s="852"/>
      <c r="AF50" s="852"/>
      <c r="AG50" s="855"/>
      <c r="AH50" s="852"/>
      <c r="AI50" s="852"/>
      <c r="AJ50" s="848"/>
      <c r="AK50" s="848"/>
      <c r="AL50" s="848"/>
      <c r="AM50" s="849"/>
      <c r="AN50" s="930"/>
      <c r="AO50" s="19"/>
      <c r="AP50" s="19"/>
    </row>
    <row r="51" spans="1:43" ht="24.95" customHeight="1" thickBot="1">
      <c r="L51" s="417">
        <v>1000</v>
      </c>
      <c r="M51" s="417"/>
      <c r="N51" s="417">
        <f t="shared" si="8"/>
        <v>0</v>
      </c>
      <c r="R51" s="19"/>
      <c r="S51" s="867" t="s">
        <v>91</v>
      </c>
      <c r="T51" s="868"/>
      <c r="U51" s="868"/>
      <c r="V51" s="868"/>
      <c r="W51" s="868"/>
      <c r="X51" s="868"/>
      <c r="Y51" s="868"/>
      <c r="Z51" s="868"/>
      <c r="AA51" s="868"/>
      <c r="AB51" s="868"/>
      <c r="AC51" s="868"/>
      <c r="AD51" s="868"/>
      <c r="AE51" s="868"/>
      <c r="AF51" s="868"/>
      <c r="AG51" s="869"/>
      <c r="AH51" s="868"/>
      <c r="AI51" s="870"/>
      <c r="AJ51" s="868"/>
      <c r="AK51" s="868"/>
      <c r="AL51" s="868"/>
      <c r="AM51" s="849"/>
      <c r="AN51" s="850"/>
      <c r="AO51" s="19"/>
      <c r="AP51" s="19"/>
    </row>
    <row r="52" spans="1:43" ht="24.95" customHeight="1" thickBot="1">
      <c r="L52" s="417">
        <v>500</v>
      </c>
      <c r="M52" s="417"/>
      <c r="N52" s="417">
        <f t="shared" si="8"/>
        <v>0</v>
      </c>
      <c r="O52" t="s">
        <v>1</v>
      </c>
      <c r="R52" s="19"/>
      <c r="S52" s="856" t="s">
        <v>167</v>
      </c>
      <c r="T52" s="857"/>
      <c r="U52" s="857"/>
      <c r="V52" s="857"/>
      <c r="W52" s="857"/>
      <c r="X52" s="857"/>
      <c r="Y52" s="857"/>
      <c r="Z52" s="857"/>
      <c r="AA52" s="857"/>
      <c r="AB52" s="857"/>
      <c r="AC52" s="857"/>
      <c r="AD52" s="857"/>
      <c r="AE52" s="857"/>
      <c r="AF52" s="857"/>
      <c r="AG52" s="858"/>
      <c r="AH52" s="859"/>
      <c r="AI52" s="860"/>
      <c r="AJ52" s="851"/>
      <c r="AK52" s="851"/>
      <c r="AL52" s="851"/>
      <c r="AM52" s="849"/>
      <c r="AN52" s="850"/>
      <c r="AO52" s="19"/>
      <c r="AP52" s="19"/>
    </row>
    <row r="53" spans="1:43" ht="24.95" customHeight="1" thickBot="1">
      <c r="L53" s="417">
        <v>100</v>
      </c>
      <c r="M53" s="417"/>
      <c r="N53" s="417">
        <f t="shared" si="8"/>
        <v>0</v>
      </c>
      <c r="R53" s="19"/>
      <c r="S53" s="871" t="s">
        <v>81</v>
      </c>
      <c r="T53" s="866">
        <f t="shared" ref="T53:AN53" si="9">SUM(T49+T50+T52)</f>
        <v>0</v>
      </c>
      <c r="U53" s="866">
        <f t="shared" si="9"/>
        <v>0</v>
      </c>
      <c r="V53" s="866">
        <f t="shared" si="9"/>
        <v>0</v>
      </c>
      <c r="W53" s="866">
        <f t="shared" si="9"/>
        <v>0</v>
      </c>
      <c r="X53" s="866">
        <f t="shared" si="9"/>
        <v>0</v>
      </c>
      <c r="Y53" s="866">
        <f t="shared" si="9"/>
        <v>0</v>
      </c>
      <c r="Z53" s="866">
        <f t="shared" si="9"/>
        <v>0</v>
      </c>
      <c r="AA53" s="866">
        <f t="shared" si="9"/>
        <v>0</v>
      </c>
      <c r="AB53" s="866">
        <f t="shared" si="9"/>
        <v>0</v>
      </c>
      <c r="AC53" s="866">
        <f t="shared" si="9"/>
        <v>0</v>
      </c>
      <c r="AD53" s="866">
        <f t="shared" si="9"/>
        <v>0</v>
      </c>
      <c r="AE53" s="866">
        <f t="shared" si="9"/>
        <v>0</v>
      </c>
      <c r="AF53" s="866">
        <f t="shared" si="9"/>
        <v>0</v>
      </c>
      <c r="AG53" s="866">
        <f t="shared" si="9"/>
        <v>0</v>
      </c>
      <c r="AH53" s="866">
        <f t="shared" si="9"/>
        <v>0</v>
      </c>
      <c r="AI53" s="866">
        <f t="shared" si="9"/>
        <v>0</v>
      </c>
      <c r="AJ53" s="866">
        <f t="shared" si="9"/>
        <v>0</v>
      </c>
      <c r="AK53" s="866">
        <f t="shared" si="9"/>
        <v>0</v>
      </c>
      <c r="AL53" s="866" t="e">
        <f t="shared" si="9"/>
        <v>#VALUE!</v>
      </c>
      <c r="AM53" s="866" t="e">
        <f t="shared" si="9"/>
        <v>#VALUE!</v>
      </c>
      <c r="AN53" s="872" t="e">
        <f t="shared" si="9"/>
        <v>#VALUE!</v>
      </c>
      <c r="AO53" s="963"/>
      <c r="AP53" s="19"/>
    </row>
    <row r="54" spans="1:43" ht="24.95" customHeight="1" thickBot="1">
      <c r="L54" s="417">
        <v>50</v>
      </c>
      <c r="M54" s="417"/>
      <c r="N54" s="417">
        <f t="shared" si="8"/>
        <v>0</v>
      </c>
      <c r="R54" s="19"/>
      <c r="S54" s="854" t="s">
        <v>168</v>
      </c>
      <c r="T54" s="852">
        <f>'CUSTOMERS REPORT'!B17+'CUSTOMERS REPORT'!B63+'CUSTOMERS REPORT'!B101+'CUSTOMERS REPORT'!B140+'CUSTOMERS REPORT'!B178+'CUSTOMERS REPORT'!B218+'CUSTOMERS REPORT'!B255+'CUSTOMERS REPORT'!B295+'CUSTOMERS REPORT'!B336+'CUSTOMERS REPORT'!B378+'CUSTOMERS REPORT'!B417+'CUSTOMERS REPORT'!B455+'CUSTOMERS REPORT'!B491+'CUSTOMERS REPORT'!B528+'CUSTOMERS REPORT'!B566+'CUSTOMERS REPORT'!B602+'CUSTOMERS REPORT'!B640+'CUSTOMERS REPORT'!B678+'CUSTOMERS REPORT'!B716+'CUSTOMERS REPORT'!B754+'CUSTOMERS REPORT'!B792+'CUSTOMERS REPORT'!B830+'CUSTOMERS REPORT'!B868+'CUSTOMERS REPORT'!B907+'CUSTOMERS REPORT'!B946+'CUSTOMERS REPORT'!B984+'CUSTOMERS REPORT'!B1022+'CUSTOMERS REPORT'!B1060+'CUSTOMERS REPORT'!B1098+'CUSTOMERS REPORT'!B1136+'CUSTOMERS REPORT'!B1173+'CUSTOMERS REPORT'!B1210+'CUSTOMERS REPORT'!B1247+'CUSTOMERS REPORT'!B1284+'CUSTOMERS REPORT'!B1321+'CUSTOMERS REPORT'!B1358+'CUSTOMERS REPORT'!B1431</f>
        <v>0</v>
      </c>
      <c r="U54" s="852">
        <f>'CUSTOMERS REPORT'!C17+'CUSTOMERS REPORT'!C63+'CUSTOMERS REPORT'!C101+'CUSTOMERS REPORT'!C140+'CUSTOMERS REPORT'!C178+'CUSTOMERS REPORT'!C218+'CUSTOMERS REPORT'!C255+'CUSTOMERS REPORT'!C295+'CUSTOMERS REPORT'!C336+'CUSTOMERS REPORT'!C378+'CUSTOMERS REPORT'!C417+'CUSTOMERS REPORT'!C455+'CUSTOMERS REPORT'!C491+'CUSTOMERS REPORT'!C528+'CUSTOMERS REPORT'!C566+'CUSTOMERS REPORT'!C602+'CUSTOMERS REPORT'!C640+'CUSTOMERS REPORT'!C678+'CUSTOMERS REPORT'!C716+'CUSTOMERS REPORT'!C754+'CUSTOMERS REPORT'!C792+'CUSTOMERS REPORT'!C830+'CUSTOMERS REPORT'!C868+'CUSTOMERS REPORT'!C907+'CUSTOMERS REPORT'!C946+'CUSTOMERS REPORT'!C984+'CUSTOMERS REPORT'!C1022+'CUSTOMERS REPORT'!C1060+'CUSTOMERS REPORT'!C1098+'CUSTOMERS REPORT'!C1136+'CUSTOMERS REPORT'!C1173+'CUSTOMERS REPORT'!C1210+'CUSTOMERS REPORT'!C1247+'CUSTOMERS REPORT'!C1284+'CUSTOMERS REPORT'!C1321+'CUSTOMERS REPORT'!C1358+'CUSTOMERS REPORT'!C1431</f>
        <v>0</v>
      </c>
      <c r="V54" s="852">
        <f>'CUSTOMERS REPORT'!D17+'CUSTOMERS REPORT'!D63+'CUSTOMERS REPORT'!D101+'CUSTOMERS REPORT'!D140+'CUSTOMERS REPORT'!D178+'CUSTOMERS REPORT'!D218+'CUSTOMERS REPORT'!D255+'CUSTOMERS REPORT'!D295+'CUSTOMERS REPORT'!D336+'CUSTOMERS REPORT'!D378+'CUSTOMERS REPORT'!D417+'CUSTOMERS REPORT'!D455+'CUSTOMERS REPORT'!D491+'CUSTOMERS REPORT'!D528+'CUSTOMERS REPORT'!D566+'CUSTOMERS REPORT'!D602+'CUSTOMERS REPORT'!D640+'CUSTOMERS REPORT'!D678+'CUSTOMERS REPORT'!D716+'CUSTOMERS REPORT'!D754+'CUSTOMERS REPORT'!D792+'CUSTOMERS REPORT'!D830+'CUSTOMERS REPORT'!D868+'CUSTOMERS REPORT'!D907+'CUSTOMERS REPORT'!D946+'CUSTOMERS REPORT'!D984+'CUSTOMERS REPORT'!D1022+'CUSTOMERS REPORT'!D1060+'CUSTOMERS REPORT'!D1098+'CUSTOMERS REPORT'!D1136+'CUSTOMERS REPORT'!D1173+'CUSTOMERS REPORT'!D1210+'CUSTOMERS REPORT'!D1247+'CUSTOMERS REPORT'!D1284+'CUSTOMERS REPORT'!D1321+'CUSTOMERS REPORT'!D1358+'CUSTOMERS REPORT'!D1431</f>
        <v>0</v>
      </c>
      <c r="W54" s="852">
        <f>'CUSTOMERS REPORT'!E17+'CUSTOMERS REPORT'!E63+'CUSTOMERS REPORT'!E101+'CUSTOMERS REPORT'!E140+'CUSTOMERS REPORT'!E178+'CUSTOMERS REPORT'!E218+'CUSTOMERS REPORT'!E255+'CUSTOMERS REPORT'!E295+'CUSTOMERS REPORT'!E336+'CUSTOMERS REPORT'!E378+'CUSTOMERS REPORT'!E417+'CUSTOMERS REPORT'!E455+'CUSTOMERS REPORT'!E491+'CUSTOMERS REPORT'!E528+'CUSTOMERS REPORT'!E566+'CUSTOMERS REPORT'!E602+'CUSTOMERS REPORT'!E640+'CUSTOMERS REPORT'!E678+'CUSTOMERS REPORT'!E716+'CUSTOMERS REPORT'!E754+'CUSTOMERS REPORT'!E792+'CUSTOMERS REPORT'!E830+'CUSTOMERS REPORT'!E868+'CUSTOMERS REPORT'!E907+'CUSTOMERS REPORT'!E946+'CUSTOMERS REPORT'!E984+'CUSTOMERS REPORT'!E1022+'CUSTOMERS REPORT'!E1060+'CUSTOMERS REPORT'!E1098+'CUSTOMERS REPORT'!E1136+'CUSTOMERS REPORT'!E1173+'CUSTOMERS REPORT'!E1210+'CUSTOMERS REPORT'!E1247+'CUSTOMERS REPORT'!E1284+'CUSTOMERS REPORT'!E1321+'CUSTOMERS REPORT'!E1358+'CUSTOMERS REPORT'!E1431</f>
        <v>0</v>
      </c>
      <c r="X54" s="852">
        <f>'CUSTOMERS REPORT'!F17+'CUSTOMERS REPORT'!F63+'CUSTOMERS REPORT'!F101+'CUSTOMERS REPORT'!F140+'CUSTOMERS REPORT'!F178+'CUSTOMERS REPORT'!F218+'CUSTOMERS REPORT'!F255+'CUSTOMERS REPORT'!F295+'CUSTOMERS REPORT'!F336+'CUSTOMERS REPORT'!F378+'CUSTOMERS REPORT'!F417+'CUSTOMERS REPORT'!F455+'CUSTOMERS REPORT'!F491+'CUSTOMERS REPORT'!F528+'CUSTOMERS REPORT'!F566+'CUSTOMERS REPORT'!F602+'CUSTOMERS REPORT'!F640+'CUSTOMERS REPORT'!F678+'CUSTOMERS REPORT'!F716+'CUSTOMERS REPORT'!F754+'CUSTOMERS REPORT'!F792+'CUSTOMERS REPORT'!F830+'CUSTOMERS REPORT'!F868+'CUSTOMERS REPORT'!F907+'CUSTOMERS REPORT'!F946+'CUSTOMERS REPORT'!F984+'CUSTOMERS REPORT'!F1022+'CUSTOMERS REPORT'!F1060+'CUSTOMERS REPORT'!F1098+'CUSTOMERS REPORT'!F1136+'CUSTOMERS REPORT'!F1173+'CUSTOMERS REPORT'!F1210+'CUSTOMERS REPORT'!F1247+'CUSTOMERS REPORT'!F1284+'CUSTOMERS REPORT'!F1321+'CUSTOMERS REPORT'!F1358+'CUSTOMERS REPORT'!F1431</f>
        <v>0</v>
      </c>
      <c r="Y54" s="852">
        <f>'CUSTOMERS REPORT'!G17+'CUSTOMERS REPORT'!G63+'CUSTOMERS REPORT'!G101+'CUSTOMERS REPORT'!G140+'CUSTOMERS REPORT'!G178+'CUSTOMERS REPORT'!G218+'CUSTOMERS REPORT'!G255+'CUSTOMERS REPORT'!G295+'CUSTOMERS REPORT'!G336+'CUSTOMERS REPORT'!G378+'CUSTOMERS REPORT'!G417+'CUSTOMERS REPORT'!G455+'CUSTOMERS REPORT'!G491+'CUSTOMERS REPORT'!G528+'CUSTOMERS REPORT'!G566+'CUSTOMERS REPORT'!G602+'CUSTOMERS REPORT'!G640+'CUSTOMERS REPORT'!G678+'CUSTOMERS REPORT'!G716+'CUSTOMERS REPORT'!G754+'CUSTOMERS REPORT'!G792+'CUSTOMERS REPORT'!G830+'CUSTOMERS REPORT'!G868+'CUSTOMERS REPORT'!G907+'CUSTOMERS REPORT'!G946+'CUSTOMERS REPORT'!G984+'CUSTOMERS REPORT'!G1022+'CUSTOMERS REPORT'!G1060+'CUSTOMERS REPORT'!G1098+'CUSTOMERS REPORT'!G1136+'CUSTOMERS REPORT'!G1173+'CUSTOMERS REPORT'!G1210+'CUSTOMERS REPORT'!G1247+'CUSTOMERS REPORT'!G1284+'CUSTOMERS REPORT'!G1321+'CUSTOMERS REPORT'!G1358+'CUSTOMERS REPORT'!G1431</f>
        <v>0</v>
      </c>
      <c r="Z54" s="852">
        <f>'CUSTOMERS REPORT'!H17+'CUSTOMERS REPORT'!H63+'CUSTOMERS REPORT'!H101+'CUSTOMERS REPORT'!H140+'CUSTOMERS REPORT'!H178+'CUSTOMERS REPORT'!H218+'CUSTOMERS REPORT'!H255+'CUSTOMERS REPORT'!H295+'CUSTOMERS REPORT'!H336+'CUSTOMERS REPORT'!H378+'CUSTOMERS REPORT'!H417+'CUSTOMERS REPORT'!H455+'CUSTOMERS REPORT'!H491+'CUSTOMERS REPORT'!H528+'CUSTOMERS REPORT'!H566+'CUSTOMERS REPORT'!H602+'CUSTOMERS REPORT'!H640+'CUSTOMERS REPORT'!H678+'CUSTOMERS REPORT'!H716+'CUSTOMERS REPORT'!H754+'CUSTOMERS REPORT'!H792+'CUSTOMERS REPORT'!H830+'CUSTOMERS REPORT'!H868+'CUSTOMERS REPORT'!H907+'CUSTOMERS REPORT'!H946+'CUSTOMERS REPORT'!H984+'CUSTOMERS REPORT'!H1022+'CUSTOMERS REPORT'!H1060+'CUSTOMERS REPORT'!H1098+'CUSTOMERS REPORT'!H1136+'CUSTOMERS REPORT'!H1173+'CUSTOMERS REPORT'!H1210+'CUSTOMERS REPORT'!H1247+'CUSTOMERS REPORT'!H1284+'CUSTOMERS REPORT'!H1321+'CUSTOMERS REPORT'!H1358+'CUSTOMERS REPORT'!H1431</f>
        <v>0</v>
      </c>
      <c r="AA54" s="852">
        <f>'CUSTOMERS REPORT'!I17+'CUSTOMERS REPORT'!I63+'CUSTOMERS REPORT'!I101+'CUSTOMERS REPORT'!I140+'CUSTOMERS REPORT'!I178+'CUSTOMERS REPORT'!I218+'CUSTOMERS REPORT'!I255+'CUSTOMERS REPORT'!I295+'CUSTOMERS REPORT'!I336+'CUSTOMERS REPORT'!I378+'CUSTOMERS REPORT'!I417+'CUSTOMERS REPORT'!I455+'CUSTOMERS REPORT'!I491+'CUSTOMERS REPORT'!I528+'CUSTOMERS REPORT'!I566+'CUSTOMERS REPORT'!I602+'CUSTOMERS REPORT'!I640+'CUSTOMERS REPORT'!I678+'CUSTOMERS REPORT'!I716+'CUSTOMERS REPORT'!I754+'CUSTOMERS REPORT'!I792+'CUSTOMERS REPORT'!I830+'CUSTOMERS REPORT'!I868+'CUSTOMERS REPORT'!I907+'CUSTOMERS REPORT'!I946+'CUSTOMERS REPORT'!I984+'CUSTOMERS REPORT'!I1022+'CUSTOMERS REPORT'!I1060+'CUSTOMERS REPORT'!I1098+'CUSTOMERS REPORT'!I1136+'CUSTOMERS REPORT'!I1173+'CUSTOMERS REPORT'!I1210+'CUSTOMERS REPORT'!I1247+'CUSTOMERS REPORT'!I1284+'CUSTOMERS REPORT'!I1321+'CUSTOMERS REPORT'!I1358+'CUSTOMERS REPORT'!I1431</f>
        <v>0</v>
      </c>
      <c r="AB54" s="852">
        <f>'CUSTOMERS REPORT'!J17+'CUSTOMERS REPORT'!J63+'CUSTOMERS REPORT'!J101+'CUSTOMERS REPORT'!J140+'CUSTOMERS REPORT'!J178+'CUSTOMERS REPORT'!J218+'CUSTOMERS REPORT'!J255+'CUSTOMERS REPORT'!J295+'CUSTOMERS REPORT'!J336+'CUSTOMERS REPORT'!J378+'CUSTOMERS REPORT'!J417+'CUSTOMERS REPORT'!J455+'CUSTOMERS REPORT'!J491+'CUSTOMERS REPORT'!J528+'CUSTOMERS REPORT'!J566+'CUSTOMERS REPORT'!J602+'CUSTOMERS REPORT'!J640+'CUSTOMERS REPORT'!J678+'CUSTOMERS REPORT'!J716+'CUSTOMERS REPORT'!J754+'CUSTOMERS REPORT'!J792+'CUSTOMERS REPORT'!J830+'CUSTOMERS REPORT'!J868+'CUSTOMERS REPORT'!J907+'CUSTOMERS REPORT'!J946+'CUSTOMERS REPORT'!J984+'CUSTOMERS REPORT'!J1022+'CUSTOMERS REPORT'!J1060+'CUSTOMERS REPORT'!J1098+'CUSTOMERS REPORT'!J1136+'CUSTOMERS REPORT'!J1173+'CUSTOMERS REPORT'!J1210+'CUSTOMERS REPORT'!J1247+'CUSTOMERS REPORT'!J1284+'CUSTOMERS REPORT'!J1321+'CUSTOMERS REPORT'!J1358+'CUSTOMERS REPORT'!J1431</f>
        <v>0</v>
      </c>
      <c r="AC54" s="852">
        <f>'CUSTOMERS REPORT'!K17+'CUSTOMERS REPORT'!K63+'CUSTOMERS REPORT'!K101+'CUSTOMERS REPORT'!K140+'CUSTOMERS REPORT'!K178+'CUSTOMERS REPORT'!K218+'CUSTOMERS REPORT'!K255+'CUSTOMERS REPORT'!K295+'CUSTOMERS REPORT'!K336+'CUSTOMERS REPORT'!K378+'CUSTOMERS REPORT'!K417+'CUSTOMERS REPORT'!K455+'CUSTOMERS REPORT'!K491+'CUSTOMERS REPORT'!K528+'CUSTOMERS REPORT'!K566+'CUSTOMERS REPORT'!K602+'CUSTOMERS REPORT'!K640+'CUSTOMERS REPORT'!K678+'CUSTOMERS REPORT'!K716+'CUSTOMERS REPORT'!K754+'CUSTOMERS REPORT'!K792+'CUSTOMERS REPORT'!K830+'CUSTOMERS REPORT'!K868+'CUSTOMERS REPORT'!K907+'CUSTOMERS REPORT'!K946+'CUSTOMERS REPORT'!K984+'CUSTOMERS REPORT'!K1022+'CUSTOMERS REPORT'!K1060+'CUSTOMERS REPORT'!K1098+'CUSTOMERS REPORT'!K1136+'CUSTOMERS REPORT'!K1173+'CUSTOMERS REPORT'!K1210+'CUSTOMERS REPORT'!K1247+'CUSTOMERS REPORT'!K1284+'CUSTOMERS REPORT'!K1321+'CUSTOMERS REPORT'!K1358+'CUSTOMERS REPORT'!K1431</f>
        <v>0</v>
      </c>
      <c r="AD54" s="852">
        <f>'CUSTOMERS REPORT'!L17+'CUSTOMERS REPORT'!L63+'CUSTOMERS REPORT'!L101+'CUSTOMERS REPORT'!L140+'CUSTOMERS REPORT'!L178+'CUSTOMERS REPORT'!L218+'CUSTOMERS REPORT'!L255+'CUSTOMERS REPORT'!L295+'CUSTOMERS REPORT'!L336+'CUSTOMERS REPORT'!L378+'CUSTOMERS REPORT'!L417+'CUSTOMERS REPORT'!L455+'CUSTOMERS REPORT'!L491+'CUSTOMERS REPORT'!L528+'CUSTOMERS REPORT'!L566+'CUSTOMERS REPORT'!L602+'CUSTOMERS REPORT'!L640+'CUSTOMERS REPORT'!L678+'CUSTOMERS REPORT'!L716+'CUSTOMERS REPORT'!L754+'CUSTOMERS REPORT'!L792+'CUSTOMERS REPORT'!L830+'CUSTOMERS REPORT'!L868+'CUSTOMERS REPORT'!L907+'CUSTOMERS REPORT'!L946+'CUSTOMERS REPORT'!L984+'CUSTOMERS REPORT'!L1022+'CUSTOMERS REPORT'!L1060+'CUSTOMERS REPORT'!L1098+'CUSTOMERS REPORT'!L1136+'CUSTOMERS REPORT'!L1173+'CUSTOMERS REPORT'!L1210+'CUSTOMERS REPORT'!L1247+'CUSTOMERS REPORT'!L1284+'CUSTOMERS REPORT'!L1321+'CUSTOMERS REPORT'!L1358+'CUSTOMERS REPORT'!L1431</f>
        <v>0</v>
      </c>
      <c r="AE54" s="852">
        <f>'CUSTOMERS REPORT'!M17+'CUSTOMERS REPORT'!M63+'CUSTOMERS REPORT'!M101+'CUSTOMERS REPORT'!M140+'CUSTOMERS REPORT'!M178+'CUSTOMERS REPORT'!M218+'CUSTOMERS REPORT'!M255+'CUSTOMERS REPORT'!M295+'CUSTOMERS REPORT'!M336+'CUSTOMERS REPORT'!M378+'CUSTOMERS REPORT'!M417+'CUSTOMERS REPORT'!M455+'CUSTOMERS REPORT'!M491+'CUSTOMERS REPORT'!M528+'CUSTOMERS REPORT'!M566+'CUSTOMERS REPORT'!M602+'CUSTOMERS REPORT'!M640+'CUSTOMERS REPORT'!M678+'CUSTOMERS REPORT'!M716+'CUSTOMERS REPORT'!M754+'CUSTOMERS REPORT'!M792+'CUSTOMERS REPORT'!M830+'CUSTOMERS REPORT'!M868+'CUSTOMERS REPORT'!M907+'CUSTOMERS REPORT'!M946+'CUSTOMERS REPORT'!M984+'CUSTOMERS REPORT'!M1022+'CUSTOMERS REPORT'!M1060+'CUSTOMERS REPORT'!M1098+'CUSTOMERS REPORT'!M1136+'CUSTOMERS REPORT'!M1173+'CUSTOMERS REPORT'!M1210+'CUSTOMERS REPORT'!M1247+'CUSTOMERS REPORT'!M1284+'CUSTOMERS REPORT'!M1321+'CUSTOMERS REPORT'!M1358+'CUSTOMERS REPORT'!M1431</f>
        <v>0</v>
      </c>
      <c r="AF54" s="852">
        <f>'CUSTOMERS REPORT'!N17+'CUSTOMERS REPORT'!N63+'CUSTOMERS REPORT'!N101+'CUSTOMERS REPORT'!N140+'CUSTOMERS REPORT'!N178+'CUSTOMERS REPORT'!N218+'CUSTOMERS REPORT'!N255+'CUSTOMERS REPORT'!N295+'CUSTOMERS REPORT'!N336+'CUSTOMERS REPORT'!N378+'CUSTOMERS REPORT'!N417+'CUSTOMERS REPORT'!N455+'CUSTOMERS REPORT'!N491+'CUSTOMERS REPORT'!N528+'CUSTOMERS REPORT'!N566+'CUSTOMERS REPORT'!N602+'CUSTOMERS REPORT'!N640+'CUSTOMERS REPORT'!N678+'CUSTOMERS REPORT'!N716+'CUSTOMERS REPORT'!N754+'CUSTOMERS REPORT'!N792+'CUSTOMERS REPORT'!N830+'CUSTOMERS REPORT'!N868+'CUSTOMERS REPORT'!N907+'CUSTOMERS REPORT'!N946+'CUSTOMERS REPORT'!N984+'CUSTOMERS REPORT'!N1022+'CUSTOMERS REPORT'!N1060+'CUSTOMERS REPORT'!N1098+'CUSTOMERS REPORT'!N1136+'CUSTOMERS REPORT'!N1173+'CUSTOMERS REPORT'!N1210+'CUSTOMERS REPORT'!N1247+'CUSTOMERS REPORT'!N1284+'CUSTOMERS REPORT'!N1321+'CUSTOMERS REPORT'!N1358+'CUSTOMERS REPORT'!N1431</f>
        <v>0</v>
      </c>
      <c r="AG54" s="852">
        <f>'CUSTOMERS REPORT'!O17+'CUSTOMERS REPORT'!O63+'CUSTOMERS REPORT'!O101+'CUSTOMERS REPORT'!O140+'CUSTOMERS REPORT'!O178+'CUSTOMERS REPORT'!O218+'CUSTOMERS REPORT'!O255+'CUSTOMERS REPORT'!O295+'CUSTOMERS REPORT'!O336+'CUSTOMERS REPORT'!O378+'CUSTOMERS REPORT'!O417+'CUSTOMERS REPORT'!O455+'CUSTOMERS REPORT'!O491+'CUSTOMERS REPORT'!O528+'CUSTOMERS REPORT'!O566+'CUSTOMERS REPORT'!O602+'CUSTOMERS REPORT'!O640+'CUSTOMERS REPORT'!O678+'CUSTOMERS REPORT'!O716+'CUSTOMERS REPORT'!O754+'CUSTOMERS REPORT'!O792+'CUSTOMERS REPORT'!O830+'CUSTOMERS REPORT'!O868+'CUSTOMERS REPORT'!O907+'CUSTOMERS REPORT'!O946+'CUSTOMERS REPORT'!O984+'CUSTOMERS REPORT'!O1022+'CUSTOMERS REPORT'!O1060+'CUSTOMERS REPORT'!O1098+'CUSTOMERS REPORT'!O1136+'CUSTOMERS REPORT'!O1173+'CUSTOMERS REPORT'!O1210+'CUSTOMERS REPORT'!O1247+'CUSTOMERS REPORT'!O1284+'CUSTOMERS REPORT'!O1321+'CUSTOMERS REPORT'!O1358+'CUSTOMERS REPORT'!O1431</f>
        <v>0</v>
      </c>
      <c r="AH54" s="852">
        <f>'CUSTOMERS REPORT'!P17+'CUSTOMERS REPORT'!P63+'CUSTOMERS REPORT'!P101+'CUSTOMERS REPORT'!P140+'CUSTOMERS REPORT'!P178+'CUSTOMERS REPORT'!P218+'CUSTOMERS REPORT'!P255+'CUSTOMERS REPORT'!P295+'CUSTOMERS REPORT'!P336+'CUSTOMERS REPORT'!P378+'CUSTOMERS REPORT'!P417+'CUSTOMERS REPORT'!P455+'CUSTOMERS REPORT'!P491+'CUSTOMERS REPORT'!P528+'CUSTOMERS REPORT'!P566+'CUSTOMERS REPORT'!P602+'CUSTOMERS REPORT'!P640+'CUSTOMERS REPORT'!P678+'CUSTOMERS REPORT'!P716+'CUSTOMERS REPORT'!P754+'CUSTOMERS REPORT'!P792+'CUSTOMERS REPORT'!P830+'CUSTOMERS REPORT'!P868+'CUSTOMERS REPORT'!P907+'CUSTOMERS REPORT'!P946+'CUSTOMERS REPORT'!P984+'CUSTOMERS REPORT'!P1022+'CUSTOMERS REPORT'!P1060+'CUSTOMERS REPORT'!P1098+'CUSTOMERS REPORT'!P1136+'CUSTOMERS REPORT'!P1173+'CUSTOMERS REPORT'!P1210+'CUSTOMERS REPORT'!P1247+'CUSTOMERS REPORT'!P1284+'CUSTOMERS REPORT'!P1321+'CUSTOMERS REPORT'!P1358+'CUSTOMERS REPORT'!P1431</f>
        <v>0</v>
      </c>
      <c r="AI54" s="852">
        <f>'CUSTOMERS REPORT'!Q17+'CUSTOMERS REPORT'!Q63+'CUSTOMERS REPORT'!Q101+'CUSTOMERS REPORT'!Q140+'CUSTOMERS REPORT'!Q178+'CUSTOMERS REPORT'!Q218+'CUSTOMERS REPORT'!Q255+'CUSTOMERS REPORT'!Q295+'CUSTOMERS REPORT'!Q336+'CUSTOMERS REPORT'!Q378+'CUSTOMERS REPORT'!Q417+'CUSTOMERS REPORT'!Q455+'CUSTOMERS REPORT'!Q491+'CUSTOMERS REPORT'!Q528+'CUSTOMERS REPORT'!Q566+'CUSTOMERS REPORT'!Q602+'CUSTOMERS REPORT'!Q640+'CUSTOMERS REPORT'!Q678+'CUSTOMERS REPORT'!Q716+'CUSTOMERS REPORT'!Q754+'CUSTOMERS REPORT'!Q792+'CUSTOMERS REPORT'!Q830+'CUSTOMERS REPORT'!Q868+'CUSTOMERS REPORT'!Q907+'CUSTOMERS REPORT'!Q946+'CUSTOMERS REPORT'!Q984+'CUSTOMERS REPORT'!Q1022+'CUSTOMERS REPORT'!Q1060+'CUSTOMERS REPORT'!Q1098+'CUSTOMERS REPORT'!Q1136+'CUSTOMERS REPORT'!Q1173+'CUSTOMERS REPORT'!Q1210+'CUSTOMERS REPORT'!Q1247+'CUSTOMERS REPORT'!Q1284+'CUSTOMERS REPORT'!Q1321+'CUSTOMERS REPORT'!Q1358+'CUSTOMERS REPORT'!Q1431</f>
        <v>0</v>
      </c>
      <c r="AJ54" s="852">
        <f>'CUSTOMERS REPORT'!R17+'CUSTOMERS REPORT'!R63+'CUSTOMERS REPORT'!R101+'CUSTOMERS REPORT'!R140+'CUSTOMERS REPORT'!R178+'CUSTOMERS REPORT'!R218+'CUSTOMERS REPORT'!R255+'CUSTOMERS REPORT'!R295+'CUSTOMERS REPORT'!R336+'CUSTOMERS REPORT'!R378+'CUSTOMERS REPORT'!R417+'CUSTOMERS REPORT'!R455+'CUSTOMERS REPORT'!R491+'CUSTOMERS REPORT'!R528+'CUSTOMERS REPORT'!R566+'CUSTOMERS REPORT'!R602+'CUSTOMERS REPORT'!R640+'CUSTOMERS REPORT'!R678+'CUSTOMERS REPORT'!R716+'CUSTOMERS REPORT'!R754+'CUSTOMERS REPORT'!R792+'CUSTOMERS REPORT'!R830+'CUSTOMERS REPORT'!R868+'CUSTOMERS REPORT'!R907+'CUSTOMERS REPORT'!R946+'CUSTOMERS REPORT'!R984+'CUSTOMERS REPORT'!R1022+'CUSTOMERS REPORT'!R1060+'CUSTOMERS REPORT'!R1098+'CUSTOMERS REPORT'!R1136+'CUSTOMERS REPORT'!R1173+'CUSTOMERS REPORT'!R1210+'CUSTOMERS REPORT'!R1247+'CUSTOMERS REPORT'!R1284+'CUSTOMERS REPORT'!R1321+'CUSTOMERS REPORT'!R1358+'CUSTOMERS REPORT'!R1431</f>
        <v>0</v>
      </c>
      <c r="AK54" s="852">
        <f>'CUSTOMERS REPORT'!S17+'CUSTOMERS REPORT'!S63+'CUSTOMERS REPORT'!S101+'CUSTOMERS REPORT'!S140+'CUSTOMERS REPORT'!S178+'CUSTOMERS REPORT'!S218+'CUSTOMERS REPORT'!S255+'CUSTOMERS REPORT'!S295+'CUSTOMERS REPORT'!S336+'CUSTOMERS REPORT'!S378+'CUSTOMERS REPORT'!S417+'CUSTOMERS REPORT'!S455+'CUSTOMERS REPORT'!S491+'CUSTOMERS REPORT'!S528+'CUSTOMERS REPORT'!S566+'CUSTOMERS REPORT'!S602+'CUSTOMERS REPORT'!S640+'CUSTOMERS REPORT'!S678+'CUSTOMERS REPORT'!S716+'CUSTOMERS REPORT'!S754+'CUSTOMERS REPORT'!S792+'CUSTOMERS REPORT'!S830+'CUSTOMERS REPORT'!S868+'CUSTOMERS REPORT'!S907+'CUSTOMERS REPORT'!S946+'CUSTOMERS REPORT'!S984+'CUSTOMERS REPORT'!S1022+'CUSTOMERS REPORT'!S1060+'CUSTOMERS REPORT'!S1098+'CUSTOMERS REPORT'!S1136+'CUSTOMERS REPORT'!S1173+'CUSTOMERS REPORT'!S1210+'CUSTOMERS REPORT'!S1247+'CUSTOMERS REPORT'!S1284+'CUSTOMERS REPORT'!S1321+'CUSTOMERS REPORT'!S1358+'CUSTOMERS REPORT'!S1431+'CUSTOMERS REPORT'!S1395</f>
        <v>0</v>
      </c>
      <c r="AL54" s="852">
        <f>'CUSTOMERS REPORT'!T17+'CUSTOMERS REPORT'!T63+'CUSTOMERS REPORT'!T101+'CUSTOMERS REPORT'!T140+'CUSTOMERS REPORT'!T178+'CUSTOMERS REPORT'!T218+'CUSTOMERS REPORT'!T255+'CUSTOMERS REPORT'!T295+'CUSTOMERS REPORT'!T336+'CUSTOMERS REPORT'!T378+'CUSTOMERS REPORT'!T417+'CUSTOMERS REPORT'!T455+'CUSTOMERS REPORT'!T491+'CUSTOMERS REPORT'!T528+'CUSTOMERS REPORT'!T566+'CUSTOMERS REPORT'!T602+'CUSTOMERS REPORT'!T640+'CUSTOMERS REPORT'!T678+'CUSTOMERS REPORT'!T716+'CUSTOMERS REPORT'!T754+'CUSTOMERS REPORT'!T792+'CUSTOMERS REPORT'!T830+'CUSTOMERS REPORT'!T868+'CUSTOMERS REPORT'!T907+'CUSTOMERS REPORT'!T946+'CUSTOMERS REPORT'!T984+'CUSTOMERS REPORT'!T1022+'CUSTOMERS REPORT'!T1060+'CUSTOMERS REPORT'!T1098+'CUSTOMERS REPORT'!T1136</f>
        <v>0</v>
      </c>
      <c r="AM54" s="852">
        <f>'CUSTOMERS REPORT'!U17+'CUSTOMERS REPORT'!U63+'CUSTOMERS REPORT'!U101+'CUSTOMERS REPORT'!U140+'CUSTOMERS REPORT'!U178+'CUSTOMERS REPORT'!U218+'CUSTOMERS REPORT'!U255+'CUSTOMERS REPORT'!U295+'CUSTOMERS REPORT'!U336+'CUSTOMERS REPORT'!U378+'CUSTOMERS REPORT'!U417+'CUSTOMERS REPORT'!U455+'CUSTOMERS REPORT'!U491+'CUSTOMERS REPORT'!U528+'CUSTOMERS REPORT'!U566+'CUSTOMERS REPORT'!U602+'CUSTOMERS REPORT'!U640+'CUSTOMERS REPORT'!U678+'CUSTOMERS REPORT'!U716+'CUSTOMERS REPORT'!U754+'CUSTOMERS REPORT'!U792+'CUSTOMERS REPORT'!U830+'CUSTOMERS REPORT'!U868+'CUSTOMERS REPORT'!U907+'CUSTOMERS REPORT'!U946+'CUSTOMERS REPORT'!U984+'CUSTOMERS REPORT'!U1022+'CUSTOMERS REPORT'!U1060+'CUSTOMERS REPORT'!U1098+'CUSTOMERS REPORT'!U1136</f>
        <v>0</v>
      </c>
      <c r="AN54" s="873">
        <f>'CUSTOMERS REPORT'!V17+'CUSTOMERS REPORT'!V63+'CUSTOMERS REPORT'!V101+'CUSTOMERS REPORT'!V140+'CUSTOMERS REPORT'!V178+'CUSTOMERS REPORT'!V218+'CUSTOMERS REPORT'!V255+'CUSTOMERS REPORT'!V295+'CUSTOMERS REPORT'!V336+'CUSTOMERS REPORT'!V378+'CUSTOMERS REPORT'!V417+'CUSTOMERS REPORT'!V455+'CUSTOMERS REPORT'!V491+'CUSTOMERS REPORT'!V528+'CUSTOMERS REPORT'!V566+'CUSTOMERS REPORT'!V602+'CUSTOMERS REPORT'!V640+'CUSTOMERS REPORT'!V678+'CUSTOMERS REPORT'!V716+'CUSTOMERS REPORT'!V754+'CUSTOMERS REPORT'!V792+'CUSTOMERS REPORT'!V830+'CUSTOMERS REPORT'!V868+'CUSTOMERS REPORT'!V907+'CUSTOMERS REPORT'!V946+'CUSTOMERS REPORT'!V984+'CUSTOMERS REPORT'!V1022+'CUSTOMERS REPORT'!V1060+'CUSTOMERS REPORT'!V1098+'CUSTOMERS REPORT'!V1136</f>
        <v>0</v>
      </c>
      <c r="AO54" s="964"/>
      <c r="AP54" s="19" t="s">
        <v>1</v>
      </c>
      <c r="AQ54" t="s">
        <v>1</v>
      </c>
    </row>
    <row r="55" spans="1:43" ht="24.95" customHeight="1" thickBot="1">
      <c r="L55" s="417">
        <v>20</v>
      </c>
      <c r="M55" s="417"/>
      <c r="N55" s="417">
        <f t="shared" si="8"/>
        <v>0</v>
      </c>
      <c r="R55" s="123">
        <f>'9'!R57</f>
        <v>0</v>
      </c>
      <c r="S55" s="865" t="s">
        <v>169</v>
      </c>
      <c r="T55" s="866">
        <f t="shared" ref="T55:AN55" si="10">T53-T54-T51</f>
        <v>0</v>
      </c>
      <c r="U55" s="866">
        <f t="shared" si="10"/>
        <v>0</v>
      </c>
      <c r="V55" s="866">
        <f t="shared" si="10"/>
        <v>0</v>
      </c>
      <c r="W55" s="866">
        <f t="shared" si="10"/>
        <v>0</v>
      </c>
      <c r="X55" s="866">
        <f t="shared" si="10"/>
        <v>0</v>
      </c>
      <c r="Y55" s="866">
        <f t="shared" si="10"/>
        <v>0</v>
      </c>
      <c r="Z55" s="866">
        <f t="shared" si="10"/>
        <v>0</v>
      </c>
      <c r="AA55" s="866">
        <f t="shared" si="10"/>
        <v>0</v>
      </c>
      <c r="AB55" s="866">
        <f t="shared" si="10"/>
        <v>0</v>
      </c>
      <c r="AC55" s="866">
        <f t="shared" si="10"/>
        <v>0</v>
      </c>
      <c r="AD55" s="866">
        <f t="shared" si="10"/>
        <v>0</v>
      </c>
      <c r="AE55" s="866">
        <f t="shared" si="10"/>
        <v>0</v>
      </c>
      <c r="AF55" s="866">
        <f>AF53-AF54-AF51</f>
        <v>0</v>
      </c>
      <c r="AG55" s="866">
        <f t="shared" si="10"/>
        <v>0</v>
      </c>
      <c r="AH55" s="866">
        <f t="shared" si="10"/>
        <v>0</v>
      </c>
      <c r="AI55" s="866">
        <f t="shared" si="10"/>
        <v>0</v>
      </c>
      <c r="AJ55" s="866">
        <f t="shared" si="10"/>
        <v>0</v>
      </c>
      <c r="AK55" s="866">
        <f t="shared" si="10"/>
        <v>0</v>
      </c>
      <c r="AL55" s="866" t="e">
        <f t="shared" si="10"/>
        <v>#VALUE!</v>
      </c>
      <c r="AM55" s="866" t="e">
        <f t="shared" si="10"/>
        <v>#VALUE!</v>
      </c>
      <c r="AN55" s="872" t="e">
        <f t="shared" si="10"/>
        <v>#VALUE!</v>
      </c>
      <c r="AO55" s="963"/>
      <c r="AP55" s="19"/>
    </row>
    <row r="56" spans="1:43" ht="28.5" thickBot="1">
      <c r="A56" s="114"/>
      <c r="B56" s="120"/>
      <c r="C56" s="115"/>
      <c r="L56" s="417">
        <v>10</v>
      </c>
      <c r="M56" s="417"/>
      <c r="N56" s="417">
        <f t="shared" si="8"/>
        <v>0</v>
      </c>
      <c r="R56" s="123">
        <f>T56+U56+V56+W56+X56+Y56+Z56+AA56+AB56+AC56+AD56+AE56+AF56+AG56+AH56+AI56+AJ56+AK56+AL56+AM56+AN56+AO56</f>
        <v>0</v>
      </c>
      <c r="S56" s="874" t="s">
        <v>170</v>
      </c>
      <c r="T56" s="875"/>
      <c r="U56" s="875"/>
      <c r="V56" s="875"/>
      <c r="W56" s="875"/>
      <c r="X56" s="875"/>
      <c r="Y56" s="875"/>
      <c r="Z56" s="876"/>
      <c r="AA56" s="875"/>
      <c r="AB56" s="875"/>
      <c r="AC56" s="875"/>
      <c r="AD56" s="875"/>
      <c r="AE56" s="875"/>
      <c r="AF56" s="875"/>
      <c r="AG56" s="875"/>
      <c r="AH56" s="875"/>
      <c r="AI56" s="875"/>
      <c r="AJ56" s="877"/>
      <c r="AK56" s="877"/>
      <c r="AL56" s="877"/>
      <c r="AM56" s="52"/>
      <c r="AN56" s="928"/>
      <c r="AO56" s="19"/>
      <c r="AP56" s="19"/>
    </row>
    <row r="57" spans="1:43" ht="27" customHeight="1" thickBot="1">
      <c r="A57" s="114"/>
      <c r="B57" s="131"/>
      <c r="C57" s="115"/>
      <c r="D57" s="115"/>
      <c r="E57" s="19"/>
      <c r="F57" s="19"/>
      <c r="G57" s="19"/>
      <c r="H57" s="19"/>
      <c r="I57" s="19"/>
      <c r="J57" s="19"/>
      <c r="K57" s="19"/>
      <c r="L57" s="418">
        <v>1</v>
      </c>
      <c r="M57" s="418"/>
      <c r="N57" s="417">
        <f t="shared" si="8"/>
        <v>0</v>
      </c>
      <c r="O57" s="19"/>
      <c r="R57" s="123">
        <f>SUM(R55:R56)</f>
        <v>0</v>
      </c>
      <c r="S57" s="882" t="s">
        <v>23</v>
      </c>
      <c r="T57" s="883" t="e">
        <f t="shared" ref="T57:AI57" si="11">T50/T56</f>
        <v>#DIV/0!</v>
      </c>
      <c r="U57" s="883" t="e">
        <f t="shared" si="11"/>
        <v>#DIV/0!</v>
      </c>
      <c r="V57" s="883" t="e">
        <f t="shared" si="11"/>
        <v>#DIV/0!</v>
      </c>
      <c r="W57" s="883" t="e">
        <f t="shared" si="11"/>
        <v>#DIV/0!</v>
      </c>
      <c r="X57" s="883" t="e">
        <f t="shared" si="11"/>
        <v>#DIV/0!</v>
      </c>
      <c r="Y57" s="883" t="e">
        <f t="shared" si="11"/>
        <v>#DIV/0!</v>
      </c>
      <c r="Z57" s="883" t="e">
        <f t="shared" si="11"/>
        <v>#DIV/0!</v>
      </c>
      <c r="AA57" s="883" t="e">
        <f t="shared" si="11"/>
        <v>#DIV/0!</v>
      </c>
      <c r="AB57" s="883" t="e">
        <f t="shared" si="11"/>
        <v>#DIV/0!</v>
      </c>
      <c r="AC57" s="883" t="e">
        <f t="shared" si="11"/>
        <v>#DIV/0!</v>
      </c>
      <c r="AD57" s="883" t="e">
        <f t="shared" si="11"/>
        <v>#DIV/0!</v>
      </c>
      <c r="AE57" s="883" t="e">
        <f t="shared" si="11"/>
        <v>#DIV/0!</v>
      </c>
      <c r="AF57" s="883" t="e">
        <f t="shared" si="11"/>
        <v>#DIV/0!</v>
      </c>
      <c r="AG57" s="883" t="e">
        <f t="shared" si="11"/>
        <v>#DIV/0!</v>
      </c>
      <c r="AH57" s="883" t="e">
        <f t="shared" si="11"/>
        <v>#DIV/0!</v>
      </c>
      <c r="AI57" s="883" t="e">
        <f t="shared" si="11"/>
        <v>#DIV/0!</v>
      </c>
      <c r="AJ57" s="883" t="e">
        <f>AJ50/AJ56</f>
        <v>#DIV/0!</v>
      </c>
      <c r="AK57" s="883" t="e">
        <f>AK50/AK56</f>
        <v>#DIV/0!</v>
      </c>
      <c r="AL57" s="883" t="e">
        <f t="shared" ref="AL57:AN57" si="12">AL50/AL56</f>
        <v>#DIV/0!</v>
      </c>
      <c r="AM57" s="883" t="e">
        <f t="shared" si="12"/>
        <v>#DIV/0!</v>
      </c>
      <c r="AN57" s="884" t="e">
        <f t="shared" si="12"/>
        <v>#DIV/0!</v>
      </c>
      <c r="AO57" s="965"/>
      <c r="AP57" s="19"/>
    </row>
    <row r="58" spans="1:43" ht="27" customHeight="1" thickBot="1">
      <c r="A58" s="114"/>
      <c r="B58" s="131"/>
      <c r="C58" s="115"/>
      <c r="D58" s="115" t="s">
        <v>1</v>
      </c>
      <c r="L58" s="1501" t="s">
        <v>171</v>
      </c>
      <c r="M58" s="1501"/>
      <c r="N58" s="419">
        <f>SUM(N50:N57)</f>
        <v>0</v>
      </c>
      <c r="P58">
        <v>1560</v>
      </c>
      <c r="R58" s="19"/>
      <c r="S58" s="878" t="s">
        <v>172</v>
      </c>
      <c r="T58" s="879">
        <f>T54</f>
        <v>0</v>
      </c>
      <c r="U58" s="879">
        <f t="shared" ref="U58:AI58" si="13">U54</f>
        <v>0</v>
      </c>
      <c r="V58" s="879">
        <f t="shared" si="13"/>
        <v>0</v>
      </c>
      <c r="W58" s="879">
        <f t="shared" si="13"/>
        <v>0</v>
      </c>
      <c r="X58" s="879">
        <f t="shared" si="13"/>
        <v>0</v>
      </c>
      <c r="Y58" s="879">
        <f t="shared" si="13"/>
        <v>0</v>
      </c>
      <c r="Z58" s="879">
        <f t="shared" si="13"/>
        <v>0</v>
      </c>
      <c r="AA58" s="879">
        <f t="shared" si="13"/>
        <v>0</v>
      </c>
      <c r="AB58" s="879">
        <f t="shared" si="13"/>
        <v>0</v>
      </c>
      <c r="AC58" s="879">
        <f t="shared" si="13"/>
        <v>0</v>
      </c>
      <c r="AD58" s="879">
        <f t="shared" si="13"/>
        <v>0</v>
      </c>
      <c r="AE58" s="879">
        <f t="shared" si="13"/>
        <v>0</v>
      </c>
      <c r="AF58" s="879">
        <f t="shared" si="13"/>
        <v>0</v>
      </c>
      <c r="AG58" s="879">
        <f t="shared" si="13"/>
        <v>0</v>
      </c>
      <c r="AH58" s="879">
        <f t="shared" si="13"/>
        <v>0</v>
      </c>
      <c r="AI58" s="879">
        <f t="shared" si="13"/>
        <v>0</v>
      </c>
      <c r="AJ58" s="879">
        <f>AJ54</f>
        <v>0</v>
      </c>
      <c r="AK58" s="879">
        <f>AK54</f>
        <v>0</v>
      </c>
      <c r="AL58" s="879">
        <f t="shared" ref="AL58" si="14">AL54</f>
        <v>0</v>
      </c>
      <c r="AM58" s="880"/>
      <c r="AN58" s="881"/>
      <c r="AO58" s="19"/>
      <c r="AP58" s="19"/>
    </row>
    <row r="59" spans="1:43" ht="27" customHeight="1">
      <c r="A59" s="114"/>
      <c r="B59" s="132"/>
      <c r="C59" s="115"/>
      <c r="D59" s="115" t="s">
        <v>1</v>
      </c>
      <c r="K59" t="s">
        <v>1</v>
      </c>
      <c r="L59" s="1486" t="s">
        <v>173</v>
      </c>
      <c r="M59" s="1486"/>
      <c r="N59" s="420">
        <f>N58-Q48</f>
        <v>0</v>
      </c>
      <c r="P59" s="616">
        <f>N58-P58</f>
        <v>-1560</v>
      </c>
      <c r="R59" s="19"/>
      <c r="S59" s="114"/>
      <c r="T59" s="121"/>
      <c r="U59" s="121"/>
      <c r="V59" s="121"/>
      <c r="W59" s="121"/>
      <c r="X59" s="121"/>
      <c r="Y59" s="121"/>
      <c r="Z59" s="122"/>
      <c r="AA59" s="121"/>
      <c r="AB59" s="121"/>
      <c r="AC59" s="121"/>
      <c r="AD59" s="121"/>
      <c r="AE59" s="121"/>
      <c r="AF59" s="121"/>
      <c r="AG59" s="121"/>
      <c r="AH59" s="119"/>
      <c r="AI59" s="119"/>
      <c r="AO59" s="2"/>
      <c r="AP59" s="2"/>
    </row>
    <row r="60" spans="1:43" ht="23.25">
      <c r="A60" s="114"/>
      <c r="B60" s="132"/>
      <c r="C60" s="115"/>
      <c r="D60" s="115"/>
      <c r="P60" s="19"/>
      <c r="Q60" s="19" t="s">
        <v>1</v>
      </c>
      <c r="R60" s="19"/>
      <c r="S60" s="19"/>
      <c r="U60" t="s">
        <v>1</v>
      </c>
    </row>
    <row r="61" spans="1:43" ht="23.25">
      <c r="A61" s="114"/>
      <c r="B61" s="132"/>
      <c r="C61" s="115"/>
      <c r="D61" s="116"/>
      <c r="M61" t="s">
        <v>1</v>
      </c>
      <c r="P61" s="185"/>
      <c r="Q61" s="186"/>
      <c r="R61" s="19"/>
      <c r="S61" s="19"/>
      <c r="U61" t="s">
        <v>1</v>
      </c>
    </row>
    <row r="62" spans="1:43" ht="20.25">
      <c r="C62" s="116"/>
      <c r="P62" s="19"/>
      <c r="Q62" s="19"/>
      <c r="R62" s="19"/>
      <c r="S62" s="19"/>
      <c r="U62" t="s">
        <v>1</v>
      </c>
    </row>
    <row r="63" spans="1:43">
      <c r="E63" s="19"/>
    </row>
    <row r="64" spans="1:43">
      <c r="E64" s="19"/>
      <c r="J64" t="s">
        <v>3</v>
      </c>
    </row>
    <row r="65" spans="3:5" ht="21">
      <c r="C65" s="251"/>
      <c r="E65" s="19"/>
    </row>
    <row r="66" spans="3:5">
      <c r="E66" s="49"/>
    </row>
    <row r="67" spans="3:5" ht="23.25">
      <c r="E67" s="113"/>
    </row>
  </sheetData>
  <mergeCells count="21">
    <mergeCell ref="L59:M59"/>
    <mergeCell ref="T47:W47"/>
    <mergeCell ref="X47:Z47"/>
    <mergeCell ref="S47:S48"/>
    <mergeCell ref="AJ47:AK47"/>
    <mergeCell ref="AL47:AM47"/>
    <mergeCell ref="AI7:AJ7"/>
    <mergeCell ref="AI20:AJ20"/>
    <mergeCell ref="L58:M58"/>
    <mergeCell ref="A6:Q6"/>
    <mergeCell ref="S6:AE6"/>
    <mergeCell ref="A7:B7"/>
    <mergeCell ref="P7:Q7"/>
    <mergeCell ref="H48:I48"/>
    <mergeCell ref="P24:Q24"/>
    <mergeCell ref="P33:Q33"/>
    <mergeCell ref="P42:Q42"/>
    <mergeCell ref="H46:I46"/>
    <mergeCell ref="H47:I47"/>
    <mergeCell ref="AA47:AB47"/>
    <mergeCell ref="AC47:AI47"/>
  </mergeCells>
  <conditionalFormatting sqref="M48:N48">
    <cfRule type="duplicateValues" dxfId="454" priority="45"/>
    <cfRule type="duplicateValues" dxfId="453" priority="46"/>
    <cfRule type="duplicateValues" dxfId="452" priority="47"/>
    <cfRule type="duplicateValues" dxfId="451" priority="48"/>
  </conditionalFormatting>
  <conditionalFormatting sqref="L48 N48">
    <cfRule type="cellIs" dxfId="450" priority="44" operator="equal">
      <formula>66890</formula>
    </cfRule>
  </conditionalFormatting>
  <conditionalFormatting sqref="N48">
    <cfRule type="cellIs" dxfId="449" priority="43" operator="lessThan">
      <formula>1</formula>
    </cfRule>
  </conditionalFormatting>
  <conditionalFormatting sqref="T57">
    <cfRule type="cellIs" dxfId="448" priority="16" operator="lessThan">
      <formula>63</formula>
    </cfRule>
  </conditionalFormatting>
  <conditionalFormatting sqref="U57">
    <cfRule type="cellIs" dxfId="447" priority="14" operator="lessThan">
      <formula>63</formula>
    </cfRule>
    <cfRule type="cellIs" dxfId="446" priority="15" operator="lessThan">
      <formula>63</formula>
    </cfRule>
  </conditionalFormatting>
  <conditionalFormatting sqref="W57">
    <cfRule type="cellIs" dxfId="445" priority="13" operator="lessThan">
      <formula>140</formula>
    </cfRule>
  </conditionalFormatting>
  <conditionalFormatting sqref="X57">
    <cfRule type="cellIs" dxfId="444" priority="12" operator="lessThan">
      <formula>125</formula>
    </cfRule>
  </conditionalFormatting>
  <conditionalFormatting sqref="Y57">
    <cfRule type="cellIs" dxfId="443" priority="11" operator="lessThan">
      <formula>150</formula>
    </cfRule>
  </conditionalFormatting>
  <conditionalFormatting sqref="Z57">
    <cfRule type="cellIs" dxfId="442" priority="10" operator="lessThan">
      <formula>590</formula>
    </cfRule>
  </conditionalFormatting>
  <conditionalFormatting sqref="AA57">
    <cfRule type="cellIs" dxfId="441" priority="9" operator="lessThan">
      <formula>704</formula>
    </cfRule>
  </conditionalFormatting>
  <conditionalFormatting sqref="AC57">
    <cfRule type="cellIs" dxfId="440" priority="8" operator="lessThan">
      <formula>52</formula>
    </cfRule>
  </conditionalFormatting>
  <conditionalFormatting sqref="AD57">
    <cfRule type="cellIs" dxfId="439" priority="7" operator="lessThan">
      <formula>52</formula>
    </cfRule>
  </conditionalFormatting>
  <conditionalFormatting sqref="AH57">
    <cfRule type="cellIs" dxfId="438" priority="6" operator="lessThan">
      <formula>63</formula>
    </cfRule>
  </conditionalFormatting>
  <conditionalFormatting sqref="AI57">
    <cfRule type="cellIs" dxfId="437" priority="5" operator="lessThan">
      <formula>63</formula>
    </cfRule>
  </conditionalFormatting>
  <conditionalFormatting sqref="AK57:AL57">
    <cfRule type="cellIs" dxfId="436" priority="4" operator="lessThan">
      <formula>270</formula>
    </cfRule>
  </conditionalFormatting>
  <conditionalFormatting sqref="AJ57">
    <cfRule type="cellIs" dxfId="435" priority="3" operator="lessThan">
      <formula>270</formula>
    </cfRule>
  </conditionalFormatting>
  <conditionalFormatting sqref="AM57:AO57">
    <cfRule type="cellIs" dxfId="434" priority="1" operator="lessThan">
      <formula>270</formula>
    </cfRule>
  </conditionalFormatting>
  <printOptions horizontalCentered="1" verticalCentered="1"/>
  <pageMargins left="0" right="0.5" top="0" bottom="0" header="0" footer="0"/>
  <pageSetup paperSize="5" scale="45" orientation="landscape" cellComments="asDisplayed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P67"/>
  <sheetViews>
    <sheetView topLeftCell="A16" zoomScale="90" zoomScaleNormal="90" workbookViewId="0">
      <selection activeCell="A29" sqref="A29"/>
    </sheetView>
  </sheetViews>
  <sheetFormatPr defaultRowHeight="15"/>
  <cols>
    <col min="1" max="1" width="32.7109375" bestFit="1" customWidth="1"/>
    <col min="2" max="2" width="20.140625" bestFit="1" customWidth="1"/>
    <col min="3" max="4" width="20.7109375" customWidth="1"/>
    <col min="5" max="5" width="4.7109375" customWidth="1"/>
    <col min="6" max="6" width="29.140625" bestFit="1" customWidth="1"/>
    <col min="7" max="7" width="17.7109375" customWidth="1"/>
    <col min="8" max="9" width="19.140625" bestFit="1" customWidth="1"/>
    <col min="10" max="11" width="17.7109375" customWidth="1"/>
    <col min="12" max="12" width="19.140625" bestFit="1" customWidth="1"/>
    <col min="13" max="13" width="18.7109375" customWidth="1"/>
    <col min="14" max="14" width="19.140625" bestFit="1" customWidth="1"/>
    <col min="15" max="15" width="7.7109375" customWidth="1"/>
    <col min="16" max="16" width="28.7109375" customWidth="1"/>
    <col min="17" max="17" width="20.7109375" customWidth="1"/>
    <col min="18" max="18" width="7.5703125" bestFit="1" customWidth="1"/>
    <col min="19" max="19" width="32.7109375" customWidth="1"/>
    <col min="20" max="20" width="20.28515625" bestFit="1" customWidth="1"/>
    <col min="21" max="21" width="17.7109375" customWidth="1"/>
    <col min="22" max="22" width="20.28515625" bestFit="1" customWidth="1"/>
    <col min="23" max="23" width="17.7109375" customWidth="1"/>
    <col min="24" max="24" width="20.28515625" bestFit="1" customWidth="1"/>
    <col min="25" max="25" width="14.7109375" customWidth="1"/>
    <col min="26" max="26" width="23.7109375" bestFit="1" customWidth="1"/>
    <col min="27" max="27" width="20.140625" bestFit="1" customWidth="1"/>
    <col min="28" max="28" width="17.7109375" customWidth="1"/>
    <col min="29" max="29" width="20.140625" bestFit="1" customWidth="1"/>
    <col min="30" max="30" width="17.7109375" customWidth="1"/>
    <col min="31" max="31" width="20.140625" bestFit="1" customWidth="1"/>
    <col min="32" max="33" width="20.7109375" customWidth="1"/>
    <col min="34" max="37" width="17.7109375" customWidth="1"/>
    <col min="38" max="38" width="13" hidden="1" customWidth="1"/>
    <col min="39" max="39" width="0" hidden="1" customWidth="1"/>
    <col min="40" max="40" width="13" hidden="1" customWidth="1"/>
  </cols>
  <sheetData>
    <row r="1" spans="1:36">
      <c r="E1" s="5"/>
    </row>
    <row r="2" spans="1:36">
      <c r="E2" s="5"/>
    </row>
    <row r="3" spans="1:36" ht="15.75" thickBot="1">
      <c r="C3" t="s">
        <v>1</v>
      </c>
      <c r="E3" s="5" t="s">
        <v>1</v>
      </c>
      <c r="F3" t="s">
        <v>1</v>
      </c>
      <c r="N3" t="s">
        <v>1</v>
      </c>
      <c r="S3" t="s">
        <v>1</v>
      </c>
      <c r="U3" t="s">
        <v>1</v>
      </c>
    </row>
    <row r="4" spans="1:36" ht="21.75" thickTop="1">
      <c r="B4" t="s">
        <v>1</v>
      </c>
      <c r="D4" t="s">
        <v>1</v>
      </c>
      <c r="E4" t="s">
        <v>1</v>
      </c>
      <c r="P4" s="617" t="s">
        <v>108</v>
      </c>
      <c r="Q4" s="618">
        <f>'10'!Q4+'11'!Q9+'11'!Q10+'11'!Q19+'11'!Q20+'11'!Q21+'11'!Q22</f>
        <v>0</v>
      </c>
    </row>
    <row r="5" spans="1:36" ht="21.75" thickBot="1">
      <c r="P5" s="619" t="s">
        <v>109</v>
      </c>
      <c r="Q5" s="620">
        <f>'10'!Q5+'11'!Q25+'11'!Q26+'11'!Q27+'11'!Q28+'11'!Q29+'11'!Q30+'11'!Q31</f>
        <v>0</v>
      </c>
    </row>
    <row r="6" spans="1:36" ht="48" thickTop="1" thickBot="1">
      <c r="A6" s="1502">
        <f>'Main Page'!E27</f>
        <v>44876</v>
      </c>
      <c r="B6" s="1507"/>
      <c r="C6" s="1507"/>
      <c r="D6" s="1507"/>
      <c r="E6" s="1507"/>
      <c r="F6" s="1507"/>
      <c r="G6" s="1507"/>
      <c r="H6" s="1507"/>
      <c r="I6" s="1507"/>
      <c r="J6" s="1507"/>
      <c r="K6" s="1507"/>
      <c r="L6" s="1507"/>
      <c r="M6" s="1507"/>
      <c r="N6" s="1507"/>
      <c r="O6" s="1507"/>
      <c r="P6" s="1507"/>
      <c r="Q6" s="1515"/>
      <c r="R6" t="s">
        <v>1</v>
      </c>
      <c r="S6" s="1502">
        <f>A6</f>
        <v>44876</v>
      </c>
      <c r="T6" s="1503"/>
      <c r="U6" s="1503"/>
      <c r="V6" s="1503"/>
      <c r="W6" s="1503"/>
      <c r="X6" s="1503"/>
      <c r="Y6" s="1503"/>
      <c r="Z6" s="1503"/>
      <c r="AA6" s="1503"/>
      <c r="AB6" s="1503"/>
      <c r="AC6" s="1503"/>
      <c r="AD6" s="1503"/>
      <c r="AE6" s="1504"/>
    </row>
    <row r="7" spans="1:36" ht="39.950000000000003" customHeight="1" thickTop="1" thickBot="1">
      <c r="A7" s="1505" t="s">
        <v>110</v>
      </c>
      <c r="B7" s="1506"/>
      <c r="C7" s="367" t="s">
        <v>97</v>
      </c>
      <c r="D7" s="368" t="s">
        <v>74</v>
      </c>
      <c r="F7" s="363" t="s">
        <v>111</v>
      </c>
      <c r="G7" s="364" t="s">
        <v>112</v>
      </c>
      <c r="H7" s="365" t="s">
        <v>113</v>
      </c>
      <c r="I7" s="365" t="s">
        <v>26</v>
      </c>
      <c r="J7" s="365" t="s">
        <v>114</v>
      </c>
      <c r="K7" s="366" t="s">
        <v>115</v>
      </c>
      <c r="L7" s="365" t="s">
        <v>116</v>
      </c>
      <c r="M7" s="365" t="s">
        <v>117</v>
      </c>
      <c r="N7" s="365" t="s">
        <v>118</v>
      </c>
      <c r="P7" s="1510" t="s">
        <v>69</v>
      </c>
      <c r="Q7" s="1511"/>
      <c r="S7" s="380" t="s">
        <v>58</v>
      </c>
      <c r="T7" s="380" t="s">
        <v>59</v>
      </c>
      <c r="U7" s="380" t="s">
        <v>119</v>
      </c>
      <c r="V7" s="380" t="s">
        <v>74</v>
      </c>
      <c r="W7" s="380" t="s">
        <v>120</v>
      </c>
      <c r="X7" s="380" t="s">
        <v>59</v>
      </c>
      <c r="Z7" s="367" t="s">
        <v>121</v>
      </c>
      <c r="AA7" s="367" t="s">
        <v>97</v>
      </c>
      <c r="AB7" s="415" t="s">
        <v>122</v>
      </c>
      <c r="AC7" s="416" t="s">
        <v>90</v>
      </c>
      <c r="AD7" s="367" t="s">
        <v>56</v>
      </c>
      <c r="AE7" s="381" t="s">
        <v>100</v>
      </c>
      <c r="AF7" s="560" t="s">
        <v>122</v>
      </c>
      <c r="AG7" s="570" t="s">
        <v>56</v>
      </c>
      <c r="AI7" s="1487" t="s">
        <v>123</v>
      </c>
      <c r="AJ7" s="1488"/>
    </row>
    <row r="8" spans="1:36" ht="27" customHeight="1" thickTop="1" thickBot="1">
      <c r="A8" s="717"/>
      <c r="B8" s="233"/>
      <c r="C8" s="463"/>
      <c r="D8" s="233"/>
      <c r="F8" s="478" t="str">
        <f>'10'!F8</f>
        <v>ISHAQ ANSARI</v>
      </c>
      <c r="G8" s="405">
        <f>'CUSTOMERS REPORT'!Y18</f>
        <v>0</v>
      </c>
      <c r="H8" s="503">
        <f>'CUSTOMERS REPORT'!Z18</f>
        <v>0</v>
      </c>
      <c r="I8" s="405">
        <f>'CUSTOMERS REPORT'!AA18</f>
        <v>0</v>
      </c>
      <c r="J8" s="497">
        <f>'CUSTOMERS REPORT'!AB18</f>
        <v>0</v>
      </c>
      <c r="K8" s="497">
        <f>'CUSTOMERS REPORT'!AC18</f>
        <v>0</v>
      </c>
      <c r="L8" s="508">
        <f>'CUSTOMERS REPORT'!AD18</f>
        <v>0</v>
      </c>
      <c r="M8" s="413">
        <f>'10'!M8+'11'!G8</f>
        <v>0</v>
      </c>
      <c r="N8" s="411">
        <f>'10'!N8+'11'!J8</f>
        <v>0</v>
      </c>
      <c r="P8" s="191" t="s">
        <v>124</v>
      </c>
      <c r="Q8" s="223">
        <f>'10'!Q32</f>
        <v>0</v>
      </c>
      <c r="S8" s="399" t="str">
        <f>'10'!S8</f>
        <v>FLOUR</v>
      </c>
      <c r="T8" s="446">
        <f>'10'!X8</f>
        <v>0</v>
      </c>
      <c r="U8" s="455"/>
      <c r="V8" s="450">
        <f t="shared" ref="V8:V43" si="0">SUM(T8:U8)</f>
        <v>0</v>
      </c>
      <c r="W8" s="450"/>
      <c r="X8" s="446">
        <f t="shared" ref="X8:X43" si="1">V8-W8</f>
        <v>0</v>
      </c>
      <c r="Z8" s="382" t="str">
        <f>'10'!Z8</f>
        <v>GHAZI</v>
      </c>
      <c r="AA8" s="464">
        <f>'10'!AE8</f>
        <v>0</v>
      </c>
      <c r="AB8" s="459"/>
      <c r="AC8" s="233">
        <f t="shared" ref="AC8:AC41" si="2">AA8+AB8</f>
        <v>0</v>
      </c>
      <c r="AD8" s="468"/>
      <c r="AE8" s="463">
        <f t="shared" ref="AE8:AE42" si="3">AC8-AD8</f>
        <v>0</v>
      </c>
      <c r="AF8" s="563">
        <f>'10'!AF8+'11'!AB8</f>
        <v>0</v>
      </c>
      <c r="AG8" s="233">
        <f>'10'!AG8+'11'!AD8</f>
        <v>0</v>
      </c>
      <c r="AI8" s="391" t="s">
        <v>126</v>
      </c>
      <c r="AJ8" s="392">
        <f>'10'!AJ10</f>
        <v>0</v>
      </c>
    </row>
    <row r="9" spans="1:36" ht="27" customHeight="1" thickTop="1">
      <c r="A9" s="718"/>
      <c r="B9" s="526"/>
      <c r="C9" s="348"/>
      <c r="D9" s="550"/>
      <c r="F9" s="479" t="str">
        <f>'10'!F9</f>
        <v>MAKKI BAKERY</v>
      </c>
      <c r="G9" s="406">
        <f>'CUSTOMERS REPORT'!Y64</f>
        <v>0</v>
      </c>
      <c r="H9" s="504">
        <f>'CUSTOMERS REPORT'!Z64</f>
        <v>0</v>
      </c>
      <c r="I9" s="406">
        <f>'CUSTOMERS REPORT'!AA64</f>
        <v>0</v>
      </c>
      <c r="J9" s="498">
        <f>'CUSTOMERS REPORT'!AB64</f>
        <v>0</v>
      </c>
      <c r="K9" s="498">
        <f>'CUSTOMERS REPORT'!AC64</f>
        <v>0</v>
      </c>
      <c r="L9" s="509">
        <f>'CUSTOMERS REPORT'!AD64</f>
        <v>0</v>
      </c>
      <c r="M9" s="414">
        <f>'10'!M9+'11'!G9</f>
        <v>0</v>
      </c>
      <c r="N9" s="412">
        <f>'10'!N9+'11'!J9</f>
        <v>0</v>
      </c>
      <c r="P9" s="432"/>
      <c r="Q9" s="436"/>
      <c r="S9" s="400" t="str">
        <f>'10'!S9</f>
        <v>SUGAR</v>
      </c>
      <c r="T9" s="446">
        <f>'10'!X9</f>
        <v>0</v>
      </c>
      <c r="U9" s="456"/>
      <c r="V9" s="451">
        <f t="shared" si="0"/>
        <v>0</v>
      </c>
      <c r="W9" s="451"/>
      <c r="X9" s="447">
        <f t="shared" si="1"/>
        <v>0</v>
      </c>
      <c r="Z9" s="375" t="str">
        <f>'10'!Z9</f>
        <v>SOHNI</v>
      </c>
      <c r="AA9" s="464">
        <f>'10'!AE9</f>
        <v>0</v>
      </c>
      <c r="AB9" s="460"/>
      <c r="AC9" s="462">
        <f t="shared" si="2"/>
        <v>0</v>
      </c>
      <c r="AD9" s="469"/>
      <c r="AE9" s="348">
        <f t="shared" si="3"/>
        <v>0</v>
      </c>
      <c r="AF9" s="563">
        <f>'10'!AF9+'11'!AB9</f>
        <v>0</v>
      </c>
      <c r="AG9" s="234">
        <f>'10'!AG9+'11'!AD9</f>
        <v>0</v>
      </c>
      <c r="AI9" s="393" t="s">
        <v>128</v>
      </c>
      <c r="AJ9" s="394">
        <f>B26</f>
        <v>0</v>
      </c>
    </row>
    <row r="10" spans="1:36" ht="27" customHeight="1" thickBot="1">
      <c r="A10" s="718"/>
      <c r="B10" s="528"/>
      <c r="C10" s="350"/>
      <c r="D10" s="550"/>
      <c r="F10" s="479" t="str">
        <f>'10'!F10</f>
        <v>ABID HUSSAIN</v>
      </c>
      <c r="G10" s="406">
        <f>'CUSTOMERS REPORT'!Y102</f>
        <v>0</v>
      </c>
      <c r="H10" s="504">
        <f>'CUSTOMERS REPORT'!Z102</f>
        <v>0</v>
      </c>
      <c r="I10" s="406">
        <f>'CUSTOMERS REPORT'!AA102</f>
        <v>0</v>
      </c>
      <c r="J10" s="498">
        <f>'CUSTOMERS REPORT'!AB102</f>
        <v>0</v>
      </c>
      <c r="K10" s="498">
        <f>'CUSTOMERS REPORT'!AC102</f>
        <v>0</v>
      </c>
      <c r="L10" s="509">
        <f>'CUSTOMERS REPORT'!AD102</f>
        <v>0</v>
      </c>
      <c r="M10" s="414">
        <f>'10'!M10+'11'!G10</f>
        <v>0</v>
      </c>
      <c r="N10" s="412">
        <f>'10'!N10+'11'!J10</f>
        <v>0</v>
      </c>
      <c r="P10" s="433"/>
      <c r="Q10" s="437"/>
      <c r="S10" s="400" t="str">
        <f>'10'!S10</f>
        <v>GHEE</v>
      </c>
      <c r="T10" s="446">
        <f>'10'!X10</f>
        <v>0</v>
      </c>
      <c r="U10" s="456"/>
      <c r="V10" s="451">
        <f t="shared" si="0"/>
        <v>0</v>
      </c>
      <c r="W10" s="451"/>
      <c r="X10" s="447">
        <f t="shared" si="1"/>
        <v>0</v>
      </c>
      <c r="Z10" s="375" t="str">
        <f>'10'!Z10</f>
        <v>HUSSAINI</v>
      </c>
      <c r="AA10" s="464">
        <f>'10'!AE10</f>
        <v>0</v>
      </c>
      <c r="AB10" s="460"/>
      <c r="AC10" s="462">
        <f t="shared" si="2"/>
        <v>0</v>
      </c>
      <c r="AD10" s="469"/>
      <c r="AE10" s="348">
        <f t="shared" si="3"/>
        <v>0</v>
      </c>
      <c r="AF10" s="563">
        <f>'10'!AF10+'11'!AB10</f>
        <v>0</v>
      </c>
      <c r="AG10" s="234">
        <f>'10'!AG10+'11'!AD10</f>
        <v>0</v>
      </c>
      <c r="AH10" s="616"/>
      <c r="AI10" s="395" t="s">
        <v>74</v>
      </c>
      <c r="AJ10" s="396">
        <f>AJ8+AJ9</f>
        <v>0</v>
      </c>
    </row>
    <row r="11" spans="1:36" ht="27" customHeight="1" thickTop="1">
      <c r="A11" s="718"/>
      <c r="B11" s="528"/>
      <c r="C11" s="350"/>
      <c r="D11" s="550"/>
      <c r="F11" s="479" t="str">
        <f>'10'!F11</f>
        <v>SHAHID 5 #</v>
      </c>
      <c r="G11" s="406">
        <f>'CUSTOMERS REPORT'!Y141</f>
        <v>0</v>
      </c>
      <c r="H11" s="504">
        <f>'CUSTOMERS REPORT'!Z141</f>
        <v>0</v>
      </c>
      <c r="I11" s="406">
        <f>'CUSTOMERS REPORT'!AA141</f>
        <v>0</v>
      </c>
      <c r="J11" s="498">
        <f>'CUSTOMERS REPORT'!AB141</f>
        <v>0</v>
      </c>
      <c r="K11" s="498">
        <f>'CUSTOMERS REPORT'!AC141</f>
        <v>0</v>
      </c>
      <c r="L11" s="509">
        <f>'CUSTOMERS REPORT'!AD141</f>
        <v>0</v>
      </c>
      <c r="M11" s="414">
        <f>'10'!M11+'11'!G11</f>
        <v>0</v>
      </c>
      <c r="N11" s="412">
        <f>'10'!N11+'11'!J11</f>
        <v>0</v>
      </c>
      <c r="P11" s="433"/>
      <c r="Q11" s="437"/>
      <c r="S11" s="400" t="str">
        <f>'10'!S11</f>
        <v>YEAST</v>
      </c>
      <c r="T11" s="446">
        <f>'10'!X11</f>
        <v>0</v>
      </c>
      <c r="U11" s="456"/>
      <c r="V11" s="451">
        <f t="shared" si="0"/>
        <v>0</v>
      </c>
      <c r="W11" s="451"/>
      <c r="X11" s="447">
        <f t="shared" si="1"/>
        <v>0</v>
      </c>
      <c r="Z11" s="375" t="str">
        <f>'10'!Z11</f>
        <v>IMRAN ALAM</v>
      </c>
      <c r="AA11" s="464">
        <f>'10'!AE11</f>
        <v>0</v>
      </c>
      <c r="AB11" s="460"/>
      <c r="AC11" s="462">
        <f t="shared" si="2"/>
        <v>0</v>
      </c>
      <c r="AD11" s="469"/>
      <c r="AE11" s="348">
        <f t="shared" si="3"/>
        <v>0</v>
      </c>
      <c r="AF11" s="563">
        <f>'10'!AF11+'11'!AB11</f>
        <v>0</v>
      </c>
      <c r="AG11" s="234">
        <f>'10'!AG11+'11'!AD11</f>
        <v>0</v>
      </c>
      <c r="AH11" s="616"/>
      <c r="AI11" s="1031"/>
      <c r="AJ11" s="1032"/>
    </row>
    <row r="12" spans="1:36" ht="27" customHeight="1">
      <c r="A12" s="718"/>
      <c r="B12" s="528"/>
      <c r="C12" s="350"/>
      <c r="D12" s="550"/>
      <c r="F12" s="479" t="str">
        <f>'10'!F12</f>
        <v>ZULFIQAR</v>
      </c>
      <c r="G12" s="406">
        <f>'CUSTOMERS REPORT'!Y179</f>
        <v>0</v>
      </c>
      <c r="H12" s="504">
        <f>'CUSTOMERS REPORT'!Z179</f>
        <v>0</v>
      </c>
      <c r="I12" s="406">
        <f>'CUSTOMERS REPORT'!AA179</f>
        <v>0</v>
      </c>
      <c r="J12" s="498">
        <f>'CUSTOMERS REPORT'!AB179</f>
        <v>0</v>
      </c>
      <c r="K12" s="498">
        <f>'CUSTOMERS REPORT'!AC179</f>
        <v>0</v>
      </c>
      <c r="L12" s="509">
        <f>'CUSTOMERS REPORT'!AD179</f>
        <v>0</v>
      </c>
      <c r="M12" s="414">
        <f>'10'!M12+'11'!G12</f>
        <v>0</v>
      </c>
      <c r="N12" s="412">
        <f>'10'!N12+'11'!J12</f>
        <v>0</v>
      </c>
      <c r="P12" s="433"/>
      <c r="Q12" s="437"/>
      <c r="S12" s="400" t="str">
        <f>'10'!S12</f>
        <v xml:space="preserve">EKKA </v>
      </c>
      <c r="T12" s="446">
        <f>'10'!X12</f>
        <v>0</v>
      </c>
      <c r="U12" s="456"/>
      <c r="V12" s="451">
        <f t="shared" si="0"/>
        <v>0</v>
      </c>
      <c r="W12" s="451"/>
      <c r="X12" s="447">
        <f t="shared" si="1"/>
        <v>0</v>
      </c>
      <c r="Z12" s="375" t="str">
        <f>'10'!Z12</f>
        <v>ZAHEER</v>
      </c>
      <c r="AA12" s="464">
        <f>'10'!AE12</f>
        <v>0</v>
      </c>
      <c r="AB12" s="460"/>
      <c r="AC12" s="462">
        <f t="shared" si="2"/>
        <v>0</v>
      </c>
      <c r="AD12" s="469"/>
      <c r="AE12" s="348">
        <f t="shared" si="3"/>
        <v>0</v>
      </c>
      <c r="AF12" s="563">
        <f>'10'!AF12+'11'!AB12</f>
        <v>0</v>
      </c>
      <c r="AG12" s="234">
        <f>'10'!AG12+'11'!AD12</f>
        <v>0</v>
      </c>
      <c r="AH12" s="616"/>
      <c r="AI12" s="1031"/>
      <c r="AJ12" s="1032"/>
    </row>
    <row r="13" spans="1:36" ht="27" customHeight="1">
      <c r="A13" s="718"/>
      <c r="B13" s="528"/>
      <c r="C13" s="350"/>
      <c r="D13" s="550"/>
      <c r="F13" s="479" t="str">
        <f>'10'!F13</f>
        <v>QASIM ORANGI</v>
      </c>
      <c r="G13" s="406">
        <f>'CUSTOMERS REPORT'!Y219</f>
        <v>0</v>
      </c>
      <c r="H13" s="504">
        <f>'CUSTOMERS REPORT'!Z219</f>
        <v>0</v>
      </c>
      <c r="I13" s="406">
        <f>'CUSTOMERS REPORT'!AA219</f>
        <v>0</v>
      </c>
      <c r="J13" s="498">
        <f>'CUSTOMERS REPORT'!AB219</f>
        <v>0</v>
      </c>
      <c r="K13" s="498">
        <f>'CUSTOMERS REPORT'!AC219</f>
        <v>0</v>
      </c>
      <c r="L13" s="509">
        <f>'CUSTOMERS REPORT'!AD219</f>
        <v>0</v>
      </c>
      <c r="M13" s="414">
        <f>'10'!M13+'11'!G13</f>
        <v>0</v>
      </c>
      <c r="N13" s="412">
        <f>'10'!N13+'11'!J13</f>
        <v>0</v>
      </c>
      <c r="P13" s="433"/>
      <c r="Q13" s="437"/>
      <c r="S13" s="400" t="str">
        <f>'10'!S13</f>
        <v>VANILLA</v>
      </c>
      <c r="T13" s="446">
        <f>'10'!X13</f>
        <v>0</v>
      </c>
      <c r="U13" s="456"/>
      <c r="V13" s="451">
        <f t="shared" si="0"/>
        <v>0</v>
      </c>
      <c r="W13" s="451"/>
      <c r="X13" s="447">
        <f t="shared" si="1"/>
        <v>0</v>
      </c>
      <c r="Z13" s="375" t="str">
        <f>'10'!Z13</f>
        <v>FAISAL</v>
      </c>
      <c r="AA13" s="464">
        <f>'10'!AE13</f>
        <v>0</v>
      </c>
      <c r="AB13" s="460"/>
      <c r="AC13" s="462">
        <f t="shared" si="2"/>
        <v>0</v>
      </c>
      <c r="AD13" s="469"/>
      <c r="AE13" s="348">
        <f t="shared" si="3"/>
        <v>0</v>
      </c>
      <c r="AF13" s="563">
        <f>'10'!AF13+'11'!AB13</f>
        <v>0</v>
      </c>
      <c r="AG13" s="234">
        <f>'10'!AG13+'11'!AD13</f>
        <v>0</v>
      </c>
      <c r="AH13" s="616"/>
      <c r="AI13" s="1031"/>
      <c r="AJ13" s="1032"/>
    </row>
    <row r="14" spans="1:36" ht="27" customHeight="1">
      <c r="A14" s="718"/>
      <c r="B14" s="528"/>
      <c r="C14" s="350"/>
      <c r="D14" s="550"/>
      <c r="F14" s="479" t="str">
        <f>'10'!F14</f>
        <v>BADSHAH KHAN HYD</v>
      </c>
      <c r="G14" s="406">
        <f>'CUSTOMERS REPORT'!Y256</f>
        <v>0</v>
      </c>
      <c r="H14" s="504">
        <f>'CUSTOMERS REPORT'!Z256</f>
        <v>0</v>
      </c>
      <c r="I14" s="406">
        <f>'CUSTOMERS REPORT'!AA256</f>
        <v>0</v>
      </c>
      <c r="J14" s="498">
        <f>'CUSTOMERS REPORT'!AB256</f>
        <v>0</v>
      </c>
      <c r="K14" s="498">
        <f>'CUSTOMERS REPORT'!AC256</f>
        <v>0</v>
      </c>
      <c r="L14" s="509">
        <f>'CUSTOMERS REPORT'!AD256</f>
        <v>0</v>
      </c>
      <c r="M14" s="414">
        <f>'10'!M14+'11'!G14</f>
        <v>0</v>
      </c>
      <c r="N14" s="412">
        <f>'10'!N14+'11'!J14</f>
        <v>0</v>
      </c>
      <c r="P14" s="433"/>
      <c r="Q14" s="437"/>
      <c r="S14" s="400" t="str">
        <f>'10'!S14</f>
        <v>COLOUR</v>
      </c>
      <c r="T14" s="446">
        <f>'10'!X14</f>
        <v>0</v>
      </c>
      <c r="U14" s="456"/>
      <c r="V14" s="451">
        <f t="shared" si="0"/>
        <v>0</v>
      </c>
      <c r="W14" s="451"/>
      <c r="X14" s="447">
        <f t="shared" si="1"/>
        <v>0</v>
      </c>
      <c r="Z14" s="375" t="str">
        <f>'10'!Z14</f>
        <v>RANA EKKA</v>
      </c>
      <c r="AA14" s="464">
        <f>'10'!AE14</f>
        <v>0</v>
      </c>
      <c r="AB14" s="460"/>
      <c r="AC14" s="462">
        <f t="shared" si="2"/>
        <v>0</v>
      </c>
      <c r="AD14" s="469"/>
      <c r="AE14" s="348">
        <f t="shared" si="3"/>
        <v>0</v>
      </c>
      <c r="AF14" s="563">
        <f>'10'!AF14+'11'!AB14</f>
        <v>0</v>
      </c>
      <c r="AG14" s="234">
        <f>'10'!AG14+'11'!AD14</f>
        <v>0</v>
      </c>
      <c r="AH14" s="616"/>
      <c r="AI14" s="1031"/>
      <c r="AJ14" s="1032"/>
    </row>
    <row r="15" spans="1:36" ht="27" customHeight="1">
      <c r="A15" s="718"/>
      <c r="B15" s="528"/>
      <c r="C15" s="350"/>
      <c r="D15" s="550"/>
      <c r="F15" s="479" t="str">
        <f>'10'!F15</f>
        <v>SHAMOON</v>
      </c>
      <c r="G15" s="406">
        <f>'CUSTOMERS REPORT'!Y296</f>
        <v>0</v>
      </c>
      <c r="H15" s="504">
        <f>'CUSTOMERS REPORT'!Z296</f>
        <v>0</v>
      </c>
      <c r="I15" s="406">
        <f>'CUSTOMERS REPORT'!AA296</f>
        <v>0</v>
      </c>
      <c r="J15" s="498">
        <f>'CUSTOMERS REPORT'!AB296</f>
        <v>0</v>
      </c>
      <c r="K15" s="498">
        <f>'CUSTOMERS REPORT'!AC296</f>
        <v>0</v>
      </c>
      <c r="L15" s="509">
        <f>'CUSTOMERS REPORT'!AD296</f>
        <v>0</v>
      </c>
      <c r="M15" s="414">
        <f>'10'!M15+'11'!G15</f>
        <v>0</v>
      </c>
      <c r="N15" s="412">
        <f>'10'!N15+'11'!J15</f>
        <v>0</v>
      </c>
      <c r="P15" s="433"/>
      <c r="Q15" s="437"/>
      <c r="S15" s="400" t="str">
        <f>'10'!S15</f>
        <v>TILL</v>
      </c>
      <c r="T15" s="446">
        <f>'10'!X15</f>
        <v>0</v>
      </c>
      <c r="U15" s="456"/>
      <c r="V15" s="451">
        <f t="shared" si="0"/>
        <v>0</v>
      </c>
      <c r="W15" s="451"/>
      <c r="X15" s="447">
        <f t="shared" si="1"/>
        <v>0</v>
      </c>
      <c r="Z15" s="375" t="str">
        <f>'10'!Z15</f>
        <v>sheeba</v>
      </c>
      <c r="AA15" s="464">
        <f>'10'!AE15</f>
        <v>0</v>
      </c>
      <c r="AB15" s="460"/>
      <c r="AC15" s="462">
        <f t="shared" si="2"/>
        <v>0</v>
      </c>
      <c r="AD15" s="469"/>
      <c r="AE15" s="348">
        <f t="shared" si="3"/>
        <v>0</v>
      </c>
      <c r="AF15" s="563">
        <f>'10'!AF15+'11'!AB15</f>
        <v>0</v>
      </c>
      <c r="AG15" s="234">
        <f>'10'!AG15+'11'!AD15</f>
        <v>0</v>
      </c>
      <c r="AH15" s="616"/>
      <c r="AI15" s="1031"/>
      <c r="AJ15" s="1032"/>
    </row>
    <row r="16" spans="1:36" ht="27" customHeight="1">
      <c r="A16" s="718"/>
      <c r="B16" s="528"/>
      <c r="C16" s="350"/>
      <c r="D16" s="550"/>
      <c r="F16" s="479" t="str">
        <f>'10'!F16</f>
        <v>MATEEN</v>
      </c>
      <c r="G16" s="406">
        <f>'CUSTOMERS REPORT'!Y337</f>
        <v>0</v>
      </c>
      <c r="H16" s="504">
        <f>'CUSTOMERS REPORT'!Z337</f>
        <v>0</v>
      </c>
      <c r="I16" s="406">
        <f>'CUSTOMERS REPORT'!AA337</f>
        <v>0</v>
      </c>
      <c r="J16" s="498">
        <f>'CUSTOMERS REPORT'!AB337</f>
        <v>0</v>
      </c>
      <c r="K16" s="498">
        <f>'CUSTOMERS REPORT'!AC337</f>
        <v>0</v>
      </c>
      <c r="L16" s="509">
        <f>'CUSTOMERS REPORT'!AD337</f>
        <v>0</v>
      </c>
      <c r="M16" s="414">
        <f>'10'!M16+'11'!G16</f>
        <v>0</v>
      </c>
      <c r="N16" s="412">
        <f>'10'!N16+'11'!J16</f>
        <v>0</v>
      </c>
      <c r="P16" s="433"/>
      <c r="Q16" s="437"/>
      <c r="S16" s="400" t="str">
        <f>'10'!S16</f>
        <v>ILLAICHI</v>
      </c>
      <c r="T16" s="446">
        <f>'10'!X16</f>
        <v>0</v>
      </c>
      <c r="U16" s="456"/>
      <c r="V16" s="451">
        <f t="shared" si="0"/>
        <v>0</v>
      </c>
      <c r="W16" s="451"/>
      <c r="X16" s="447">
        <f t="shared" si="1"/>
        <v>0</v>
      </c>
      <c r="Z16" s="375" t="str">
        <f>'10'!Z16</f>
        <v>COTTON</v>
      </c>
      <c r="AA16" s="464">
        <f>'10'!AE16</f>
        <v>0</v>
      </c>
      <c r="AB16" s="460"/>
      <c r="AC16" s="462">
        <f t="shared" si="2"/>
        <v>0</v>
      </c>
      <c r="AD16" s="469"/>
      <c r="AE16" s="348">
        <f t="shared" si="3"/>
        <v>0</v>
      </c>
      <c r="AF16" s="563">
        <f>'10'!AF16+'11'!AB16</f>
        <v>0</v>
      </c>
      <c r="AG16" s="234">
        <f>'10'!AG16+'11'!AD16</f>
        <v>0</v>
      </c>
      <c r="AH16" s="616"/>
      <c r="AI16" s="1031"/>
      <c r="AJ16" s="1032"/>
    </row>
    <row r="17" spans="1:36" ht="27" customHeight="1">
      <c r="A17" s="718"/>
      <c r="B17" s="528"/>
      <c r="C17" s="350"/>
      <c r="D17" s="550"/>
      <c r="F17" s="479" t="str">
        <f>'10'!F17</f>
        <v>AMJAD ORANGI</v>
      </c>
      <c r="G17" s="406">
        <f>'CUSTOMERS REPORT'!Y379</f>
        <v>0</v>
      </c>
      <c r="H17" s="504">
        <f>'CUSTOMERS REPORT'!Z379</f>
        <v>0</v>
      </c>
      <c r="I17" s="406">
        <f>'CUSTOMERS REPORT'!AA379</f>
        <v>0</v>
      </c>
      <c r="J17" s="498">
        <f>'CUSTOMERS REPORT'!AB379</f>
        <v>0</v>
      </c>
      <c r="K17" s="498">
        <f>'CUSTOMERS REPORT'!AC379</f>
        <v>0</v>
      </c>
      <c r="L17" s="509">
        <f>'CUSTOMERS REPORT'!AD379</f>
        <v>0</v>
      </c>
      <c r="M17" s="414">
        <f>'10'!M17+'11'!G17</f>
        <v>0</v>
      </c>
      <c r="N17" s="412">
        <f>'10'!N17+'11'!J17</f>
        <v>0</v>
      </c>
      <c r="P17" s="433"/>
      <c r="Q17" s="437"/>
      <c r="S17" s="400" t="str">
        <f>'10'!S17</f>
        <v>S-THELLI</v>
      </c>
      <c r="T17" s="446">
        <f>'10'!X17</f>
        <v>0</v>
      </c>
      <c r="U17" s="456"/>
      <c r="V17" s="451">
        <f t="shared" si="0"/>
        <v>0</v>
      </c>
      <c r="W17" s="451"/>
      <c r="X17" s="447">
        <f t="shared" si="1"/>
        <v>0</v>
      </c>
      <c r="Z17" s="375" t="str">
        <f>'10'!Z17</f>
        <v>SHAHID UP</v>
      </c>
      <c r="AA17" s="464">
        <f>'10'!AE17</f>
        <v>0</v>
      </c>
      <c r="AB17" s="460"/>
      <c r="AC17" s="462">
        <f t="shared" si="2"/>
        <v>0</v>
      </c>
      <c r="AD17" s="469"/>
      <c r="AE17" s="348">
        <f t="shared" si="3"/>
        <v>0</v>
      </c>
      <c r="AF17" s="563">
        <f>'10'!AF17+'11'!AB17</f>
        <v>0</v>
      </c>
      <c r="AG17" s="234">
        <f>'10'!AG17+'11'!AD17</f>
        <v>0</v>
      </c>
      <c r="AH17" s="616"/>
      <c r="AI17" s="1031"/>
      <c r="AJ17" s="1032"/>
    </row>
    <row r="18" spans="1:36" ht="27" customHeight="1">
      <c r="A18" s="718"/>
      <c r="B18" s="528"/>
      <c r="C18" s="350"/>
      <c r="D18" s="550"/>
      <c r="F18" s="479" t="str">
        <f>'10'!F18</f>
        <v>HAFIZ DRIVER</v>
      </c>
      <c r="G18" s="406">
        <f>'CUSTOMERS REPORT'!Y418</f>
        <v>0</v>
      </c>
      <c r="H18" s="504">
        <f>'CUSTOMERS REPORT'!Z418</f>
        <v>0</v>
      </c>
      <c r="I18" s="406">
        <f>'CUSTOMERS REPORT'!AA418</f>
        <v>0</v>
      </c>
      <c r="J18" s="498">
        <f>'CUSTOMERS REPORT'!AB418</f>
        <v>0</v>
      </c>
      <c r="K18" s="498">
        <f>'CUSTOMERS REPORT'!AC418</f>
        <v>0</v>
      </c>
      <c r="L18" s="509">
        <f>'CUSTOMERS REPORT'!AD418</f>
        <v>0</v>
      </c>
      <c r="M18" s="414">
        <f>'10'!M18+'11'!G18</f>
        <v>0</v>
      </c>
      <c r="N18" s="412">
        <f>'10'!N18+'11'!J18</f>
        <v>0</v>
      </c>
      <c r="P18" s="433"/>
      <c r="Q18" s="437"/>
      <c r="S18" s="400" t="str">
        <f>'10'!S18</f>
        <v>P-THELLI</v>
      </c>
      <c r="T18" s="446">
        <f>'10'!X18</f>
        <v>0</v>
      </c>
      <c r="U18" s="456"/>
      <c r="V18" s="451">
        <f t="shared" si="0"/>
        <v>0</v>
      </c>
      <c r="W18" s="451"/>
      <c r="X18" s="447">
        <f t="shared" si="1"/>
        <v>0</v>
      </c>
      <c r="Z18" s="375" t="str">
        <f>'10'!Z18</f>
        <v>SALT</v>
      </c>
      <c r="AA18" s="464">
        <f>'10'!AE18</f>
        <v>0</v>
      </c>
      <c r="AB18" s="460"/>
      <c r="AC18" s="462">
        <f t="shared" si="2"/>
        <v>0</v>
      </c>
      <c r="AD18" s="469"/>
      <c r="AE18" s="348">
        <f t="shared" si="3"/>
        <v>0</v>
      </c>
      <c r="AF18" s="563">
        <f>'10'!AF18+'11'!AB18</f>
        <v>0</v>
      </c>
      <c r="AG18" s="234">
        <f>'10'!AG18+'11'!AD18</f>
        <v>0</v>
      </c>
      <c r="AH18" s="616"/>
      <c r="AI18" s="1031"/>
      <c r="AJ18" s="1032"/>
    </row>
    <row r="19" spans="1:36" ht="27" customHeight="1" thickBot="1">
      <c r="A19" s="718"/>
      <c r="B19" s="529"/>
      <c r="C19" s="350"/>
      <c r="D19" s="550"/>
      <c r="F19" s="479" t="str">
        <f>'10'!F19</f>
        <v>GHULAM QUETTA</v>
      </c>
      <c r="G19" s="406">
        <f>'CUSTOMERS REPORT'!Y456</f>
        <v>0</v>
      </c>
      <c r="H19" s="504">
        <f>'CUSTOMERS REPORT'!Z456</f>
        <v>0</v>
      </c>
      <c r="I19" s="406">
        <f>'CUSTOMERS REPORT'!AA456</f>
        <v>0</v>
      </c>
      <c r="J19" s="498">
        <f>'CUSTOMERS REPORT'!AB456</f>
        <v>0</v>
      </c>
      <c r="K19" s="498">
        <f>'CUSTOMERS REPORT'!AC456</f>
        <v>0</v>
      </c>
      <c r="L19" s="509">
        <f>'CUSTOMERS REPORT'!AD456</f>
        <v>0</v>
      </c>
      <c r="M19" s="414">
        <f>'10'!M19+'11'!G19</f>
        <v>0</v>
      </c>
      <c r="N19" s="412">
        <f>'10'!N19+'11'!J19</f>
        <v>0</v>
      </c>
      <c r="P19" s="433"/>
      <c r="Q19" s="437"/>
      <c r="S19" s="400" t="str">
        <f>'10'!S19</f>
        <v>RUBBER</v>
      </c>
      <c r="T19" s="446">
        <f>'10'!X19</f>
        <v>0</v>
      </c>
      <c r="U19" s="456"/>
      <c r="V19" s="451">
        <f t="shared" si="0"/>
        <v>0</v>
      </c>
      <c r="W19" s="451"/>
      <c r="X19" s="447">
        <f t="shared" si="1"/>
        <v>0</v>
      </c>
      <c r="Z19" s="375" t="str">
        <f>'10'!Z19</f>
        <v>NAVEED</v>
      </c>
      <c r="AA19" s="464">
        <f>'10'!AE19</f>
        <v>0</v>
      </c>
      <c r="AB19" s="460"/>
      <c r="AC19" s="462">
        <f t="shared" si="2"/>
        <v>0</v>
      </c>
      <c r="AD19" s="469"/>
      <c r="AE19" s="348">
        <f t="shared" si="3"/>
        <v>0</v>
      </c>
      <c r="AF19" s="563">
        <f>'10'!AF19+'11'!AB19</f>
        <v>0</v>
      </c>
      <c r="AG19" s="234">
        <f>'10'!AG19+'11'!AD19</f>
        <v>0</v>
      </c>
    </row>
    <row r="20" spans="1:36" ht="27" customHeight="1" thickTop="1" thickBot="1">
      <c r="A20" s="719"/>
      <c r="B20" s="529"/>
      <c r="C20" s="350"/>
      <c r="D20" s="550"/>
      <c r="F20" s="479" t="str">
        <f>'10'!F20</f>
        <v>HUSSAN GWADAR</v>
      </c>
      <c r="G20" s="406">
        <f>'CUSTOMERS REPORT'!Y492</f>
        <v>0</v>
      </c>
      <c r="H20" s="504">
        <f>'CUSTOMERS REPORT'!Z492</f>
        <v>0</v>
      </c>
      <c r="I20" s="406">
        <f>'CUSTOMERS REPORT'!AA492</f>
        <v>0</v>
      </c>
      <c r="J20" s="498">
        <f>'CUSTOMERS REPORT'!AB492</f>
        <v>0</v>
      </c>
      <c r="K20" s="498">
        <f>'CUSTOMERS REPORT'!AC492</f>
        <v>0</v>
      </c>
      <c r="L20" s="509">
        <f>'CUSTOMERS REPORT'!AD492</f>
        <v>0</v>
      </c>
      <c r="M20" s="414">
        <f>'10'!M20+'11'!G20</f>
        <v>0</v>
      </c>
      <c r="N20" s="412">
        <f>'10'!N20+'11'!J20</f>
        <v>0</v>
      </c>
      <c r="P20" s="433"/>
      <c r="Q20" s="437"/>
      <c r="S20" s="400" t="str">
        <f>'10'!S20</f>
        <v>SALT</v>
      </c>
      <c r="T20" s="446">
        <f>'10'!X20</f>
        <v>0</v>
      </c>
      <c r="U20" s="456"/>
      <c r="V20" s="451">
        <f t="shared" si="0"/>
        <v>0</v>
      </c>
      <c r="W20" s="451"/>
      <c r="X20" s="447">
        <f t="shared" si="1"/>
        <v>0</v>
      </c>
      <c r="Z20" s="375" t="str">
        <f>'10'!Z20</f>
        <v>YOUSUF BHAI</v>
      </c>
      <c r="AA20" s="464">
        <f>'10'!AE20</f>
        <v>0</v>
      </c>
      <c r="AB20" s="460"/>
      <c r="AC20" s="462">
        <f t="shared" si="2"/>
        <v>0</v>
      </c>
      <c r="AD20" s="469"/>
      <c r="AE20" s="348">
        <f t="shared" si="3"/>
        <v>0</v>
      </c>
      <c r="AF20" s="563">
        <f>'10'!AF20+'11'!AB20</f>
        <v>0</v>
      </c>
      <c r="AG20" s="234">
        <f>'10'!AG20+'11'!AD20</f>
        <v>0</v>
      </c>
      <c r="AI20" s="1487" t="s">
        <v>132</v>
      </c>
      <c r="AJ20" s="1488"/>
    </row>
    <row r="21" spans="1:36" ht="27" customHeight="1" thickTop="1" thickBot="1">
      <c r="A21" s="720"/>
      <c r="B21" s="530"/>
      <c r="C21" s="531"/>
      <c r="D21" s="553"/>
      <c r="F21" s="479" t="str">
        <f>'10'!F21</f>
        <v>AQASH S KOT</v>
      </c>
      <c r="G21" s="406">
        <f>'CUSTOMERS REPORT'!Y529</f>
        <v>0</v>
      </c>
      <c r="H21" s="504">
        <f>'CUSTOMERS REPORT'!Z529</f>
        <v>0</v>
      </c>
      <c r="I21" s="406">
        <f>'CUSTOMERS REPORT'!AA529</f>
        <v>0</v>
      </c>
      <c r="J21" s="498">
        <f>'CUSTOMERS REPORT'!AB529</f>
        <v>0</v>
      </c>
      <c r="K21" s="498">
        <f>'CUSTOMERS REPORT'!AC529</f>
        <v>0</v>
      </c>
      <c r="L21" s="509">
        <f>'CUSTOMERS REPORT'!AD529</f>
        <v>0</v>
      </c>
      <c r="M21" s="414">
        <f>'10'!M21+'11'!G21</f>
        <v>0</v>
      </c>
      <c r="N21" s="412">
        <f>'10'!N21+'11'!J21</f>
        <v>0</v>
      </c>
      <c r="P21" s="433"/>
      <c r="Q21" s="435"/>
      <c r="S21" s="400" t="str">
        <f>'10'!S21</f>
        <v>TAPE</v>
      </c>
      <c r="T21" s="446">
        <f>'10'!X21</f>
        <v>0</v>
      </c>
      <c r="U21" s="456"/>
      <c r="V21" s="451">
        <f t="shared" si="0"/>
        <v>0</v>
      </c>
      <c r="W21" s="451"/>
      <c r="X21" s="447">
        <f t="shared" si="1"/>
        <v>0</v>
      </c>
      <c r="Z21" s="375" t="str">
        <f>'10'!Z21</f>
        <v>SULEMAN  PRINT</v>
      </c>
      <c r="AA21" s="464">
        <f>'10'!AE21</f>
        <v>0</v>
      </c>
      <c r="AB21" s="460"/>
      <c r="AC21" s="462">
        <f t="shared" si="2"/>
        <v>0</v>
      </c>
      <c r="AD21" s="469"/>
      <c r="AE21" s="348">
        <f t="shared" si="3"/>
        <v>0</v>
      </c>
      <c r="AF21" s="563">
        <f>'10'!AF21+'11'!AB21</f>
        <v>0</v>
      </c>
      <c r="AG21" s="234">
        <f>'10'!AG21+'11'!AD21</f>
        <v>0</v>
      </c>
      <c r="AI21" s="391" t="s">
        <v>126</v>
      </c>
      <c r="AJ21" s="392">
        <f>'10'!AJ23</f>
        <v>0</v>
      </c>
    </row>
    <row r="22" spans="1:36" ht="27" customHeight="1" thickTop="1" thickBot="1">
      <c r="A22" s="486" t="s">
        <v>74</v>
      </c>
      <c r="B22" s="533">
        <f>SUM(B8:B21)</f>
        <v>0</v>
      </c>
      <c r="C22" s="534">
        <f>'10'!D22</f>
        <v>0</v>
      </c>
      <c r="D22" s="535">
        <f t="shared" ref="D22" si="4">B22+C22</f>
        <v>0</v>
      </c>
      <c r="F22" s="479" t="str">
        <f>'10'!F22</f>
        <v>SALEEM T JAM</v>
      </c>
      <c r="G22" s="406">
        <f>'CUSTOMERS REPORT'!Y567</f>
        <v>0</v>
      </c>
      <c r="H22" s="504">
        <f>'CUSTOMERS REPORT'!Z567</f>
        <v>0</v>
      </c>
      <c r="I22" s="406">
        <f>'CUSTOMERS REPORT'!AA567</f>
        <v>0</v>
      </c>
      <c r="J22" s="498">
        <f>'CUSTOMERS REPORT'!AB567</f>
        <v>0</v>
      </c>
      <c r="K22" s="498">
        <f>'CUSTOMERS REPORT'!AC567</f>
        <v>0</v>
      </c>
      <c r="L22" s="509">
        <f>'CUSTOMERS REPORT'!AD567</f>
        <v>0</v>
      </c>
      <c r="M22" s="414">
        <f>'10'!M22+'11'!G22</f>
        <v>0</v>
      </c>
      <c r="N22" s="412">
        <f>'10'!N22+'11'!J22</f>
        <v>0</v>
      </c>
      <c r="P22" s="433"/>
      <c r="Q22" s="438"/>
      <c r="S22" s="400" t="str">
        <f>'10'!S22</f>
        <v>COTTON</v>
      </c>
      <c r="T22" s="446">
        <f>'10'!X22</f>
        <v>0</v>
      </c>
      <c r="U22" s="456"/>
      <c r="V22" s="451">
        <f t="shared" si="0"/>
        <v>0</v>
      </c>
      <c r="W22" s="451"/>
      <c r="X22" s="447">
        <f t="shared" si="1"/>
        <v>0</v>
      </c>
      <c r="Z22" s="375" t="str">
        <f>'10'!Z22</f>
        <v>IRFAN VANILA</v>
      </c>
      <c r="AA22" s="464">
        <f>'10'!AE22</f>
        <v>0</v>
      </c>
      <c r="AB22" s="460"/>
      <c r="AC22" s="462">
        <f t="shared" si="2"/>
        <v>0</v>
      </c>
      <c r="AD22" s="469"/>
      <c r="AE22" s="348">
        <f t="shared" si="3"/>
        <v>0</v>
      </c>
      <c r="AF22" s="563">
        <f>'10'!AF22+'11'!AB22</f>
        <v>0</v>
      </c>
      <c r="AG22" s="234">
        <f>'10'!AG22+'11'!AD22</f>
        <v>0</v>
      </c>
      <c r="AI22" s="393">
        <f>R56</f>
        <v>0</v>
      </c>
      <c r="AJ22" s="394">
        <f>R56*1800</f>
        <v>0</v>
      </c>
    </row>
    <row r="23" spans="1:36" ht="27" customHeight="1" thickTop="1" thickBot="1">
      <c r="A23" s="715" t="str">
        <f>'10'!A23</f>
        <v>OFFICE FOOD</v>
      </c>
      <c r="B23" s="462"/>
      <c r="C23" s="536">
        <f>'10'!D23</f>
        <v>0</v>
      </c>
      <c r="D23" s="537">
        <f t="shared" ref="D23:D48" si="5">B23+C23</f>
        <v>0</v>
      </c>
      <c r="F23" s="479" t="str">
        <f>'10'!F23</f>
        <v>JAMSHAD BADEEN</v>
      </c>
      <c r="G23" s="406">
        <f>'CUSTOMERS REPORT'!Y603</f>
        <v>0</v>
      </c>
      <c r="H23" s="504">
        <f>'CUSTOMERS REPORT'!Z603</f>
        <v>0</v>
      </c>
      <c r="I23" s="406">
        <f>'CUSTOMERS REPORT'!AA603</f>
        <v>0</v>
      </c>
      <c r="J23" s="498">
        <f>'CUSTOMERS REPORT'!AB603</f>
        <v>0</v>
      </c>
      <c r="K23" s="498">
        <f>'CUSTOMERS REPORT'!AC603</f>
        <v>0</v>
      </c>
      <c r="L23" s="509">
        <f>'CUSTOMERS REPORT'!AD603</f>
        <v>0</v>
      </c>
      <c r="M23" s="414">
        <f>'10'!M23+'11'!G23</f>
        <v>0</v>
      </c>
      <c r="N23" s="412">
        <f>'10'!N23+'11'!J23</f>
        <v>0</v>
      </c>
      <c r="P23" s="190" t="s">
        <v>48</v>
      </c>
      <c r="Q23" s="439">
        <f>SUM(Q8:Q22)</f>
        <v>0</v>
      </c>
      <c r="S23" s="400" t="str">
        <f>'10'!S23</f>
        <v>WHITE 6</v>
      </c>
      <c r="T23" s="446">
        <f>'10'!X23</f>
        <v>0</v>
      </c>
      <c r="U23" s="456"/>
      <c r="V23" s="451">
        <f t="shared" si="0"/>
        <v>0</v>
      </c>
      <c r="W23" s="451"/>
      <c r="X23" s="447">
        <f t="shared" si="1"/>
        <v>0</v>
      </c>
      <c r="Z23" s="375" t="str">
        <f>'10'!Z23</f>
        <v>IRANI GHEE</v>
      </c>
      <c r="AA23" s="464">
        <f>'10'!AE23</f>
        <v>0</v>
      </c>
      <c r="AB23" s="460"/>
      <c r="AC23" s="462">
        <f t="shared" si="2"/>
        <v>0</v>
      </c>
      <c r="AD23" s="469"/>
      <c r="AE23" s="348">
        <f t="shared" si="3"/>
        <v>0</v>
      </c>
      <c r="AF23" s="563">
        <f>'10'!AF23+'11'!AB23</f>
        <v>0</v>
      </c>
      <c r="AG23" s="234">
        <f>'10'!AG23+'11'!AD23</f>
        <v>0</v>
      </c>
      <c r="AI23" s="395" t="s">
        <v>74</v>
      </c>
      <c r="AJ23" s="396">
        <f>AJ21+AJ22</f>
        <v>0</v>
      </c>
    </row>
    <row r="24" spans="1:36" ht="27" customHeight="1" thickTop="1" thickBot="1">
      <c r="A24" s="715" t="str">
        <f>'10'!A24</f>
        <v>LABOUR FOOD EXP</v>
      </c>
      <c r="B24" s="234"/>
      <c r="C24" s="348">
        <f>'10'!D24</f>
        <v>0</v>
      </c>
      <c r="D24" s="234">
        <f t="shared" si="5"/>
        <v>0</v>
      </c>
      <c r="F24" s="479" t="str">
        <f>'10'!F24</f>
        <v>SARFAZ MP</v>
      </c>
      <c r="G24" s="406">
        <f>'CUSTOMERS REPORT'!Y641</f>
        <v>0</v>
      </c>
      <c r="H24" s="504">
        <f>'CUSTOMERS REPORT'!Z641</f>
        <v>0</v>
      </c>
      <c r="I24" s="406">
        <f>'CUSTOMERS REPORT'!AA641</f>
        <v>0</v>
      </c>
      <c r="J24" s="498">
        <f>'CUSTOMERS REPORT'!AB641</f>
        <v>0</v>
      </c>
      <c r="K24" s="498">
        <f>'CUSTOMERS REPORT'!AC641</f>
        <v>0</v>
      </c>
      <c r="L24" s="509">
        <f>'CUSTOMERS REPORT'!AD641</f>
        <v>0</v>
      </c>
      <c r="M24" s="414">
        <f>'10'!M24+'11'!G24</f>
        <v>0</v>
      </c>
      <c r="N24" s="412">
        <f>'10'!N24+'11'!J24</f>
        <v>0</v>
      </c>
      <c r="P24" s="1514" t="s">
        <v>137</v>
      </c>
      <c r="Q24" s="1514"/>
      <c r="R24" t="s">
        <v>1</v>
      </c>
      <c r="S24" s="400" t="str">
        <f>'10'!S24</f>
        <v>ORANGE</v>
      </c>
      <c r="T24" s="446">
        <f>'10'!X24</f>
        <v>0</v>
      </c>
      <c r="U24" s="456"/>
      <c r="V24" s="451">
        <f t="shared" si="0"/>
        <v>0</v>
      </c>
      <c r="W24" s="451"/>
      <c r="X24" s="447">
        <f t="shared" si="1"/>
        <v>0</v>
      </c>
      <c r="Z24" s="375">
        <f>'10'!Z24</f>
        <v>0</v>
      </c>
      <c r="AA24" s="464">
        <f>'10'!AE24</f>
        <v>0</v>
      </c>
      <c r="AB24" s="460"/>
      <c r="AC24" s="462">
        <f t="shared" si="2"/>
        <v>0</v>
      </c>
      <c r="AD24" s="469"/>
      <c r="AE24" s="348">
        <f t="shared" si="3"/>
        <v>0</v>
      </c>
      <c r="AF24" s="563">
        <f>'10'!AF24+'11'!AB24</f>
        <v>0</v>
      </c>
      <c r="AG24" s="234">
        <f>'10'!AG24+'11'!AD24</f>
        <v>0</v>
      </c>
    </row>
    <row r="25" spans="1:36" ht="27" customHeight="1" thickTop="1" thickBot="1">
      <c r="A25" s="715" t="str">
        <f>'10'!A25</f>
        <v>OFFICE SALARY</v>
      </c>
      <c r="B25" s="234">
        <f>ATTENDANCE!W28</f>
        <v>0</v>
      </c>
      <c r="C25" s="348">
        <f>'10'!D25</f>
        <v>0</v>
      </c>
      <c r="D25" s="234">
        <f t="shared" si="5"/>
        <v>0</v>
      </c>
      <c r="F25" s="479" t="str">
        <f>'10'!F25</f>
        <v>AFZAL MATLI</v>
      </c>
      <c r="G25" s="406">
        <f>'CUSTOMERS REPORT'!Y679</f>
        <v>0</v>
      </c>
      <c r="H25" s="504">
        <f>'CUSTOMERS REPORT'!Z679</f>
        <v>0</v>
      </c>
      <c r="I25" s="406">
        <f>'CUSTOMERS REPORT'!AA679</f>
        <v>0</v>
      </c>
      <c r="J25" s="498">
        <f>'CUSTOMERS REPORT'!AB679</f>
        <v>0</v>
      </c>
      <c r="K25" s="498">
        <f>'CUSTOMERS REPORT'!AC679</f>
        <v>0</v>
      </c>
      <c r="L25" s="509">
        <f>'CUSTOMERS REPORT'!AD679</f>
        <v>0</v>
      </c>
      <c r="M25" s="414">
        <f>'10'!M25+'11'!G25</f>
        <v>0</v>
      </c>
      <c r="N25" s="412">
        <f>'10'!N25+'11'!J25</f>
        <v>0</v>
      </c>
      <c r="P25" s="434"/>
      <c r="Q25" s="440"/>
      <c r="S25" s="400" t="str">
        <f>'10'!S25</f>
        <v>MAKKI 7</v>
      </c>
      <c r="T25" s="446">
        <f>'10'!X25</f>
        <v>0</v>
      </c>
      <c r="U25" s="456"/>
      <c r="V25" s="451">
        <f t="shared" si="0"/>
        <v>0</v>
      </c>
      <c r="W25" s="451"/>
      <c r="X25" s="447">
        <f t="shared" si="1"/>
        <v>0</v>
      </c>
      <c r="Z25" s="375">
        <f>'10'!Z25</f>
        <v>0</v>
      </c>
      <c r="AA25" s="464">
        <f>'10'!AE25</f>
        <v>0</v>
      </c>
      <c r="AB25" s="735"/>
      <c r="AC25" s="462">
        <f t="shared" si="2"/>
        <v>0</v>
      </c>
      <c r="AD25" s="469"/>
      <c r="AE25" s="348">
        <f t="shared" si="3"/>
        <v>0</v>
      </c>
      <c r="AF25" s="563">
        <f>'10'!AF25+'11'!AB25</f>
        <v>0</v>
      </c>
      <c r="AG25" s="234">
        <f>'10'!AG25+'11'!AD25</f>
        <v>0</v>
      </c>
      <c r="AI25" s="397" t="s">
        <v>59</v>
      </c>
      <c r="AJ25" s="398">
        <f>AJ23-AJ10</f>
        <v>0</v>
      </c>
    </row>
    <row r="26" spans="1:36" ht="27" customHeight="1" thickTop="1">
      <c r="A26" s="715" t="str">
        <f>'10'!A26</f>
        <v>LABOUR SALARY</v>
      </c>
      <c r="B26" s="234">
        <f>SUM('SALERY SHEET'!X97:Y97)</f>
        <v>0</v>
      </c>
      <c r="C26" s="348">
        <f>'10'!D26</f>
        <v>0</v>
      </c>
      <c r="D26" s="234">
        <f t="shared" si="5"/>
        <v>0</v>
      </c>
      <c r="F26" s="479" t="str">
        <f>'10'!F26</f>
        <v xml:space="preserve">ABDUL RASHEED </v>
      </c>
      <c r="G26" s="406">
        <f>'CUSTOMERS REPORT'!Y717</f>
        <v>0</v>
      </c>
      <c r="H26" s="504">
        <f>'CUSTOMERS REPORT'!Z717</f>
        <v>0</v>
      </c>
      <c r="I26" s="406">
        <f>'CUSTOMERS REPORT'!AA717</f>
        <v>0</v>
      </c>
      <c r="J26" s="498">
        <f>'CUSTOMERS REPORT'!AB717</f>
        <v>0</v>
      </c>
      <c r="K26" s="498">
        <f>'CUSTOMERS REPORT'!AC717</f>
        <v>0</v>
      </c>
      <c r="L26" s="509">
        <f>'CUSTOMERS REPORT'!AD717</f>
        <v>0</v>
      </c>
      <c r="M26" s="414">
        <f>'10'!M26+'11'!G26</f>
        <v>0</v>
      </c>
      <c r="N26" s="412">
        <f>'10'!N26+'11'!J26</f>
        <v>0</v>
      </c>
      <c r="P26" s="433"/>
      <c r="Q26" s="438"/>
      <c r="R26" t="s">
        <v>1</v>
      </c>
      <c r="S26" s="400" t="str">
        <f>'10'!S26</f>
        <v>BLUE 125 GM</v>
      </c>
      <c r="T26" s="446">
        <f>'10'!X26</f>
        <v>0</v>
      </c>
      <c r="U26" s="456"/>
      <c r="V26" s="451">
        <f t="shared" si="0"/>
        <v>0</v>
      </c>
      <c r="W26" s="451"/>
      <c r="X26" s="447">
        <f t="shared" si="1"/>
        <v>0</v>
      </c>
      <c r="Z26" s="375">
        <f>'10'!Z26</f>
        <v>0</v>
      </c>
      <c r="AA26" s="464">
        <f>'10'!AE26</f>
        <v>0</v>
      </c>
      <c r="AB26" s="460"/>
      <c r="AC26" s="462">
        <f t="shared" si="2"/>
        <v>0</v>
      </c>
      <c r="AD26" s="469"/>
      <c r="AE26" s="348">
        <f t="shared" si="3"/>
        <v>0</v>
      </c>
      <c r="AF26" s="563">
        <f>'10'!AF26+'11'!AB26</f>
        <v>0</v>
      </c>
      <c r="AG26" s="234">
        <f>'10'!AG26+'11'!AD26</f>
        <v>0</v>
      </c>
    </row>
    <row r="27" spans="1:36" ht="27" customHeight="1">
      <c r="A27" s="715" t="str">
        <f>'10'!A27</f>
        <v>SHAHZORE</v>
      </c>
      <c r="B27" s="234"/>
      <c r="C27" s="348">
        <f>'10'!D27</f>
        <v>0</v>
      </c>
      <c r="D27" s="234">
        <f t="shared" si="5"/>
        <v>0</v>
      </c>
      <c r="F27" s="479" t="str">
        <f>'10'!F27</f>
        <v>SALEEM ORANGI</v>
      </c>
      <c r="G27" s="406">
        <f>'CUSTOMERS REPORT'!Y755</f>
        <v>0</v>
      </c>
      <c r="H27" s="504">
        <f>'CUSTOMERS REPORT'!Z755</f>
        <v>0</v>
      </c>
      <c r="I27" s="406">
        <f>'CUSTOMERS REPORT'!AA755</f>
        <v>0</v>
      </c>
      <c r="J27" s="498">
        <f>'CUSTOMERS REPORT'!AB755</f>
        <v>0</v>
      </c>
      <c r="K27" s="498">
        <f>'CUSTOMERS REPORT'!AC755</f>
        <v>0</v>
      </c>
      <c r="L27" s="509">
        <f>'CUSTOMERS REPORT'!AD755</f>
        <v>0</v>
      </c>
      <c r="M27" s="414">
        <f>'10'!M27+'11'!G27</f>
        <v>0</v>
      </c>
      <c r="N27" s="412">
        <f>'10'!N27+'11'!J27</f>
        <v>0</v>
      </c>
      <c r="P27" s="433"/>
      <c r="Q27" s="435"/>
      <c r="R27" t="s">
        <v>1</v>
      </c>
      <c r="S27" s="400" t="str">
        <f>'10'!S27</f>
        <v>MAKKI 5</v>
      </c>
      <c r="T27" s="446">
        <f>'10'!X27</f>
        <v>0</v>
      </c>
      <c r="U27" s="456"/>
      <c r="V27" s="451">
        <f t="shared" si="0"/>
        <v>0</v>
      </c>
      <c r="W27" s="451"/>
      <c r="X27" s="447">
        <f t="shared" si="1"/>
        <v>0</v>
      </c>
      <c r="Z27" s="375">
        <f>'10'!Z27</f>
        <v>0</v>
      </c>
      <c r="AA27" s="464">
        <f>'10'!AE27</f>
        <v>0</v>
      </c>
      <c r="AB27" s="460"/>
      <c r="AC27" s="462">
        <f t="shared" si="2"/>
        <v>0</v>
      </c>
      <c r="AD27" s="469"/>
      <c r="AE27" s="348">
        <f t="shared" si="3"/>
        <v>0</v>
      </c>
      <c r="AF27" s="563">
        <f>'10'!AF27+'11'!AB27</f>
        <v>0</v>
      </c>
      <c r="AG27" s="234">
        <f>'10'!AG27+'11'!AD27</f>
        <v>0</v>
      </c>
    </row>
    <row r="28" spans="1:36" ht="27" customHeight="1">
      <c r="A28" s="715" t="str">
        <f>'10'!A28</f>
        <v>GENERATOR</v>
      </c>
      <c r="B28" s="234"/>
      <c r="C28" s="348">
        <f>'10'!D28</f>
        <v>0</v>
      </c>
      <c r="D28" s="234">
        <f t="shared" si="5"/>
        <v>0</v>
      </c>
      <c r="F28" s="479" t="str">
        <f>'10'!F28</f>
        <v>AYAZ OUSTA</v>
      </c>
      <c r="G28" s="406">
        <f>'CUSTOMERS REPORT'!Y793</f>
        <v>0</v>
      </c>
      <c r="H28" s="504">
        <f>'CUSTOMERS REPORT'!Z793</f>
        <v>0</v>
      </c>
      <c r="I28" s="406">
        <f>'CUSTOMERS REPORT'!AA793</f>
        <v>0</v>
      </c>
      <c r="J28" s="498">
        <f>'CUSTOMERS REPORT'!AB793</f>
        <v>0</v>
      </c>
      <c r="K28" s="498">
        <f>'CUSTOMERS REPORT'!AC793</f>
        <v>0</v>
      </c>
      <c r="L28" s="509">
        <f>'CUSTOMERS REPORT'!AD793</f>
        <v>0</v>
      </c>
      <c r="M28" s="414">
        <f>'10'!M28+'11'!G28</f>
        <v>0</v>
      </c>
      <c r="N28" s="412">
        <f>'10'!N28+'11'!J28</f>
        <v>0</v>
      </c>
      <c r="P28" s="433"/>
      <c r="Q28" s="438"/>
      <c r="S28" s="400" t="str">
        <f>'10'!S28</f>
        <v>MAKKI 2 PES</v>
      </c>
      <c r="T28" s="446">
        <f>'10'!X28</f>
        <v>0</v>
      </c>
      <c r="U28" s="456"/>
      <c r="V28" s="451">
        <f t="shared" si="0"/>
        <v>0</v>
      </c>
      <c r="W28" s="451"/>
      <c r="X28" s="447">
        <f t="shared" si="1"/>
        <v>0</v>
      </c>
      <c r="Z28" s="375">
        <f>'10'!Z28</f>
        <v>0</v>
      </c>
      <c r="AA28" s="464">
        <f>'10'!AE28</f>
        <v>0</v>
      </c>
      <c r="AB28" s="460"/>
      <c r="AC28" s="462">
        <f t="shared" si="2"/>
        <v>0</v>
      </c>
      <c r="AD28" s="469"/>
      <c r="AE28" s="348">
        <f t="shared" si="3"/>
        <v>0</v>
      </c>
      <c r="AF28" s="563">
        <f>'10'!AF28+'11'!AB28</f>
        <v>0</v>
      </c>
      <c r="AG28" s="234">
        <f>'10'!AG28+'11'!AD28</f>
        <v>0</v>
      </c>
    </row>
    <row r="29" spans="1:36" ht="27" customHeight="1">
      <c r="A29" s="715" t="str">
        <f>'10'!A29</f>
        <v>PATROL FAW</v>
      </c>
      <c r="B29" s="234"/>
      <c r="C29" s="348">
        <f>'10'!D29</f>
        <v>0</v>
      </c>
      <c r="D29" s="234">
        <f t="shared" si="5"/>
        <v>0</v>
      </c>
      <c r="F29" s="479" t="str">
        <f>'10'!F29</f>
        <v>AZHAR BADEEN</v>
      </c>
      <c r="G29" s="406">
        <f>'CUSTOMERS REPORT'!Y831</f>
        <v>0</v>
      </c>
      <c r="H29" s="504">
        <f>'CUSTOMERS REPORT'!Z831</f>
        <v>0</v>
      </c>
      <c r="I29" s="406">
        <f>'CUSTOMERS REPORT'!AA831</f>
        <v>0</v>
      </c>
      <c r="J29" s="498">
        <f>'CUSTOMERS REPORT'!AB831</f>
        <v>0</v>
      </c>
      <c r="K29" s="498">
        <f>'CUSTOMERS REPORT'!AC831</f>
        <v>0</v>
      </c>
      <c r="L29" s="509">
        <f>'CUSTOMERS REPORT'!AD831</f>
        <v>0</v>
      </c>
      <c r="M29" s="414">
        <f>'10'!M29+'11'!G29</f>
        <v>0</v>
      </c>
      <c r="N29" s="412">
        <f>'10'!N29+'11'!J29</f>
        <v>0</v>
      </c>
      <c r="P29" s="433"/>
      <c r="Q29" s="441"/>
      <c r="S29" s="400" t="str">
        <f>'10'!S29</f>
        <v xml:space="preserve">PRIME </v>
      </c>
      <c r="T29" s="446">
        <f>'10'!X29</f>
        <v>0</v>
      </c>
      <c r="U29" s="456"/>
      <c r="V29" s="451">
        <f t="shared" si="0"/>
        <v>0</v>
      </c>
      <c r="W29" s="451"/>
      <c r="X29" s="447">
        <f t="shared" si="1"/>
        <v>0</v>
      </c>
      <c r="Z29" s="375">
        <f>'10'!Z29</f>
        <v>0</v>
      </c>
      <c r="AA29" s="464">
        <f>'10'!AE29</f>
        <v>0</v>
      </c>
      <c r="AB29" s="460"/>
      <c r="AC29" s="462">
        <f t="shared" si="2"/>
        <v>0</v>
      </c>
      <c r="AD29" s="469"/>
      <c r="AE29" s="348">
        <f t="shared" si="3"/>
        <v>0</v>
      </c>
      <c r="AF29" s="563">
        <f>'10'!AF29+'11'!AB29</f>
        <v>0</v>
      </c>
      <c r="AG29" s="234">
        <f>'10'!AG29+'11'!AD29</f>
        <v>0</v>
      </c>
    </row>
    <row r="30" spans="1:36" ht="27" customHeight="1">
      <c r="A30" s="715" t="str">
        <f>'10'!A30</f>
        <v>FOTON DIESEL</v>
      </c>
      <c r="B30" s="234"/>
      <c r="C30" s="348">
        <f>'10'!D30</f>
        <v>0</v>
      </c>
      <c r="D30" s="234">
        <f t="shared" si="5"/>
        <v>0</v>
      </c>
      <c r="F30" s="479" t="str">
        <f>'10'!F30</f>
        <v>FAISAL HUB</v>
      </c>
      <c r="G30" s="406">
        <f>'CUSTOMERS REPORT'!Y869</f>
        <v>0</v>
      </c>
      <c r="H30" s="504">
        <f>'CUSTOMERS REPORT'!Z869</f>
        <v>0</v>
      </c>
      <c r="I30" s="406">
        <f>'CUSTOMERS REPORT'!AA869</f>
        <v>0</v>
      </c>
      <c r="J30" s="498">
        <f>'CUSTOMERS REPORT'!AB869</f>
        <v>0</v>
      </c>
      <c r="K30" s="498">
        <f>'CUSTOMERS REPORT'!AC869</f>
        <v>0</v>
      </c>
      <c r="L30" s="509">
        <f>'CUSTOMERS REPORT'!AD869</f>
        <v>0</v>
      </c>
      <c r="M30" s="414">
        <f>'10'!M30+'11'!G30</f>
        <v>0</v>
      </c>
      <c r="N30" s="412">
        <f>'10'!N30+'11'!J30</f>
        <v>0</v>
      </c>
      <c r="P30" s="433"/>
      <c r="Q30" s="442"/>
      <c r="S30" s="400" t="str">
        <f>'10'!S30</f>
        <v>PRIMR 15</v>
      </c>
      <c r="T30" s="446">
        <f>'10'!X30</f>
        <v>0</v>
      </c>
      <c r="U30" s="456"/>
      <c r="V30" s="451">
        <f t="shared" si="0"/>
        <v>0</v>
      </c>
      <c r="W30" s="451"/>
      <c r="X30" s="447">
        <f t="shared" si="1"/>
        <v>0</v>
      </c>
      <c r="Z30" s="375">
        <f>'10'!Z30</f>
        <v>0</v>
      </c>
      <c r="AA30" s="464">
        <f>'10'!AE30</f>
        <v>0</v>
      </c>
      <c r="AB30" s="460"/>
      <c r="AC30" s="462">
        <f t="shared" si="2"/>
        <v>0</v>
      </c>
      <c r="AD30" s="469"/>
      <c r="AE30" s="348">
        <f t="shared" si="3"/>
        <v>0</v>
      </c>
      <c r="AF30" s="563">
        <f>'10'!AF30+'11'!AB30</f>
        <v>0</v>
      </c>
      <c r="AG30" s="234">
        <f>'10'!AG30+'11'!AD30</f>
        <v>0</v>
      </c>
    </row>
    <row r="31" spans="1:36" ht="27" customHeight="1" thickBot="1">
      <c r="A31" s="715" t="str">
        <f>'10'!A31</f>
        <v>UTILITY BILLS</v>
      </c>
      <c r="B31" s="234"/>
      <c r="C31" s="348">
        <f>'10'!D31</f>
        <v>0</v>
      </c>
      <c r="D31" s="234">
        <f t="shared" si="5"/>
        <v>0</v>
      </c>
      <c r="F31" s="479" t="str">
        <f>'10'!F31</f>
        <v>ABDUL RAHMAN</v>
      </c>
      <c r="G31" s="406">
        <f>'CUSTOMERS REPORT'!Y908</f>
        <v>0</v>
      </c>
      <c r="H31" s="504">
        <f>'CUSTOMERS REPORT'!Z908</f>
        <v>0</v>
      </c>
      <c r="I31" s="406">
        <f>'CUSTOMERS REPORT'!AA908</f>
        <v>0</v>
      </c>
      <c r="J31" s="498">
        <f>'CUSTOMERS REPORT'!AB908</f>
        <v>0</v>
      </c>
      <c r="K31" s="498">
        <f>'CUSTOMERS REPORT'!AC908</f>
        <v>0</v>
      </c>
      <c r="L31" s="509">
        <f>'CUSTOMERS REPORT'!AD908</f>
        <v>0</v>
      </c>
      <c r="M31" s="414">
        <f>'10'!M31+'11'!G31</f>
        <v>0</v>
      </c>
      <c r="N31" s="412">
        <f>'10'!N31+'11'!J31</f>
        <v>0</v>
      </c>
      <c r="P31" s="433"/>
      <c r="Q31" s="435"/>
      <c r="S31" s="400" t="str">
        <f>'10'!S31</f>
        <v>KARACHI</v>
      </c>
      <c r="T31" s="446">
        <f>'10'!X31</f>
        <v>0</v>
      </c>
      <c r="U31" s="456"/>
      <c r="V31" s="451">
        <f t="shared" si="0"/>
        <v>0</v>
      </c>
      <c r="W31" s="451"/>
      <c r="X31" s="447">
        <f t="shared" si="1"/>
        <v>0</v>
      </c>
      <c r="Z31" s="375">
        <f>'10'!Z31</f>
        <v>0</v>
      </c>
      <c r="AA31" s="464">
        <f>'10'!AE31</f>
        <v>0</v>
      </c>
      <c r="AB31" s="460"/>
      <c r="AC31" s="462">
        <f t="shared" si="2"/>
        <v>0</v>
      </c>
      <c r="AD31" s="469"/>
      <c r="AE31" s="348">
        <f t="shared" si="3"/>
        <v>0</v>
      </c>
      <c r="AF31" s="563">
        <f>'10'!AF31+'11'!AB31</f>
        <v>0</v>
      </c>
      <c r="AG31" s="234">
        <f>'10'!AG31+'11'!AD31</f>
        <v>0</v>
      </c>
      <c r="AI31" t="s">
        <v>1</v>
      </c>
    </row>
    <row r="32" spans="1:36" ht="27" customHeight="1" thickTop="1" thickBot="1">
      <c r="A32" s="715" t="str">
        <f>'10'!A32</f>
        <v>WOOD</v>
      </c>
      <c r="B32" s="234"/>
      <c r="C32" s="348">
        <f>'10'!D32</f>
        <v>0</v>
      </c>
      <c r="D32" s="234">
        <f t="shared" si="5"/>
        <v>0</v>
      </c>
      <c r="F32" s="479" t="str">
        <f>'10'!F32</f>
        <v>HAJI JAN GIWANI</v>
      </c>
      <c r="G32" s="406">
        <f>'CUSTOMERS REPORT'!Y947</f>
        <v>0</v>
      </c>
      <c r="H32" s="504">
        <f>'CUSTOMERS REPORT'!Z947</f>
        <v>0</v>
      </c>
      <c r="I32" s="406">
        <f>'CUSTOMERS REPORT'!AA947</f>
        <v>0</v>
      </c>
      <c r="J32" s="498">
        <f>'CUSTOMERS REPORT'!AB947</f>
        <v>0</v>
      </c>
      <c r="K32" s="498">
        <f>'CUSTOMERS REPORT'!AC947</f>
        <v>0</v>
      </c>
      <c r="L32" s="509">
        <f>'CUSTOMERS REPORT'!AD947</f>
        <v>0</v>
      </c>
      <c r="M32" s="414">
        <f>'10'!M32+'11'!G32</f>
        <v>0</v>
      </c>
      <c r="N32" s="412">
        <f>'10'!N32+'11'!J32</f>
        <v>0</v>
      </c>
      <c r="P32" s="190" t="s">
        <v>51</v>
      </c>
      <c r="Q32" s="439">
        <f>Q23-Q25-Q26-Q27-Q28-Q29-Q30-Q31</f>
        <v>0</v>
      </c>
      <c r="R32" t="s">
        <v>1</v>
      </c>
      <c r="S32" s="400" t="str">
        <f>'10'!S32</f>
        <v>MARVI</v>
      </c>
      <c r="T32" s="446">
        <f>'10'!X32</f>
        <v>0</v>
      </c>
      <c r="U32" s="456"/>
      <c r="V32" s="451">
        <f t="shared" si="0"/>
        <v>0</v>
      </c>
      <c r="W32" s="451"/>
      <c r="X32" s="447">
        <f t="shared" si="1"/>
        <v>0</v>
      </c>
      <c r="Z32" s="375">
        <f>'10'!Z32</f>
        <v>0</v>
      </c>
      <c r="AA32" s="464">
        <f>'10'!AE32</f>
        <v>0</v>
      </c>
      <c r="AB32" s="460"/>
      <c r="AC32" s="462">
        <f t="shared" si="2"/>
        <v>0</v>
      </c>
      <c r="AD32" s="469"/>
      <c r="AE32" s="348">
        <f t="shared" si="3"/>
        <v>0</v>
      </c>
      <c r="AF32" s="563">
        <f>'10'!AF32+'11'!AB32</f>
        <v>0</v>
      </c>
      <c r="AG32" s="234">
        <f>'10'!AG32+'11'!AD32</f>
        <v>0</v>
      </c>
    </row>
    <row r="33" spans="1:40" ht="27" customHeight="1" thickTop="1" thickBot="1">
      <c r="A33" s="716" t="str">
        <f>'10'!A33</f>
        <v>TOLL</v>
      </c>
      <c r="B33" s="551"/>
      <c r="C33" s="348">
        <f>'10'!D33</f>
        <v>0</v>
      </c>
      <c r="D33" s="234">
        <f t="shared" si="5"/>
        <v>0</v>
      </c>
      <c r="F33" s="479" t="str">
        <f>'10'!F33</f>
        <v>ALI QURESHI HYD</v>
      </c>
      <c r="G33" s="406">
        <f>'CUSTOMERS REPORT'!Y985</f>
        <v>0</v>
      </c>
      <c r="H33" s="504">
        <f>'CUSTOMERS REPORT'!Z985</f>
        <v>0</v>
      </c>
      <c r="I33" s="406">
        <f>'CUSTOMERS REPORT'!AA985</f>
        <v>0</v>
      </c>
      <c r="J33" s="498">
        <f>'CUSTOMERS REPORT'!AB985</f>
        <v>0</v>
      </c>
      <c r="K33" s="498">
        <f>'CUSTOMERS REPORT'!AC985</f>
        <v>0</v>
      </c>
      <c r="L33" s="509">
        <f>'CUSTOMERS REPORT'!AD985</f>
        <v>0</v>
      </c>
      <c r="M33" s="414">
        <f>'10'!M33+'11'!G33</f>
        <v>0</v>
      </c>
      <c r="N33" s="412">
        <f>'10'!N33+'11'!J33</f>
        <v>0</v>
      </c>
      <c r="P33" s="1499" t="s">
        <v>149</v>
      </c>
      <c r="Q33" s="1500"/>
      <c r="S33" s="400" t="str">
        <f>'10'!S33</f>
        <v>TS</v>
      </c>
      <c r="T33" s="446">
        <f>'10'!X33</f>
        <v>0</v>
      </c>
      <c r="U33" s="456"/>
      <c r="V33" s="451">
        <f t="shared" si="0"/>
        <v>0</v>
      </c>
      <c r="W33" s="451"/>
      <c r="X33" s="447">
        <f t="shared" si="1"/>
        <v>0</v>
      </c>
      <c r="Z33" s="375">
        <f>'10'!Z33</f>
        <v>0</v>
      </c>
      <c r="AA33" s="464">
        <f>'10'!AE33</f>
        <v>0</v>
      </c>
      <c r="AB33" s="460"/>
      <c r="AC33" s="462">
        <f t="shared" si="2"/>
        <v>0</v>
      </c>
      <c r="AD33" s="469"/>
      <c r="AE33" s="348">
        <f t="shared" si="3"/>
        <v>0</v>
      </c>
      <c r="AF33" s="563">
        <f>'10'!AF33+'11'!AB33</f>
        <v>0</v>
      </c>
      <c r="AG33" s="234">
        <f>'10'!AG33+'11'!AD33</f>
        <v>0</v>
      </c>
    </row>
    <row r="34" spans="1:40" ht="27" customHeight="1" thickTop="1" thickBot="1">
      <c r="A34" s="715" t="str">
        <f>'10'!A34</f>
        <v>FLOUR / SHGER</v>
      </c>
      <c r="B34" s="538"/>
      <c r="C34" s="348">
        <f>'10'!D34</f>
        <v>0</v>
      </c>
      <c r="D34" s="234">
        <f t="shared" si="5"/>
        <v>0</v>
      </c>
      <c r="F34" s="479" t="str">
        <f>'10'!F34</f>
        <v>ALI RAZA KAND KOT</v>
      </c>
      <c r="G34" s="406">
        <f>'CUSTOMERS REPORT'!Y1023</f>
        <v>0</v>
      </c>
      <c r="H34" s="504">
        <f>'CUSTOMERS REPORT'!Z1023</f>
        <v>0</v>
      </c>
      <c r="I34" s="406">
        <f>'CUSTOMERS REPORT'!AA1023</f>
        <v>0</v>
      </c>
      <c r="J34" s="498">
        <f>'CUSTOMERS REPORT'!AB1023</f>
        <v>0</v>
      </c>
      <c r="K34" s="498">
        <f>'CUSTOMERS REPORT'!AC1023</f>
        <v>0</v>
      </c>
      <c r="L34" s="509">
        <f>'CUSTOMERS REPORT'!AD1023</f>
        <v>0</v>
      </c>
      <c r="M34" s="414">
        <f>'10'!M34+'11'!G34</f>
        <v>0</v>
      </c>
      <c r="N34" s="412">
        <f>'10'!N34+'11'!J34</f>
        <v>0</v>
      </c>
      <c r="P34" s="220" t="s">
        <v>150</v>
      </c>
      <c r="Q34" s="223">
        <f>'10'!Q34</f>
        <v>0</v>
      </c>
      <c r="S34" s="400" t="str">
        <f>'10'!S34</f>
        <v>MAXI</v>
      </c>
      <c r="T34" s="446">
        <f>'10'!X34</f>
        <v>0</v>
      </c>
      <c r="U34" s="457"/>
      <c r="V34" s="452">
        <f t="shared" si="0"/>
        <v>0</v>
      </c>
      <c r="W34" s="452"/>
      <c r="X34" s="448">
        <f t="shared" si="1"/>
        <v>0</v>
      </c>
      <c r="Z34" s="375">
        <f>'10'!Z34</f>
        <v>0</v>
      </c>
      <c r="AA34" s="464">
        <f>'10'!AE34</f>
        <v>0</v>
      </c>
      <c r="AB34" s="460"/>
      <c r="AC34" s="462">
        <f t="shared" si="2"/>
        <v>0</v>
      </c>
      <c r="AD34" s="469"/>
      <c r="AE34" s="348">
        <f t="shared" si="3"/>
        <v>0</v>
      </c>
      <c r="AF34" s="563">
        <f>'10'!AF34+'11'!AB34</f>
        <v>0</v>
      </c>
      <c r="AG34" s="234">
        <f>'10'!AG34+'11'!AD34</f>
        <v>0</v>
      </c>
    </row>
    <row r="35" spans="1:40" ht="27" customHeight="1" thickTop="1">
      <c r="A35" s="716" t="str">
        <f>'10'!A35</f>
        <v>OVEN &amp; PP MACHINE</v>
      </c>
      <c r="B35" s="529"/>
      <c r="C35" s="348">
        <f>'10'!D35</f>
        <v>0</v>
      </c>
      <c r="D35" s="529">
        <f t="shared" si="5"/>
        <v>0</v>
      </c>
      <c r="F35" s="479" t="str">
        <f>'10'!F35</f>
        <v>IQBAL MORO</v>
      </c>
      <c r="G35" s="407">
        <f>'CUSTOMERS REPORT'!Y1061</f>
        <v>0</v>
      </c>
      <c r="H35" s="505">
        <f>'CUSTOMERS REPORT'!Z1061</f>
        <v>0</v>
      </c>
      <c r="I35" s="407">
        <f>'CUSTOMERS REPORT'!AA1061</f>
        <v>0</v>
      </c>
      <c r="J35" s="499">
        <f>'CUSTOMERS REPORT'!AB1061</f>
        <v>0</v>
      </c>
      <c r="K35" s="499">
        <f>'CUSTOMERS REPORT'!AC1061</f>
        <v>0</v>
      </c>
      <c r="L35" s="510">
        <f>'CUSTOMERS REPORT'!AD1061</f>
        <v>0</v>
      </c>
      <c r="M35" s="414">
        <f>'10'!M35+'11'!G35</f>
        <v>0</v>
      </c>
      <c r="N35" s="412">
        <f>'10'!N35+'11'!J35</f>
        <v>0</v>
      </c>
      <c r="P35" s="252" t="s">
        <v>151</v>
      </c>
      <c r="Q35" s="443">
        <f>'10'!Q35</f>
        <v>0</v>
      </c>
      <c r="R35" t="s">
        <v>1</v>
      </c>
      <c r="S35" s="400" t="str">
        <f>'10'!S35</f>
        <v>M A WHITE</v>
      </c>
      <c r="T35" s="446">
        <f>'10'!X35</f>
        <v>0</v>
      </c>
      <c r="U35" s="457"/>
      <c r="V35" s="452">
        <f t="shared" si="0"/>
        <v>0</v>
      </c>
      <c r="W35" s="452"/>
      <c r="X35" s="448">
        <f t="shared" si="1"/>
        <v>0</v>
      </c>
      <c r="Z35" s="375">
        <f>'10'!Z35</f>
        <v>0</v>
      </c>
      <c r="AA35" s="464">
        <f>'10'!AE35</f>
        <v>0</v>
      </c>
      <c r="AB35" s="460"/>
      <c r="AC35" s="462">
        <f t="shared" si="2"/>
        <v>0</v>
      </c>
      <c r="AD35" s="469"/>
      <c r="AE35" s="348">
        <f t="shared" si="3"/>
        <v>0</v>
      </c>
      <c r="AF35" s="563">
        <f>'10'!AF35+'11'!AB35</f>
        <v>0</v>
      </c>
      <c r="AG35" s="234">
        <f>'10'!AG35+'11'!AD35</f>
        <v>0</v>
      </c>
    </row>
    <row r="36" spans="1:40" ht="27" customHeight="1">
      <c r="A36" s="716" t="str">
        <f>'10'!A36</f>
        <v>zakat</v>
      </c>
      <c r="B36" s="539"/>
      <c r="C36" s="348">
        <f>'10'!D36</f>
        <v>0</v>
      </c>
      <c r="D36" s="529">
        <f t="shared" si="5"/>
        <v>0</v>
      </c>
      <c r="F36" s="479" t="str">
        <f>'10'!F36</f>
        <v>SARFARAZ T ADAM</v>
      </c>
      <c r="G36" s="407">
        <f>'CUSTOMERS REPORT'!Y1099</f>
        <v>0</v>
      </c>
      <c r="H36" s="505">
        <f>'CUSTOMERS REPORT'!Z1099</f>
        <v>0</v>
      </c>
      <c r="I36" s="407">
        <f>'CUSTOMERS REPORT'!AA1099</f>
        <v>0</v>
      </c>
      <c r="J36" s="499">
        <f>'CUSTOMERS REPORT'!AB1099</f>
        <v>0</v>
      </c>
      <c r="K36" s="499">
        <f>'CUSTOMERS REPORT'!AC1099</f>
        <v>0</v>
      </c>
      <c r="L36" s="510">
        <f>'CUSTOMERS REPORT'!AD1099</f>
        <v>0</v>
      </c>
      <c r="M36" s="414">
        <f>'10'!M36+'11'!G36</f>
        <v>0</v>
      </c>
      <c r="N36" s="412">
        <f>'10'!N36+'11'!J36</f>
        <v>0</v>
      </c>
      <c r="P36" s="372" t="s">
        <v>152</v>
      </c>
      <c r="Q36" s="444">
        <f>J48</f>
        <v>0</v>
      </c>
      <c r="R36" t="s">
        <v>1</v>
      </c>
      <c r="S36" s="400" t="str">
        <f>'10'!S36</f>
        <v>M A ORING</v>
      </c>
      <c r="T36" s="446">
        <f>'10'!X36</f>
        <v>0</v>
      </c>
      <c r="U36" s="456"/>
      <c r="V36" s="451">
        <f t="shared" si="0"/>
        <v>0</v>
      </c>
      <c r="W36" s="452"/>
      <c r="X36" s="448">
        <f t="shared" si="1"/>
        <v>0</v>
      </c>
      <c r="Z36" s="375">
        <f>'10'!Z36</f>
        <v>0</v>
      </c>
      <c r="AA36" s="464">
        <f>'10'!AE36</f>
        <v>0</v>
      </c>
      <c r="AB36" s="460"/>
      <c r="AC36" s="462">
        <f t="shared" si="2"/>
        <v>0</v>
      </c>
      <c r="AD36" s="469"/>
      <c r="AE36" s="348">
        <f t="shared" si="3"/>
        <v>0</v>
      </c>
      <c r="AF36" s="563">
        <f>'10'!AF36+'11'!AB36</f>
        <v>0</v>
      </c>
      <c r="AG36" s="234">
        <f>'10'!AG36+'11'!AD36</f>
        <v>0</v>
      </c>
    </row>
    <row r="37" spans="1:40" ht="27" customHeight="1">
      <c r="A37" s="715" t="str">
        <f>'10'!A37</f>
        <v>javeed manghopir</v>
      </c>
      <c r="B37" s="234"/>
      <c r="C37" s="348">
        <f>'10'!D37</f>
        <v>0</v>
      </c>
      <c r="D37" s="234">
        <f t="shared" si="5"/>
        <v>0</v>
      </c>
      <c r="F37" s="479" t="str">
        <f>'10'!F37</f>
        <v>MUMTAZ K N SHAH</v>
      </c>
      <c r="G37" s="406">
        <f>'CUSTOMERS REPORT'!Y1137</f>
        <v>0</v>
      </c>
      <c r="H37" s="504">
        <f>'CUSTOMERS REPORT'!Z1137</f>
        <v>0</v>
      </c>
      <c r="I37" s="406">
        <f>'CUSTOMERS REPORT'!AA1137</f>
        <v>0</v>
      </c>
      <c r="J37" s="498">
        <f>'CUSTOMERS REPORT'!AB1137</f>
        <v>0</v>
      </c>
      <c r="K37" s="498">
        <f>'CUSTOMERS REPORT'!AC1137</f>
        <v>0</v>
      </c>
      <c r="L37" s="509">
        <f>'CUSTOMERS REPORT'!AD1137</f>
        <v>0</v>
      </c>
      <c r="M37" s="414">
        <f>'10'!M37+'11'!G37</f>
        <v>0</v>
      </c>
      <c r="N37" s="412">
        <f>'10'!N37+'11'!J37</f>
        <v>0</v>
      </c>
      <c r="P37" s="373" t="s">
        <v>153</v>
      </c>
      <c r="Q37" s="445">
        <f>Q34+Q35+Q36</f>
        <v>0</v>
      </c>
      <c r="R37" t="s">
        <v>1</v>
      </c>
      <c r="S37" s="400">
        <f>'10'!S37</f>
        <v>0</v>
      </c>
      <c r="T37" s="446">
        <f>'10'!X37</f>
        <v>0</v>
      </c>
      <c r="U37" s="456"/>
      <c r="V37" s="451">
        <f t="shared" si="0"/>
        <v>0</v>
      </c>
      <c r="W37" s="452"/>
      <c r="X37" s="448">
        <f t="shared" si="1"/>
        <v>0</v>
      </c>
      <c r="Z37" s="375">
        <f>'10'!Z37</f>
        <v>0</v>
      </c>
      <c r="AA37" s="464">
        <f>'10'!AE37</f>
        <v>0</v>
      </c>
      <c r="AB37" s="460"/>
      <c r="AC37" s="462">
        <f t="shared" si="2"/>
        <v>0</v>
      </c>
      <c r="AD37" s="469"/>
      <c r="AE37" s="348">
        <f t="shared" si="3"/>
        <v>0</v>
      </c>
      <c r="AF37" s="563">
        <f>'10'!AF37+'11'!AB37</f>
        <v>0</v>
      </c>
      <c r="AG37" s="234">
        <f>'10'!AG37+'11'!AD37</f>
        <v>0</v>
      </c>
    </row>
    <row r="38" spans="1:40" ht="27" customHeight="1">
      <c r="A38" s="715" t="str">
        <f>'10'!A38</f>
        <v>EXSIS CASH</v>
      </c>
      <c r="B38" s="234"/>
      <c r="C38" s="348">
        <f>'10'!D38</f>
        <v>0</v>
      </c>
      <c r="D38" s="234">
        <f t="shared" si="5"/>
        <v>0</v>
      </c>
      <c r="F38" s="479" t="str">
        <f>'10'!F38</f>
        <v>GHULAM RASOOL QU</v>
      </c>
      <c r="G38" s="408">
        <f>'CUSTOMERS REPORT'!Y1174</f>
        <v>0</v>
      </c>
      <c r="H38" s="506">
        <f>'CUSTOMERS REPORT'!Z1174</f>
        <v>0</v>
      </c>
      <c r="I38" s="408">
        <f>'CUSTOMERS REPORT'!AA1174</f>
        <v>0</v>
      </c>
      <c r="J38" s="500">
        <f>'CUSTOMERS REPORT'!AB1174</f>
        <v>0</v>
      </c>
      <c r="K38" s="500">
        <f>'CUSTOMERS REPORT'!AC1174</f>
        <v>0</v>
      </c>
      <c r="L38" s="511">
        <f>'CUSTOMERS REPORT'!AD1174</f>
        <v>0</v>
      </c>
      <c r="M38" s="414">
        <f>'10'!M38+'11'!G38</f>
        <v>0</v>
      </c>
      <c r="N38" s="412">
        <f>'10'!N38+'11'!J38</f>
        <v>0</v>
      </c>
      <c r="P38" s="373" t="s">
        <v>154</v>
      </c>
      <c r="Q38" s="445">
        <f>D48</f>
        <v>0</v>
      </c>
      <c r="S38" s="400">
        <f>'10'!S38</f>
        <v>0</v>
      </c>
      <c r="T38" s="446">
        <f>'10'!X38</f>
        <v>0</v>
      </c>
      <c r="U38" s="456"/>
      <c r="V38" s="451">
        <f t="shared" si="0"/>
        <v>0</v>
      </c>
      <c r="W38" s="452"/>
      <c r="X38" s="448">
        <f t="shared" si="1"/>
        <v>0</v>
      </c>
      <c r="Z38" s="375">
        <f>'10'!Z38</f>
        <v>0</v>
      </c>
      <c r="AA38" s="464">
        <f>'10'!AE38</f>
        <v>0</v>
      </c>
      <c r="AB38" s="460"/>
      <c r="AC38" s="462">
        <f t="shared" si="2"/>
        <v>0</v>
      </c>
      <c r="AD38" s="469"/>
      <c r="AE38" s="348">
        <f t="shared" si="3"/>
        <v>0</v>
      </c>
      <c r="AF38" s="563">
        <f>'10'!AF38+'11'!AB38</f>
        <v>0</v>
      </c>
      <c r="AG38" s="234">
        <f>'10'!AG38+'11'!AD38</f>
        <v>0</v>
      </c>
    </row>
    <row r="39" spans="1:40" ht="27" customHeight="1">
      <c r="A39" s="715" t="str">
        <f>'10'!A39</f>
        <v>SHORT CASH</v>
      </c>
      <c r="B39" s="234"/>
      <c r="C39" s="348">
        <f>'10'!D39</f>
        <v>0</v>
      </c>
      <c r="D39" s="234">
        <f t="shared" si="5"/>
        <v>0</v>
      </c>
      <c r="F39" s="479" t="str">
        <f>'10'!F39</f>
        <v>SHAMSHAD UNCLE</v>
      </c>
      <c r="G39" s="406">
        <f>'CUSTOMERS REPORT'!Y1211</f>
        <v>0</v>
      </c>
      <c r="H39" s="504">
        <f>'CUSTOMERS REPORT'!Z1211</f>
        <v>0</v>
      </c>
      <c r="I39" s="406">
        <f>'CUSTOMERS REPORT'!AA1211</f>
        <v>0</v>
      </c>
      <c r="J39" s="498">
        <f>'CUSTOMERS REPORT'!AB1211</f>
        <v>0</v>
      </c>
      <c r="K39" s="498">
        <f>'CUSTOMERS REPORT'!AC1211</f>
        <v>0</v>
      </c>
      <c r="L39" s="509">
        <f>'CUSTOMERS REPORT'!AD1211</f>
        <v>0</v>
      </c>
      <c r="M39" s="414">
        <f>'10'!M39+'11'!G39</f>
        <v>0</v>
      </c>
      <c r="N39" s="412">
        <f>'10'!N39+'11'!J39</f>
        <v>0</v>
      </c>
      <c r="P39" s="373" t="s">
        <v>109</v>
      </c>
      <c r="Q39" s="445">
        <f>'10'!Q39+'11'!Q25+'11'!Q26+'11'!Q27+'11'!Q28+'11'!Q29+'11'!Q30+'11'!Q31</f>
        <v>0</v>
      </c>
      <c r="R39" t="s">
        <v>1</v>
      </c>
      <c r="S39" s="400">
        <f>'10'!S39</f>
        <v>0</v>
      </c>
      <c r="T39" s="446">
        <f>'10'!X39</f>
        <v>0</v>
      </c>
      <c r="U39" s="456"/>
      <c r="V39" s="451">
        <f t="shared" si="0"/>
        <v>0</v>
      </c>
      <c r="W39" s="452"/>
      <c r="X39" s="448">
        <f t="shared" si="1"/>
        <v>0</v>
      </c>
      <c r="Z39" s="375">
        <f>'10'!Z39</f>
        <v>0</v>
      </c>
      <c r="AA39" s="464">
        <f>'10'!AE39</f>
        <v>0</v>
      </c>
      <c r="AB39" s="460"/>
      <c r="AC39" s="462">
        <f t="shared" si="2"/>
        <v>0</v>
      </c>
      <c r="AD39" s="469"/>
      <c r="AE39" s="348">
        <f t="shared" si="3"/>
        <v>0</v>
      </c>
      <c r="AF39" s="563">
        <f>'10'!AF39+'11'!AB39</f>
        <v>0</v>
      </c>
      <c r="AG39" s="234">
        <f>'10'!AG39+'11'!AD39</f>
        <v>0</v>
      </c>
    </row>
    <row r="40" spans="1:40" ht="27" customHeight="1" thickBot="1">
      <c r="A40" s="715" t="str">
        <f>'10'!A40</f>
        <v>ASSETS</v>
      </c>
      <c r="B40" s="234"/>
      <c r="C40" s="348">
        <f>'10'!D40</f>
        <v>0</v>
      </c>
      <c r="D40" s="234">
        <f t="shared" si="5"/>
        <v>0</v>
      </c>
      <c r="F40" s="479" t="str">
        <f>'10'!F40</f>
        <v>IBRAHEEM D.G KHAN</v>
      </c>
      <c r="G40" s="406">
        <f>'CUSTOMERS REPORT'!Y1248</f>
        <v>0</v>
      </c>
      <c r="H40" s="504">
        <f>'CUSTOMERS REPORT'!Z1248</f>
        <v>0</v>
      </c>
      <c r="I40" s="406">
        <f>'CUSTOMERS REPORT'!AA1248</f>
        <v>0</v>
      </c>
      <c r="J40" s="498">
        <f>'CUSTOMERS REPORT'!AB1248</f>
        <v>0</v>
      </c>
      <c r="K40" s="498">
        <f>'CUSTOMERS REPORT'!AC1248</f>
        <v>0</v>
      </c>
      <c r="L40" s="509">
        <f>'CUSTOMERS REPORT'!AD1248</f>
        <v>0</v>
      </c>
      <c r="M40" s="414">
        <f>'10'!M40+'11'!G40</f>
        <v>0</v>
      </c>
      <c r="N40" s="412">
        <f>'10'!N40+'11'!J40</f>
        <v>0</v>
      </c>
      <c r="P40" s="374" t="s">
        <v>155</v>
      </c>
      <c r="Q40" s="445">
        <f>Q48</f>
        <v>0</v>
      </c>
      <c r="S40" s="400">
        <f>'10'!S40</f>
        <v>0</v>
      </c>
      <c r="T40" s="446">
        <f>'10'!X40</f>
        <v>0</v>
      </c>
      <c r="U40" s="456"/>
      <c r="V40" s="451">
        <f t="shared" si="0"/>
        <v>0</v>
      </c>
      <c r="W40" s="452"/>
      <c r="X40" s="448">
        <f t="shared" si="1"/>
        <v>0</v>
      </c>
      <c r="Z40" s="375">
        <f>'10'!Z40</f>
        <v>0</v>
      </c>
      <c r="AA40" s="464">
        <f>'10'!AE40</f>
        <v>0</v>
      </c>
      <c r="AB40" s="460"/>
      <c r="AC40" s="462">
        <f t="shared" si="2"/>
        <v>0</v>
      </c>
      <c r="AD40" s="469"/>
      <c r="AE40" s="348">
        <f t="shared" si="3"/>
        <v>0</v>
      </c>
      <c r="AF40" s="563">
        <f>'10'!AF40+'11'!AB40</f>
        <v>0</v>
      </c>
      <c r="AG40" s="234">
        <f>'10'!AG40+'11'!AD40</f>
        <v>0</v>
      </c>
    </row>
    <row r="41" spans="1:40" ht="27" customHeight="1" thickTop="1" thickBot="1">
      <c r="A41" s="715" t="str">
        <f>'10'!A41</f>
        <v>BIKE.INSTALMINT</v>
      </c>
      <c r="B41" s="234"/>
      <c r="C41" s="348">
        <f>'10'!D41</f>
        <v>0</v>
      </c>
      <c r="D41" s="234">
        <f t="shared" si="5"/>
        <v>0</v>
      </c>
      <c r="E41" t="s">
        <v>1</v>
      </c>
      <c r="F41" s="479" t="str">
        <f>'10'!F41</f>
        <v>PISHAWAR</v>
      </c>
      <c r="G41" s="409">
        <f>'CUSTOMERS REPORT'!Y1285</f>
        <v>0</v>
      </c>
      <c r="H41" s="507">
        <f>'CUSTOMERS REPORT'!Z1285</f>
        <v>0</v>
      </c>
      <c r="I41" s="409">
        <f>'CUSTOMERS REPORT'!AA1285</f>
        <v>0</v>
      </c>
      <c r="J41" s="501">
        <f>'CUSTOMERS REPORT'!AB1285</f>
        <v>0</v>
      </c>
      <c r="K41" s="501">
        <f>'CUSTOMERS REPORT'!AC1285</f>
        <v>0</v>
      </c>
      <c r="L41" s="512">
        <f>'CUSTOMERS REPORT'!AD1285</f>
        <v>0</v>
      </c>
      <c r="M41" s="414">
        <f>'10'!M41+'11'!G41</f>
        <v>0</v>
      </c>
      <c r="N41" s="412">
        <f>'10'!N41+'11'!J41</f>
        <v>0</v>
      </c>
      <c r="P41" s="221" t="s">
        <v>51</v>
      </c>
      <c r="Q41" s="223">
        <f>Q37-Q38-Q39-Q40</f>
        <v>0</v>
      </c>
      <c r="S41" s="400">
        <f>'10'!S41</f>
        <v>0</v>
      </c>
      <c r="T41" s="446">
        <f>'10'!X41</f>
        <v>0</v>
      </c>
      <c r="U41" s="456"/>
      <c r="V41" s="451">
        <f t="shared" si="0"/>
        <v>0</v>
      </c>
      <c r="W41" s="452"/>
      <c r="X41" s="448">
        <f t="shared" si="1"/>
        <v>0</v>
      </c>
      <c r="Z41" s="375">
        <f>'10'!Z41</f>
        <v>0</v>
      </c>
      <c r="AA41" s="464">
        <f>'10'!AE41</f>
        <v>0</v>
      </c>
      <c r="AB41" s="460"/>
      <c r="AC41" s="462">
        <f t="shared" si="2"/>
        <v>0</v>
      </c>
      <c r="AD41" s="469"/>
      <c r="AE41" s="348">
        <f t="shared" si="3"/>
        <v>0</v>
      </c>
      <c r="AF41" s="563">
        <f>'10'!AF41+'11'!AB41</f>
        <v>0</v>
      </c>
      <c r="AG41" s="234">
        <f>'10'!AG41+'11'!AD41</f>
        <v>0</v>
      </c>
    </row>
    <row r="42" spans="1:40" ht="27" customHeight="1" thickTop="1" thickBot="1">
      <c r="A42" s="715" t="str">
        <f>'10'!A42</f>
        <v>B.C</v>
      </c>
      <c r="B42" s="529"/>
      <c r="C42" s="348">
        <f>'10'!D42</f>
        <v>0</v>
      </c>
      <c r="D42" s="529">
        <f t="shared" si="5"/>
        <v>0</v>
      </c>
      <c r="F42" s="479" t="str">
        <f>'10'!F42</f>
        <v>HUZAFA KOTRI</v>
      </c>
      <c r="G42" s="409">
        <f>'CUSTOMERS REPORT'!Y1322</f>
        <v>0</v>
      </c>
      <c r="H42" s="507">
        <f>'CUSTOMERS REPORT'!Z1322</f>
        <v>0</v>
      </c>
      <c r="I42" s="409">
        <f>'CUSTOMERS REPORT'!AA1322</f>
        <v>0</v>
      </c>
      <c r="J42" s="501">
        <f>'CUSTOMERS REPORT'!AB1322</f>
        <v>0</v>
      </c>
      <c r="K42" s="501">
        <f>'CUSTOMERS REPORT'!AC1322</f>
        <v>0</v>
      </c>
      <c r="L42" s="512">
        <f>'CUSTOMERS REPORT'!AD1322</f>
        <v>0</v>
      </c>
      <c r="M42" s="414">
        <f>'10'!M42+'11'!G42</f>
        <v>0</v>
      </c>
      <c r="N42" s="412">
        <f>'10'!N42+'11'!J42</f>
        <v>0</v>
      </c>
      <c r="P42" s="1499" t="s">
        <v>157</v>
      </c>
      <c r="Q42" s="1500"/>
      <c r="S42" s="400">
        <f>'10'!S42</f>
        <v>0</v>
      </c>
      <c r="T42" s="446">
        <f>'10'!X42</f>
        <v>0</v>
      </c>
      <c r="U42" s="458"/>
      <c r="V42" s="453">
        <f t="shared" si="0"/>
        <v>0</v>
      </c>
      <c r="W42" s="454"/>
      <c r="X42" s="449">
        <f t="shared" si="1"/>
        <v>0</v>
      </c>
      <c r="Z42" s="375">
        <f>'10'!Z42</f>
        <v>0</v>
      </c>
      <c r="AA42" s="464">
        <f>'10'!AE42</f>
        <v>0</v>
      </c>
      <c r="AB42" s="461"/>
      <c r="AC42" s="462">
        <f>AA42+AB42</f>
        <v>0</v>
      </c>
      <c r="AD42" s="470"/>
      <c r="AE42" s="348">
        <f t="shared" si="3"/>
        <v>0</v>
      </c>
      <c r="AF42" s="564">
        <f>'10'!AF42+'11'!AB42</f>
        <v>0</v>
      </c>
      <c r="AG42" s="572">
        <f>'10'!AG42+'11'!AD42</f>
        <v>0</v>
      </c>
    </row>
    <row r="43" spans="1:40" ht="27" customHeight="1" thickTop="1" thickBot="1">
      <c r="A43" s="715" t="str">
        <f>'10'!A43</f>
        <v>AQEEL</v>
      </c>
      <c r="B43" s="539"/>
      <c r="C43" s="348">
        <f>'10'!D43</f>
        <v>0</v>
      </c>
      <c r="D43" s="529">
        <f t="shared" si="5"/>
        <v>0</v>
      </c>
      <c r="F43" s="479" t="str">
        <f>'10'!F43</f>
        <v>ZAHID LAHORE</v>
      </c>
      <c r="G43" s="409">
        <f>'CUSTOMERS REPORT'!Y1359</f>
        <v>0</v>
      </c>
      <c r="H43" s="507">
        <f>'CUSTOMERS REPORT'!Z1359</f>
        <v>0</v>
      </c>
      <c r="I43" s="409">
        <f>'CUSTOMERS REPORT'!AA1359</f>
        <v>0</v>
      </c>
      <c r="J43" s="501">
        <f>'CUSTOMERS REPORT'!AB1359</f>
        <v>0</v>
      </c>
      <c r="K43" s="501">
        <f>'CUSTOMERS REPORT'!AC1359</f>
        <v>0</v>
      </c>
      <c r="L43" s="512">
        <f>'CUSTOMERS REPORT'!AD1359</f>
        <v>0</v>
      </c>
      <c r="M43" s="414">
        <f>'10'!M43+'11'!G43</f>
        <v>0</v>
      </c>
      <c r="N43" s="412">
        <f>'10'!N43+'11'!J43</f>
        <v>0</v>
      </c>
      <c r="P43" s="220" t="s">
        <v>124</v>
      </c>
      <c r="Q43" s="223">
        <f>'10'!Q48</f>
        <v>0</v>
      </c>
      <c r="R43" t="s">
        <v>1</v>
      </c>
      <c r="S43" s="400">
        <f>'10'!S43</f>
        <v>0</v>
      </c>
      <c r="T43" s="446">
        <f>'10'!X43</f>
        <v>0</v>
      </c>
      <c r="U43" s="358"/>
      <c r="V43" s="453">
        <f t="shared" si="0"/>
        <v>0</v>
      </c>
      <c r="W43" s="403"/>
      <c r="X43" s="449">
        <f t="shared" si="1"/>
        <v>0</v>
      </c>
      <c r="Z43" s="383"/>
      <c r="AA43" s="356">
        <f>SUM(AA8:AA42)</f>
        <v>0</v>
      </c>
      <c r="AB43" s="385">
        <f>SUM(AB8:AB42)</f>
        <v>0</v>
      </c>
      <c r="AC43" s="357" t="s">
        <v>74</v>
      </c>
      <c r="AD43" s="387">
        <f>SUM(AD8:AD42)</f>
        <v>0</v>
      </c>
      <c r="AE43" s="358">
        <f>SUM(AE8:AE42)</f>
        <v>0</v>
      </c>
      <c r="AF43" s="565">
        <f>SUM(AF8:AF42)</f>
        <v>0</v>
      </c>
      <c r="AG43" s="571">
        <f>SUM(AG8:AG42)</f>
        <v>0</v>
      </c>
    </row>
    <row r="44" spans="1:40" ht="27" customHeight="1" thickTop="1">
      <c r="A44" s="715" t="str">
        <f>'10'!A44</f>
        <v>M.YOUSUF</v>
      </c>
      <c r="B44" s="234"/>
      <c r="C44" s="348">
        <f>'10'!D44</f>
        <v>0</v>
      </c>
      <c r="D44" s="234">
        <f t="shared" si="5"/>
        <v>0</v>
      </c>
      <c r="F44" s="479" t="str">
        <f>'10'!F44</f>
        <v>CASH SALE</v>
      </c>
      <c r="G44" s="409">
        <f>'CUSTOMERS REPORT'!Y1396</f>
        <v>0</v>
      </c>
      <c r="H44" s="507">
        <f>'CUSTOMERS REPORT'!Z1396</f>
        <v>0</v>
      </c>
      <c r="I44" s="409">
        <f>'CUSTOMERS REPORT'!AA1396</f>
        <v>0</v>
      </c>
      <c r="J44" s="501">
        <f>'CUSTOMERS REPORT'!AB1396</f>
        <v>0</v>
      </c>
      <c r="K44" s="501">
        <f>'CUSTOMERS REPORT'!AC1396</f>
        <v>0</v>
      </c>
      <c r="L44" s="512">
        <f>'CUSTOMERS REPORT'!AD1396</f>
        <v>0</v>
      </c>
      <c r="M44" s="414">
        <f>'10'!M44+'11'!G44</f>
        <v>0</v>
      </c>
      <c r="N44" s="412">
        <f>'10'!N44+'11'!J44</f>
        <v>0</v>
      </c>
      <c r="P44" s="222" t="s">
        <v>114</v>
      </c>
      <c r="Q44" s="377">
        <f>J46</f>
        <v>0</v>
      </c>
      <c r="S44" s="400"/>
      <c r="T44" s="348"/>
      <c r="U44" s="306"/>
      <c r="V44" s="349"/>
      <c r="W44" s="351"/>
      <c r="X44" s="350"/>
      <c r="Z44" s="375"/>
      <c r="AA44" s="339"/>
      <c r="AB44" s="386">
        <f>'10'!AB45</f>
        <v>0</v>
      </c>
      <c r="AC44" s="340" t="s">
        <v>126</v>
      </c>
      <c r="AD44" s="388">
        <f>'10'!AD45</f>
        <v>0</v>
      </c>
      <c r="AE44" s="341"/>
      <c r="AF44" s="561"/>
      <c r="AG44" s="83" t="s">
        <v>1</v>
      </c>
    </row>
    <row r="45" spans="1:40" ht="27" customHeight="1" thickBot="1">
      <c r="A45" s="715" t="str">
        <f>'10'!A45</f>
        <v>SHAKEEL</v>
      </c>
      <c r="B45" s="234"/>
      <c r="C45" s="348">
        <f>'10'!D45</f>
        <v>0</v>
      </c>
      <c r="D45" s="234">
        <f t="shared" si="5"/>
        <v>0</v>
      </c>
      <c r="F45" s="479" t="str">
        <f>'10'!F45</f>
        <v xml:space="preserve">FREE </v>
      </c>
      <c r="G45" s="410">
        <f>'CUSTOMERS REPORT'!Y1433</f>
        <v>0</v>
      </c>
      <c r="H45" s="362">
        <f>'CUSTOMERS REPORT'!Z1433</f>
        <v>0</v>
      </c>
      <c r="I45" s="410">
        <f>'CUSTOMERS REPORT'!AA1433</f>
        <v>0</v>
      </c>
      <c r="J45" s="502">
        <f>'CUSTOMERS REPORT'!AB1433</f>
        <v>0</v>
      </c>
      <c r="K45" s="502">
        <f>'CUSTOMERS REPORT'!AC1433</f>
        <v>0</v>
      </c>
      <c r="L45" s="513">
        <f>'CUSTOMERS REPORT'!AD1433</f>
        <v>0</v>
      </c>
      <c r="M45" s="414">
        <f>'10'!M45+'11'!G45</f>
        <v>0</v>
      </c>
      <c r="N45" s="412">
        <f>'10'!N45+'11'!J45</f>
        <v>0</v>
      </c>
      <c r="P45" s="222" t="s">
        <v>153</v>
      </c>
      <c r="Q45" s="378">
        <f>Q43+Q44</f>
        <v>0</v>
      </c>
      <c r="S45" s="401"/>
      <c r="T45" s="352"/>
      <c r="U45" s="307"/>
      <c r="V45" s="353"/>
      <c r="W45" s="354"/>
      <c r="X45" s="355"/>
      <c r="Z45" s="384"/>
      <c r="AA45" s="359"/>
      <c r="AB45" s="390">
        <f>SUM(AB43:AB44)</f>
        <v>0</v>
      </c>
      <c r="AC45" s="360" t="s">
        <v>74</v>
      </c>
      <c r="AD45" s="389">
        <f>SUM(AD43:AD44)</f>
        <v>0</v>
      </c>
      <c r="AE45" s="361"/>
      <c r="AF45" s="562"/>
      <c r="AG45" s="573"/>
    </row>
    <row r="46" spans="1:40" ht="27" customHeight="1" thickTop="1" thickBot="1">
      <c r="A46" s="715" t="str">
        <f>'10'!A46</f>
        <v>ZAHID HUSSAN</v>
      </c>
      <c r="B46" s="234"/>
      <c r="C46" s="348">
        <f>'10'!D46</f>
        <v>0</v>
      </c>
      <c r="D46" s="234">
        <f t="shared" si="5"/>
        <v>0</v>
      </c>
      <c r="F46" s="369"/>
      <c r="G46" s="424">
        <f>SUM(G8:G45)</f>
        <v>0</v>
      </c>
      <c r="H46" s="1497" t="s">
        <v>160</v>
      </c>
      <c r="I46" s="1498"/>
      <c r="J46" s="421">
        <f>SUM(J8:J45)</f>
        <v>0</v>
      </c>
      <c r="K46" s="427">
        <f>SUM(K8:K45)</f>
        <v>0</v>
      </c>
      <c r="L46" s="431">
        <f>SUM(L8:L45)</f>
        <v>0</v>
      </c>
      <c r="M46" s="429">
        <f>SUM(M8:M45)</f>
        <v>0</v>
      </c>
      <c r="N46" s="430">
        <f>SUM(N8:N45)</f>
        <v>0</v>
      </c>
      <c r="P46" s="222" t="s">
        <v>154</v>
      </c>
      <c r="Q46" s="378">
        <f>B48</f>
        <v>0</v>
      </c>
    </row>
    <row r="47" spans="1:40" ht="27" customHeight="1" thickBot="1">
      <c r="A47" s="715" t="str">
        <f>'10'!A47</f>
        <v xml:space="preserve">INVESTOR </v>
      </c>
      <c r="B47" s="540"/>
      <c r="C47" s="348">
        <f>'10'!D47</f>
        <v>0</v>
      </c>
      <c r="D47" s="542">
        <f t="shared" si="5"/>
        <v>0</v>
      </c>
      <c r="F47" s="370"/>
      <c r="G47" s="425">
        <f>'10'!G48</f>
        <v>0</v>
      </c>
      <c r="H47" s="1512" t="s">
        <v>162</v>
      </c>
      <c r="I47" s="1513"/>
      <c r="J47" s="423">
        <f>'10'!J48</f>
        <v>0</v>
      </c>
      <c r="K47" s="423">
        <f>'10'!K48</f>
        <v>0</v>
      </c>
      <c r="L47" s="343"/>
      <c r="M47" s="344"/>
      <c r="N47" s="345"/>
      <c r="P47" s="375" t="s">
        <v>163</v>
      </c>
      <c r="Q47" s="378">
        <f>Q9+Q10+Q19+Q20+Q21+Q22</f>
        <v>0</v>
      </c>
      <c r="R47" s="19"/>
      <c r="S47" s="1489" t="s">
        <v>92</v>
      </c>
      <c r="T47" s="1516" t="s">
        <v>95</v>
      </c>
      <c r="U47" s="1518"/>
      <c r="V47" s="1518"/>
      <c r="W47" s="1517"/>
      <c r="X47" s="1516" t="s">
        <v>7</v>
      </c>
      <c r="Y47" s="1518"/>
      <c r="Z47" s="1517"/>
      <c r="AA47" s="1516" t="s">
        <v>8</v>
      </c>
      <c r="AB47" s="1517"/>
      <c r="AC47" s="1516" t="s">
        <v>9</v>
      </c>
      <c r="AD47" s="1518"/>
      <c r="AE47" s="1518"/>
      <c r="AF47" s="1518"/>
      <c r="AG47" s="1518"/>
      <c r="AH47" s="1518"/>
      <c r="AI47" s="1518"/>
      <c r="AJ47" s="1405" t="s">
        <v>10</v>
      </c>
      <c r="AK47" s="1406"/>
      <c r="AL47" s="1400" t="s">
        <v>289</v>
      </c>
      <c r="AM47" s="1401"/>
      <c r="AN47" s="842" t="s">
        <v>290</v>
      </c>
    </row>
    <row r="48" spans="1:40" ht="27" customHeight="1" thickTop="1" thickBot="1">
      <c r="A48" s="192" t="s">
        <v>74</v>
      </c>
      <c r="B48" s="544">
        <f>SUM(B22:B47)</f>
        <v>0</v>
      </c>
      <c r="C48" s="543">
        <f>'10'!D48</f>
        <v>0</v>
      </c>
      <c r="D48" s="544">
        <f t="shared" si="5"/>
        <v>0</v>
      </c>
      <c r="F48" s="371"/>
      <c r="G48" s="426">
        <f>G46+G47</f>
        <v>0</v>
      </c>
      <c r="H48" s="1495" t="s">
        <v>164</v>
      </c>
      <c r="I48" s="1496"/>
      <c r="J48" s="422">
        <f>J46+J47</f>
        <v>0</v>
      </c>
      <c r="K48" s="428">
        <f>K46+K47</f>
        <v>0</v>
      </c>
      <c r="L48" s="346"/>
      <c r="M48" s="347"/>
      <c r="N48" s="623">
        <f>G48-J48</f>
        <v>0</v>
      </c>
      <c r="P48" s="376" t="s">
        <v>155</v>
      </c>
      <c r="Q48" s="379">
        <f>Q45-Q46-Q47</f>
        <v>0</v>
      </c>
      <c r="R48" s="19"/>
      <c r="S48" s="1490"/>
      <c r="T48" s="482" t="s">
        <v>12</v>
      </c>
      <c r="U48" s="482" t="s">
        <v>13</v>
      </c>
      <c r="V48" s="482" t="s">
        <v>14</v>
      </c>
      <c r="W48" s="958" t="s">
        <v>263</v>
      </c>
      <c r="X48" s="482" t="s">
        <v>12</v>
      </c>
      <c r="Y48" s="482" t="s">
        <v>13</v>
      </c>
      <c r="Z48" s="482" t="s">
        <v>282</v>
      </c>
      <c r="AA48" s="482" t="s">
        <v>12</v>
      </c>
      <c r="AB48" s="482" t="s">
        <v>16</v>
      </c>
      <c r="AC48" s="482" t="s">
        <v>17</v>
      </c>
      <c r="AD48" s="482" t="s">
        <v>18</v>
      </c>
      <c r="AE48" s="482" t="s">
        <v>19</v>
      </c>
      <c r="AF48" s="484" t="s">
        <v>96</v>
      </c>
      <c r="AG48" s="484" t="s">
        <v>257</v>
      </c>
      <c r="AH48" s="482" t="s">
        <v>254</v>
      </c>
      <c r="AI48" s="482" t="s">
        <v>20</v>
      </c>
      <c r="AJ48" s="483" t="s">
        <v>14</v>
      </c>
      <c r="AK48" s="482" t="s">
        <v>13</v>
      </c>
      <c r="AL48" s="846" t="s">
        <v>284</v>
      </c>
      <c r="AM48" s="846" t="s">
        <v>288</v>
      </c>
      <c r="AN48" s="966" t="s">
        <v>291</v>
      </c>
    </row>
    <row r="49" spans="1:42" ht="24.95" customHeight="1" thickTop="1" thickBot="1">
      <c r="Q49" s="111">
        <f>Q48+Q41</f>
        <v>0</v>
      </c>
      <c r="R49" s="19"/>
      <c r="S49" s="865" t="s">
        <v>165</v>
      </c>
      <c r="T49" s="866">
        <f>'10'!T55</f>
        <v>0</v>
      </c>
      <c r="U49" s="866">
        <f>'10'!U55</f>
        <v>0</v>
      </c>
      <c r="V49" s="866">
        <f>'10'!V55</f>
        <v>0</v>
      </c>
      <c r="W49" s="866">
        <f>'10'!W55</f>
        <v>0</v>
      </c>
      <c r="X49" s="866">
        <f>'10'!X55</f>
        <v>0</v>
      </c>
      <c r="Y49" s="866">
        <f>'10'!Y55</f>
        <v>0</v>
      </c>
      <c r="Z49" s="866">
        <f>'10'!Z55</f>
        <v>0</v>
      </c>
      <c r="AA49" s="866">
        <f>'10'!AA55</f>
        <v>0</v>
      </c>
      <c r="AB49" s="866">
        <f>'10'!AB55</f>
        <v>0</v>
      </c>
      <c r="AC49" s="866">
        <f>'10'!AC55</f>
        <v>0</v>
      </c>
      <c r="AD49" s="866">
        <f>'10'!AD55</f>
        <v>0</v>
      </c>
      <c r="AE49" s="866">
        <f>'10'!AE55</f>
        <v>0</v>
      </c>
      <c r="AF49" s="866">
        <f>'10'!AF55</f>
        <v>0</v>
      </c>
      <c r="AG49" s="866">
        <f>'10'!AG55</f>
        <v>0</v>
      </c>
      <c r="AH49" s="866">
        <f>'10'!AH55</f>
        <v>0</v>
      </c>
      <c r="AI49" s="866">
        <f>'10'!AI55</f>
        <v>0</v>
      </c>
      <c r="AJ49" s="866">
        <f>'10'!AJ55</f>
        <v>0</v>
      </c>
      <c r="AK49" s="866">
        <f>'10'!AK55</f>
        <v>0</v>
      </c>
      <c r="AL49" s="866" t="e">
        <f>'10'!AL55</f>
        <v>#VALUE!</v>
      </c>
      <c r="AM49" s="866" t="e">
        <f>'10'!AM55</f>
        <v>#VALUE!</v>
      </c>
      <c r="AN49" s="866" t="e">
        <f>'10'!AN55</f>
        <v>#VALUE!</v>
      </c>
    </row>
    <row r="50" spans="1:42" ht="24.95" customHeight="1" thickBot="1">
      <c r="C50" t="s">
        <v>1</v>
      </c>
      <c r="J50">
        <v>3</v>
      </c>
      <c r="L50" s="417">
        <v>5000</v>
      </c>
      <c r="M50" s="417"/>
      <c r="N50" s="417">
        <f t="shared" ref="N50:N57" si="6">L50*M50</f>
        <v>0</v>
      </c>
      <c r="R50" s="19"/>
      <c r="S50" s="854" t="s">
        <v>166</v>
      </c>
      <c r="T50" s="852"/>
      <c r="U50" s="852"/>
      <c r="V50" s="852"/>
      <c r="W50" s="852"/>
      <c r="X50" s="852"/>
      <c r="Y50" s="852"/>
      <c r="Z50" s="852"/>
      <c r="AA50" s="852"/>
      <c r="AB50" s="852"/>
      <c r="AC50" s="852"/>
      <c r="AD50" s="852"/>
      <c r="AE50" s="852"/>
      <c r="AF50" s="852"/>
      <c r="AG50" s="855"/>
      <c r="AH50" s="852"/>
      <c r="AI50" s="852"/>
      <c r="AJ50" s="848"/>
      <c r="AK50" s="848"/>
      <c r="AL50" s="849"/>
      <c r="AM50" s="849"/>
      <c r="AN50" s="930"/>
    </row>
    <row r="51" spans="1:42" ht="24.95" customHeight="1" thickBot="1">
      <c r="J51">
        <v>29</v>
      </c>
      <c r="L51" s="417">
        <v>1000</v>
      </c>
      <c r="M51" s="417"/>
      <c r="N51" s="417">
        <f t="shared" si="6"/>
        <v>0</v>
      </c>
      <c r="R51" s="19"/>
      <c r="S51" s="867" t="s">
        <v>91</v>
      </c>
      <c r="T51" s="868"/>
      <c r="U51" s="868"/>
      <c r="V51" s="868"/>
      <c r="W51" s="868"/>
      <c r="X51" s="868"/>
      <c r="Y51" s="868"/>
      <c r="Z51" s="868"/>
      <c r="AA51" s="868"/>
      <c r="AB51" s="868"/>
      <c r="AC51" s="868"/>
      <c r="AD51" s="868"/>
      <c r="AE51" s="868"/>
      <c r="AF51" s="868"/>
      <c r="AG51" s="869"/>
      <c r="AH51" s="868"/>
      <c r="AI51" s="870"/>
      <c r="AJ51" s="868"/>
      <c r="AK51" s="868"/>
      <c r="AL51" s="849"/>
      <c r="AM51" s="849"/>
      <c r="AN51" s="850"/>
    </row>
    <row r="52" spans="1:42" ht="24.95" customHeight="1" thickBot="1">
      <c r="J52">
        <v>4</v>
      </c>
      <c r="L52" s="417">
        <v>500</v>
      </c>
      <c r="M52" s="417"/>
      <c r="N52" s="417">
        <f t="shared" si="6"/>
        <v>0</v>
      </c>
      <c r="O52" t="s">
        <v>1</v>
      </c>
      <c r="R52" s="19"/>
      <c r="S52" s="856" t="s">
        <v>167</v>
      </c>
      <c r="T52" s="857"/>
      <c r="U52" s="857"/>
      <c r="V52" s="857"/>
      <c r="W52" s="857"/>
      <c r="X52" s="857"/>
      <c r="Y52" s="857"/>
      <c r="Z52" s="857"/>
      <c r="AA52" s="857"/>
      <c r="AB52" s="857"/>
      <c r="AC52" s="857"/>
      <c r="AD52" s="857"/>
      <c r="AE52" s="857"/>
      <c r="AF52" s="857"/>
      <c r="AG52" s="858"/>
      <c r="AH52" s="859"/>
      <c r="AI52" s="860"/>
      <c r="AJ52" s="851"/>
      <c r="AK52" s="851"/>
      <c r="AL52" s="849"/>
      <c r="AM52" s="849"/>
      <c r="AN52" s="850"/>
    </row>
    <row r="53" spans="1:42" ht="24.95" customHeight="1" thickBot="1">
      <c r="L53" s="417">
        <v>100</v>
      </c>
      <c r="M53" s="417"/>
      <c r="N53" s="417">
        <f t="shared" si="6"/>
        <v>0</v>
      </c>
      <c r="R53" s="19"/>
      <c r="S53" s="871" t="s">
        <v>81</v>
      </c>
      <c r="T53" s="866">
        <f t="shared" ref="T53:AN53" si="7">SUM(T49+T50+T52)</f>
        <v>0</v>
      </c>
      <c r="U53" s="866">
        <f t="shared" si="7"/>
        <v>0</v>
      </c>
      <c r="V53" s="866">
        <f t="shared" si="7"/>
        <v>0</v>
      </c>
      <c r="W53" s="866">
        <f t="shared" si="7"/>
        <v>0</v>
      </c>
      <c r="X53" s="866">
        <f t="shared" si="7"/>
        <v>0</v>
      </c>
      <c r="Y53" s="866">
        <f t="shared" si="7"/>
        <v>0</v>
      </c>
      <c r="Z53" s="866">
        <f t="shared" si="7"/>
        <v>0</v>
      </c>
      <c r="AA53" s="866">
        <f t="shared" si="7"/>
        <v>0</v>
      </c>
      <c r="AB53" s="866">
        <f t="shared" si="7"/>
        <v>0</v>
      </c>
      <c r="AC53" s="866">
        <f t="shared" si="7"/>
        <v>0</v>
      </c>
      <c r="AD53" s="866">
        <f t="shared" si="7"/>
        <v>0</v>
      </c>
      <c r="AE53" s="866">
        <f t="shared" si="7"/>
        <v>0</v>
      </c>
      <c r="AF53" s="866">
        <f t="shared" si="7"/>
        <v>0</v>
      </c>
      <c r="AG53" s="866">
        <f t="shared" si="7"/>
        <v>0</v>
      </c>
      <c r="AH53" s="866">
        <f t="shared" si="7"/>
        <v>0</v>
      </c>
      <c r="AI53" s="866">
        <f t="shared" si="7"/>
        <v>0</v>
      </c>
      <c r="AJ53" s="866">
        <f t="shared" si="7"/>
        <v>0</v>
      </c>
      <c r="AK53" s="866">
        <f t="shared" si="7"/>
        <v>0</v>
      </c>
      <c r="AL53" s="866" t="e">
        <f t="shared" si="7"/>
        <v>#VALUE!</v>
      </c>
      <c r="AM53" s="866" t="e">
        <f t="shared" si="7"/>
        <v>#VALUE!</v>
      </c>
      <c r="AN53" s="872" t="e">
        <f t="shared" si="7"/>
        <v>#VALUE!</v>
      </c>
    </row>
    <row r="54" spans="1:42" ht="24.95" customHeight="1" thickBot="1">
      <c r="L54" s="417">
        <v>50</v>
      </c>
      <c r="M54" s="417"/>
      <c r="N54" s="417">
        <f t="shared" si="6"/>
        <v>0</v>
      </c>
      <c r="R54" s="19"/>
      <c r="S54" s="854" t="s">
        <v>168</v>
      </c>
      <c r="T54" s="852">
        <f>'CUSTOMERS REPORT'!B18+'CUSTOMERS REPORT'!B64+'CUSTOMERS REPORT'!B102+'CUSTOMERS REPORT'!B141+'CUSTOMERS REPORT'!B179+'CUSTOMERS REPORT'!B219+'CUSTOMERS REPORT'!B256+'CUSTOMERS REPORT'!B296+'CUSTOMERS REPORT'!B337+'CUSTOMERS REPORT'!B379+'CUSTOMERS REPORT'!B418+'CUSTOMERS REPORT'!B456+'CUSTOMERS REPORT'!B492+'CUSTOMERS REPORT'!B529+'CUSTOMERS REPORT'!B567+'CUSTOMERS REPORT'!B603+'CUSTOMERS REPORT'!B641+'CUSTOMERS REPORT'!B679+'CUSTOMERS REPORT'!B717+'CUSTOMERS REPORT'!B755+'CUSTOMERS REPORT'!B793+'CUSTOMERS REPORT'!B831+'CUSTOMERS REPORT'!B869+'CUSTOMERS REPORT'!B908+'CUSTOMERS REPORT'!B947+'CUSTOMERS REPORT'!B985+'CUSTOMERS REPORT'!B1023+'CUSTOMERS REPORT'!B1061+'CUSTOMERS REPORT'!B1099+'CUSTOMERS REPORT'!B1137+'CUSTOMERS REPORT'!B1174+'CUSTOMERS REPORT'!B1211+'CUSTOMERS REPORT'!B1248+'CUSTOMERS REPORT'!B1285+'CUSTOMERS REPORT'!B1322+'CUSTOMERS REPORT'!B1359+'CUSTOMERS REPORT'!B1396+'CUSTOMERS REPORT'!B1432</f>
        <v>0</v>
      </c>
      <c r="U54" s="852">
        <f>'CUSTOMERS REPORT'!C18+'CUSTOMERS REPORT'!C64+'CUSTOMERS REPORT'!C102+'CUSTOMERS REPORT'!C141+'CUSTOMERS REPORT'!C179+'CUSTOMERS REPORT'!C219+'CUSTOMERS REPORT'!C256+'CUSTOMERS REPORT'!C296+'CUSTOMERS REPORT'!C337+'CUSTOMERS REPORT'!C379+'CUSTOMERS REPORT'!C418+'CUSTOMERS REPORT'!C456+'CUSTOMERS REPORT'!C492+'CUSTOMERS REPORT'!C529+'CUSTOMERS REPORT'!C567+'CUSTOMERS REPORT'!C603+'CUSTOMERS REPORT'!C641+'CUSTOMERS REPORT'!C679+'CUSTOMERS REPORT'!C717+'CUSTOMERS REPORT'!C755+'CUSTOMERS REPORT'!C793+'CUSTOMERS REPORT'!C831+'CUSTOMERS REPORT'!C869+'CUSTOMERS REPORT'!C908+'CUSTOMERS REPORT'!C947+'CUSTOMERS REPORT'!C985+'CUSTOMERS REPORT'!C1023+'CUSTOMERS REPORT'!C1061+'CUSTOMERS REPORT'!C1099+'CUSTOMERS REPORT'!C1137+'CUSTOMERS REPORT'!C1174+'CUSTOMERS REPORT'!C1211+'CUSTOMERS REPORT'!C1248+'CUSTOMERS REPORT'!C1285+'CUSTOMERS REPORT'!C1322+'CUSTOMERS REPORT'!C1359+'CUSTOMERS REPORT'!C1396+'CUSTOMERS REPORT'!C1432</f>
        <v>0</v>
      </c>
      <c r="V54" s="852">
        <f>'CUSTOMERS REPORT'!D18+'CUSTOMERS REPORT'!D64+'CUSTOMERS REPORT'!D102+'CUSTOMERS REPORT'!D141+'CUSTOMERS REPORT'!D179+'CUSTOMERS REPORT'!D219+'CUSTOMERS REPORT'!D256+'CUSTOMERS REPORT'!D296+'CUSTOMERS REPORT'!D337+'CUSTOMERS REPORT'!D379+'CUSTOMERS REPORT'!D418+'CUSTOMERS REPORT'!D456+'CUSTOMERS REPORT'!D492+'CUSTOMERS REPORT'!D529+'CUSTOMERS REPORT'!D567+'CUSTOMERS REPORT'!D603+'CUSTOMERS REPORT'!D641+'CUSTOMERS REPORT'!D679+'CUSTOMERS REPORT'!D717+'CUSTOMERS REPORT'!D755+'CUSTOMERS REPORT'!D793+'CUSTOMERS REPORT'!D831+'CUSTOMERS REPORT'!D869+'CUSTOMERS REPORT'!D908+'CUSTOMERS REPORT'!D947+'CUSTOMERS REPORT'!D985+'CUSTOMERS REPORT'!D1023+'CUSTOMERS REPORT'!D1061+'CUSTOMERS REPORT'!D1099+'CUSTOMERS REPORT'!D1137+'CUSTOMERS REPORT'!D1174+'CUSTOMERS REPORT'!D1211+'CUSTOMERS REPORT'!D1248+'CUSTOMERS REPORT'!D1285+'CUSTOMERS REPORT'!D1322+'CUSTOMERS REPORT'!D1359+'CUSTOMERS REPORT'!D1396+'CUSTOMERS REPORT'!D1432</f>
        <v>0</v>
      </c>
      <c r="W54" s="852">
        <f>'CUSTOMERS REPORT'!E18+'CUSTOMERS REPORT'!E64+'CUSTOMERS REPORT'!E102+'CUSTOMERS REPORT'!E141+'CUSTOMERS REPORT'!E179+'CUSTOMERS REPORT'!E219+'CUSTOMERS REPORT'!E256+'CUSTOMERS REPORT'!E296+'CUSTOMERS REPORT'!E337+'CUSTOMERS REPORT'!E379+'CUSTOMERS REPORT'!E418+'CUSTOMERS REPORT'!E456+'CUSTOMERS REPORT'!E492+'CUSTOMERS REPORT'!E529+'CUSTOMERS REPORT'!E567+'CUSTOMERS REPORT'!E603+'CUSTOMERS REPORT'!E641+'CUSTOMERS REPORT'!E679+'CUSTOMERS REPORT'!E717+'CUSTOMERS REPORT'!E755+'CUSTOMERS REPORT'!E793+'CUSTOMERS REPORT'!E831+'CUSTOMERS REPORT'!E869+'CUSTOMERS REPORT'!E908+'CUSTOMERS REPORT'!E947+'CUSTOMERS REPORT'!E985+'CUSTOMERS REPORT'!E1023+'CUSTOMERS REPORT'!E1061+'CUSTOMERS REPORT'!E1099+'CUSTOMERS REPORT'!E1137+'CUSTOMERS REPORT'!E1174+'CUSTOMERS REPORT'!E1211+'CUSTOMERS REPORT'!E1248+'CUSTOMERS REPORT'!E1285+'CUSTOMERS REPORT'!E1322+'CUSTOMERS REPORT'!E1359+'CUSTOMERS REPORT'!E1396+'CUSTOMERS REPORT'!E1432</f>
        <v>0</v>
      </c>
      <c r="X54" s="852">
        <f>'CUSTOMERS REPORT'!F18+'CUSTOMERS REPORT'!F64+'CUSTOMERS REPORT'!F102+'CUSTOMERS REPORT'!F141+'CUSTOMERS REPORT'!F179+'CUSTOMERS REPORT'!F219+'CUSTOMERS REPORT'!F256+'CUSTOMERS REPORT'!F296+'CUSTOMERS REPORT'!F337+'CUSTOMERS REPORT'!F379+'CUSTOMERS REPORT'!F418+'CUSTOMERS REPORT'!F456+'CUSTOMERS REPORT'!F492+'CUSTOMERS REPORT'!F529+'CUSTOMERS REPORT'!F567+'CUSTOMERS REPORT'!F603+'CUSTOMERS REPORT'!F641+'CUSTOMERS REPORT'!F679+'CUSTOMERS REPORT'!F717+'CUSTOMERS REPORT'!F755+'CUSTOMERS REPORT'!F793+'CUSTOMERS REPORT'!F831+'CUSTOMERS REPORT'!F869+'CUSTOMERS REPORT'!F908+'CUSTOMERS REPORT'!F947+'CUSTOMERS REPORT'!F985+'CUSTOMERS REPORT'!F1023+'CUSTOMERS REPORT'!F1061+'CUSTOMERS REPORT'!F1099+'CUSTOMERS REPORT'!F1137+'CUSTOMERS REPORT'!F1174+'CUSTOMERS REPORT'!F1211+'CUSTOMERS REPORT'!F1248+'CUSTOMERS REPORT'!F1285+'CUSTOMERS REPORT'!F1322+'CUSTOMERS REPORT'!F1359+'CUSTOMERS REPORT'!F1396+'CUSTOMERS REPORT'!F1432</f>
        <v>0</v>
      </c>
      <c r="Y54" s="852">
        <f>'CUSTOMERS REPORT'!G18+'CUSTOMERS REPORT'!G64+'CUSTOMERS REPORT'!G102+'CUSTOMERS REPORT'!G141+'CUSTOMERS REPORT'!G179+'CUSTOMERS REPORT'!G219+'CUSTOMERS REPORT'!G256+'CUSTOMERS REPORT'!G296+'CUSTOMERS REPORT'!G337+'CUSTOMERS REPORT'!G379+'CUSTOMERS REPORT'!G418+'CUSTOMERS REPORT'!G456+'CUSTOMERS REPORT'!G492+'CUSTOMERS REPORT'!G529+'CUSTOMERS REPORT'!G567+'CUSTOMERS REPORT'!G603+'CUSTOMERS REPORT'!G641+'CUSTOMERS REPORT'!G679+'CUSTOMERS REPORT'!G717+'CUSTOMERS REPORT'!G755+'CUSTOMERS REPORT'!G793+'CUSTOMERS REPORT'!G831+'CUSTOMERS REPORT'!G869+'CUSTOMERS REPORT'!G908+'CUSTOMERS REPORT'!G947+'CUSTOMERS REPORT'!G985+'CUSTOMERS REPORT'!G1023+'CUSTOMERS REPORT'!G1061+'CUSTOMERS REPORT'!G1099+'CUSTOMERS REPORT'!G1137+'CUSTOMERS REPORT'!G1174+'CUSTOMERS REPORT'!G1211+'CUSTOMERS REPORT'!G1248+'CUSTOMERS REPORT'!G1285+'CUSTOMERS REPORT'!G1322+'CUSTOMERS REPORT'!G1359+'CUSTOMERS REPORT'!G1396+'CUSTOMERS REPORT'!G1432</f>
        <v>0</v>
      </c>
      <c r="Z54" s="852">
        <f>'CUSTOMERS REPORT'!H18+'CUSTOMERS REPORT'!H64+'CUSTOMERS REPORT'!H102+'CUSTOMERS REPORT'!H141+'CUSTOMERS REPORT'!H179+'CUSTOMERS REPORT'!H219+'CUSTOMERS REPORT'!H256+'CUSTOMERS REPORT'!H296+'CUSTOMERS REPORT'!H337+'CUSTOMERS REPORT'!H379+'CUSTOMERS REPORT'!H418+'CUSTOMERS REPORT'!H456+'CUSTOMERS REPORT'!H492+'CUSTOMERS REPORT'!H529+'CUSTOMERS REPORT'!H567+'CUSTOMERS REPORT'!H603+'CUSTOMERS REPORT'!H641+'CUSTOMERS REPORT'!H679+'CUSTOMERS REPORT'!H717+'CUSTOMERS REPORT'!H755+'CUSTOMERS REPORT'!H793+'CUSTOMERS REPORT'!H831+'CUSTOMERS REPORT'!H869+'CUSTOMERS REPORT'!H908+'CUSTOMERS REPORT'!H947+'CUSTOMERS REPORT'!H985+'CUSTOMERS REPORT'!H1023+'CUSTOMERS REPORT'!H1061+'CUSTOMERS REPORT'!H1099+'CUSTOMERS REPORT'!H1137+'CUSTOMERS REPORT'!H1174+'CUSTOMERS REPORT'!H1211+'CUSTOMERS REPORT'!H1248+'CUSTOMERS REPORT'!H1285+'CUSTOMERS REPORT'!H1322+'CUSTOMERS REPORT'!H1359+'CUSTOMERS REPORT'!H1396+'CUSTOMERS REPORT'!H1432</f>
        <v>0</v>
      </c>
      <c r="AA54" s="852">
        <f>'CUSTOMERS REPORT'!I18+'CUSTOMERS REPORT'!I64+'CUSTOMERS REPORT'!I102+'CUSTOMERS REPORT'!I141+'CUSTOMERS REPORT'!I179+'CUSTOMERS REPORT'!I219+'CUSTOMERS REPORT'!I256+'CUSTOMERS REPORT'!I296+'CUSTOMERS REPORT'!I337+'CUSTOMERS REPORT'!I379+'CUSTOMERS REPORT'!I418+'CUSTOMERS REPORT'!I456+'CUSTOMERS REPORT'!I492+'CUSTOMERS REPORT'!I529+'CUSTOMERS REPORT'!I567+'CUSTOMERS REPORT'!I603+'CUSTOMERS REPORT'!I641+'CUSTOMERS REPORT'!I679+'CUSTOMERS REPORT'!I717+'CUSTOMERS REPORT'!I755+'CUSTOMERS REPORT'!I793+'CUSTOMERS REPORT'!I831+'CUSTOMERS REPORT'!I869+'CUSTOMERS REPORT'!I908+'CUSTOMERS REPORT'!I947+'CUSTOMERS REPORT'!I985+'CUSTOMERS REPORT'!I1023+'CUSTOMERS REPORT'!I1061+'CUSTOMERS REPORT'!I1099+'CUSTOMERS REPORT'!I1137+'CUSTOMERS REPORT'!I1174+'CUSTOMERS REPORT'!I1211+'CUSTOMERS REPORT'!I1248+'CUSTOMERS REPORT'!I1285+'CUSTOMERS REPORT'!I1322+'CUSTOMERS REPORT'!I1359+'CUSTOMERS REPORT'!I1396+'CUSTOMERS REPORT'!I1432</f>
        <v>0</v>
      </c>
      <c r="AB54" s="852">
        <f>'CUSTOMERS REPORT'!J18+'CUSTOMERS REPORT'!J64+'CUSTOMERS REPORT'!J102+'CUSTOMERS REPORT'!J141+'CUSTOMERS REPORT'!J179+'CUSTOMERS REPORT'!J219+'CUSTOMERS REPORT'!J256+'CUSTOMERS REPORT'!J296+'CUSTOMERS REPORT'!J337+'CUSTOMERS REPORT'!J379+'CUSTOMERS REPORT'!J418+'CUSTOMERS REPORT'!J456+'CUSTOMERS REPORT'!J492+'CUSTOMERS REPORT'!J529+'CUSTOMERS REPORT'!J567+'CUSTOMERS REPORT'!J603+'CUSTOMERS REPORT'!J641+'CUSTOMERS REPORT'!J679+'CUSTOMERS REPORT'!J717+'CUSTOMERS REPORT'!J755+'CUSTOMERS REPORT'!J793+'CUSTOMERS REPORT'!J831+'CUSTOMERS REPORT'!J869+'CUSTOMERS REPORT'!J908+'CUSTOMERS REPORT'!J947+'CUSTOMERS REPORT'!J985+'CUSTOMERS REPORT'!J1023+'CUSTOMERS REPORT'!J1061+'CUSTOMERS REPORT'!J1099+'CUSTOMERS REPORT'!J1137+'CUSTOMERS REPORT'!J1174+'CUSTOMERS REPORT'!J1211+'CUSTOMERS REPORT'!J1248+'CUSTOMERS REPORT'!J1285+'CUSTOMERS REPORT'!J1322+'CUSTOMERS REPORT'!J1359+'CUSTOMERS REPORT'!J1396+'CUSTOMERS REPORT'!J1432</f>
        <v>0</v>
      </c>
      <c r="AC54" s="852">
        <f>'CUSTOMERS REPORT'!K18+'CUSTOMERS REPORT'!K64+'CUSTOMERS REPORT'!K102+'CUSTOMERS REPORT'!K141+'CUSTOMERS REPORT'!K179+'CUSTOMERS REPORT'!K219+'CUSTOMERS REPORT'!K256+'CUSTOMERS REPORT'!K296+'CUSTOMERS REPORT'!K337+'CUSTOMERS REPORT'!K379+'CUSTOMERS REPORT'!K418+'CUSTOMERS REPORT'!K456+'CUSTOMERS REPORT'!K492+'CUSTOMERS REPORT'!K529+'CUSTOMERS REPORT'!K567+'CUSTOMERS REPORT'!K603+'CUSTOMERS REPORT'!K641+'CUSTOMERS REPORT'!K679+'CUSTOMERS REPORT'!K717+'CUSTOMERS REPORT'!K755+'CUSTOMERS REPORT'!K793+'CUSTOMERS REPORT'!K831+'CUSTOMERS REPORT'!K869+'CUSTOMERS REPORT'!K908+'CUSTOMERS REPORT'!K947+'CUSTOMERS REPORT'!K985+'CUSTOMERS REPORT'!K1023+'CUSTOMERS REPORT'!K1061+'CUSTOMERS REPORT'!K1099+'CUSTOMERS REPORT'!K1137+'CUSTOMERS REPORT'!K1174+'CUSTOMERS REPORT'!K1211+'CUSTOMERS REPORT'!K1248+'CUSTOMERS REPORT'!K1285+'CUSTOMERS REPORT'!K1322+'CUSTOMERS REPORT'!K1359+'CUSTOMERS REPORT'!K1396+'CUSTOMERS REPORT'!K1432</f>
        <v>0</v>
      </c>
      <c r="AD54" s="852">
        <f>'CUSTOMERS REPORT'!L18+'CUSTOMERS REPORT'!L64+'CUSTOMERS REPORT'!L102+'CUSTOMERS REPORT'!L141+'CUSTOMERS REPORT'!L179+'CUSTOMERS REPORT'!L219+'CUSTOMERS REPORT'!L256+'CUSTOMERS REPORT'!L296+'CUSTOMERS REPORT'!L337+'CUSTOMERS REPORT'!L379+'CUSTOMERS REPORT'!L418+'CUSTOMERS REPORT'!L456+'CUSTOMERS REPORT'!L492+'CUSTOMERS REPORT'!L529+'CUSTOMERS REPORT'!L567+'CUSTOMERS REPORT'!L603+'CUSTOMERS REPORT'!L641+'CUSTOMERS REPORT'!L679+'CUSTOMERS REPORT'!L717+'CUSTOMERS REPORT'!L755+'CUSTOMERS REPORT'!L793+'CUSTOMERS REPORT'!L831+'CUSTOMERS REPORT'!L869+'CUSTOMERS REPORT'!L908+'CUSTOMERS REPORT'!L947+'CUSTOMERS REPORT'!L985+'CUSTOMERS REPORT'!L1023+'CUSTOMERS REPORT'!L1061+'CUSTOMERS REPORT'!L1099+'CUSTOMERS REPORT'!L1137+'CUSTOMERS REPORT'!L1174+'CUSTOMERS REPORT'!L1211+'CUSTOMERS REPORT'!L1248+'CUSTOMERS REPORT'!L1285+'CUSTOMERS REPORT'!L1322+'CUSTOMERS REPORT'!L1359+'CUSTOMERS REPORT'!L1396+'CUSTOMERS REPORT'!L1432</f>
        <v>0</v>
      </c>
      <c r="AE54" s="852">
        <f>'CUSTOMERS REPORT'!M18+'CUSTOMERS REPORT'!M64+'CUSTOMERS REPORT'!M102+'CUSTOMERS REPORT'!M141+'CUSTOMERS REPORT'!M179+'CUSTOMERS REPORT'!M219+'CUSTOMERS REPORT'!M256+'CUSTOMERS REPORT'!M296+'CUSTOMERS REPORT'!M337+'CUSTOMERS REPORT'!M379+'CUSTOMERS REPORT'!M418+'CUSTOMERS REPORT'!M456+'CUSTOMERS REPORT'!M492+'CUSTOMERS REPORT'!M529+'CUSTOMERS REPORT'!M567+'CUSTOMERS REPORT'!M603+'CUSTOMERS REPORT'!M641+'CUSTOMERS REPORT'!M679+'CUSTOMERS REPORT'!M717+'CUSTOMERS REPORT'!M755+'CUSTOMERS REPORT'!M793+'CUSTOMERS REPORT'!M831+'CUSTOMERS REPORT'!M869+'CUSTOMERS REPORT'!M908+'CUSTOMERS REPORT'!M947+'CUSTOMERS REPORT'!M985+'CUSTOMERS REPORT'!M1023+'CUSTOMERS REPORT'!M1061+'CUSTOMERS REPORT'!M1099+'CUSTOMERS REPORT'!M1137+'CUSTOMERS REPORT'!M1174+'CUSTOMERS REPORT'!M1211+'CUSTOMERS REPORT'!M1248+'CUSTOMERS REPORT'!M1285+'CUSTOMERS REPORT'!M1322+'CUSTOMERS REPORT'!M1359+'CUSTOMERS REPORT'!M1396+'CUSTOMERS REPORT'!M1432</f>
        <v>0</v>
      </c>
      <c r="AF54" s="852">
        <f>'CUSTOMERS REPORT'!N18+'CUSTOMERS REPORT'!N64+'CUSTOMERS REPORT'!N102+'CUSTOMERS REPORT'!N141+'CUSTOMERS REPORT'!N179+'CUSTOMERS REPORT'!N219+'CUSTOMERS REPORT'!N256+'CUSTOMERS REPORT'!N296+'CUSTOMERS REPORT'!N337+'CUSTOMERS REPORT'!N379+'CUSTOMERS REPORT'!N418+'CUSTOMERS REPORT'!N456+'CUSTOMERS REPORT'!N492+'CUSTOMERS REPORT'!N529+'CUSTOMERS REPORT'!N567+'CUSTOMERS REPORT'!N603+'CUSTOMERS REPORT'!N641+'CUSTOMERS REPORT'!N679+'CUSTOMERS REPORT'!N717+'CUSTOMERS REPORT'!N755+'CUSTOMERS REPORT'!N793+'CUSTOMERS REPORT'!N831+'CUSTOMERS REPORT'!N869+'CUSTOMERS REPORT'!N908+'CUSTOMERS REPORT'!N947+'CUSTOMERS REPORT'!N985+'CUSTOMERS REPORT'!N1023+'CUSTOMERS REPORT'!N1061+'CUSTOMERS REPORT'!N1099+'CUSTOMERS REPORT'!N1137+'CUSTOMERS REPORT'!N1174+'CUSTOMERS REPORT'!N1211+'CUSTOMERS REPORT'!N1248+'CUSTOMERS REPORT'!N1285+'CUSTOMERS REPORT'!N1322+'CUSTOMERS REPORT'!N1359+'CUSTOMERS REPORT'!N1396+'CUSTOMERS REPORT'!N1432</f>
        <v>0</v>
      </c>
      <c r="AG54" s="852">
        <f>'CUSTOMERS REPORT'!O18+'CUSTOMERS REPORT'!O64+'CUSTOMERS REPORT'!O102+'CUSTOMERS REPORT'!O141+'CUSTOMERS REPORT'!O179+'CUSTOMERS REPORT'!O219+'CUSTOMERS REPORT'!O256+'CUSTOMERS REPORT'!O296+'CUSTOMERS REPORT'!O337+'CUSTOMERS REPORT'!O379+'CUSTOMERS REPORT'!O418+'CUSTOMERS REPORT'!O456+'CUSTOMERS REPORT'!O492+'CUSTOMERS REPORT'!O529+'CUSTOMERS REPORT'!O567+'CUSTOMERS REPORT'!O603+'CUSTOMERS REPORT'!O641+'CUSTOMERS REPORT'!O679+'CUSTOMERS REPORT'!O717+'CUSTOMERS REPORT'!O755+'CUSTOMERS REPORT'!O793+'CUSTOMERS REPORT'!O831+'CUSTOMERS REPORT'!O869+'CUSTOMERS REPORT'!O908+'CUSTOMERS REPORT'!O947+'CUSTOMERS REPORT'!O985+'CUSTOMERS REPORT'!O1023+'CUSTOMERS REPORT'!O1061+'CUSTOMERS REPORT'!O1099+'CUSTOMERS REPORT'!O1137+'CUSTOMERS REPORT'!O1174+'CUSTOMERS REPORT'!O1211+'CUSTOMERS REPORT'!O1248+'CUSTOMERS REPORT'!O1285+'CUSTOMERS REPORT'!O1322+'CUSTOMERS REPORT'!O1359+'CUSTOMERS REPORT'!O1396+'CUSTOMERS REPORT'!O1432</f>
        <v>0</v>
      </c>
      <c r="AH54" s="852">
        <f>'CUSTOMERS REPORT'!P18+'CUSTOMERS REPORT'!P64+'CUSTOMERS REPORT'!P102+'CUSTOMERS REPORT'!P141+'CUSTOMERS REPORT'!P179+'CUSTOMERS REPORT'!P219+'CUSTOMERS REPORT'!P256+'CUSTOMERS REPORT'!P296+'CUSTOMERS REPORT'!P337+'CUSTOMERS REPORT'!P379+'CUSTOMERS REPORT'!P418+'CUSTOMERS REPORT'!P456+'CUSTOMERS REPORT'!P492+'CUSTOMERS REPORT'!P529+'CUSTOMERS REPORT'!P567+'CUSTOMERS REPORT'!P603+'CUSTOMERS REPORT'!P641+'CUSTOMERS REPORT'!P679+'CUSTOMERS REPORT'!P717+'CUSTOMERS REPORT'!P755+'CUSTOMERS REPORT'!P793+'CUSTOMERS REPORT'!P831+'CUSTOMERS REPORT'!P869+'CUSTOMERS REPORT'!P908+'CUSTOMERS REPORT'!P947+'CUSTOMERS REPORT'!P985+'CUSTOMERS REPORT'!P1023+'CUSTOMERS REPORT'!P1061+'CUSTOMERS REPORT'!P1099+'CUSTOMERS REPORT'!P1137+'CUSTOMERS REPORT'!P1174+'CUSTOMERS REPORT'!P1211+'CUSTOMERS REPORT'!P1248+'CUSTOMERS REPORT'!P1285+'CUSTOMERS REPORT'!P1322+'CUSTOMERS REPORT'!P1359+'CUSTOMERS REPORT'!P1396+'CUSTOMERS REPORT'!P1432</f>
        <v>0</v>
      </c>
      <c r="AI54" s="852">
        <f>'CUSTOMERS REPORT'!Q18+'CUSTOMERS REPORT'!Q64+'CUSTOMERS REPORT'!Q102+'CUSTOMERS REPORT'!Q141+'CUSTOMERS REPORT'!Q179+'CUSTOMERS REPORT'!Q219+'CUSTOMERS REPORT'!Q256+'CUSTOMERS REPORT'!Q296+'CUSTOMERS REPORT'!Q337+'CUSTOMERS REPORT'!Q379+'CUSTOMERS REPORT'!Q418+'CUSTOMERS REPORT'!Q456+'CUSTOMERS REPORT'!Q492+'CUSTOMERS REPORT'!Q529+'CUSTOMERS REPORT'!Q567+'CUSTOMERS REPORT'!Q603+'CUSTOMERS REPORT'!Q641+'CUSTOMERS REPORT'!Q679+'CUSTOMERS REPORT'!Q717+'CUSTOMERS REPORT'!Q755+'CUSTOMERS REPORT'!Q793+'CUSTOMERS REPORT'!Q831+'CUSTOMERS REPORT'!Q869+'CUSTOMERS REPORT'!Q908+'CUSTOMERS REPORT'!Q947+'CUSTOMERS REPORT'!Q985+'CUSTOMERS REPORT'!Q1023+'CUSTOMERS REPORT'!Q1061+'CUSTOMERS REPORT'!Q1099+'CUSTOMERS REPORT'!Q1137+'CUSTOMERS REPORT'!Q1174+'CUSTOMERS REPORT'!Q1211+'CUSTOMERS REPORT'!Q1248+'CUSTOMERS REPORT'!Q1285+'CUSTOMERS REPORT'!Q1322+'CUSTOMERS REPORT'!Q1359+'CUSTOMERS REPORT'!Q1396+'CUSTOMERS REPORT'!Q1432</f>
        <v>0</v>
      </c>
      <c r="AJ54" s="852">
        <f>'CUSTOMERS REPORT'!R18+'CUSTOMERS REPORT'!R64+'CUSTOMERS REPORT'!R102+'CUSTOMERS REPORT'!R141+'CUSTOMERS REPORT'!R179+'CUSTOMERS REPORT'!R219+'CUSTOMERS REPORT'!R256+'CUSTOMERS REPORT'!R296+'CUSTOMERS REPORT'!R337+'CUSTOMERS REPORT'!R379+'CUSTOMERS REPORT'!R418+'CUSTOMERS REPORT'!R456+'CUSTOMERS REPORT'!R492+'CUSTOMERS REPORT'!R529+'CUSTOMERS REPORT'!R567+'CUSTOMERS REPORT'!R603+'CUSTOMERS REPORT'!R641+'CUSTOMERS REPORT'!R679+'CUSTOMERS REPORT'!R717+'CUSTOMERS REPORT'!R755+'CUSTOMERS REPORT'!R793+'CUSTOMERS REPORT'!R831+'CUSTOMERS REPORT'!R869+'CUSTOMERS REPORT'!R908+'CUSTOMERS REPORT'!R947+'CUSTOMERS REPORT'!R985+'CUSTOMERS REPORT'!R1023+'CUSTOMERS REPORT'!R1061+'CUSTOMERS REPORT'!R1099+'CUSTOMERS REPORT'!R1137+'CUSTOMERS REPORT'!R1174+'CUSTOMERS REPORT'!R1211+'CUSTOMERS REPORT'!R1248+'CUSTOMERS REPORT'!R1285+'CUSTOMERS REPORT'!R1322+'CUSTOMERS REPORT'!R1359+'CUSTOMERS REPORT'!R1396+'CUSTOMERS REPORT'!R1432</f>
        <v>0</v>
      </c>
      <c r="AK54" s="852">
        <f>'CUSTOMERS REPORT'!S18+'CUSTOMERS REPORT'!S64+'CUSTOMERS REPORT'!S102+'CUSTOMERS REPORT'!S141+'CUSTOMERS REPORT'!S179+'CUSTOMERS REPORT'!S219+'CUSTOMERS REPORT'!S256+'CUSTOMERS REPORT'!S296+'CUSTOMERS REPORT'!S337+'CUSTOMERS REPORT'!S379+'CUSTOMERS REPORT'!S418+'CUSTOMERS REPORT'!S456+'CUSTOMERS REPORT'!S492+'CUSTOMERS REPORT'!S529+'CUSTOMERS REPORT'!S567+'CUSTOMERS REPORT'!S603+'CUSTOMERS REPORT'!S641+'CUSTOMERS REPORT'!S679+'CUSTOMERS REPORT'!S717+'CUSTOMERS REPORT'!S755+'CUSTOMERS REPORT'!S793+'CUSTOMERS REPORT'!S831+'CUSTOMERS REPORT'!S869+'CUSTOMERS REPORT'!S908+'CUSTOMERS REPORT'!S947+'CUSTOMERS REPORT'!S985+'CUSTOMERS REPORT'!S1023+'CUSTOMERS REPORT'!S1061+'CUSTOMERS REPORT'!S1099+'CUSTOMERS REPORT'!S1137+'CUSTOMERS REPORT'!S1174+'CUSTOMERS REPORT'!S1211+'CUSTOMERS REPORT'!S1248+'CUSTOMERS REPORT'!S1285+'CUSTOMERS REPORT'!S1322+'CUSTOMERS REPORT'!S1359+'CUSTOMERS REPORT'!S1396+'CUSTOMERS REPORT'!S1432</f>
        <v>0</v>
      </c>
      <c r="AL54" s="852">
        <f>'CUSTOMERS REPORT'!T18+'CUSTOMERS REPORT'!T64+'CUSTOMERS REPORT'!T102+'CUSTOMERS REPORT'!T141+'CUSTOMERS REPORT'!T179+'CUSTOMERS REPORT'!T219+'CUSTOMERS REPORT'!T256+'CUSTOMERS REPORT'!T296+'CUSTOMERS REPORT'!T337+'CUSTOMERS REPORT'!T379+'CUSTOMERS REPORT'!T418+'CUSTOMERS REPORT'!T456+'CUSTOMERS REPORT'!T492+'CUSTOMERS REPORT'!T529+'CUSTOMERS REPORT'!T567+'CUSTOMERS REPORT'!T603+'CUSTOMERS REPORT'!T641+'CUSTOMERS REPORT'!T679+'CUSTOMERS REPORT'!T717+'CUSTOMERS REPORT'!T755+'CUSTOMERS REPORT'!T793+'CUSTOMERS REPORT'!T831+'CUSTOMERS REPORT'!T869+'CUSTOMERS REPORT'!T908+'CUSTOMERS REPORT'!T947+'CUSTOMERS REPORT'!T985+'CUSTOMERS REPORT'!T1023+'CUSTOMERS REPORT'!T1061+'CUSTOMERS REPORT'!T1099+'CUSTOMERS REPORT'!T1137</f>
        <v>0</v>
      </c>
      <c r="AM54" s="852">
        <f>'CUSTOMERS REPORT'!U18+'CUSTOMERS REPORT'!U64+'CUSTOMERS REPORT'!U102+'CUSTOMERS REPORT'!U141+'CUSTOMERS REPORT'!U179+'CUSTOMERS REPORT'!U219+'CUSTOMERS REPORT'!U256+'CUSTOMERS REPORT'!U296+'CUSTOMERS REPORT'!U337+'CUSTOMERS REPORT'!U379+'CUSTOMERS REPORT'!U418+'CUSTOMERS REPORT'!U456+'CUSTOMERS REPORT'!U492+'CUSTOMERS REPORT'!U529+'CUSTOMERS REPORT'!U567+'CUSTOMERS REPORT'!U603+'CUSTOMERS REPORT'!U641+'CUSTOMERS REPORT'!U679+'CUSTOMERS REPORT'!U717+'CUSTOMERS REPORT'!U755+'CUSTOMERS REPORT'!U793+'CUSTOMERS REPORT'!U831+'CUSTOMERS REPORT'!U869+'CUSTOMERS REPORT'!U908+'CUSTOMERS REPORT'!U947+'CUSTOMERS REPORT'!U985+'CUSTOMERS REPORT'!U1023+'CUSTOMERS REPORT'!U1061+'CUSTOMERS REPORT'!U1099+'CUSTOMERS REPORT'!U1137</f>
        <v>0</v>
      </c>
      <c r="AN54" s="852">
        <f>'CUSTOMERS REPORT'!V18+'CUSTOMERS REPORT'!V64+'CUSTOMERS REPORT'!V102+'CUSTOMERS REPORT'!V141+'CUSTOMERS REPORT'!V179+'CUSTOMERS REPORT'!V219+'CUSTOMERS REPORT'!V256+'CUSTOMERS REPORT'!V296+'CUSTOMERS REPORT'!V337+'CUSTOMERS REPORT'!V379+'CUSTOMERS REPORT'!V418+'CUSTOMERS REPORT'!V456+'CUSTOMERS REPORT'!V492+'CUSTOMERS REPORT'!V529+'CUSTOMERS REPORT'!V567+'CUSTOMERS REPORT'!V603+'CUSTOMERS REPORT'!V641+'CUSTOMERS REPORT'!V679+'CUSTOMERS REPORT'!V717+'CUSTOMERS REPORT'!V755+'CUSTOMERS REPORT'!V793+'CUSTOMERS REPORT'!V831+'CUSTOMERS REPORT'!V869+'CUSTOMERS REPORT'!V908+'CUSTOMERS REPORT'!V947+'CUSTOMERS REPORT'!V985+'CUSTOMERS REPORT'!V1023+'CUSTOMERS REPORT'!V1061+'CUSTOMERS REPORT'!V1099+'CUSTOMERS REPORT'!V1137</f>
        <v>0</v>
      </c>
      <c r="AP54" t="s">
        <v>1</v>
      </c>
    </row>
    <row r="55" spans="1:42" ht="24.95" customHeight="1" thickBot="1">
      <c r="J55">
        <v>1</v>
      </c>
      <c r="L55" s="417">
        <v>20</v>
      </c>
      <c r="M55" s="417"/>
      <c r="N55" s="417">
        <f t="shared" si="6"/>
        <v>0</v>
      </c>
      <c r="R55" s="123">
        <f>'10'!R57</f>
        <v>0</v>
      </c>
      <c r="S55" s="865" t="s">
        <v>169</v>
      </c>
      <c r="T55" s="866">
        <f t="shared" ref="T55:AN55" si="8">T53-T54-T51</f>
        <v>0</v>
      </c>
      <c r="U55" s="866">
        <f t="shared" si="8"/>
        <v>0</v>
      </c>
      <c r="V55" s="866">
        <f t="shared" si="8"/>
        <v>0</v>
      </c>
      <c r="W55" s="866">
        <f t="shared" si="8"/>
        <v>0</v>
      </c>
      <c r="X55" s="866">
        <f t="shared" si="8"/>
        <v>0</v>
      </c>
      <c r="Y55" s="866">
        <f t="shared" si="8"/>
        <v>0</v>
      </c>
      <c r="Z55" s="866">
        <f t="shared" si="8"/>
        <v>0</v>
      </c>
      <c r="AA55" s="866">
        <f t="shared" si="8"/>
        <v>0</v>
      </c>
      <c r="AB55" s="866">
        <f t="shared" si="8"/>
        <v>0</v>
      </c>
      <c r="AC55" s="866">
        <f t="shared" si="8"/>
        <v>0</v>
      </c>
      <c r="AD55" s="866">
        <f t="shared" si="8"/>
        <v>0</v>
      </c>
      <c r="AE55" s="866">
        <f t="shared" si="8"/>
        <v>0</v>
      </c>
      <c r="AF55" s="866">
        <f>AF53-AF54-AF51</f>
        <v>0</v>
      </c>
      <c r="AG55" s="866">
        <f t="shared" si="8"/>
        <v>0</v>
      </c>
      <c r="AH55" s="866">
        <f t="shared" si="8"/>
        <v>0</v>
      </c>
      <c r="AI55" s="866">
        <f t="shared" si="8"/>
        <v>0</v>
      </c>
      <c r="AJ55" s="866">
        <f t="shared" si="8"/>
        <v>0</v>
      </c>
      <c r="AK55" s="866">
        <f t="shared" si="8"/>
        <v>0</v>
      </c>
      <c r="AL55" s="866" t="e">
        <f t="shared" si="8"/>
        <v>#VALUE!</v>
      </c>
      <c r="AM55" s="866" t="e">
        <f t="shared" si="8"/>
        <v>#VALUE!</v>
      </c>
      <c r="AN55" s="872" t="e">
        <f t="shared" si="8"/>
        <v>#VALUE!</v>
      </c>
    </row>
    <row r="56" spans="1:42" ht="28.5" thickBot="1">
      <c r="A56" s="114"/>
      <c r="B56" s="120"/>
      <c r="C56" s="115"/>
      <c r="J56">
        <v>17</v>
      </c>
      <c r="L56" s="417">
        <v>10</v>
      </c>
      <c r="M56" s="417"/>
      <c r="N56" s="417">
        <f t="shared" si="6"/>
        <v>0</v>
      </c>
      <c r="R56" s="123">
        <f>T56+U56+V56+W56+X56+Y56+Z56+AA56+AB56+AC56+AD56+AE56+AF56+AG56+AH56+AI56+AJ56+AK56+AL56+AM56+AN56</f>
        <v>0</v>
      </c>
      <c r="S56" s="874" t="s">
        <v>170</v>
      </c>
      <c r="T56" s="875"/>
      <c r="U56" s="875"/>
      <c r="V56" s="875"/>
      <c r="W56" s="875"/>
      <c r="X56" s="875"/>
      <c r="Y56" s="875"/>
      <c r="Z56" s="876"/>
      <c r="AA56" s="875"/>
      <c r="AB56" s="875"/>
      <c r="AC56" s="875"/>
      <c r="AD56" s="875"/>
      <c r="AE56" s="875"/>
      <c r="AF56" s="875"/>
      <c r="AG56" s="875"/>
      <c r="AH56" s="875"/>
      <c r="AI56" s="875"/>
      <c r="AJ56" s="877"/>
      <c r="AK56" s="877"/>
      <c r="AL56" s="52"/>
      <c r="AM56" s="52"/>
      <c r="AN56" s="928"/>
    </row>
    <row r="57" spans="1:42" ht="27" customHeight="1" thickBot="1">
      <c r="A57" s="114"/>
      <c r="B57" s="131"/>
      <c r="C57" s="115"/>
      <c r="D57" s="115"/>
      <c r="E57" s="19"/>
      <c r="F57" s="19"/>
      <c r="G57" s="19"/>
      <c r="H57" s="19"/>
      <c r="I57" s="19"/>
      <c r="J57" s="19"/>
      <c r="K57" s="19"/>
      <c r="L57" s="418">
        <v>1</v>
      </c>
      <c r="M57" s="418"/>
      <c r="N57" s="417">
        <f t="shared" si="6"/>
        <v>0</v>
      </c>
      <c r="O57" s="19"/>
      <c r="R57" s="736">
        <f>SUM(R55:R56)</f>
        <v>0</v>
      </c>
      <c r="S57" s="882" t="s">
        <v>23</v>
      </c>
      <c r="T57" s="883" t="e">
        <f t="shared" ref="T57:AI57" si="9">T50/T56</f>
        <v>#DIV/0!</v>
      </c>
      <c r="U57" s="883" t="e">
        <f t="shared" si="9"/>
        <v>#DIV/0!</v>
      </c>
      <c r="V57" s="883" t="e">
        <f t="shared" si="9"/>
        <v>#DIV/0!</v>
      </c>
      <c r="W57" s="883" t="e">
        <f t="shared" si="9"/>
        <v>#DIV/0!</v>
      </c>
      <c r="X57" s="883" t="e">
        <f t="shared" si="9"/>
        <v>#DIV/0!</v>
      </c>
      <c r="Y57" s="883" t="e">
        <f t="shared" si="9"/>
        <v>#DIV/0!</v>
      </c>
      <c r="Z57" s="883" t="e">
        <f t="shared" si="9"/>
        <v>#DIV/0!</v>
      </c>
      <c r="AA57" s="883" t="e">
        <f t="shared" si="9"/>
        <v>#DIV/0!</v>
      </c>
      <c r="AB57" s="883" t="e">
        <f t="shared" si="9"/>
        <v>#DIV/0!</v>
      </c>
      <c r="AC57" s="883" t="e">
        <f t="shared" si="9"/>
        <v>#DIV/0!</v>
      </c>
      <c r="AD57" s="883" t="e">
        <f t="shared" si="9"/>
        <v>#DIV/0!</v>
      </c>
      <c r="AE57" s="883" t="e">
        <f t="shared" si="9"/>
        <v>#DIV/0!</v>
      </c>
      <c r="AF57" s="883" t="e">
        <f t="shared" si="9"/>
        <v>#DIV/0!</v>
      </c>
      <c r="AG57" s="883" t="e">
        <f t="shared" si="9"/>
        <v>#DIV/0!</v>
      </c>
      <c r="AH57" s="883" t="e">
        <f t="shared" si="9"/>
        <v>#DIV/0!</v>
      </c>
      <c r="AI57" s="883" t="e">
        <f t="shared" si="9"/>
        <v>#DIV/0!</v>
      </c>
      <c r="AJ57" s="883" t="e">
        <f>AJ50/AJ56</f>
        <v>#DIV/0!</v>
      </c>
      <c r="AK57" s="883" t="e">
        <f>AK50/AK56</f>
        <v>#DIV/0!</v>
      </c>
      <c r="AL57" s="883" t="e">
        <f t="shared" ref="AL57:AN57" si="10">AL50/AL56</f>
        <v>#DIV/0!</v>
      </c>
      <c r="AM57" s="883" t="e">
        <f t="shared" si="10"/>
        <v>#DIV/0!</v>
      </c>
      <c r="AN57" s="884" t="e">
        <f t="shared" si="10"/>
        <v>#DIV/0!</v>
      </c>
    </row>
    <row r="58" spans="1:42" ht="27" customHeight="1" thickBot="1">
      <c r="A58" s="114"/>
      <c r="B58" s="131"/>
      <c r="C58" s="115"/>
      <c r="D58" s="115" t="s">
        <v>1</v>
      </c>
      <c r="L58" s="1501" t="s">
        <v>171</v>
      </c>
      <c r="M58" s="1501"/>
      <c r="N58" s="419">
        <f>SUM(N50:N57)</f>
        <v>0</v>
      </c>
      <c r="R58" s="19"/>
      <c r="S58" s="878" t="s">
        <v>172</v>
      </c>
      <c r="T58" s="879">
        <f>T54</f>
        <v>0</v>
      </c>
      <c r="U58" s="879">
        <f t="shared" ref="U58:AI58" si="11">U54</f>
        <v>0</v>
      </c>
      <c r="V58" s="879">
        <f t="shared" si="11"/>
        <v>0</v>
      </c>
      <c r="W58" s="879">
        <f t="shared" si="11"/>
        <v>0</v>
      </c>
      <c r="X58" s="879">
        <f t="shared" si="11"/>
        <v>0</v>
      </c>
      <c r="Y58" s="879">
        <f t="shared" si="11"/>
        <v>0</v>
      </c>
      <c r="Z58" s="879">
        <f t="shared" si="11"/>
        <v>0</v>
      </c>
      <c r="AA58" s="879">
        <f t="shared" si="11"/>
        <v>0</v>
      </c>
      <c r="AB58" s="879">
        <f t="shared" si="11"/>
        <v>0</v>
      </c>
      <c r="AC58" s="879">
        <f t="shared" si="11"/>
        <v>0</v>
      </c>
      <c r="AD58" s="879">
        <f t="shared" si="11"/>
        <v>0</v>
      </c>
      <c r="AE58" s="879">
        <f t="shared" si="11"/>
        <v>0</v>
      </c>
      <c r="AF58" s="879">
        <f t="shared" si="11"/>
        <v>0</v>
      </c>
      <c r="AG58" s="879">
        <f t="shared" si="11"/>
        <v>0</v>
      </c>
      <c r="AH58" s="879">
        <f t="shared" si="11"/>
        <v>0</v>
      </c>
      <c r="AI58" s="879">
        <f t="shared" si="11"/>
        <v>0</v>
      </c>
      <c r="AJ58" s="879">
        <f>AJ54</f>
        <v>0</v>
      </c>
      <c r="AK58" s="879">
        <f>AK54</f>
        <v>0</v>
      </c>
      <c r="AL58" s="880"/>
      <c r="AM58" s="880"/>
      <c r="AN58" s="881"/>
    </row>
    <row r="59" spans="1:42" ht="27" customHeight="1">
      <c r="A59" s="114"/>
      <c r="B59" s="132"/>
      <c r="C59" s="115"/>
      <c r="D59" s="115" t="s">
        <v>1</v>
      </c>
      <c r="K59" t="s">
        <v>1</v>
      </c>
      <c r="L59" s="1486" t="s">
        <v>173</v>
      </c>
      <c r="M59" s="1486"/>
      <c r="N59" s="420">
        <f>N58-Q48</f>
        <v>0</v>
      </c>
      <c r="R59" s="19"/>
      <c r="S59" s="114"/>
      <c r="T59" s="121"/>
      <c r="U59" s="121"/>
      <c r="V59" s="121"/>
      <c r="W59" s="121"/>
      <c r="X59" s="121"/>
      <c r="Y59" s="121"/>
      <c r="Z59" s="122"/>
      <c r="AA59" s="121"/>
      <c r="AB59" s="121"/>
      <c r="AC59" s="121"/>
      <c r="AD59" s="121"/>
      <c r="AE59" s="121"/>
      <c r="AF59" s="121"/>
      <c r="AG59" s="121"/>
      <c r="AH59" s="119"/>
      <c r="AI59" s="119"/>
    </row>
    <row r="60" spans="1:42" ht="23.25">
      <c r="A60" s="114"/>
      <c r="B60" s="132"/>
      <c r="C60" s="115"/>
      <c r="D60" s="115"/>
      <c r="P60" s="19"/>
      <c r="Q60" s="19"/>
      <c r="R60" s="19"/>
      <c r="S60" s="19"/>
      <c r="U60" t="s">
        <v>1</v>
      </c>
    </row>
    <row r="61" spans="1:42" ht="23.25">
      <c r="A61" s="114"/>
      <c r="B61" s="132"/>
      <c r="C61" s="115"/>
      <c r="D61" s="116"/>
      <c r="M61" t="s">
        <v>1</v>
      </c>
      <c r="N61" s="111">
        <f>N59+Q48</f>
        <v>0</v>
      </c>
      <c r="P61" s="185"/>
      <c r="Q61" s="186"/>
      <c r="R61" s="19"/>
      <c r="S61" s="19"/>
    </row>
    <row r="62" spans="1:42" ht="20.25">
      <c r="C62" s="116"/>
      <c r="P62" s="19"/>
      <c r="Q62" s="19"/>
      <c r="R62" s="19"/>
      <c r="S62" s="19"/>
      <c r="U62" t="s">
        <v>1</v>
      </c>
    </row>
    <row r="63" spans="1:42">
      <c r="E63" s="19"/>
    </row>
    <row r="64" spans="1:42">
      <c r="E64" s="19"/>
      <c r="J64" t="s">
        <v>3</v>
      </c>
    </row>
    <row r="65" spans="3:5" ht="21">
      <c r="C65" s="251"/>
      <c r="E65" s="19"/>
    </row>
    <row r="66" spans="3:5">
      <c r="E66" s="49"/>
    </row>
    <row r="67" spans="3:5" ht="23.25">
      <c r="E67" s="113"/>
    </row>
  </sheetData>
  <mergeCells count="21">
    <mergeCell ref="L59:M59"/>
    <mergeCell ref="T47:W47"/>
    <mergeCell ref="X47:Z47"/>
    <mergeCell ref="S47:S48"/>
    <mergeCell ref="AJ47:AK47"/>
    <mergeCell ref="AL47:AM47"/>
    <mergeCell ref="AI7:AJ7"/>
    <mergeCell ref="AI20:AJ20"/>
    <mergeCell ref="L58:M58"/>
    <mergeCell ref="A6:Q6"/>
    <mergeCell ref="S6:AE6"/>
    <mergeCell ref="A7:B7"/>
    <mergeCell ref="P7:Q7"/>
    <mergeCell ref="H48:I48"/>
    <mergeCell ref="P24:Q24"/>
    <mergeCell ref="P33:Q33"/>
    <mergeCell ref="P42:Q42"/>
    <mergeCell ref="H46:I46"/>
    <mergeCell ref="H47:I47"/>
    <mergeCell ref="AA47:AB47"/>
    <mergeCell ref="AC47:AI47"/>
  </mergeCells>
  <conditionalFormatting sqref="M48">
    <cfRule type="duplicateValues" dxfId="433" priority="31"/>
    <cfRule type="duplicateValues" dxfId="432" priority="32"/>
    <cfRule type="duplicateValues" dxfId="431" priority="33"/>
    <cfRule type="duplicateValues" dxfId="430" priority="34"/>
  </conditionalFormatting>
  <conditionalFormatting sqref="L48">
    <cfRule type="cellIs" dxfId="429" priority="30" operator="equal">
      <formula>66890</formula>
    </cfRule>
  </conditionalFormatting>
  <conditionalFormatting sqref="N48">
    <cfRule type="cellIs" dxfId="428" priority="27" operator="lessThan">
      <formula>1</formula>
    </cfRule>
  </conditionalFormatting>
  <conditionalFormatting sqref="T57">
    <cfRule type="cellIs" dxfId="427" priority="16" operator="lessThan">
      <formula>63</formula>
    </cfRule>
  </conditionalFormatting>
  <conditionalFormatting sqref="U57">
    <cfRule type="cellIs" dxfId="426" priority="14" operator="lessThan">
      <formula>63</formula>
    </cfRule>
    <cfRule type="cellIs" dxfId="425" priority="15" operator="lessThan">
      <formula>63</formula>
    </cfRule>
  </conditionalFormatting>
  <conditionalFormatting sqref="W57">
    <cfRule type="cellIs" dxfId="424" priority="13" operator="lessThan">
      <formula>140</formula>
    </cfRule>
  </conditionalFormatting>
  <conditionalFormatting sqref="X57">
    <cfRule type="cellIs" dxfId="423" priority="12" operator="lessThan">
      <formula>125</formula>
    </cfRule>
  </conditionalFormatting>
  <conditionalFormatting sqref="Y57">
    <cfRule type="cellIs" dxfId="422" priority="11" operator="lessThan">
      <formula>150</formula>
    </cfRule>
  </conditionalFormatting>
  <conditionalFormatting sqref="Z57">
    <cfRule type="cellIs" dxfId="421" priority="10" operator="lessThan">
      <formula>590</formula>
    </cfRule>
  </conditionalFormatting>
  <conditionalFormatting sqref="AA57">
    <cfRule type="cellIs" dxfId="420" priority="9" operator="lessThan">
      <formula>704</formula>
    </cfRule>
  </conditionalFormatting>
  <conditionalFormatting sqref="AC57">
    <cfRule type="cellIs" dxfId="419" priority="8" operator="lessThan">
      <formula>52</formula>
    </cfRule>
  </conditionalFormatting>
  <conditionalFormatting sqref="AD57">
    <cfRule type="cellIs" dxfId="418" priority="7" operator="lessThan">
      <formula>52</formula>
    </cfRule>
  </conditionalFormatting>
  <conditionalFormatting sqref="AH57">
    <cfRule type="cellIs" dxfId="417" priority="6" operator="lessThan">
      <formula>63</formula>
    </cfRule>
  </conditionalFormatting>
  <conditionalFormatting sqref="AI57">
    <cfRule type="cellIs" dxfId="416" priority="5" operator="lessThan">
      <formula>63</formula>
    </cfRule>
  </conditionalFormatting>
  <conditionalFormatting sqref="AK57">
    <cfRule type="cellIs" dxfId="415" priority="4" operator="lessThan">
      <formula>270</formula>
    </cfRule>
  </conditionalFormatting>
  <conditionalFormatting sqref="AJ57">
    <cfRule type="cellIs" dxfId="414" priority="3" operator="lessThan">
      <formula>270</formula>
    </cfRule>
  </conditionalFormatting>
  <conditionalFormatting sqref="AL57:AN57">
    <cfRule type="cellIs" dxfId="413" priority="1" operator="lessThan">
      <formula>270</formula>
    </cfRule>
  </conditionalFormatting>
  <printOptions horizontalCentered="1" verticalCentered="1"/>
  <pageMargins left="0" right="0.5" top="0" bottom="0" header="0" footer="0"/>
  <pageSetup paperSize="5" scale="45" orientation="landscape" cellComments="asDisplayed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AR67"/>
  <sheetViews>
    <sheetView tabSelected="1" topLeftCell="AC48" zoomScale="90" zoomScaleNormal="90" workbookViewId="0">
      <selection activeCell="AG61" sqref="AG61"/>
    </sheetView>
  </sheetViews>
  <sheetFormatPr defaultRowHeight="15"/>
  <cols>
    <col min="1" max="1" width="32.7109375" bestFit="1" customWidth="1"/>
    <col min="2" max="2" width="17.7109375" customWidth="1"/>
    <col min="3" max="4" width="20.7109375" customWidth="1"/>
    <col min="5" max="5" width="4.7109375" customWidth="1"/>
    <col min="6" max="6" width="35.85546875" bestFit="1" customWidth="1"/>
    <col min="7" max="7" width="17.7109375" customWidth="1"/>
    <col min="8" max="9" width="19.140625" bestFit="1" customWidth="1"/>
    <col min="10" max="11" width="17.7109375" customWidth="1"/>
    <col min="12" max="12" width="19.140625" bestFit="1" customWidth="1"/>
    <col min="13" max="13" width="18.7109375" customWidth="1"/>
    <col min="14" max="14" width="19.140625" bestFit="1" customWidth="1"/>
    <col min="15" max="15" width="7.7109375" customWidth="1"/>
    <col min="16" max="16" width="28.7109375" customWidth="1"/>
    <col min="17" max="17" width="20.7109375" customWidth="1"/>
    <col min="18" max="18" width="7.5703125" bestFit="1" customWidth="1"/>
    <col min="19" max="19" width="32.7109375" customWidth="1"/>
    <col min="20" max="20" width="20.28515625" bestFit="1" customWidth="1"/>
    <col min="21" max="21" width="17.7109375" customWidth="1"/>
    <col min="22" max="22" width="20.28515625" bestFit="1" customWidth="1"/>
    <col min="23" max="23" width="17.7109375" customWidth="1"/>
    <col min="24" max="24" width="20.28515625" bestFit="1" customWidth="1"/>
    <col min="25" max="25" width="14.7109375" customWidth="1"/>
    <col min="26" max="26" width="23.7109375" bestFit="1" customWidth="1"/>
    <col min="27" max="27" width="20.140625" bestFit="1" customWidth="1"/>
    <col min="28" max="28" width="18.140625" bestFit="1" customWidth="1"/>
    <col min="29" max="29" width="20.140625" bestFit="1" customWidth="1"/>
    <col min="30" max="30" width="17.7109375" customWidth="1"/>
    <col min="31" max="31" width="20.140625" bestFit="1" customWidth="1"/>
    <col min="32" max="33" width="20.7109375" customWidth="1"/>
    <col min="34" max="37" width="17.7109375" customWidth="1"/>
    <col min="38" max="38" width="13" hidden="1" customWidth="1"/>
    <col min="39" max="39" width="0" hidden="1" customWidth="1"/>
    <col min="40" max="40" width="13.5703125" hidden="1" customWidth="1"/>
  </cols>
  <sheetData>
    <row r="1" spans="1:36">
      <c r="E1" s="5"/>
    </row>
    <row r="2" spans="1:36">
      <c r="E2" s="5"/>
    </row>
    <row r="3" spans="1:36" ht="15.75" thickBot="1">
      <c r="C3" t="s">
        <v>1</v>
      </c>
      <c r="E3" s="5" t="s">
        <v>1</v>
      </c>
      <c r="F3" t="s">
        <v>1</v>
      </c>
      <c r="N3" t="s">
        <v>1</v>
      </c>
      <c r="S3" t="s">
        <v>1</v>
      </c>
      <c r="U3" t="s">
        <v>1</v>
      </c>
    </row>
    <row r="4" spans="1:36" ht="20.100000000000001" customHeight="1" thickTop="1">
      <c r="B4" t="s">
        <v>1</v>
      </c>
      <c r="D4" t="s">
        <v>1</v>
      </c>
      <c r="E4" t="s">
        <v>1</v>
      </c>
      <c r="P4" s="617" t="s">
        <v>108</v>
      </c>
      <c r="Q4" s="618">
        <f>'12'!Q4+'13'!Q9+'13'!Q10+'13'!Q19+'13'!Q20+'13'!Q21+'13'!Q22</f>
        <v>0</v>
      </c>
    </row>
    <row r="5" spans="1:36" ht="20.100000000000001" customHeight="1" thickBot="1">
      <c r="P5" s="619" t="s">
        <v>109</v>
      </c>
      <c r="Q5" s="620">
        <f>'12'!Q5+'13'!Q25+'13'!Q26+'13'!Q27+'13'!Q28+'13'!Q29+'13'!Q30+'13'!Q31</f>
        <v>0</v>
      </c>
    </row>
    <row r="6" spans="1:36" ht="48" thickTop="1" thickBot="1">
      <c r="A6" s="1502">
        <f>'Main Page'!E29</f>
        <v>44878</v>
      </c>
      <c r="B6" s="1507"/>
      <c r="C6" s="1507"/>
      <c r="D6" s="1507"/>
      <c r="E6" s="1507"/>
      <c r="F6" s="1507"/>
      <c r="G6" s="1507"/>
      <c r="H6" s="1507"/>
      <c r="I6" s="1507"/>
      <c r="J6" s="1507"/>
      <c r="K6" s="1507"/>
      <c r="L6" s="1507"/>
      <c r="M6" s="1507"/>
      <c r="N6" s="1507"/>
      <c r="O6" s="1507"/>
      <c r="P6" s="1507"/>
      <c r="Q6" s="1515"/>
      <c r="R6" t="s">
        <v>1</v>
      </c>
      <c r="S6" s="1502">
        <f>A6</f>
        <v>44878</v>
      </c>
      <c r="T6" s="1503"/>
      <c r="U6" s="1503"/>
      <c r="V6" s="1503"/>
      <c r="W6" s="1503"/>
      <c r="X6" s="1503"/>
      <c r="Y6" s="1503"/>
      <c r="Z6" s="1503"/>
      <c r="AA6" s="1503"/>
      <c r="AB6" s="1503"/>
      <c r="AC6" s="1503"/>
      <c r="AD6" s="1503"/>
      <c r="AE6" s="1504"/>
    </row>
    <row r="7" spans="1:36" ht="39.950000000000003" customHeight="1" thickTop="1" thickBot="1">
      <c r="A7" s="1505" t="s">
        <v>110</v>
      </c>
      <c r="B7" s="1506"/>
      <c r="C7" s="367" t="s">
        <v>97</v>
      </c>
      <c r="D7" s="368" t="s">
        <v>74</v>
      </c>
      <c r="F7" s="363" t="s">
        <v>111</v>
      </c>
      <c r="G7" s="364" t="s">
        <v>112</v>
      </c>
      <c r="H7" s="365" t="s">
        <v>113</v>
      </c>
      <c r="I7" s="365" t="s">
        <v>26</v>
      </c>
      <c r="J7" s="365" t="s">
        <v>114</v>
      </c>
      <c r="K7" s="366" t="s">
        <v>115</v>
      </c>
      <c r="L7" s="365" t="s">
        <v>116</v>
      </c>
      <c r="M7" s="365" t="s">
        <v>117</v>
      </c>
      <c r="N7" s="365" t="s">
        <v>118</v>
      </c>
      <c r="P7" s="1510" t="s">
        <v>69</v>
      </c>
      <c r="Q7" s="1511"/>
      <c r="S7" s="380" t="s">
        <v>58</v>
      </c>
      <c r="T7" s="380" t="s">
        <v>59</v>
      </c>
      <c r="U7" s="380" t="s">
        <v>119</v>
      </c>
      <c r="V7" s="380" t="s">
        <v>74</v>
      </c>
      <c r="W7" s="380" t="s">
        <v>120</v>
      </c>
      <c r="X7" s="380" t="s">
        <v>59</v>
      </c>
      <c r="Z7" s="367" t="s">
        <v>121</v>
      </c>
      <c r="AA7" s="367" t="s">
        <v>97</v>
      </c>
      <c r="AB7" s="415" t="s">
        <v>122</v>
      </c>
      <c r="AC7" s="416" t="s">
        <v>90</v>
      </c>
      <c r="AD7" s="367" t="s">
        <v>56</v>
      </c>
      <c r="AE7" s="381" t="s">
        <v>100</v>
      </c>
      <c r="AF7" s="560" t="s">
        <v>122</v>
      </c>
      <c r="AG7" s="570" t="s">
        <v>56</v>
      </c>
      <c r="AI7" s="1487" t="s">
        <v>123</v>
      </c>
      <c r="AJ7" s="1488"/>
    </row>
    <row r="8" spans="1:36" ht="27" customHeight="1" thickTop="1" thickBot="1">
      <c r="A8" s="717"/>
      <c r="B8" s="233"/>
      <c r="C8" s="463"/>
      <c r="D8" s="233"/>
      <c r="F8" s="478" t="str">
        <f>'12'!F8</f>
        <v>ISHAQ ANSARI</v>
      </c>
      <c r="G8" s="405">
        <f>'CUSTOMERS REPORT'!Y20</f>
        <v>0</v>
      </c>
      <c r="H8" s="503">
        <f>'CUSTOMERS REPORT'!Z20</f>
        <v>0</v>
      </c>
      <c r="I8" s="405">
        <f>'CUSTOMERS REPORT'!AA20</f>
        <v>0</v>
      </c>
      <c r="J8" s="497">
        <f>'CUSTOMERS REPORT'!AB20</f>
        <v>0</v>
      </c>
      <c r="K8" s="497">
        <f>'CUSTOMERS REPORT'!AC20</f>
        <v>0</v>
      </c>
      <c r="L8" s="508">
        <f>'CUSTOMERS REPORT'!AD20</f>
        <v>0</v>
      </c>
      <c r="M8" s="413">
        <f>'12'!M8+'13'!G8</f>
        <v>0</v>
      </c>
      <c r="N8" s="411">
        <f>'12'!N8+'13'!J8</f>
        <v>0</v>
      </c>
      <c r="P8" s="191" t="s">
        <v>124</v>
      </c>
      <c r="Q8" s="223">
        <f>'12'!Q32</f>
        <v>0</v>
      </c>
      <c r="S8" s="399" t="str">
        <f>'12'!S8</f>
        <v>FLOUR</v>
      </c>
      <c r="T8" s="446">
        <f>'12'!X8</f>
        <v>0</v>
      </c>
      <c r="U8" s="455"/>
      <c r="V8" s="450">
        <f t="shared" ref="V8:V43" si="0">SUM(T8:U8)</f>
        <v>0</v>
      </c>
      <c r="W8" s="450"/>
      <c r="X8" s="446">
        <f t="shared" ref="X8:X43" si="1">V8-W8</f>
        <v>0</v>
      </c>
      <c r="Z8" s="382" t="str">
        <f>'11'!Z8</f>
        <v>GHAZI</v>
      </c>
      <c r="AA8" s="464">
        <f>'12'!AE8</f>
        <v>0</v>
      </c>
      <c r="AB8" s="459"/>
      <c r="AC8" s="233">
        <f t="shared" ref="AC8:AC10" si="2">AA8+AB8</f>
        <v>0</v>
      </c>
      <c r="AD8" s="468"/>
      <c r="AE8" s="463">
        <f t="shared" ref="AE8:AE10" si="3">AC8-AD8</f>
        <v>0</v>
      </c>
      <c r="AF8" s="563">
        <f>'12'!AF8+'13'!AB8</f>
        <v>0</v>
      </c>
      <c r="AG8" s="233">
        <f>'12'!AG8+'13'!AD8</f>
        <v>0</v>
      </c>
      <c r="AI8" s="391" t="s">
        <v>126</v>
      </c>
      <c r="AJ8" s="392">
        <f>'12'!AJ10</f>
        <v>0</v>
      </c>
    </row>
    <row r="9" spans="1:36" ht="27" customHeight="1" thickTop="1">
      <c r="A9" s="718"/>
      <c r="B9" s="526"/>
      <c r="C9" s="348"/>
      <c r="D9" s="550"/>
      <c r="F9" s="479" t="str">
        <f>'12'!F9</f>
        <v>MAKKI BAKERY</v>
      </c>
      <c r="G9" s="406">
        <f>'CUSTOMERS REPORT'!Y66</f>
        <v>0</v>
      </c>
      <c r="H9" s="504">
        <f>'CUSTOMERS REPORT'!Z66</f>
        <v>0</v>
      </c>
      <c r="I9" s="406">
        <f>'CUSTOMERS REPORT'!AA66</f>
        <v>0</v>
      </c>
      <c r="J9" s="498">
        <f>'CUSTOMERS REPORT'!AB66</f>
        <v>0</v>
      </c>
      <c r="K9" s="498">
        <f>'CUSTOMERS REPORT'!AC66</f>
        <v>0</v>
      </c>
      <c r="L9" s="509">
        <f>'CUSTOMERS REPORT'!AD66</f>
        <v>0</v>
      </c>
      <c r="M9" s="414">
        <f>'12'!M9+'13'!G9</f>
        <v>0</v>
      </c>
      <c r="N9" s="412">
        <f>'12'!N9+'13'!J9</f>
        <v>0</v>
      </c>
      <c r="P9" s="432"/>
      <c r="Q9" s="436"/>
      <c r="S9" s="400" t="str">
        <f>'12'!S9</f>
        <v>SUGAR</v>
      </c>
      <c r="T9" s="446">
        <f>'12'!X9</f>
        <v>0</v>
      </c>
      <c r="U9" s="456"/>
      <c r="V9" s="451">
        <f t="shared" si="0"/>
        <v>0</v>
      </c>
      <c r="W9" s="451"/>
      <c r="X9" s="447">
        <f t="shared" si="1"/>
        <v>0</v>
      </c>
      <c r="Z9" s="375" t="str">
        <f>'12'!Z9</f>
        <v>SOHNI</v>
      </c>
      <c r="AA9" s="464">
        <f>'12'!AE9</f>
        <v>0</v>
      </c>
      <c r="AB9" s="460"/>
      <c r="AC9" s="462">
        <f t="shared" si="2"/>
        <v>0</v>
      </c>
      <c r="AD9" s="469"/>
      <c r="AE9" s="348">
        <f t="shared" si="3"/>
        <v>0</v>
      </c>
      <c r="AF9" s="563">
        <f>'12'!AF9+'13'!AB9</f>
        <v>0</v>
      </c>
      <c r="AG9" s="234">
        <f>'12'!AG9+'13'!AD9</f>
        <v>0</v>
      </c>
      <c r="AI9" s="393" t="s">
        <v>128</v>
      </c>
      <c r="AJ9" s="394">
        <f>B26</f>
        <v>0</v>
      </c>
    </row>
    <row r="10" spans="1:36" ht="27" customHeight="1" thickBot="1">
      <c r="A10" s="718"/>
      <c r="B10" s="528"/>
      <c r="C10" s="350"/>
      <c r="D10" s="550"/>
      <c r="F10" s="479" t="str">
        <f>'12'!F10</f>
        <v>ABID HUSSAIN</v>
      </c>
      <c r="G10" s="406">
        <f>'CUSTOMERS REPORT'!Y104</f>
        <v>0</v>
      </c>
      <c r="H10" s="504">
        <f>'CUSTOMERS REPORT'!Z104</f>
        <v>0</v>
      </c>
      <c r="I10" s="406">
        <f>'CUSTOMERS REPORT'!AA104</f>
        <v>0</v>
      </c>
      <c r="J10" s="498">
        <f>'CUSTOMERS REPORT'!AB104</f>
        <v>0</v>
      </c>
      <c r="K10" s="498">
        <f>'CUSTOMERS REPORT'!AC104</f>
        <v>0</v>
      </c>
      <c r="L10" s="509">
        <f>'CUSTOMERS REPORT'!AD104</f>
        <v>0</v>
      </c>
      <c r="M10" s="414">
        <f>'12'!M10+'13'!G10</f>
        <v>0</v>
      </c>
      <c r="N10" s="412">
        <f>'12'!N10+'13'!J10</f>
        <v>0</v>
      </c>
      <c r="P10" s="433"/>
      <c r="Q10" s="437"/>
      <c r="S10" s="400" t="str">
        <f>'12'!S10</f>
        <v>GHEE</v>
      </c>
      <c r="T10" s="446">
        <f>'12'!X10</f>
        <v>0</v>
      </c>
      <c r="U10" s="456"/>
      <c r="V10" s="451">
        <f t="shared" si="0"/>
        <v>0</v>
      </c>
      <c r="W10" s="451"/>
      <c r="X10" s="447">
        <f t="shared" si="1"/>
        <v>0</v>
      </c>
      <c r="Z10" s="375" t="str">
        <f>'12'!Z10</f>
        <v>HUSSAINI</v>
      </c>
      <c r="AA10" s="464">
        <f>'12'!AE10</f>
        <v>0</v>
      </c>
      <c r="AB10" s="460"/>
      <c r="AC10" s="462">
        <f t="shared" si="2"/>
        <v>0</v>
      </c>
      <c r="AD10" s="469"/>
      <c r="AE10" s="348">
        <f t="shared" si="3"/>
        <v>0</v>
      </c>
      <c r="AF10" s="563">
        <f>'12'!AF10+'13'!AB10</f>
        <v>0</v>
      </c>
      <c r="AG10" s="234">
        <f>'12'!AG10+'13'!AD10</f>
        <v>0</v>
      </c>
      <c r="AI10" s="395" t="s">
        <v>74</v>
      </c>
      <c r="AJ10" s="396">
        <f>AJ8+AJ9</f>
        <v>0</v>
      </c>
    </row>
    <row r="11" spans="1:36" ht="27" customHeight="1" thickTop="1">
      <c r="A11" s="718"/>
      <c r="B11" s="528"/>
      <c r="C11" s="350"/>
      <c r="D11" s="550"/>
      <c r="F11" s="479" t="str">
        <f>'12'!F11</f>
        <v>SHAHID 5 #</v>
      </c>
      <c r="G11" s="406">
        <f>'CUSTOMERS REPORT'!Y143</f>
        <v>0</v>
      </c>
      <c r="H11" s="504">
        <f>'CUSTOMERS REPORT'!Z143</f>
        <v>0</v>
      </c>
      <c r="I11" s="406">
        <f>'CUSTOMERS REPORT'!AA143</f>
        <v>0</v>
      </c>
      <c r="J11" s="498">
        <f>'CUSTOMERS REPORT'!AB143</f>
        <v>0</v>
      </c>
      <c r="K11" s="498">
        <f>'CUSTOMERS REPORT'!AC143</f>
        <v>0</v>
      </c>
      <c r="L11" s="509">
        <f>'CUSTOMERS REPORT'!AD143</f>
        <v>0</v>
      </c>
      <c r="M11" s="414">
        <f>'12'!M11+'13'!G11</f>
        <v>0</v>
      </c>
      <c r="N11" s="412">
        <f>'12'!N11+'13'!J11</f>
        <v>0</v>
      </c>
      <c r="P11" s="433"/>
      <c r="Q11" s="437"/>
      <c r="S11" s="400" t="str">
        <f>'12'!S11</f>
        <v>YEAST</v>
      </c>
      <c r="T11" s="446">
        <f>'12'!X11</f>
        <v>0</v>
      </c>
      <c r="U11" s="456"/>
      <c r="V11" s="451">
        <f t="shared" ref="V11:V19" si="4">SUM(T11:U11)</f>
        <v>0</v>
      </c>
      <c r="W11" s="451"/>
      <c r="X11" s="447">
        <f t="shared" ref="X11:X19" si="5">V11-W11</f>
        <v>0</v>
      </c>
      <c r="Z11" s="375" t="str">
        <f>'12'!Z11</f>
        <v>IMRAN ALAM</v>
      </c>
      <c r="AA11" s="464">
        <f>'12'!AE11</f>
        <v>0</v>
      </c>
      <c r="AB11" s="460"/>
      <c r="AC11" s="462">
        <f t="shared" ref="AC11:AC42" si="6">AA11+AB11</f>
        <v>0</v>
      </c>
      <c r="AD11" s="469"/>
      <c r="AE11" s="348">
        <f t="shared" ref="AE11:AE42" si="7">AC11-AD11</f>
        <v>0</v>
      </c>
      <c r="AF11" s="563">
        <f>'12'!AF11+'13'!AB11</f>
        <v>0</v>
      </c>
      <c r="AG11" s="234">
        <f>'12'!AG11+'13'!AD11</f>
        <v>0</v>
      </c>
      <c r="AI11" s="1031"/>
      <c r="AJ11" s="1032"/>
    </row>
    <row r="12" spans="1:36" ht="27" customHeight="1">
      <c r="A12" s="718"/>
      <c r="B12" s="528"/>
      <c r="C12" s="350"/>
      <c r="D12" s="550"/>
      <c r="F12" s="479" t="str">
        <f>'12'!F12</f>
        <v>ZULFIQAR</v>
      </c>
      <c r="G12" s="406">
        <f>'CUSTOMERS REPORT'!Y181</f>
        <v>0</v>
      </c>
      <c r="H12" s="504">
        <f>'CUSTOMERS REPORT'!Z181</f>
        <v>0</v>
      </c>
      <c r="I12" s="406">
        <f>'CUSTOMERS REPORT'!AA181</f>
        <v>0</v>
      </c>
      <c r="J12" s="498">
        <f>'CUSTOMERS REPORT'!AB181</f>
        <v>0</v>
      </c>
      <c r="K12" s="498">
        <f>'CUSTOMERS REPORT'!AC181</f>
        <v>0</v>
      </c>
      <c r="L12" s="509">
        <f>'CUSTOMERS REPORT'!AD181</f>
        <v>0</v>
      </c>
      <c r="M12" s="414">
        <f>'12'!M12+'13'!G12</f>
        <v>0</v>
      </c>
      <c r="N12" s="412">
        <f>'12'!N12+'13'!J12</f>
        <v>0</v>
      </c>
      <c r="P12" s="433"/>
      <c r="Q12" s="437"/>
      <c r="S12" s="400" t="str">
        <f>'12'!S12</f>
        <v xml:space="preserve">EKKA </v>
      </c>
      <c r="T12" s="446">
        <f>'12'!X12</f>
        <v>0</v>
      </c>
      <c r="U12" s="456"/>
      <c r="V12" s="451">
        <f t="shared" si="4"/>
        <v>0</v>
      </c>
      <c r="W12" s="451"/>
      <c r="X12" s="447">
        <f t="shared" si="5"/>
        <v>0</v>
      </c>
      <c r="Z12" s="375" t="str">
        <f>'12'!Z12</f>
        <v>ZAHEER</v>
      </c>
      <c r="AA12" s="464">
        <f>'12'!AE12</f>
        <v>0</v>
      </c>
      <c r="AB12" s="460"/>
      <c r="AC12" s="462">
        <f t="shared" si="6"/>
        <v>0</v>
      </c>
      <c r="AD12" s="469"/>
      <c r="AE12" s="348">
        <f t="shared" si="7"/>
        <v>0</v>
      </c>
      <c r="AF12" s="563">
        <f>'12'!AF12+'13'!AB12</f>
        <v>0</v>
      </c>
      <c r="AG12" s="234">
        <f>'12'!AG12+'13'!AD12</f>
        <v>0</v>
      </c>
      <c r="AI12" s="1031"/>
      <c r="AJ12" s="1032"/>
    </row>
    <row r="13" spans="1:36" ht="27" customHeight="1">
      <c r="A13" s="718"/>
      <c r="B13" s="528"/>
      <c r="C13" s="350"/>
      <c r="D13" s="550"/>
      <c r="F13" s="479" t="str">
        <f>'12'!F13</f>
        <v>QASIM ORANGI</v>
      </c>
      <c r="G13" s="406">
        <f>'CUSTOMERS REPORT'!Y221</f>
        <v>0</v>
      </c>
      <c r="H13" s="504">
        <f>'CUSTOMERS REPORT'!Z221</f>
        <v>0</v>
      </c>
      <c r="I13" s="406">
        <f>'CUSTOMERS REPORT'!AA221</f>
        <v>0</v>
      </c>
      <c r="J13" s="498">
        <f>'CUSTOMERS REPORT'!AB221</f>
        <v>0</v>
      </c>
      <c r="K13" s="498">
        <f>'CUSTOMERS REPORT'!AC221</f>
        <v>0</v>
      </c>
      <c r="L13" s="509">
        <f>'CUSTOMERS REPORT'!AD221</f>
        <v>0</v>
      </c>
      <c r="M13" s="414">
        <f>'12'!M13+'13'!G13</f>
        <v>0</v>
      </c>
      <c r="N13" s="412">
        <f>'12'!N13+'13'!J13</f>
        <v>0</v>
      </c>
      <c r="P13" s="433"/>
      <c r="Q13" s="437"/>
      <c r="S13" s="400" t="str">
        <f>'12'!S13</f>
        <v>VANILLA</v>
      </c>
      <c r="T13" s="446">
        <f>'12'!X13</f>
        <v>0</v>
      </c>
      <c r="U13" s="456"/>
      <c r="V13" s="451">
        <f t="shared" si="4"/>
        <v>0</v>
      </c>
      <c r="W13" s="451"/>
      <c r="X13" s="447">
        <f t="shared" si="5"/>
        <v>0</v>
      </c>
      <c r="Z13" s="375" t="str">
        <f>'12'!Z13</f>
        <v>FAISAL</v>
      </c>
      <c r="AA13" s="464">
        <f>'12'!AE13</f>
        <v>0</v>
      </c>
      <c r="AB13" s="460"/>
      <c r="AC13" s="462">
        <f t="shared" si="6"/>
        <v>0</v>
      </c>
      <c r="AD13" s="469">
        <v>100000</v>
      </c>
      <c r="AE13" s="348">
        <f t="shared" si="7"/>
        <v>-100000</v>
      </c>
      <c r="AF13" s="563">
        <f>'12'!AF13+'13'!AB13</f>
        <v>0</v>
      </c>
      <c r="AG13" s="234">
        <f>'12'!AG13+'13'!AD13</f>
        <v>100000</v>
      </c>
      <c r="AI13" s="1031"/>
      <c r="AJ13" s="1032"/>
    </row>
    <row r="14" spans="1:36" ht="27" customHeight="1">
      <c r="A14" s="718"/>
      <c r="B14" s="528"/>
      <c r="C14" s="350"/>
      <c r="D14" s="550"/>
      <c r="F14" s="479" t="str">
        <f>'12'!F14</f>
        <v>BADSHAH KHAN HYD</v>
      </c>
      <c r="G14" s="406">
        <f>'CUSTOMERS REPORT'!Y258</f>
        <v>0</v>
      </c>
      <c r="H14" s="504">
        <f>'CUSTOMERS REPORT'!Z258</f>
        <v>0</v>
      </c>
      <c r="I14" s="406">
        <f>'CUSTOMERS REPORT'!AA258</f>
        <v>0</v>
      </c>
      <c r="J14" s="498">
        <f>'CUSTOMERS REPORT'!AB258</f>
        <v>0</v>
      </c>
      <c r="K14" s="498">
        <f>'CUSTOMERS REPORT'!AC258</f>
        <v>0</v>
      </c>
      <c r="L14" s="509">
        <f>'CUSTOMERS REPORT'!AD258</f>
        <v>0</v>
      </c>
      <c r="M14" s="414">
        <f>'12'!M14+'13'!G14</f>
        <v>0</v>
      </c>
      <c r="N14" s="412">
        <f>'12'!N14+'13'!J14</f>
        <v>0</v>
      </c>
      <c r="P14" s="433"/>
      <c r="Q14" s="437"/>
      <c r="S14" s="400" t="str">
        <f>'12'!S14</f>
        <v>COLOUR</v>
      </c>
      <c r="T14" s="446">
        <f>'12'!X14</f>
        <v>0</v>
      </c>
      <c r="U14" s="456"/>
      <c r="V14" s="451">
        <f t="shared" si="4"/>
        <v>0</v>
      </c>
      <c r="W14" s="451"/>
      <c r="X14" s="447">
        <f t="shared" si="5"/>
        <v>0</v>
      </c>
      <c r="Z14" s="375" t="str">
        <f>'12'!Z14</f>
        <v>RANA EKKA</v>
      </c>
      <c r="AA14" s="464">
        <f>'12'!AE14</f>
        <v>0</v>
      </c>
      <c r="AB14" s="460"/>
      <c r="AC14" s="462">
        <f t="shared" si="6"/>
        <v>0</v>
      </c>
      <c r="AD14" s="469"/>
      <c r="AE14" s="348">
        <f t="shared" si="7"/>
        <v>0</v>
      </c>
      <c r="AF14" s="563">
        <f>'12'!AF14+'13'!AB14</f>
        <v>0</v>
      </c>
      <c r="AG14" s="234">
        <f>'12'!AG14+'13'!AD14</f>
        <v>0</v>
      </c>
      <c r="AH14" t="s">
        <v>1</v>
      </c>
      <c r="AI14" s="1031"/>
      <c r="AJ14" s="1032"/>
    </row>
    <row r="15" spans="1:36" ht="27" customHeight="1">
      <c r="A15" s="718"/>
      <c r="B15" s="528"/>
      <c r="C15" s="350"/>
      <c r="D15" s="550"/>
      <c r="F15" s="479" t="str">
        <f>'12'!F15</f>
        <v>SHAMOON</v>
      </c>
      <c r="G15" s="406">
        <f>'CUSTOMERS REPORT'!Y298</f>
        <v>0</v>
      </c>
      <c r="H15" s="504">
        <f>'CUSTOMERS REPORT'!Z298</f>
        <v>0</v>
      </c>
      <c r="I15" s="406">
        <f>'CUSTOMERS REPORT'!AA298</f>
        <v>0</v>
      </c>
      <c r="J15" s="498">
        <f>'CUSTOMERS REPORT'!AB298</f>
        <v>0</v>
      </c>
      <c r="K15" s="498">
        <f>'CUSTOMERS REPORT'!AC298</f>
        <v>0</v>
      </c>
      <c r="L15" s="509">
        <f>'CUSTOMERS REPORT'!AD298</f>
        <v>0</v>
      </c>
      <c r="M15" s="414">
        <f>'12'!M15+'13'!G15</f>
        <v>0</v>
      </c>
      <c r="N15" s="412">
        <f>'12'!N15+'13'!J15</f>
        <v>0</v>
      </c>
      <c r="P15" s="433"/>
      <c r="Q15" s="437"/>
      <c r="S15" s="400" t="str">
        <f>'12'!S15</f>
        <v>TILL</v>
      </c>
      <c r="T15" s="446">
        <f>'12'!X15</f>
        <v>0</v>
      </c>
      <c r="U15" s="456"/>
      <c r="V15" s="451">
        <f t="shared" si="4"/>
        <v>0</v>
      </c>
      <c r="W15" s="451"/>
      <c r="X15" s="447">
        <f t="shared" si="5"/>
        <v>0</v>
      </c>
      <c r="Z15" s="375" t="str">
        <f>'12'!Z15</f>
        <v>sheeba</v>
      </c>
      <c r="AA15" s="464">
        <f>'12'!AE15</f>
        <v>0</v>
      </c>
      <c r="AB15" s="460"/>
      <c r="AC15" s="462">
        <f t="shared" si="6"/>
        <v>0</v>
      </c>
      <c r="AD15" s="469"/>
      <c r="AE15" s="348">
        <f t="shared" si="7"/>
        <v>0</v>
      </c>
      <c r="AF15" s="563">
        <f>'12'!AF15+'13'!AB15</f>
        <v>0</v>
      </c>
      <c r="AG15" s="234">
        <f>'12'!AG15+'13'!AD15</f>
        <v>0</v>
      </c>
      <c r="AI15" s="1031"/>
      <c r="AJ15" s="1032"/>
    </row>
    <row r="16" spans="1:36" ht="27" customHeight="1">
      <c r="A16" s="718"/>
      <c r="B16" s="528"/>
      <c r="C16" s="350"/>
      <c r="D16" s="550"/>
      <c r="F16" s="479" t="str">
        <f>'12'!F16</f>
        <v>MATEEN</v>
      </c>
      <c r="G16" s="406">
        <f>'CUSTOMERS REPORT'!Y339</f>
        <v>0</v>
      </c>
      <c r="H16" s="504">
        <f>'CUSTOMERS REPORT'!Z339</f>
        <v>0</v>
      </c>
      <c r="I16" s="406">
        <f>'CUSTOMERS REPORT'!AA339</f>
        <v>0</v>
      </c>
      <c r="J16" s="498">
        <f>'CUSTOMERS REPORT'!AB339</f>
        <v>0</v>
      </c>
      <c r="K16" s="498">
        <f>'CUSTOMERS REPORT'!AC339</f>
        <v>0</v>
      </c>
      <c r="L16" s="509">
        <f>'CUSTOMERS REPORT'!AD339</f>
        <v>0</v>
      </c>
      <c r="M16" s="414">
        <f>'12'!M16+'13'!G16</f>
        <v>0</v>
      </c>
      <c r="N16" s="412">
        <f>'12'!N16+'13'!J16</f>
        <v>0</v>
      </c>
      <c r="P16" s="433"/>
      <c r="Q16" s="437"/>
      <c r="S16" s="400" t="str">
        <f>'12'!S16</f>
        <v>ILLAICHI</v>
      </c>
      <c r="T16" s="446">
        <f>'12'!X16</f>
        <v>0</v>
      </c>
      <c r="U16" s="456"/>
      <c r="V16" s="451">
        <f t="shared" si="4"/>
        <v>0</v>
      </c>
      <c r="W16" s="451"/>
      <c r="X16" s="447">
        <f t="shared" si="5"/>
        <v>0</v>
      </c>
      <c r="Z16" s="375" t="str">
        <f>'12'!Z16</f>
        <v>COTTON</v>
      </c>
      <c r="AA16" s="464">
        <f>'12'!AE16</f>
        <v>0</v>
      </c>
      <c r="AB16" s="460"/>
      <c r="AC16" s="462">
        <f t="shared" si="6"/>
        <v>0</v>
      </c>
      <c r="AD16" s="469"/>
      <c r="AE16" s="348">
        <f t="shared" si="7"/>
        <v>0</v>
      </c>
      <c r="AF16" s="563">
        <f>'12'!AF16+'13'!AB16</f>
        <v>0</v>
      </c>
      <c r="AG16" s="234">
        <f>'12'!AG16+'13'!AD16</f>
        <v>0</v>
      </c>
      <c r="AI16" s="1031"/>
      <c r="AJ16" s="1032"/>
    </row>
    <row r="17" spans="1:36" ht="27" customHeight="1">
      <c r="A17" s="718"/>
      <c r="B17" s="528"/>
      <c r="C17" s="350"/>
      <c r="D17" s="550"/>
      <c r="F17" s="479" t="str">
        <f>'12'!F17</f>
        <v>AMJAD ORANGI</v>
      </c>
      <c r="G17" s="406">
        <f>'CUSTOMERS REPORT'!Y381</f>
        <v>0</v>
      </c>
      <c r="H17" s="504">
        <f>'CUSTOMERS REPORT'!Z381</f>
        <v>0</v>
      </c>
      <c r="I17" s="406">
        <f>'CUSTOMERS REPORT'!AA381</f>
        <v>0</v>
      </c>
      <c r="J17" s="498">
        <f>'CUSTOMERS REPORT'!AB381</f>
        <v>0</v>
      </c>
      <c r="K17" s="498">
        <f>'CUSTOMERS REPORT'!AC381</f>
        <v>0</v>
      </c>
      <c r="L17" s="509">
        <f>'CUSTOMERS REPORT'!AD381</f>
        <v>0</v>
      </c>
      <c r="M17" s="414">
        <f>'12'!M17+'13'!G17</f>
        <v>0</v>
      </c>
      <c r="N17" s="412">
        <f>'12'!N17+'13'!J17</f>
        <v>0</v>
      </c>
      <c r="P17" s="433"/>
      <c r="Q17" s="437"/>
      <c r="S17" s="400" t="str">
        <f>'12'!S17</f>
        <v>S-THELLI</v>
      </c>
      <c r="T17" s="446">
        <f>'12'!X17</f>
        <v>0</v>
      </c>
      <c r="U17" s="456"/>
      <c r="V17" s="451">
        <f t="shared" si="4"/>
        <v>0</v>
      </c>
      <c r="W17" s="451"/>
      <c r="X17" s="447">
        <f t="shared" si="5"/>
        <v>0</v>
      </c>
      <c r="Z17" s="375" t="str">
        <f>'12'!Z17</f>
        <v>SHAHID UP</v>
      </c>
      <c r="AA17" s="464">
        <f>'12'!AE17</f>
        <v>0</v>
      </c>
      <c r="AB17" s="460"/>
      <c r="AC17" s="462">
        <f t="shared" si="6"/>
        <v>0</v>
      </c>
      <c r="AD17" s="469"/>
      <c r="AE17" s="348">
        <f t="shared" si="7"/>
        <v>0</v>
      </c>
      <c r="AF17" s="563">
        <f>'12'!AF17+'13'!AB17</f>
        <v>0</v>
      </c>
      <c r="AG17" s="234">
        <f>'12'!AG17+'13'!AD17</f>
        <v>0</v>
      </c>
      <c r="AI17" s="1031"/>
      <c r="AJ17" s="1032"/>
    </row>
    <row r="18" spans="1:36" ht="27" customHeight="1">
      <c r="A18" s="718"/>
      <c r="B18" s="528"/>
      <c r="C18" s="350"/>
      <c r="D18" s="550"/>
      <c r="F18" s="479" t="str">
        <f>'12'!F18</f>
        <v>HAFIZ DRIVER</v>
      </c>
      <c r="G18" s="406">
        <f>'CUSTOMERS REPORT'!Y420</f>
        <v>0</v>
      </c>
      <c r="H18" s="504">
        <f>'CUSTOMERS REPORT'!Z420</f>
        <v>0</v>
      </c>
      <c r="I18" s="406">
        <f>'CUSTOMERS REPORT'!AA420</f>
        <v>0</v>
      </c>
      <c r="J18" s="498">
        <f>'CUSTOMERS REPORT'!AB420</f>
        <v>0</v>
      </c>
      <c r="K18" s="498">
        <f>'CUSTOMERS REPORT'!AC420</f>
        <v>0</v>
      </c>
      <c r="L18" s="509">
        <f>'CUSTOMERS REPORT'!AD420</f>
        <v>0</v>
      </c>
      <c r="M18" s="414">
        <f>'12'!M18+'13'!G18</f>
        <v>0</v>
      </c>
      <c r="N18" s="412">
        <f>'12'!N18+'13'!J18</f>
        <v>0</v>
      </c>
      <c r="P18" s="433"/>
      <c r="Q18" s="437"/>
      <c r="S18" s="400" t="str">
        <f>'12'!S18</f>
        <v>P-THELLI</v>
      </c>
      <c r="T18" s="446">
        <f>'12'!X18</f>
        <v>0</v>
      </c>
      <c r="U18" s="456"/>
      <c r="V18" s="451">
        <f t="shared" si="4"/>
        <v>0</v>
      </c>
      <c r="W18" s="451"/>
      <c r="X18" s="447">
        <f t="shared" si="5"/>
        <v>0</v>
      </c>
      <c r="Z18" s="375" t="str">
        <f>'12'!Z18</f>
        <v>SALT</v>
      </c>
      <c r="AA18" s="464">
        <f>'12'!AE18</f>
        <v>0</v>
      </c>
      <c r="AB18" s="460"/>
      <c r="AC18" s="462">
        <f t="shared" si="6"/>
        <v>0</v>
      </c>
      <c r="AD18" s="469"/>
      <c r="AE18" s="348">
        <f t="shared" si="7"/>
        <v>0</v>
      </c>
      <c r="AF18" s="563">
        <f>'12'!AF18+'13'!AB18</f>
        <v>0</v>
      </c>
      <c r="AG18" s="234">
        <f>'12'!AG18+'13'!AD18</f>
        <v>0</v>
      </c>
      <c r="AI18" s="1031"/>
      <c r="AJ18" s="1032"/>
    </row>
    <row r="19" spans="1:36" ht="27" customHeight="1" thickBot="1">
      <c r="A19" s="719"/>
      <c r="B19" s="529"/>
      <c r="C19" s="350"/>
      <c r="D19" s="550"/>
      <c r="F19" s="479" t="str">
        <f>'12'!F19</f>
        <v>GHULAM QUETTA</v>
      </c>
      <c r="G19" s="406">
        <f>'CUSTOMERS REPORT'!Y458</f>
        <v>0</v>
      </c>
      <c r="H19" s="504">
        <f>'CUSTOMERS REPORT'!Z458</f>
        <v>0</v>
      </c>
      <c r="I19" s="406">
        <f>'CUSTOMERS REPORT'!AA458</f>
        <v>0</v>
      </c>
      <c r="J19" s="498">
        <f>'CUSTOMERS REPORT'!AB458</f>
        <v>0</v>
      </c>
      <c r="K19" s="498">
        <f>'CUSTOMERS REPORT'!AC458</f>
        <v>0</v>
      </c>
      <c r="L19" s="509">
        <f>'CUSTOMERS REPORT'!AD458</f>
        <v>0</v>
      </c>
      <c r="M19" s="414">
        <f>'12'!M19+'13'!G19</f>
        <v>0</v>
      </c>
      <c r="N19" s="412">
        <f>'12'!N19+'13'!J19</f>
        <v>0</v>
      </c>
      <c r="P19" s="433"/>
      <c r="Q19" s="437"/>
      <c r="S19" s="400" t="str">
        <f>'12'!S19</f>
        <v>RUBBER</v>
      </c>
      <c r="T19" s="446">
        <f>'12'!X19</f>
        <v>0</v>
      </c>
      <c r="U19" s="456"/>
      <c r="V19" s="451">
        <f t="shared" si="4"/>
        <v>0</v>
      </c>
      <c r="W19" s="451"/>
      <c r="X19" s="447">
        <f t="shared" si="5"/>
        <v>0</v>
      </c>
      <c r="Z19" s="375" t="str">
        <f>'12'!Z19</f>
        <v>NAVEED</v>
      </c>
      <c r="AA19" s="464">
        <f>'12'!AE19</f>
        <v>0</v>
      </c>
      <c r="AB19" s="460"/>
      <c r="AC19" s="462">
        <f t="shared" si="6"/>
        <v>0</v>
      </c>
      <c r="AD19" s="469"/>
      <c r="AE19" s="348">
        <f t="shared" si="7"/>
        <v>0</v>
      </c>
      <c r="AF19" s="563">
        <f>'12'!AF19+'13'!AB19</f>
        <v>0</v>
      </c>
      <c r="AG19" s="234">
        <f>'12'!AG19+'13'!AD19</f>
        <v>0</v>
      </c>
    </row>
    <row r="20" spans="1:36" ht="27" customHeight="1" thickTop="1" thickBot="1">
      <c r="A20" s="719"/>
      <c r="B20" s="529"/>
      <c r="C20" s="350"/>
      <c r="D20" s="550"/>
      <c r="F20" s="479" t="str">
        <f>'12'!F20</f>
        <v>HUSSAN GWADAR</v>
      </c>
      <c r="G20" s="406">
        <f>'CUSTOMERS REPORT'!Y494</f>
        <v>0</v>
      </c>
      <c r="H20" s="504">
        <f>'CUSTOMERS REPORT'!Z494</f>
        <v>0</v>
      </c>
      <c r="I20" s="406">
        <f>'CUSTOMERS REPORT'!AA494</f>
        <v>0</v>
      </c>
      <c r="J20" s="498">
        <f>'CUSTOMERS REPORT'!AB494</f>
        <v>0</v>
      </c>
      <c r="K20" s="498">
        <f>'CUSTOMERS REPORT'!AC494</f>
        <v>0</v>
      </c>
      <c r="L20" s="509">
        <f>'CUSTOMERS REPORT'!AD494</f>
        <v>0</v>
      </c>
      <c r="M20" s="414">
        <f>'12'!M20+'13'!G20</f>
        <v>0</v>
      </c>
      <c r="N20" s="412">
        <f>'12'!N20+'13'!J20</f>
        <v>0</v>
      </c>
      <c r="P20" s="433"/>
      <c r="Q20" s="437"/>
      <c r="S20" s="400" t="str">
        <f>'12'!S20</f>
        <v>SALT</v>
      </c>
      <c r="T20" s="446">
        <f>'12'!X20</f>
        <v>0</v>
      </c>
      <c r="U20" s="456"/>
      <c r="V20" s="451">
        <f t="shared" ref="V20:V26" si="8">SUM(T20:U20)</f>
        <v>0</v>
      </c>
      <c r="W20" s="451"/>
      <c r="X20" s="447">
        <f t="shared" ref="X20:X26" si="9">V20-W20</f>
        <v>0</v>
      </c>
      <c r="Z20" s="375" t="str">
        <f>'12'!Z20</f>
        <v>YOUSUF BHAI</v>
      </c>
      <c r="AA20" s="464">
        <f>'12'!AE20</f>
        <v>0</v>
      </c>
      <c r="AB20" s="460">
        <v>118500</v>
      </c>
      <c r="AC20" s="462">
        <f t="shared" si="6"/>
        <v>118500</v>
      </c>
      <c r="AD20" s="469"/>
      <c r="AE20" s="348">
        <f t="shared" si="7"/>
        <v>118500</v>
      </c>
      <c r="AF20" s="563">
        <f>'12'!AF20+'13'!AB20</f>
        <v>118500</v>
      </c>
      <c r="AG20" s="234">
        <f>'12'!AG20+'13'!AD20</f>
        <v>0</v>
      </c>
      <c r="AI20" s="1487" t="s">
        <v>132</v>
      </c>
      <c r="AJ20" s="1488"/>
    </row>
    <row r="21" spans="1:36" ht="27" customHeight="1" thickTop="1" thickBot="1">
      <c r="A21" s="720"/>
      <c r="B21" s="530"/>
      <c r="C21" s="531"/>
      <c r="D21" s="553"/>
      <c r="F21" s="479" t="str">
        <f>'12'!F21</f>
        <v>AQASH S KOT</v>
      </c>
      <c r="G21" s="406">
        <f>'CUSTOMERS REPORT'!Y531</f>
        <v>0</v>
      </c>
      <c r="H21" s="504">
        <f>'CUSTOMERS REPORT'!Z531</f>
        <v>0</v>
      </c>
      <c r="I21" s="406">
        <f>'CUSTOMERS REPORT'!AA531</f>
        <v>0</v>
      </c>
      <c r="J21" s="498">
        <f>'CUSTOMERS REPORT'!AB531</f>
        <v>0</v>
      </c>
      <c r="K21" s="498">
        <f>'CUSTOMERS REPORT'!AC531</f>
        <v>0</v>
      </c>
      <c r="L21" s="509">
        <f>'CUSTOMERS REPORT'!AD531</f>
        <v>0</v>
      </c>
      <c r="M21" s="414">
        <f>'12'!M21+'13'!G21</f>
        <v>0</v>
      </c>
      <c r="N21" s="412">
        <f>'12'!N21+'13'!J21</f>
        <v>0</v>
      </c>
      <c r="P21" s="433"/>
      <c r="Q21" s="435"/>
      <c r="S21" s="400" t="str">
        <f>'12'!S21</f>
        <v>TAPE</v>
      </c>
      <c r="T21" s="446">
        <f>'12'!X21</f>
        <v>0</v>
      </c>
      <c r="U21" s="456"/>
      <c r="V21" s="451">
        <f t="shared" si="8"/>
        <v>0</v>
      </c>
      <c r="W21" s="451"/>
      <c r="X21" s="447">
        <f t="shared" si="9"/>
        <v>0</v>
      </c>
      <c r="Z21" s="375" t="str">
        <f>'12'!Z21</f>
        <v>SULEMAN  PRINT</v>
      </c>
      <c r="AA21" s="464">
        <f>'12'!AE21</f>
        <v>0</v>
      </c>
      <c r="AB21" s="460"/>
      <c r="AC21" s="462">
        <f t="shared" si="6"/>
        <v>0</v>
      </c>
      <c r="AD21" s="469"/>
      <c r="AE21" s="348">
        <f t="shared" si="7"/>
        <v>0</v>
      </c>
      <c r="AF21" s="563">
        <f>'12'!AF21+'13'!AB21</f>
        <v>0</v>
      </c>
      <c r="AG21" s="234">
        <f>'12'!AG21+'13'!AD21</f>
        <v>0</v>
      </c>
      <c r="AI21" s="391" t="s">
        <v>126</v>
      </c>
      <c r="AJ21" s="392">
        <f>'12'!AJ23</f>
        <v>0</v>
      </c>
    </row>
    <row r="22" spans="1:36" ht="27" customHeight="1" thickTop="1" thickBot="1">
      <c r="A22" s="486" t="s">
        <v>74</v>
      </c>
      <c r="B22" s="533">
        <f>SUM(B8:B21)</f>
        <v>0</v>
      </c>
      <c r="C22" s="534">
        <f>'12'!D22</f>
        <v>0</v>
      </c>
      <c r="D22" s="535">
        <f t="shared" ref="D22" si="10">B22+C22</f>
        <v>0</v>
      </c>
      <c r="F22" s="479" t="str">
        <f>'12'!F22</f>
        <v>SALEEM T JAM</v>
      </c>
      <c r="G22" s="406">
        <f>'CUSTOMERS REPORT'!Y569</f>
        <v>0</v>
      </c>
      <c r="H22" s="504">
        <f>'CUSTOMERS REPORT'!Z569</f>
        <v>0</v>
      </c>
      <c r="I22" s="406">
        <f>'CUSTOMERS REPORT'!AA569</f>
        <v>0</v>
      </c>
      <c r="J22" s="498">
        <f>'CUSTOMERS REPORT'!AB569</f>
        <v>0</v>
      </c>
      <c r="K22" s="498">
        <f>'CUSTOMERS REPORT'!AC569</f>
        <v>0</v>
      </c>
      <c r="L22" s="509">
        <f>'CUSTOMERS REPORT'!AD569</f>
        <v>0</v>
      </c>
      <c r="M22" s="414">
        <f>'12'!M22+'13'!G22</f>
        <v>0</v>
      </c>
      <c r="N22" s="412">
        <f>'12'!N22+'13'!J22</f>
        <v>0</v>
      </c>
      <c r="P22" s="433"/>
      <c r="Q22" s="438"/>
      <c r="S22" s="400" t="str">
        <f>'12'!S22</f>
        <v>COTTON</v>
      </c>
      <c r="T22" s="446">
        <f>'12'!X22</f>
        <v>0</v>
      </c>
      <c r="U22" s="456"/>
      <c r="V22" s="451">
        <f t="shared" si="8"/>
        <v>0</v>
      </c>
      <c r="W22" s="451"/>
      <c r="X22" s="447">
        <f t="shared" si="9"/>
        <v>0</v>
      </c>
      <c r="Z22" s="375" t="str">
        <f>'12'!Z22</f>
        <v>IRFAN VANILA</v>
      </c>
      <c r="AA22" s="464">
        <f>'12'!AE22</f>
        <v>0</v>
      </c>
      <c r="AB22" s="460"/>
      <c r="AC22" s="462">
        <f t="shared" si="6"/>
        <v>0</v>
      </c>
      <c r="AD22" s="469"/>
      <c r="AE22" s="348">
        <f t="shared" si="7"/>
        <v>0</v>
      </c>
      <c r="AF22" s="563">
        <f>'12'!AF22+'13'!AB22</f>
        <v>0</v>
      </c>
      <c r="AG22" s="234">
        <f>'12'!AG22+'13'!AD22</f>
        <v>0</v>
      </c>
      <c r="AI22" s="393">
        <f>R56</f>
        <v>0</v>
      </c>
      <c r="AJ22" s="394">
        <f>R56*1800</f>
        <v>0</v>
      </c>
    </row>
    <row r="23" spans="1:36" ht="27" customHeight="1" thickTop="1" thickBot="1">
      <c r="A23" s="715" t="str">
        <f>'12'!A23</f>
        <v>OFFICE FOOD</v>
      </c>
      <c r="B23" s="462"/>
      <c r="C23" s="536">
        <f>'12'!D23</f>
        <v>0</v>
      </c>
      <c r="D23" s="537">
        <f t="shared" ref="D23:D48" si="11">B23+C23</f>
        <v>0</v>
      </c>
      <c r="F23" s="479" t="str">
        <f>'12'!F23</f>
        <v>JAMSHAD BADEEN</v>
      </c>
      <c r="G23" s="406">
        <f>'CUSTOMERS REPORT'!Y605</f>
        <v>0</v>
      </c>
      <c r="H23" s="504">
        <f>'CUSTOMERS REPORT'!Z605</f>
        <v>0</v>
      </c>
      <c r="I23" s="406">
        <f>'CUSTOMERS REPORT'!AA605</f>
        <v>0</v>
      </c>
      <c r="J23" s="498">
        <f>'CUSTOMERS REPORT'!AB605</f>
        <v>0</v>
      </c>
      <c r="K23" s="498">
        <f>'CUSTOMERS REPORT'!AC605</f>
        <v>0</v>
      </c>
      <c r="L23" s="509">
        <f>'CUSTOMERS REPORT'!AD605</f>
        <v>0</v>
      </c>
      <c r="M23" s="414">
        <f>'12'!M23+'13'!G23</f>
        <v>0</v>
      </c>
      <c r="N23" s="412">
        <f>'12'!N23+'13'!J23</f>
        <v>0</v>
      </c>
      <c r="P23" s="190" t="s">
        <v>48</v>
      </c>
      <c r="Q23" s="439">
        <f>SUM(Q8:Q22)</f>
        <v>0</v>
      </c>
      <c r="S23" s="400" t="str">
        <f>'12'!S23</f>
        <v>WHITE 6</v>
      </c>
      <c r="T23" s="446">
        <f>'12'!X23</f>
        <v>0</v>
      </c>
      <c r="U23" s="456"/>
      <c r="V23" s="451">
        <f t="shared" si="8"/>
        <v>0</v>
      </c>
      <c r="W23" s="451"/>
      <c r="X23" s="447">
        <f t="shared" si="9"/>
        <v>0</v>
      </c>
      <c r="Z23" s="375" t="str">
        <f>'12'!Z23</f>
        <v>IRANI GHEE</v>
      </c>
      <c r="AA23" s="464">
        <f>'12'!AE23</f>
        <v>0</v>
      </c>
      <c r="AB23" s="460"/>
      <c r="AC23" s="462">
        <f t="shared" si="6"/>
        <v>0</v>
      </c>
      <c r="AD23" s="469"/>
      <c r="AE23" s="348">
        <f t="shared" si="7"/>
        <v>0</v>
      </c>
      <c r="AF23" s="563">
        <f>'12'!AF23+'13'!AB23</f>
        <v>0</v>
      </c>
      <c r="AG23" s="234">
        <f>'12'!AG23+'13'!AD23</f>
        <v>0</v>
      </c>
      <c r="AI23" s="395" t="s">
        <v>74</v>
      </c>
      <c r="AJ23" s="396">
        <f>AJ21+AJ22</f>
        <v>0</v>
      </c>
    </row>
    <row r="24" spans="1:36" ht="27" customHeight="1" thickTop="1" thickBot="1">
      <c r="A24" s="715" t="str">
        <f>'12'!A24</f>
        <v>LABOUR FOOD EXP</v>
      </c>
      <c r="B24" s="234"/>
      <c r="C24" s="348">
        <f>'12'!D24</f>
        <v>0</v>
      </c>
      <c r="D24" s="234">
        <f t="shared" si="11"/>
        <v>0</v>
      </c>
      <c r="F24" s="479" t="str">
        <f>'12'!F24</f>
        <v>SARFAZ MP</v>
      </c>
      <c r="G24" s="406">
        <f>'CUSTOMERS REPORT'!Y643</f>
        <v>0</v>
      </c>
      <c r="H24" s="504">
        <f>'CUSTOMERS REPORT'!Z643</f>
        <v>0</v>
      </c>
      <c r="I24" s="406">
        <f>'CUSTOMERS REPORT'!AA643</f>
        <v>0</v>
      </c>
      <c r="J24" s="498">
        <f>'CUSTOMERS REPORT'!AB643</f>
        <v>0</v>
      </c>
      <c r="K24" s="498">
        <f>'CUSTOMERS REPORT'!AC643</f>
        <v>0</v>
      </c>
      <c r="L24" s="509">
        <f>'CUSTOMERS REPORT'!AD643</f>
        <v>0</v>
      </c>
      <c r="M24" s="414">
        <f>'12'!M24+'13'!G24</f>
        <v>0</v>
      </c>
      <c r="N24" s="412">
        <f>'12'!N24+'13'!J24</f>
        <v>0</v>
      </c>
      <c r="P24" s="1514" t="s">
        <v>137</v>
      </c>
      <c r="Q24" s="1514"/>
      <c r="R24" t="s">
        <v>1</v>
      </c>
      <c r="S24" s="400" t="str">
        <f>'12'!S24</f>
        <v>ORANGE</v>
      </c>
      <c r="T24" s="446">
        <f>'12'!X24</f>
        <v>0</v>
      </c>
      <c r="U24" s="456"/>
      <c r="V24" s="451">
        <f t="shared" si="8"/>
        <v>0</v>
      </c>
      <c r="W24" s="451"/>
      <c r="X24" s="447">
        <f t="shared" si="9"/>
        <v>0</v>
      </c>
      <c r="Z24" s="375">
        <f>'12'!Z24</f>
        <v>0</v>
      </c>
      <c r="AA24" s="464">
        <f>'12'!AE24</f>
        <v>0</v>
      </c>
      <c r="AB24" s="460"/>
      <c r="AC24" s="462">
        <f t="shared" si="6"/>
        <v>0</v>
      </c>
      <c r="AD24" s="469"/>
      <c r="AE24" s="348">
        <f t="shared" si="7"/>
        <v>0</v>
      </c>
      <c r="AF24" s="563">
        <f>'12'!AF24+'13'!AB24</f>
        <v>0</v>
      </c>
      <c r="AG24" s="234">
        <f>'12'!AG24+'13'!AD24</f>
        <v>0</v>
      </c>
    </row>
    <row r="25" spans="1:36" ht="27" customHeight="1" thickTop="1" thickBot="1">
      <c r="A25" s="715" t="str">
        <f>'12'!A25</f>
        <v>OFFICE SALARY</v>
      </c>
      <c r="B25" s="234"/>
      <c r="C25" s="348">
        <f>'12'!D25</f>
        <v>0</v>
      </c>
      <c r="D25" s="234">
        <f t="shared" si="11"/>
        <v>0</v>
      </c>
      <c r="F25" s="479" t="str">
        <f>'12'!F25</f>
        <v>AFZAL MATLI</v>
      </c>
      <c r="G25" s="406">
        <f>'CUSTOMERS REPORT'!Y681</f>
        <v>0</v>
      </c>
      <c r="H25" s="504">
        <f>'CUSTOMERS REPORT'!Z681</f>
        <v>0</v>
      </c>
      <c r="I25" s="406">
        <f>'CUSTOMERS REPORT'!AA681</f>
        <v>0</v>
      </c>
      <c r="J25" s="498">
        <f>'CUSTOMERS REPORT'!AB681</f>
        <v>0</v>
      </c>
      <c r="K25" s="498">
        <f>'CUSTOMERS REPORT'!AC681</f>
        <v>0</v>
      </c>
      <c r="L25" s="509">
        <f>'CUSTOMERS REPORT'!AD681</f>
        <v>0</v>
      </c>
      <c r="M25" s="414">
        <f>'12'!M25+'13'!G25</f>
        <v>0</v>
      </c>
      <c r="N25" s="412">
        <f>'12'!N25+'13'!J25</f>
        <v>0</v>
      </c>
      <c r="P25" s="434"/>
      <c r="Q25" s="440"/>
      <c r="S25" s="400" t="str">
        <f>'12'!S25</f>
        <v>MAKKI 7</v>
      </c>
      <c r="T25" s="446">
        <f>'12'!X25</f>
        <v>0</v>
      </c>
      <c r="U25" s="456"/>
      <c r="V25" s="451">
        <f t="shared" si="8"/>
        <v>0</v>
      </c>
      <c r="W25" s="451"/>
      <c r="X25" s="447">
        <f t="shared" si="9"/>
        <v>0</v>
      </c>
      <c r="Z25" s="375">
        <f>'12'!Z25</f>
        <v>0</v>
      </c>
      <c r="AA25" s="464">
        <f>'12'!AE25</f>
        <v>0</v>
      </c>
      <c r="AB25" s="460"/>
      <c r="AC25" s="462">
        <f t="shared" si="6"/>
        <v>0</v>
      </c>
      <c r="AD25" s="469"/>
      <c r="AE25" s="348">
        <f t="shared" si="7"/>
        <v>0</v>
      </c>
      <c r="AF25" s="563">
        <f>'12'!AF25+'13'!AB25</f>
        <v>0</v>
      </c>
      <c r="AG25" s="234">
        <f>'12'!AG25+'13'!AD25</f>
        <v>0</v>
      </c>
      <c r="AI25" s="397" t="s">
        <v>59</v>
      </c>
      <c r="AJ25" s="398">
        <f>AJ23-AJ10</f>
        <v>0</v>
      </c>
    </row>
    <row r="26" spans="1:36" ht="27" customHeight="1" thickTop="1">
      <c r="A26" s="715" t="str">
        <f>'12'!A26</f>
        <v>LABOUR SALARY</v>
      </c>
      <c r="B26" s="234">
        <f>SUM('SALERY SHEET'!AB97:AC97)</f>
        <v>0</v>
      </c>
      <c r="C26" s="348">
        <f>'12'!D26</f>
        <v>0</v>
      </c>
      <c r="D26" s="234">
        <f t="shared" si="11"/>
        <v>0</v>
      </c>
      <c r="F26" s="479" t="str">
        <f>'12'!F26</f>
        <v xml:space="preserve">ABDUL RASHEED </v>
      </c>
      <c r="G26" s="406">
        <f>'CUSTOMERS REPORT'!Y719</f>
        <v>0</v>
      </c>
      <c r="H26" s="504">
        <f>'CUSTOMERS REPORT'!Z719</f>
        <v>0</v>
      </c>
      <c r="I26" s="406">
        <f>'CUSTOMERS REPORT'!AA719</f>
        <v>0</v>
      </c>
      <c r="J26" s="498">
        <f>'CUSTOMERS REPORT'!AB719</f>
        <v>0</v>
      </c>
      <c r="K26" s="498">
        <f>'CUSTOMERS REPORT'!AC719</f>
        <v>0</v>
      </c>
      <c r="L26" s="509">
        <f>'CUSTOMERS REPORT'!AD719</f>
        <v>0</v>
      </c>
      <c r="M26" s="414">
        <f>'12'!M26+'13'!G26</f>
        <v>0</v>
      </c>
      <c r="N26" s="412">
        <f>'12'!N26+'13'!J26</f>
        <v>0</v>
      </c>
      <c r="P26" s="433"/>
      <c r="Q26" s="438"/>
      <c r="R26" t="s">
        <v>1</v>
      </c>
      <c r="S26" s="400" t="str">
        <f>'12'!S26</f>
        <v>BLUE 125 GM</v>
      </c>
      <c r="T26" s="446">
        <f>'12'!X26</f>
        <v>0</v>
      </c>
      <c r="U26" s="456"/>
      <c r="V26" s="451">
        <f t="shared" si="8"/>
        <v>0</v>
      </c>
      <c r="W26" s="451"/>
      <c r="X26" s="447">
        <f t="shared" si="9"/>
        <v>0</v>
      </c>
      <c r="Z26" s="375">
        <f>'12'!Z26</f>
        <v>0</v>
      </c>
      <c r="AA26" s="464">
        <f>'12'!AE26</f>
        <v>0</v>
      </c>
      <c r="AB26" s="460"/>
      <c r="AC26" s="462">
        <f t="shared" si="6"/>
        <v>0</v>
      </c>
      <c r="AD26" s="469"/>
      <c r="AE26" s="348">
        <f t="shared" si="7"/>
        <v>0</v>
      </c>
      <c r="AF26" s="563">
        <f>'12'!AF26+'13'!AB26</f>
        <v>0</v>
      </c>
      <c r="AG26" s="234">
        <f>'12'!AG26+'13'!AD26</f>
        <v>0</v>
      </c>
    </row>
    <row r="27" spans="1:36" ht="27" customHeight="1">
      <c r="A27" s="715" t="str">
        <f>'12'!A27</f>
        <v>SHAHZORE</v>
      </c>
      <c r="B27" s="234"/>
      <c r="C27" s="348">
        <f>'12'!D27</f>
        <v>0</v>
      </c>
      <c r="D27" s="234">
        <f t="shared" si="11"/>
        <v>0</v>
      </c>
      <c r="F27" s="479" t="str">
        <f>'12'!F27</f>
        <v>SALEEM ORANGI</v>
      </c>
      <c r="G27" s="406">
        <f>'CUSTOMERS REPORT'!Y757</f>
        <v>0</v>
      </c>
      <c r="H27" s="504">
        <f>'CUSTOMERS REPORT'!Z757</f>
        <v>0</v>
      </c>
      <c r="I27" s="406">
        <f>'CUSTOMERS REPORT'!AA757</f>
        <v>0</v>
      </c>
      <c r="J27" s="498">
        <f>'CUSTOMERS REPORT'!AB757</f>
        <v>0</v>
      </c>
      <c r="K27" s="498">
        <f>'CUSTOMERS REPORT'!AC757</f>
        <v>0</v>
      </c>
      <c r="L27" s="509">
        <f>'CUSTOMERS REPORT'!AD757</f>
        <v>0</v>
      </c>
      <c r="M27" s="414">
        <f>'12'!M27+'13'!G27</f>
        <v>0</v>
      </c>
      <c r="N27" s="412">
        <f>'12'!N27+'13'!J27</f>
        <v>0</v>
      </c>
      <c r="P27" s="433"/>
      <c r="Q27" s="435"/>
      <c r="R27" t="s">
        <v>1</v>
      </c>
      <c r="S27" s="400" t="str">
        <f>'12'!S27</f>
        <v>MAKKI 5</v>
      </c>
      <c r="T27" s="446">
        <f>'12'!X27</f>
        <v>0</v>
      </c>
      <c r="U27" s="456"/>
      <c r="V27" s="451">
        <f t="shared" si="0"/>
        <v>0</v>
      </c>
      <c r="W27" s="451"/>
      <c r="X27" s="447">
        <f t="shared" si="1"/>
        <v>0</v>
      </c>
      <c r="Z27" s="375">
        <f>'12'!Z27</f>
        <v>0</v>
      </c>
      <c r="AA27" s="464">
        <f>'12'!AE27</f>
        <v>0</v>
      </c>
      <c r="AB27" s="460"/>
      <c r="AC27" s="462">
        <f t="shared" si="6"/>
        <v>0</v>
      </c>
      <c r="AD27" s="469"/>
      <c r="AE27" s="348">
        <f t="shared" si="7"/>
        <v>0</v>
      </c>
      <c r="AF27" s="563">
        <f>'12'!AF27+'13'!AB27</f>
        <v>0</v>
      </c>
      <c r="AG27" s="234">
        <f>'12'!AG27+'13'!AD27</f>
        <v>0</v>
      </c>
    </row>
    <row r="28" spans="1:36" ht="27" customHeight="1">
      <c r="A28" s="715" t="str">
        <f>'12'!A28</f>
        <v>GENERATOR</v>
      </c>
      <c r="B28" s="234"/>
      <c r="C28" s="348">
        <f>'12'!D28</f>
        <v>0</v>
      </c>
      <c r="D28" s="234">
        <f t="shared" si="11"/>
        <v>0</v>
      </c>
      <c r="F28" s="479" t="str">
        <f>'12'!F28</f>
        <v>AYAZ OUSTA</v>
      </c>
      <c r="G28" s="406">
        <f>'CUSTOMERS REPORT'!Y795</f>
        <v>0</v>
      </c>
      <c r="H28" s="504">
        <f>'CUSTOMERS REPORT'!Z795</f>
        <v>0</v>
      </c>
      <c r="I28" s="406">
        <f>'CUSTOMERS REPORT'!AA795</f>
        <v>0</v>
      </c>
      <c r="J28" s="498">
        <f>'CUSTOMERS REPORT'!AB795</f>
        <v>0</v>
      </c>
      <c r="K28" s="498">
        <f>'CUSTOMERS REPORT'!AC795</f>
        <v>0</v>
      </c>
      <c r="L28" s="509">
        <f>'CUSTOMERS REPORT'!AD795</f>
        <v>0</v>
      </c>
      <c r="M28" s="414">
        <f>'12'!M28+'13'!G28</f>
        <v>0</v>
      </c>
      <c r="N28" s="412">
        <f>'12'!N28+'13'!J28</f>
        <v>0</v>
      </c>
      <c r="P28" s="433"/>
      <c r="Q28" s="438"/>
      <c r="S28" s="400" t="str">
        <f>'12'!S28</f>
        <v>MAKKI 2 PES</v>
      </c>
      <c r="T28" s="446">
        <f>'12'!X28</f>
        <v>0</v>
      </c>
      <c r="U28" s="456"/>
      <c r="V28" s="451">
        <f t="shared" si="0"/>
        <v>0</v>
      </c>
      <c r="W28" s="451"/>
      <c r="X28" s="447">
        <f t="shared" si="1"/>
        <v>0</v>
      </c>
      <c r="Z28" s="375">
        <f>'12'!Z28</f>
        <v>0</v>
      </c>
      <c r="AA28" s="464">
        <f>'12'!AE28</f>
        <v>0</v>
      </c>
      <c r="AB28" s="460"/>
      <c r="AC28" s="462">
        <f t="shared" si="6"/>
        <v>0</v>
      </c>
      <c r="AD28" s="469"/>
      <c r="AE28" s="348">
        <f t="shared" si="7"/>
        <v>0</v>
      </c>
      <c r="AF28" s="563">
        <f>'12'!AF28+'13'!AB28</f>
        <v>0</v>
      </c>
      <c r="AG28" s="234">
        <f>'12'!AG28+'13'!AD28</f>
        <v>0</v>
      </c>
    </row>
    <row r="29" spans="1:36" ht="27" customHeight="1">
      <c r="A29" s="715" t="str">
        <f>'12'!A29</f>
        <v>PATROL FAW</v>
      </c>
      <c r="B29" s="234"/>
      <c r="C29" s="348">
        <f>'12'!D29</f>
        <v>0</v>
      </c>
      <c r="D29" s="234">
        <f t="shared" si="11"/>
        <v>0</v>
      </c>
      <c r="F29" s="479" t="str">
        <f>'12'!F29</f>
        <v>AZHAR BADEEN</v>
      </c>
      <c r="G29" s="406">
        <f>'CUSTOMERS REPORT'!Y833</f>
        <v>0</v>
      </c>
      <c r="H29" s="504">
        <f>'CUSTOMERS REPORT'!Z833</f>
        <v>0</v>
      </c>
      <c r="I29" s="406">
        <f>'CUSTOMERS REPORT'!AA833</f>
        <v>0</v>
      </c>
      <c r="J29" s="498">
        <f>'CUSTOMERS REPORT'!AB833</f>
        <v>0</v>
      </c>
      <c r="K29" s="498">
        <f>'CUSTOMERS REPORT'!AC833</f>
        <v>0</v>
      </c>
      <c r="L29" s="509">
        <f>'CUSTOMERS REPORT'!AD833</f>
        <v>0</v>
      </c>
      <c r="M29" s="414">
        <f>'12'!M29+'13'!G29</f>
        <v>0</v>
      </c>
      <c r="N29" s="412">
        <f>'12'!N29+'13'!J29</f>
        <v>0</v>
      </c>
      <c r="P29" s="433"/>
      <c r="Q29" s="441"/>
      <c r="S29" s="400" t="str">
        <f>'12'!S29</f>
        <v xml:space="preserve">PRIME </v>
      </c>
      <c r="T29" s="446">
        <f>'12'!X29</f>
        <v>0</v>
      </c>
      <c r="U29" s="456"/>
      <c r="V29" s="451">
        <f t="shared" si="0"/>
        <v>0</v>
      </c>
      <c r="W29" s="451"/>
      <c r="X29" s="447">
        <f t="shared" si="1"/>
        <v>0</v>
      </c>
      <c r="Z29" s="375">
        <f>'12'!Z29</f>
        <v>0</v>
      </c>
      <c r="AA29" s="464">
        <f>'12'!AE29</f>
        <v>0</v>
      </c>
      <c r="AB29" s="460"/>
      <c r="AC29" s="462">
        <f t="shared" si="6"/>
        <v>0</v>
      </c>
      <c r="AD29" s="469"/>
      <c r="AE29" s="348">
        <f t="shared" si="7"/>
        <v>0</v>
      </c>
      <c r="AF29" s="563">
        <f>'12'!AF29+'13'!AB29</f>
        <v>0</v>
      </c>
      <c r="AG29" s="234">
        <f>'12'!AG29+'13'!AD29</f>
        <v>0</v>
      </c>
    </row>
    <row r="30" spans="1:36" ht="27" customHeight="1">
      <c r="A30" s="715" t="str">
        <f>'12'!A30</f>
        <v>FOTON DIESEL</v>
      </c>
      <c r="B30" s="234"/>
      <c r="C30" s="348">
        <f>'12'!D30</f>
        <v>0</v>
      </c>
      <c r="D30" s="234">
        <f t="shared" si="11"/>
        <v>0</v>
      </c>
      <c r="F30" s="479" t="str">
        <f>'12'!F30</f>
        <v>FAISAL HUB</v>
      </c>
      <c r="G30" s="406">
        <f>'CUSTOMERS REPORT'!Y871</f>
        <v>0</v>
      </c>
      <c r="H30" s="504">
        <f>'CUSTOMERS REPORT'!Z871</f>
        <v>0</v>
      </c>
      <c r="I30" s="406">
        <f>'CUSTOMERS REPORT'!AA871</f>
        <v>0</v>
      </c>
      <c r="J30" s="498">
        <f>'CUSTOMERS REPORT'!AB871</f>
        <v>0</v>
      </c>
      <c r="K30" s="498">
        <f>'CUSTOMERS REPORT'!AC871</f>
        <v>0</v>
      </c>
      <c r="L30" s="509">
        <f>'CUSTOMERS REPORT'!AD871</f>
        <v>0</v>
      </c>
      <c r="M30" s="414">
        <f>'12'!M30+'13'!G30</f>
        <v>0</v>
      </c>
      <c r="N30" s="412">
        <f>'12'!N30+'13'!J30</f>
        <v>0</v>
      </c>
      <c r="P30" s="433"/>
      <c r="Q30" s="442"/>
      <c r="S30" s="400" t="str">
        <f>'12'!S30</f>
        <v>PRIMR 15</v>
      </c>
      <c r="T30" s="446">
        <f>'12'!X30</f>
        <v>0</v>
      </c>
      <c r="U30" s="456"/>
      <c r="V30" s="451">
        <f t="shared" si="0"/>
        <v>0</v>
      </c>
      <c r="W30" s="451"/>
      <c r="X30" s="447">
        <f t="shared" si="1"/>
        <v>0</v>
      </c>
      <c r="Z30" s="375">
        <f>'12'!Z30</f>
        <v>0</v>
      </c>
      <c r="AA30" s="464">
        <f>'12'!AE30</f>
        <v>0</v>
      </c>
      <c r="AB30" s="460"/>
      <c r="AC30" s="462">
        <f t="shared" si="6"/>
        <v>0</v>
      </c>
      <c r="AD30" s="469"/>
      <c r="AE30" s="348">
        <f t="shared" si="7"/>
        <v>0</v>
      </c>
      <c r="AF30" s="563">
        <f>'12'!AF30+'13'!AB30</f>
        <v>0</v>
      </c>
      <c r="AG30" s="234">
        <f>'12'!AG30+'13'!AD30</f>
        <v>0</v>
      </c>
    </row>
    <row r="31" spans="1:36" ht="27" customHeight="1" thickBot="1">
      <c r="A31" s="715" t="str">
        <f>'12'!A31</f>
        <v>UTILITY BILLS</v>
      </c>
      <c r="B31" s="234"/>
      <c r="C31" s="348">
        <f>'12'!D31</f>
        <v>0</v>
      </c>
      <c r="D31" s="234">
        <f t="shared" si="11"/>
        <v>0</v>
      </c>
      <c r="F31" s="479" t="str">
        <f>'12'!F31</f>
        <v>ABDUL RAHMAN</v>
      </c>
      <c r="G31" s="406">
        <f>'CUSTOMERS REPORT'!Y910</f>
        <v>0</v>
      </c>
      <c r="H31" s="504">
        <f>'CUSTOMERS REPORT'!Z910</f>
        <v>0</v>
      </c>
      <c r="I31" s="406">
        <f>'CUSTOMERS REPORT'!AA910</f>
        <v>0</v>
      </c>
      <c r="J31" s="498">
        <f>'CUSTOMERS REPORT'!AB910</f>
        <v>0</v>
      </c>
      <c r="K31" s="498">
        <f>'CUSTOMERS REPORT'!AC910</f>
        <v>0</v>
      </c>
      <c r="L31" s="509">
        <f>'CUSTOMERS REPORT'!AD910</f>
        <v>0</v>
      </c>
      <c r="M31" s="414">
        <f>'12'!M31+'13'!G31</f>
        <v>0</v>
      </c>
      <c r="N31" s="412">
        <f>'12'!N31+'13'!J31</f>
        <v>0</v>
      </c>
      <c r="P31" s="433"/>
      <c r="Q31" s="435"/>
      <c r="S31" s="400" t="str">
        <f>'12'!S31</f>
        <v>KARACHI</v>
      </c>
      <c r="T31" s="446">
        <f>'12'!X31</f>
        <v>0</v>
      </c>
      <c r="U31" s="456"/>
      <c r="V31" s="451">
        <f t="shared" si="0"/>
        <v>0</v>
      </c>
      <c r="W31" s="451"/>
      <c r="X31" s="447">
        <f t="shared" si="1"/>
        <v>0</v>
      </c>
      <c r="Z31" s="375">
        <f>'12'!Z31</f>
        <v>0</v>
      </c>
      <c r="AA31" s="464">
        <f>'12'!AE31</f>
        <v>0</v>
      </c>
      <c r="AB31" s="460"/>
      <c r="AC31" s="462">
        <f t="shared" si="6"/>
        <v>0</v>
      </c>
      <c r="AD31" s="469"/>
      <c r="AE31" s="348">
        <f t="shared" si="7"/>
        <v>0</v>
      </c>
      <c r="AF31" s="563">
        <f>'12'!AF31+'13'!AB31</f>
        <v>0</v>
      </c>
      <c r="AG31" s="234">
        <f>'12'!AG31+'13'!AD31</f>
        <v>0</v>
      </c>
      <c r="AI31" t="s">
        <v>1</v>
      </c>
    </row>
    <row r="32" spans="1:36" ht="27" customHeight="1" thickTop="1" thickBot="1">
      <c r="A32" s="715" t="str">
        <f>'12'!A32</f>
        <v>WOOD</v>
      </c>
      <c r="B32" s="234"/>
      <c r="C32" s="348">
        <f>'12'!D32</f>
        <v>0</v>
      </c>
      <c r="D32" s="234">
        <f t="shared" si="11"/>
        <v>0</v>
      </c>
      <c r="F32" s="479" t="str">
        <f>'12'!F32</f>
        <v>HAJI JAN GIWANI</v>
      </c>
      <c r="G32" s="406">
        <f>'CUSTOMERS REPORT'!Y949</f>
        <v>0</v>
      </c>
      <c r="H32" s="504">
        <f>'CUSTOMERS REPORT'!Z949</f>
        <v>0</v>
      </c>
      <c r="I32" s="406">
        <f>'CUSTOMERS REPORT'!AA949</f>
        <v>0</v>
      </c>
      <c r="J32" s="498">
        <f>'CUSTOMERS REPORT'!AB949</f>
        <v>0</v>
      </c>
      <c r="K32" s="498">
        <f>'CUSTOMERS REPORT'!AC949</f>
        <v>0</v>
      </c>
      <c r="L32" s="509">
        <f>'CUSTOMERS REPORT'!AD949</f>
        <v>0</v>
      </c>
      <c r="M32" s="414">
        <f>'12'!M32+'13'!G32</f>
        <v>0</v>
      </c>
      <c r="N32" s="412">
        <f>'12'!N32+'13'!J32</f>
        <v>0</v>
      </c>
      <c r="P32" s="190" t="s">
        <v>51</v>
      </c>
      <c r="Q32" s="439">
        <f>Q23-Q25-Q26-Q27-Q28-Q29-Q30-Q31</f>
        <v>0</v>
      </c>
      <c r="R32" t="s">
        <v>1</v>
      </c>
      <c r="S32" s="400" t="str">
        <f>'12'!S32</f>
        <v>MARVI</v>
      </c>
      <c r="T32" s="446">
        <f>'12'!X32</f>
        <v>0</v>
      </c>
      <c r="U32" s="456"/>
      <c r="V32" s="451">
        <f t="shared" si="0"/>
        <v>0</v>
      </c>
      <c r="W32" s="451"/>
      <c r="X32" s="447">
        <f t="shared" si="1"/>
        <v>0</v>
      </c>
      <c r="Z32" s="375">
        <f>'12'!Z32</f>
        <v>0</v>
      </c>
      <c r="AA32" s="464">
        <f>'12'!AE32</f>
        <v>0</v>
      </c>
      <c r="AB32" s="460"/>
      <c r="AC32" s="462">
        <f t="shared" si="6"/>
        <v>0</v>
      </c>
      <c r="AD32" s="469"/>
      <c r="AE32" s="348">
        <f t="shared" si="7"/>
        <v>0</v>
      </c>
      <c r="AF32" s="563">
        <f>'12'!AF32+'13'!AB32</f>
        <v>0</v>
      </c>
      <c r="AG32" s="234">
        <f>'12'!AG32+'13'!AD32</f>
        <v>0</v>
      </c>
    </row>
    <row r="33" spans="1:40" ht="27" customHeight="1" thickTop="1" thickBot="1">
      <c r="A33" s="716" t="str">
        <f>'12'!A33</f>
        <v>TOLL</v>
      </c>
      <c r="B33" s="551"/>
      <c r="C33" s="348">
        <f>'12'!D33</f>
        <v>0</v>
      </c>
      <c r="D33" s="550">
        <f t="shared" si="11"/>
        <v>0</v>
      </c>
      <c r="F33" s="479" t="str">
        <f>'12'!F33</f>
        <v>ALI QURESHI HYD</v>
      </c>
      <c r="G33" s="406">
        <f>'CUSTOMERS REPORT'!Y987</f>
        <v>0</v>
      </c>
      <c r="H33" s="504">
        <f>'CUSTOMERS REPORT'!Z987</f>
        <v>0</v>
      </c>
      <c r="I33" s="406">
        <f>'CUSTOMERS REPORT'!AA987</f>
        <v>0</v>
      </c>
      <c r="J33" s="498">
        <f>'CUSTOMERS REPORT'!AB987</f>
        <v>0</v>
      </c>
      <c r="K33" s="498">
        <f>'CUSTOMERS REPORT'!AC987</f>
        <v>0</v>
      </c>
      <c r="L33" s="509">
        <f>'CUSTOMERS REPORT'!AD987</f>
        <v>0</v>
      </c>
      <c r="M33" s="414">
        <f>'12'!M33+'13'!G33</f>
        <v>0</v>
      </c>
      <c r="N33" s="412">
        <f>'12'!N33+'13'!J33</f>
        <v>0</v>
      </c>
      <c r="P33" s="1499" t="s">
        <v>149</v>
      </c>
      <c r="Q33" s="1500"/>
      <c r="S33" s="400" t="str">
        <f>'12'!S33</f>
        <v>TS</v>
      </c>
      <c r="T33" s="446">
        <f>'12'!X33</f>
        <v>0</v>
      </c>
      <c r="U33" s="456"/>
      <c r="V33" s="451">
        <f t="shared" si="0"/>
        <v>0</v>
      </c>
      <c r="W33" s="451"/>
      <c r="X33" s="447">
        <f t="shared" si="1"/>
        <v>0</v>
      </c>
      <c r="Z33" s="375">
        <f>'12'!Z33</f>
        <v>0</v>
      </c>
      <c r="AA33" s="464">
        <f>'12'!AE33</f>
        <v>0</v>
      </c>
      <c r="AB33" s="460"/>
      <c r="AC33" s="462">
        <f t="shared" si="6"/>
        <v>0</v>
      </c>
      <c r="AD33" s="469"/>
      <c r="AE33" s="348">
        <f t="shared" si="7"/>
        <v>0</v>
      </c>
      <c r="AF33" s="563">
        <f>'12'!AF33+'13'!AB33</f>
        <v>0</v>
      </c>
      <c r="AG33" s="234">
        <f>'12'!AG33+'13'!AD33</f>
        <v>0</v>
      </c>
    </row>
    <row r="34" spans="1:40" ht="27" customHeight="1" thickTop="1" thickBot="1">
      <c r="A34" s="716" t="str">
        <f>'12'!A34</f>
        <v>FLOUR / SHGER</v>
      </c>
      <c r="B34" s="538"/>
      <c r="C34" s="348">
        <f>'12'!D34</f>
        <v>0</v>
      </c>
      <c r="D34" s="234">
        <f t="shared" si="11"/>
        <v>0</v>
      </c>
      <c r="F34" s="479" t="str">
        <f>'12'!F34</f>
        <v>ALI RAZA KAND KOT</v>
      </c>
      <c r="G34" s="406">
        <f>'CUSTOMERS REPORT'!Y1025</f>
        <v>0</v>
      </c>
      <c r="H34" s="504">
        <f>'CUSTOMERS REPORT'!Z1025</f>
        <v>0</v>
      </c>
      <c r="I34" s="406">
        <f>'CUSTOMERS REPORT'!AA1025</f>
        <v>0</v>
      </c>
      <c r="J34" s="498">
        <f>'CUSTOMERS REPORT'!AB1025</f>
        <v>0</v>
      </c>
      <c r="K34" s="498">
        <f>'CUSTOMERS REPORT'!AC1025</f>
        <v>0</v>
      </c>
      <c r="L34" s="509">
        <f>'CUSTOMERS REPORT'!AD1025</f>
        <v>0</v>
      </c>
      <c r="M34" s="414">
        <f>'12'!M34+'13'!G34</f>
        <v>0</v>
      </c>
      <c r="N34" s="412">
        <f>'12'!N34+'13'!J34</f>
        <v>0</v>
      </c>
      <c r="P34" s="220" t="s">
        <v>150</v>
      </c>
      <c r="Q34" s="223">
        <f>'12'!Q34</f>
        <v>0</v>
      </c>
      <c r="S34" s="400" t="str">
        <f>'12'!S34</f>
        <v>MAXI</v>
      </c>
      <c r="T34" s="446">
        <f>'12'!X34</f>
        <v>0</v>
      </c>
      <c r="U34" s="457"/>
      <c r="V34" s="452">
        <f t="shared" si="0"/>
        <v>0</v>
      </c>
      <c r="W34" s="452"/>
      <c r="X34" s="448">
        <f t="shared" si="1"/>
        <v>0</v>
      </c>
      <c r="Z34" s="375">
        <f>'12'!Z34</f>
        <v>0</v>
      </c>
      <c r="AA34" s="464">
        <f>'12'!AE34</f>
        <v>0</v>
      </c>
      <c r="AB34" s="460"/>
      <c r="AC34" s="462">
        <f t="shared" si="6"/>
        <v>0</v>
      </c>
      <c r="AD34" s="469"/>
      <c r="AE34" s="348">
        <f t="shared" si="7"/>
        <v>0</v>
      </c>
      <c r="AF34" s="563">
        <f>'12'!AF34+'13'!AB34</f>
        <v>0</v>
      </c>
      <c r="AG34" s="234">
        <f>'12'!AG34+'13'!AD34</f>
        <v>0</v>
      </c>
    </row>
    <row r="35" spans="1:40" ht="27" customHeight="1" thickTop="1">
      <c r="A35" s="716" t="str">
        <f>'12'!A35</f>
        <v>OVEN &amp; PP MACHINE</v>
      </c>
      <c r="B35" s="529"/>
      <c r="C35" s="348">
        <f>'12'!D35</f>
        <v>0</v>
      </c>
      <c r="D35" s="529">
        <f t="shared" si="11"/>
        <v>0</v>
      </c>
      <c r="F35" s="479" t="str">
        <f>'12'!F35</f>
        <v>IQBAL MORO</v>
      </c>
      <c r="G35" s="407">
        <f>'CUSTOMERS REPORT'!Y1063</f>
        <v>0</v>
      </c>
      <c r="H35" s="505">
        <f>'CUSTOMERS REPORT'!Z1063</f>
        <v>0</v>
      </c>
      <c r="I35" s="407">
        <f>'CUSTOMERS REPORT'!AA1063</f>
        <v>0</v>
      </c>
      <c r="J35" s="499">
        <f>'CUSTOMERS REPORT'!AB1063</f>
        <v>0</v>
      </c>
      <c r="K35" s="499">
        <f>'CUSTOMERS REPORT'!AC1063</f>
        <v>0</v>
      </c>
      <c r="L35" s="510">
        <f>'CUSTOMERS REPORT'!AD1063</f>
        <v>0</v>
      </c>
      <c r="M35" s="414">
        <f>'12'!M35+'13'!G35</f>
        <v>0</v>
      </c>
      <c r="N35" s="412">
        <f>'12'!N35+'13'!J35</f>
        <v>0</v>
      </c>
      <c r="P35" s="252" t="s">
        <v>151</v>
      </c>
      <c r="Q35" s="443">
        <f>'12'!Q35</f>
        <v>0</v>
      </c>
      <c r="R35" t="s">
        <v>1</v>
      </c>
      <c r="S35" s="400" t="str">
        <f>'12'!S35</f>
        <v>M A WHITE</v>
      </c>
      <c r="T35" s="446">
        <f>'12'!X35</f>
        <v>0</v>
      </c>
      <c r="U35" s="457"/>
      <c r="V35" s="452">
        <f t="shared" si="0"/>
        <v>0</v>
      </c>
      <c r="W35" s="452"/>
      <c r="X35" s="448">
        <f t="shared" si="1"/>
        <v>0</v>
      </c>
      <c r="Z35" s="375">
        <f>'12'!Z35</f>
        <v>0</v>
      </c>
      <c r="AA35" s="464">
        <f>'12'!AE35</f>
        <v>0</v>
      </c>
      <c r="AB35" s="460"/>
      <c r="AC35" s="462">
        <f t="shared" si="6"/>
        <v>0</v>
      </c>
      <c r="AD35" s="469"/>
      <c r="AE35" s="348">
        <f t="shared" si="7"/>
        <v>0</v>
      </c>
      <c r="AF35" s="563">
        <f>'12'!AF35+'13'!AB35</f>
        <v>0</v>
      </c>
      <c r="AG35" s="234">
        <f>'12'!AG35+'13'!AD35</f>
        <v>0</v>
      </c>
    </row>
    <row r="36" spans="1:40" ht="27" customHeight="1">
      <c r="A36" s="716" t="str">
        <f>'12'!A36</f>
        <v>zakat</v>
      </c>
      <c r="B36" s="539"/>
      <c r="C36" s="348">
        <f>'12'!D36</f>
        <v>0</v>
      </c>
      <c r="D36" s="529">
        <f t="shared" si="11"/>
        <v>0</v>
      </c>
      <c r="F36" s="479" t="str">
        <f>'12'!F36</f>
        <v>SARFARAZ T ADAM</v>
      </c>
      <c r="G36" s="407">
        <f>'CUSTOMERS REPORT'!Y1101</f>
        <v>0</v>
      </c>
      <c r="H36" s="505">
        <f>'CUSTOMERS REPORT'!Z1101</f>
        <v>0</v>
      </c>
      <c r="I36" s="407">
        <f>'CUSTOMERS REPORT'!AA1101</f>
        <v>0</v>
      </c>
      <c r="J36" s="499">
        <f>'CUSTOMERS REPORT'!AB1101</f>
        <v>0</v>
      </c>
      <c r="K36" s="499">
        <f>'CUSTOMERS REPORT'!AC1101</f>
        <v>0</v>
      </c>
      <c r="L36" s="510">
        <f>'CUSTOMERS REPORT'!AD1101</f>
        <v>0</v>
      </c>
      <c r="M36" s="414">
        <f>'12'!M36+'13'!G36</f>
        <v>0</v>
      </c>
      <c r="N36" s="412">
        <f>'12'!N36+'13'!J36</f>
        <v>0</v>
      </c>
      <c r="P36" s="372" t="s">
        <v>152</v>
      </c>
      <c r="Q36" s="444">
        <f>J48</f>
        <v>0</v>
      </c>
      <c r="R36" t="s">
        <v>1</v>
      </c>
      <c r="S36" s="400" t="str">
        <f>'12'!S36</f>
        <v>M A ORING</v>
      </c>
      <c r="T36" s="446">
        <f>'12'!X36</f>
        <v>0</v>
      </c>
      <c r="U36" s="456"/>
      <c r="V36" s="451">
        <f t="shared" si="0"/>
        <v>0</v>
      </c>
      <c r="W36" s="452"/>
      <c r="X36" s="448">
        <f t="shared" si="1"/>
        <v>0</v>
      </c>
      <c r="Z36" s="375">
        <f>'12'!Z36</f>
        <v>0</v>
      </c>
      <c r="AA36" s="464">
        <f>'12'!AE36</f>
        <v>0</v>
      </c>
      <c r="AB36" s="460"/>
      <c r="AC36" s="462">
        <f t="shared" si="6"/>
        <v>0</v>
      </c>
      <c r="AD36" s="469"/>
      <c r="AE36" s="348">
        <f t="shared" si="7"/>
        <v>0</v>
      </c>
      <c r="AF36" s="563">
        <f>'12'!AF36+'13'!AB36</f>
        <v>0</v>
      </c>
      <c r="AG36" s="234">
        <f>'12'!AG36+'13'!AD36</f>
        <v>0</v>
      </c>
    </row>
    <row r="37" spans="1:40" ht="27" customHeight="1">
      <c r="A37" s="715" t="str">
        <f>'12'!A37</f>
        <v>javeed manghopir</v>
      </c>
      <c r="B37" s="234"/>
      <c r="C37" s="348">
        <f>'12'!D37</f>
        <v>0</v>
      </c>
      <c r="D37" s="234">
        <f t="shared" si="11"/>
        <v>0</v>
      </c>
      <c r="F37" s="479" t="str">
        <f>'12'!F37</f>
        <v>MUMTAZ K N SHAH</v>
      </c>
      <c r="G37" s="406">
        <f>'CUSTOMERS REPORT'!Y1139</f>
        <v>0</v>
      </c>
      <c r="H37" s="504">
        <f>'CUSTOMERS REPORT'!Z1139</f>
        <v>0</v>
      </c>
      <c r="I37" s="406">
        <f>'CUSTOMERS REPORT'!AA1139</f>
        <v>0</v>
      </c>
      <c r="J37" s="498">
        <f>'CUSTOMERS REPORT'!AB1139</f>
        <v>0</v>
      </c>
      <c r="K37" s="498">
        <f>'CUSTOMERS REPORT'!AC1139</f>
        <v>0</v>
      </c>
      <c r="L37" s="509">
        <f>'CUSTOMERS REPORT'!AD1139</f>
        <v>0</v>
      </c>
      <c r="M37" s="414">
        <f>'12'!M37+'13'!G37</f>
        <v>0</v>
      </c>
      <c r="N37" s="412">
        <f>'12'!N37+'13'!J37</f>
        <v>0</v>
      </c>
      <c r="P37" s="373" t="s">
        <v>153</v>
      </c>
      <c r="Q37" s="445">
        <f>Q34+Q35+Q36</f>
        <v>0</v>
      </c>
      <c r="R37" t="s">
        <v>1</v>
      </c>
      <c r="S37" s="400">
        <f>'12'!S37</f>
        <v>0</v>
      </c>
      <c r="T37" s="446">
        <f>'12'!X37</f>
        <v>0</v>
      </c>
      <c r="U37" s="456"/>
      <c r="V37" s="451">
        <f t="shared" si="0"/>
        <v>0</v>
      </c>
      <c r="W37" s="452"/>
      <c r="X37" s="448">
        <f t="shared" si="1"/>
        <v>0</v>
      </c>
      <c r="Z37" s="375">
        <f>'12'!Z37</f>
        <v>0</v>
      </c>
      <c r="AA37" s="464">
        <f>'12'!AE37</f>
        <v>0</v>
      </c>
      <c r="AB37" s="460"/>
      <c r="AC37" s="462">
        <f t="shared" si="6"/>
        <v>0</v>
      </c>
      <c r="AD37" s="469"/>
      <c r="AE37" s="348">
        <f t="shared" si="7"/>
        <v>0</v>
      </c>
      <c r="AF37" s="563">
        <f>'12'!AF37+'13'!AB37</f>
        <v>0</v>
      </c>
      <c r="AG37" s="234">
        <f>'12'!AG37+'13'!AD37</f>
        <v>0</v>
      </c>
    </row>
    <row r="38" spans="1:40" ht="27" customHeight="1">
      <c r="A38" s="715" t="str">
        <f>'12'!A38</f>
        <v>EXSIS CASH</v>
      </c>
      <c r="B38" s="234"/>
      <c r="C38" s="348">
        <f>'12'!D38</f>
        <v>0</v>
      </c>
      <c r="D38" s="234">
        <f t="shared" si="11"/>
        <v>0</v>
      </c>
      <c r="F38" s="479" t="str">
        <f>'12'!F38</f>
        <v>GHULAM RASOOL QU</v>
      </c>
      <c r="G38" s="408">
        <f>'CUSTOMERS REPORT'!Y1176</f>
        <v>0</v>
      </c>
      <c r="H38" s="506">
        <f>'CUSTOMERS REPORT'!Z1176</f>
        <v>0</v>
      </c>
      <c r="I38" s="408">
        <f>'CUSTOMERS REPORT'!AA1176</f>
        <v>0</v>
      </c>
      <c r="J38" s="500">
        <f>'CUSTOMERS REPORT'!AB1176</f>
        <v>0</v>
      </c>
      <c r="K38" s="500">
        <f>'CUSTOMERS REPORT'!AC1176</f>
        <v>0</v>
      </c>
      <c r="L38" s="511">
        <f>'CUSTOMERS REPORT'!AD1176</f>
        <v>0</v>
      </c>
      <c r="M38" s="414">
        <f>'12'!M38+'13'!G38</f>
        <v>0</v>
      </c>
      <c r="N38" s="412">
        <f>'12'!N38+'13'!J38</f>
        <v>0</v>
      </c>
      <c r="P38" s="373" t="s">
        <v>154</v>
      </c>
      <c r="Q38" s="445">
        <f>D48</f>
        <v>0</v>
      </c>
      <c r="S38" s="400">
        <f>'12'!S38</f>
        <v>0</v>
      </c>
      <c r="T38" s="446">
        <f>'12'!X38</f>
        <v>0</v>
      </c>
      <c r="U38" s="456"/>
      <c r="V38" s="451">
        <f t="shared" si="0"/>
        <v>0</v>
      </c>
      <c r="W38" s="452"/>
      <c r="X38" s="448">
        <f t="shared" si="1"/>
        <v>0</v>
      </c>
      <c r="Z38" s="375">
        <f>'12'!Z38</f>
        <v>0</v>
      </c>
      <c r="AA38" s="464">
        <f>'12'!AE38</f>
        <v>0</v>
      </c>
      <c r="AB38" s="460"/>
      <c r="AC38" s="462">
        <f t="shared" si="6"/>
        <v>0</v>
      </c>
      <c r="AD38" s="469"/>
      <c r="AE38" s="348">
        <f t="shared" si="7"/>
        <v>0</v>
      </c>
      <c r="AF38" s="563">
        <f>'12'!AF38+'13'!AB38</f>
        <v>0</v>
      </c>
      <c r="AG38" s="234">
        <f>'12'!AG38+'13'!AD38</f>
        <v>0</v>
      </c>
    </row>
    <row r="39" spans="1:40" ht="27" customHeight="1">
      <c r="A39" s="715" t="str">
        <f>'12'!A39</f>
        <v>SHORT CASH</v>
      </c>
      <c r="B39" s="234"/>
      <c r="C39" s="548">
        <f>'12'!D39</f>
        <v>0</v>
      </c>
      <c r="D39" s="234">
        <f t="shared" si="11"/>
        <v>0</v>
      </c>
      <c r="F39" s="479" t="str">
        <f>'12'!F39</f>
        <v>SHAMSHAD UNCLE</v>
      </c>
      <c r="G39" s="406">
        <f>'CUSTOMERS REPORT'!Y1213</f>
        <v>0</v>
      </c>
      <c r="H39" s="504">
        <f>'CUSTOMERS REPORT'!Z1213</f>
        <v>0</v>
      </c>
      <c r="I39" s="406">
        <f>'CUSTOMERS REPORT'!AA1213</f>
        <v>0</v>
      </c>
      <c r="J39" s="498">
        <f>'CUSTOMERS REPORT'!AB1213</f>
        <v>0</v>
      </c>
      <c r="K39" s="498">
        <f>'CUSTOMERS REPORT'!AC1213</f>
        <v>0</v>
      </c>
      <c r="L39" s="509">
        <f>'CUSTOMERS REPORT'!AD1213</f>
        <v>0</v>
      </c>
      <c r="M39" s="414">
        <f>'12'!M39+'13'!G39</f>
        <v>0</v>
      </c>
      <c r="N39" s="412">
        <f>'12'!N39+'13'!J39</f>
        <v>0</v>
      </c>
      <c r="P39" s="373" t="s">
        <v>109</v>
      </c>
      <c r="Q39" s="445">
        <f>'12'!Q39+'13'!Q25+'13'!Q26+'13'!Q27+'13'!Q28+'13'!Q29+'13'!Q30+'13'!Q31</f>
        <v>0</v>
      </c>
      <c r="R39" t="s">
        <v>1</v>
      </c>
      <c r="S39" s="400">
        <f>'12'!S39</f>
        <v>0</v>
      </c>
      <c r="T39" s="446">
        <f>'12'!X39</f>
        <v>0</v>
      </c>
      <c r="U39" s="456"/>
      <c r="V39" s="451">
        <f t="shared" si="0"/>
        <v>0</v>
      </c>
      <c r="W39" s="452"/>
      <c r="X39" s="448">
        <f t="shared" si="1"/>
        <v>0</v>
      </c>
      <c r="Z39" s="375">
        <f>'12'!Z39</f>
        <v>0</v>
      </c>
      <c r="AA39" s="464">
        <f>'12'!AE39</f>
        <v>0</v>
      </c>
      <c r="AB39" s="460"/>
      <c r="AC39" s="462">
        <f t="shared" si="6"/>
        <v>0</v>
      </c>
      <c r="AD39" s="469"/>
      <c r="AE39" s="348">
        <f t="shared" si="7"/>
        <v>0</v>
      </c>
      <c r="AF39" s="563">
        <f>'12'!AF39+'13'!AB39</f>
        <v>0</v>
      </c>
      <c r="AG39" s="234">
        <f>'12'!AG39+'13'!AD39</f>
        <v>0</v>
      </c>
    </row>
    <row r="40" spans="1:40" ht="27" customHeight="1" thickBot="1">
      <c r="A40" s="715" t="str">
        <f>'12'!A40</f>
        <v>ASSETS</v>
      </c>
      <c r="B40" s="234"/>
      <c r="C40" s="348">
        <f>'12'!D40</f>
        <v>0</v>
      </c>
      <c r="D40" s="234">
        <f t="shared" si="11"/>
        <v>0</v>
      </c>
      <c r="F40" s="479" t="str">
        <f>'12'!F40</f>
        <v>IBRAHEEM D.G KHAN</v>
      </c>
      <c r="G40" s="406">
        <f>'CUSTOMERS REPORT'!Y1250</f>
        <v>0</v>
      </c>
      <c r="H40" s="504">
        <f>'CUSTOMERS REPORT'!Z1250</f>
        <v>0</v>
      </c>
      <c r="I40" s="406">
        <f>'CUSTOMERS REPORT'!AA1250</f>
        <v>0</v>
      </c>
      <c r="J40" s="498">
        <f>'CUSTOMERS REPORT'!AB1250</f>
        <v>0</v>
      </c>
      <c r="K40" s="498">
        <f>'CUSTOMERS REPORT'!AC1250</f>
        <v>0</v>
      </c>
      <c r="L40" s="509">
        <f>'CUSTOMERS REPORT'!AD1250</f>
        <v>0</v>
      </c>
      <c r="M40" s="414">
        <f>'12'!M40+'13'!G40</f>
        <v>0</v>
      </c>
      <c r="N40" s="412">
        <f>'12'!N40+'13'!J40</f>
        <v>0</v>
      </c>
      <c r="P40" s="374" t="s">
        <v>155</v>
      </c>
      <c r="Q40" s="445">
        <f>Q48</f>
        <v>0</v>
      </c>
      <c r="S40" s="400">
        <f>'12'!S40</f>
        <v>0</v>
      </c>
      <c r="T40" s="446">
        <f>'12'!X40</f>
        <v>0</v>
      </c>
      <c r="U40" s="456"/>
      <c r="V40" s="451">
        <f t="shared" si="0"/>
        <v>0</v>
      </c>
      <c r="W40" s="452"/>
      <c r="X40" s="448">
        <f t="shared" si="1"/>
        <v>0</v>
      </c>
      <c r="Z40" s="375">
        <f>'12'!Z40</f>
        <v>0</v>
      </c>
      <c r="AA40" s="464">
        <f>'12'!AE40</f>
        <v>0</v>
      </c>
      <c r="AB40" s="460"/>
      <c r="AC40" s="462">
        <f t="shared" si="6"/>
        <v>0</v>
      </c>
      <c r="AD40" s="469"/>
      <c r="AE40" s="348">
        <f t="shared" si="7"/>
        <v>0</v>
      </c>
      <c r="AF40" s="563">
        <f>'12'!AF40+'13'!AB40</f>
        <v>0</v>
      </c>
      <c r="AG40" s="234">
        <f>'12'!AG40+'13'!AD40</f>
        <v>0</v>
      </c>
    </row>
    <row r="41" spans="1:40" ht="27" customHeight="1" thickTop="1" thickBot="1">
      <c r="A41" s="715" t="str">
        <f>'12'!A41</f>
        <v>BIKE.INSTALMINT</v>
      </c>
      <c r="B41" s="234"/>
      <c r="C41" s="348">
        <f>'12'!D41</f>
        <v>0</v>
      </c>
      <c r="D41" s="234">
        <f t="shared" si="11"/>
        <v>0</v>
      </c>
      <c r="E41" t="s">
        <v>1</v>
      </c>
      <c r="F41" s="479" t="str">
        <f>'12'!F41</f>
        <v>PISHAWAR</v>
      </c>
      <c r="G41" s="409">
        <f>'CUSTOMERS REPORT'!Y1287</f>
        <v>0</v>
      </c>
      <c r="H41" s="507">
        <f>'CUSTOMERS REPORT'!Z1287</f>
        <v>0</v>
      </c>
      <c r="I41" s="409">
        <f>'CUSTOMERS REPORT'!AA1287</f>
        <v>0</v>
      </c>
      <c r="J41" s="501">
        <f>'CUSTOMERS REPORT'!AB1287</f>
        <v>0</v>
      </c>
      <c r="K41" s="501">
        <f>'CUSTOMERS REPORT'!AC1287</f>
        <v>0</v>
      </c>
      <c r="L41" s="512">
        <f>'CUSTOMERS REPORT'!AD1287</f>
        <v>0</v>
      </c>
      <c r="M41" s="414">
        <f>'12'!M41+'13'!G41</f>
        <v>0</v>
      </c>
      <c r="N41" s="412">
        <f>'12'!N41+'13'!J41</f>
        <v>0</v>
      </c>
      <c r="P41" s="221" t="s">
        <v>51</v>
      </c>
      <c r="Q41" s="223">
        <f>Q37-Q38-Q39-Q40</f>
        <v>0</v>
      </c>
      <c r="S41" s="400">
        <f>'12'!S41</f>
        <v>0</v>
      </c>
      <c r="T41" s="446">
        <f>'12'!X41</f>
        <v>0</v>
      </c>
      <c r="U41" s="456"/>
      <c r="V41" s="451">
        <f t="shared" si="0"/>
        <v>0</v>
      </c>
      <c r="W41" s="452"/>
      <c r="X41" s="448">
        <f t="shared" si="1"/>
        <v>0</v>
      </c>
      <c r="Z41" s="375">
        <f>'12'!Z41</f>
        <v>0</v>
      </c>
      <c r="AA41" s="464">
        <f>'12'!AE41</f>
        <v>0</v>
      </c>
      <c r="AB41" s="460"/>
      <c r="AC41" s="462">
        <f t="shared" si="6"/>
        <v>0</v>
      </c>
      <c r="AD41" s="469"/>
      <c r="AE41" s="348">
        <f t="shared" si="7"/>
        <v>0</v>
      </c>
      <c r="AF41" s="563">
        <f>'12'!AF41+'13'!AB41</f>
        <v>0</v>
      </c>
      <c r="AG41" s="234">
        <f>'12'!AG41+'13'!AD41</f>
        <v>0</v>
      </c>
    </row>
    <row r="42" spans="1:40" ht="27" customHeight="1" thickTop="1" thickBot="1">
      <c r="A42" s="715" t="str">
        <f>'12'!A42</f>
        <v>B.C</v>
      </c>
      <c r="B42" s="529"/>
      <c r="C42" s="348">
        <f>'12'!D42</f>
        <v>0</v>
      </c>
      <c r="D42" s="529">
        <f t="shared" si="11"/>
        <v>0</v>
      </c>
      <c r="F42" s="479" t="str">
        <f>'12'!F42</f>
        <v>HUZAFA KOTRI</v>
      </c>
      <c r="G42" s="409">
        <f>'CUSTOMERS REPORT'!Y1324</f>
        <v>0</v>
      </c>
      <c r="H42" s="507">
        <f>'CUSTOMERS REPORT'!Z1324</f>
        <v>0</v>
      </c>
      <c r="I42" s="409">
        <f>'CUSTOMERS REPORT'!AA1324</f>
        <v>0</v>
      </c>
      <c r="J42" s="501">
        <f>'CUSTOMERS REPORT'!AB1324</f>
        <v>0</v>
      </c>
      <c r="K42" s="501">
        <f>'CUSTOMERS REPORT'!AC1324</f>
        <v>0</v>
      </c>
      <c r="L42" s="512">
        <f>'CUSTOMERS REPORT'!AD1324</f>
        <v>0</v>
      </c>
      <c r="M42" s="414">
        <f>'12'!M42+'13'!G42</f>
        <v>0</v>
      </c>
      <c r="N42" s="412">
        <f>'12'!N42+'13'!J42</f>
        <v>0</v>
      </c>
      <c r="P42" s="1499" t="s">
        <v>157</v>
      </c>
      <c r="Q42" s="1500"/>
      <c r="S42" s="400">
        <f>'12'!S42</f>
        <v>0</v>
      </c>
      <c r="T42" s="446">
        <f>'12'!X42</f>
        <v>0</v>
      </c>
      <c r="U42" s="458"/>
      <c r="V42" s="453">
        <f t="shared" si="0"/>
        <v>0</v>
      </c>
      <c r="W42" s="454"/>
      <c r="X42" s="449">
        <f t="shared" si="1"/>
        <v>0</v>
      </c>
      <c r="Z42" s="375">
        <f>'12'!Z42</f>
        <v>0</v>
      </c>
      <c r="AA42" s="464">
        <f>'12'!AE42</f>
        <v>0</v>
      </c>
      <c r="AB42" s="460"/>
      <c r="AC42" s="462">
        <f t="shared" si="6"/>
        <v>0</v>
      </c>
      <c r="AD42" s="469"/>
      <c r="AE42" s="348">
        <f t="shared" si="7"/>
        <v>0</v>
      </c>
      <c r="AF42" s="563">
        <f>'12'!AF42+'13'!AB42</f>
        <v>0</v>
      </c>
      <c r="AG42" s="234">
        <f>'12'!AG42+'13'!AD42</f>
        <v>0</v>
      </c>
    </row>
    <row r="43" spans="1:40" ht="27" customHeight="1" thickTop="1" thickBot="1">
      <c r="A43" s="715" t="str">
        <f>'12'!A43</f>
        <v>AQEEL</v>
      </c>
      <c r="B43" s="539"/>
      <c r="C43" s="348">
        <f>'12'!D43</f>
        <v>0</v>
      </c>
      <c r="D43" s="529">
        <f t="shared" si="11"/>
        <v>0</v>
      </c>
      <c r="F43" s="479" t="str">
        <f>'12'!F43</f>
        <v>ZAHID LAHORE</v>
      </c>
      <c r="G43" s="409">
        <f>'CUSTOMERS REPORT'!Y1361</f>
        <v>0</v>
      </c>
      <c r="H43" s="507">
        <f>'CUSTOMERS REPORT'!Z1361</f>
        <v>0</v>
      </c>
      <c r="I43" s="409">
        <f>'CUSTOMERS REPORT'!AA1361</f>
        <v>0</v>
      </c>
      <c r="J43" s="501">
        <f>'CUSTOMERS REPORT'!AB1361</f>
        <v>0</v>
      </c>
      <c r="K43" s="501">
        <f>'CUSTOMERS REPORT'!AC1361</f>
        <v>0</v>
      </c>
      <c r="L43" s="512">
        <f>'CUSTOMERS REPORT'!AD1361</f>
        <v>0</v>
      </c>
      <c r="M43" s="414">
        <f>'12'!M43+'13'!G43</f>
        <v>0</v>
      </c>
      <c r="N43" s="412">
        <f>'12'!N43+'13'!J43</f>
        <v>0</v>
      </c>
      <c r="P43" s="220" t="s">
        <v>124</v>
      </c>
      <c r="Q43" s="223">
        <f>'12'!Q48</f>
        <v>0</v>
      </c>
      <c r="R43" t="s">
        <v>1</v>
      </c>
      <c r="S43" s="400">
        <f>'12'!S43</f>
        <v>0</v>
      </c>
      <c r="T43" s="446">
        <f>'12'!X43</f>
        <v>0</v>
      </c>
      <c r="U43" s="358"/>
      <c r="V43" s="453">
        <f t="shared" si="0"/>
        <v>0</v>
      </c>
      <c r="W43" s="403"/>
      <c r="X43" s="449">
        <f t="shared" si="1"/>
        <v>0</v>
      </c>
      <c r="Z43" s="383"/>
      <c r="AA43" s="356">
        <f>SUM(AA8:AA42)</f>
        <v>0</v>
      </c>
      <c r="AB43" s="385">
        <f>SUM(AB8:AB42)</f>
        <v>118500</v>
      </c>
      <c r="AC43" s="357" t="s">
        <v>74</v>
      </c>
      <c r="AD43" s="387">
        <f>SUM(AD8:AD42)</f>
        <v>100000</v>
      </c>
      <c r="AE43" s="358">
        <f>SUM(AE8:AE42)</f>
        <v>18500</v>
      </c>
      <c r="AF43" s="565">
        <f>SUM(AF8:AF42)</f>
        <v>118500</v>
      </c>
      <c r="AG43" s="571">
        <f>SUM(AG8:AG42)</f>
        <v>100000</v>
      </c>
    </row>
    <row r="44" spans="1:40" ht="27" customHeight="1" thickTop="1">
      <c r="A44" s="715" t="str">
        <f>'12'!A44</f>
        <v>M.YOUSUF</v>
      </c>
      <c r="B44" s="234"/>
      <c r="C44" s="348">
        <f>'12'!D44</f>
        <v>0</v>
      </c>
      <c r="D44" s="234">
        <f t="shared" si="11"/>
        <v>0</v>
      </c>
      <c r="F44" s="479" t="str">
        <f>'12'!F44</f>
        <v>CASH SALE</v>
      </c>
      <c r="G44" s="409">
        <f>'CUSTOMERS REPORT'!Y1398</f>
        <v>0</v>
      </c>
      <c r="H44" s="507">
        <f>'CUSTOMERS REPORT'!Z1398</f>
        <v>0</v>
      </c>
      <c r="I44" s="409">
        <f>'CUSTOMERS REPORT'!AA1398</f>
        <v>0</v>
      </c>
      <c r="J44" s="501">
        <f>'CUSTOMERS REPORT'!AB1398</f>
        <v>0</v>
      </c>
      <c r="K44" s="501">
        <f>'CUSTOMERS REPORT'!AC1398</f>
        <v>0</v>
      </c>
      <c r="L44" s="512">
        <f>'CUSTOMERS REPORT'!AD1398</f>
        <v>0</v>
      </c>
      <c r="M44" s="414">
        <f>'12'!M44+'13'!G44</f>
        <v>0</v>
      </c>
      <c r="N44" s="412">
        <f>'12'!N44+'13'!J44</f>
        <v>0</v>
      </c>
      <c r="P44" s="222" t="s">
        <v>114</v>
      </c>
      <c r="Q44" s="377">
        <f>J46</f>
        <v>0</v>
      </c>
      <c r="S44" s="400"/>
      <c r="T44" s="348"/>
      <c r="U44" s="306"/>
      <c r="V44" s="349"/>
      <c r="W44" s="351"/>
      <c r="X44" s="350"/>
      <c r="Z44" s="375"/>
      <c r="AA44" s="339"/>
      <c r="AB44" s="386">
        <f>'12'!AB45</f>
        <v>0</v>
      </c>
      <c r="AC44" s="340" t="s">
        <v>126</v>
      </c>
      <c r="AD44" s="388">
        <f>'12'!AD45</f>
        <v>0</v>
      </c>
      <c r="AE44" s="341"/>
      <c r="AF44" s="561"/>
      <c r="AG44" s="83" t="s">
        <v>1</v>
      </c>
    </row>
    <row r="45" spans="1:40" ht="27" customHeight="1" thickBot="1">
      <c r="A45" s="715" t="str">
        <f>'12'!A45</f>
        <v>SHAKEEL</v>
      </c>
      <c r="B45" s="234"/>
      <c r="C45" s="348">
        <f>'12'!D45</f>
        <v>0</v>
      </c>
      <c r="D45" s="234">
        <f t="shared" si="11"/>
        <v>0</v>
      </c>
      <c r="F45" s="479" t="str">
        <f>'12'!F45</f>
        <v xml:space="preserve">FREE </v>
      </c>
      <c r="G45" s="410">
        <f>'CUSTOMERS REPORT'!Y1435</f>
        <v>0</v>
      </c>
      <c r="H45" s="362">
        <f>'CUSTOMERS REPORT'!Z1435</f>
        <v>0</v>
      </c>
      <c r="I45" s="410">
        <f>'CUSTOMERS REPORT'!AA1435</f>
        <v>0</v>
      </c>
      <c r="J45" s="502">
        <f>'CUSTOMERS REPORT'!AB1435</f>
        <v>0</v>
      </c>
      <c r="K45" s="502">
        <f>'CUSTOMERS REPORT'!AC1435</f>
        <v>0</v>
      </c>
      <c r="L45" s="513">
        <f>'CUSTOMERS REPORT'!AD1435</f>
        <v>0</v>
      </c>
      <c r="M45" s="414">
        <f>'12'!M45+'13'!G45</f>
        <v>0</v>
      </c>
      <c r="N45" s="412">
        <f>'12'!N45+'13'!J45</f>
        <v>0</v>
      </c>
      <c r="P45" s="222" t="s">
        <v>153</v>
      </c>
      <c r="Q45" s="378">
        <f>Q43+Q44</f>
        <v>0</v>
      </c>
      <c r="S45" s="401"/>
      <c r="T45" s="352"/>
      <c r="U45" s="307"/>
      <c r="V45" s="353"/>
      <c r="W45" s="354"/>
      <c r="X45" s="355"/>
      <c r="Z45" s="384"/>
      <c r="AA45" s="359"/>
      <c r="AB45" s="390">
        <f>SUM(AB43:AB44)</f>
        <v>118500</v>
      </c>
      <c r="AC45" s="360" t="s">
        <v>74</v>
      </c>
      <c r="AD45" s="389">
        <f>SUM(AD43:AD44)</f>
        <v>100000</v>
      </c>
      <c r="AE45" s="361"/>
      <c r="AF45" s="562"/>
      <c r="AG45" s="573"/>
    </row>
    <row r="46" spans="1:40" ht="27" customHeight="1" thickTop="1" thickBot="1">
      <c r="A46" s="715" t="str">
        <f>'12'!A46</f>
        <v>ZAHID HUSSAN</v>
      </c>
      <c r="B46" s="234"/>
      <c r="C46" s="348">
        <f>'12'!D46</f>
        <v>0</v>
      </c>
      <c r="D46" s="234">
        <f t="shared" si="11"/>
        <v>0</v>
      </c>
      <c r="F46" s="369"/>
      <c r="G46" s="424">
        <f>SUM(G8:G45)</f>
        <v>0</v>
      </c>
      <c r="H46" s="1497" t="s">
        <v>160</v>
      </c>
      <c r="I46" s="1498"/>
      <c r="J46" s="421">
        <f>SUM(J8:J45)</f>
        <v>0</v>
      </c>
      <c r="K46" s="427">
        <f>SUM(K8:K45)</f>
        <v>0</v>
      </c>
      <c r="L46" s="431">
        <f>SUM(L8:L45)</f>
        <v>0</v>
      </c>
      <c r="M46" s="429">
        <f>SUM(M8:M45)</f>
        <v>0</v>
      </c>
      <c r="N46" s="430">
        <f>SUM(N8:N45)</f>
        <v>0</v>
      </c>
      <c r="P46" s="222" t="s">
        <v>154</v>
      </c>
      <c r="Q46" s="378">
        <f>B48</f>
        <v>0</v>
      </c>
    </row>
    <row r="47" spans="1:40" ht="27" customHeight="1" thickBot="1">
      <c r="A47" s="715" t="str">
        <f>'12'!A47</f>
        <v xml:space="preserve">INVESTOR </v>
      </c>
      <c r="B47" s="540"/>
      <c r="C47" s="348">
        <f>'12'!D47</f>
        <v>0</v>
      </c>
      <c r="D47" s="542">
        <f t="shared" si="11"/>
        <v>0</v>
      </c>
      <c r="F47" s="370"/>
      <c r="G47" s="425">
        <f>'12'!G48</f>
        <v>0</v>
      </c>
      <c r="H47" s="1512" t="s">
        <v>162</v>
      </c>
      <c r="I47" s="1513"/>
      <c r="J47" s="423">
        <f>'12'!J48</f>
        <v>0</v>
      </c>
      <c r="K47" s="423">
        <f>'12'!K48</f>
        <v>0</v>
      </c>
      <c r="L47" s="343"/>
      <c r="M47" s="344"/>
      <c r="N47" s="345"/>
      <c r="P47" s="375" t="s">
        <v>163</v>
      </c>
      <c r="Q47" s="378">
        <f>Q9+Q10+Q19+Q20+Q21+Q22</f>
        <v>0</v>
      </c>
      <c r="R47" s="19"/>
      <c r="S47" s="1489" t="s">
        <v>92</v>
      </c>
      <c r="T47" s="1516" t="s">
        <v>95</v>
      </c>
      <c r="U47" s="1518"/>
      <c r="V47" s="1518"/>
      <c r="W47" s="1517"/>
      <c r="X47" s="1516" t="s">
        <v>7</v>
      </c>
      <c r="Y47" s="1518"/>
      <c r="Z47" s="1517"/>
      <c r="AA47" s="1516" t="s">
        <v>8</v>
      </c>
      <c r="AB47" s="1517"/>
      <c r="AC47" s="1516" t="s">
        <v>9</v>
      </c>
      <c r="AD47" s="1518"/>
      <c r="AE47" s="1518"/>
      <c r="AF47" s="1518"/>
      <c r="AG47" s="1518"/>
      <c r="AH47" s="1518"/>
      <c r="AI47" s="1518"/>
      <c r="AJ47" s="1405" t="s">
        <v>10</v>
      </c>
      <c r="AK47" s="1406"/>
      <c r="AL47" s="1400" t="s">
        <v>289</v>
      </c>
      <c r="AM47" s="1401"/>
      <c r="AN47" s="842" t="s">
        <v>290</v>
      </c>
    </row>
    <row r="48" spans="1:40" ht="27" customHeight="1" thickTop="1" thickBot="1">
      <c r="A48" s="192" t="s">
        <v>74</v>
      </c>
      <c r="B48" s="544">
        <f>SUM(B22:B47)</f>
        <v>0</v>
      </c>
      <c r="C48" s="543">
        <f>'12'!D48</f>
        <v>0</v>
      </c>
      <c r="D48" s="544">
        <f t="shared" si="11"/>
        <v>0</v>
      </c>
      <c r="F48" s="371"/>
      <c r="G48" s="426">
        <f>G46+G47</f>
        <v>0</v>
      </c>
      <c r="H48" s="1495" t="s">
        <v>164</v>
      </c>
      <c r="I48" s="1496"/>
      <c r="J48" s="422">
        <f>J46+J47</f>
        <v>0</v>
      </c>
      <c r="K48" s="428">
        <f>K46+K47</f>
        <v>0</v>
      </c>
      <c r="L48" s="346"/>
      <c r="M48" s="347"/>
      <c r="N48" s="622">
        <f>G48-J48</f>
        <v>0</v>
      </c>
      <c r="P48" s="376" t="s">
        <v>155</v>
      </c>
      <c r="Q48" s="379">
        <f>Q45-Q46-Q47</f>
        <v>0</v>
      </c>
      <c r="R48" s="19"/>
      <c r="S48" s="1490"/>
      <c r="T48" s="482" t="s">
        <v>12</v>
      </c>
      <c r="U48" s="482" t="s">
        <v>13</v>
      </c>
      <c r="V48" s="482" t="s">
        <v>14</v>
      </c>
      <c r="W48" s="958" t="s">
        <v>263</v>
      </c>
      <c r="X48" s="482" t="s">
        <v>12</v>
      </c>
      <c r="Y48" s="482" t="s">
        <v>13</v>
      </c>
      <c r="Z48" s="482" t="s">
        <v>282</v>
      </c>
      <c r="AA48" s="482" t="s">
        <v>12</v>
      </c>
      <c r="AB48" s="482" t="s">
        <v>16</v>
      </c>
      <c r="AC48" s="482" t="s">
        <v>17</v>
      </c>
      <c r="AD48" s="482" t="s">
        <v>18</v>
      </c>
      <c r="AE48" s="482" t="s">
        <v>19</v>
      </c>
      <c r="AF48" s="484" t="s">
        <v>96</v>
      </c>
      <c r="AG48" s="484" t="s">
        <v>257</v>
      </c>
      <c r="AH48" s="482" t="s">
        <v>254</v>
      </c>
      <c r="AI48" s="482" t="s">
        <v>20</v>
      </c>
      <c r="AJ48" s="483" t="s">
        <v>14</v>
      </c>
      <c r="AK48" s="482" t="s">
        <v>13</v>
      </c>
      <c r="AL48" s="846" t="s">
        <v>284</v>
      </c>
      <c r="AM48" s="846" t="s">
        <v>288</v>
      </c>
      <c r="AN48" s="966" t="s">
        <v>291</v>
      </c>
    </row>
    <row r="49" spans="1:44" ht="24.95" customHeight="1" thickTop="1" thickBot="1">
      <c r="Q49" s="111">
        <f>Q48+Q41</f>
        <v>0</v>
      </c>
      <c r="R49" s="19"/>
      <c r="S49" s="865" t="s">
        <v>165</v>
      </c>
      <c r="T49" s="866">
        <f>'12'!T55</f>
        <v>0</v>
      </c>
      <c r="U49" s="866">
        <f>'12'!U55</f>
        <v>0</v>
      </c>
      <c r="V49" s="866">
        <f>'12'!V55</f>
        <v>0</v>
      </c>
      <c r="W49" s="866">
        <f>'12'!W55</f>
        <v>0</v>
      </c>
      <c r="X49" s="866">
        <f>'12'!X55</f>
        <v>0</v>
      </c>
      <c r="Y49" s="866">
        <f>'12'!Y55</f>
        <v>0</v>
      </c>
      <c r="Z49" s="866">
        <f>'12'!Z55</f>
        <v>0</v>
      </c>
      <c r="AA49" s="866">
        <f>'12'!AA55</f>
        <v>0</v>
      </c>
      <c r="AB49" s="866">
        <f>'12'!AB55</f>
        <v>0</v>
      </c>
      <c r="AC49" s="866">
        <f>'12'!AC55</f>
        <v>0</v>
      </c>
      <c r="AD49" s="866">
        <f>'12'!AD55</f>
        <v>0</v>
      </c>
      <c r="AE49" s="866">
        <f>'12'!AE55</f>
        <v>0</v>
      </c>
      <c r="AF49" s="866">
        <f>'12'!AF55</f>
        <v>0</v>
      </c>
      <c r="AG49" s="866">
        <f>'12'!AG55</f>
        <v>0</v>
      </c>
      <c r="AH49" s="866">
        <f>'12'!AH55</f>
        <v>0</v>
      </c>
      <c r="AI49" s="866">
        <f>'12'!AI55</f>
        <v>0</v>
      </c>
      <c r="AJ49" s="866">
        <f>'12'!AJ55</f>
        <v>0</v>
      </c>
      <c r="AK49" s="866">
        <f>'12'!AK55</f>
        <v>0</v>
      </c>
      <c r="AL49" s="866" t="e">
        <f>'12'!AL55</f>
        <v>#VALUE!</v>
      </c>
      <c r="AM49" s="866" t="e">
        <f>'12'!AM55</f>
        <v>#VALUE!</v>
      </c>
      <c r="AN49" s="866" t="e">
        <f>'12'!AN55</f>
        <v>#VALUE!</v>
      </c>
    </row>
    <row r="50" spans="1:44" ht="24.95" customHeight="1" thickBot="1">
      <c r="C50" t="s">
        <v>1</v>
      </c>
      <c r="J50" s="616"/>
      <c r="L50" s="417">
        <v>5000</v>
      </c>
      <c r="M50" s="417"/>
      <c r="N50" s="417">
        <f t="shared" ref="N50:N57" si="12">L50*M50</f>
        <v>0</v>
      </c>
      <c r="R50" s="19"/>
      <c r="S50" s="854" t="s">
        <v>166</v>
      </c>
      <c r="T50" s="852"/>
      <c r="U50" s="852"/>
      <c r="V50" s="852"/>
      <c r="W50" s="852"/>
      <c r="X50" s="852"/>
      <c r="Y50" s="852"/>
      <c r="Z50" s="852"/>
      <c r="AA50" s="852"/>
      <c r="AB50" s="852"/>
      <c r="AC50" s="852"/>
      <c r="AD50" s="852"/>
      <c r="AE50" s="852"/>
      <c r="AF50" s="852"/>
      <c r="AG50" s="855"/>
      <c r="AH50" s="852"/>
      <c r="AI50" s="852"/>
      <c r="AJ50" s="848"/>
      <c r="AK50" s="848"/>
      <c r="AL50" s="849"/>
      <c r="AM50" s="849"/>
      <c r="AN50" s="930"/>
    </row>
    <row r="51" spans="1:44" ht="24.95" customHeight="1" thickBot="1">
      <c r="L51" s="417">
        <v>1000</v>
      </c>
      <c r="M51" s="417"/>
      <c r="N51" s="417">
        <f t="shared" si="12"/>
        <v>0</v>
      </c>
      <c r="R51" s="19"/>
      <c r="S51" s="867" t="s">
        <v>91</v>
      </c>
      <c r="T51" s="868"/>
      <c r="U51" s="868"/>
      <c r="V51" s="868"/>
      <c r="W51" s="868"/>
      <c r="X51" s="868"/>
      <c r="Y51" s="868"/>
      <c r="Z51" s="868"/>
      <c r="AA51" s="868"/>
      <c r="AB51" s="868"/>
      <c r="AC51" s="868"/>
      <c r="AD51" s="868"/>
      <c r="AE51" s="868"/>
      <c r="AF51" s="868"/>
      <c r="AG51" s="869"/>
      <c r="AH51" s="868"/>
      <c r="AI51" s="870"/>
      <c r="AJ51" s="868"/>
      <c r="AK51" s="868"/>
      <c r="AL51" s="849"/>
      <c r="AM51" s="849"/>
      <c r="AN51" s="850"/>
    </row>
    <row r="52" spans="1:44" ht="24.95" customHeight="1" thickBot="1">
      <c r="L52" s="417">
        <v>500</v>
      </c>
      <c r="M52" s="417"/>
      <c r="N52" s="417">
        <f t="shared" si="12"/>
        <v>0</v>
      </c>
      <c r="O52" t="s">
        <v>1</v>
      </c>
      <c r="R52" s="19"/>
      <c r="S52" s="856" t="s">
        <v>167</v>
      </c>
      <c r="T52" s="857"/>
      <c r="U52" s="857"/>
      <c r="V52" s="857"/>
      <c r="W52" s="857"/>
      <c r="X52" s="857"/>
      <c r="Y52" s="857"/>
      <c r="Z52" s="857"/>
      <c r="AA52" s="857"/>
      <c r="AB52" s="857"/>
      <c r="AC52" s="857"/>
      <c r="AD52" s="857"/>
      <c r="AE52" s="857"/>
      <c r="AF52" s="857"/>
      <c r="AG52" s="858"/>
      <c r="AH52" s="859"/>
      <c r="AI52" s="860"/>
      <c r="AJ52" s="973"/>
      <c r="AK52" s="851"/>
      <c r="AL52" s="849"/>
      <c r="AM52" s="849"/>
      <c r="AN52" s="850"/>
    </row>
    <row r="53" spans="1:44" ht="24.95" customHeight="1" thickBot="1">
      <c r="L53" s="417">
        <v>100</v>
      </c>
      <c r="M53" s="417"/>
      <c r="N53" s="417">
        <f t="shared" si="12"/>
        <v>0</v>
      </c>
      <c r="R53" s="19"/>
      <c r="S53" s="871" t="s">
        <v>81</v>
      </c>
      <c r="T53" s="866">
        <f t="shared" ref="T53:AN53" si="13">SUM(T49+T50+T52)</f>
        <v>0</v>
      </c>
      <c r="U53" s="866">
        <f t="shared" si="13"/>
        <v>0</v>
      </c>
      <c r="V53" s="866">
        <f t="shared" si="13"/>
        <v>0</v>
      </c>
      <c r="W53" s="866">
        <f t="shared" si="13"/>
        <v>0</v>
      </c>
      <c r="X53" s="866">
        <f t="shared" si="13"/>
        <v>0</v>
      </c>
      <c r="Y53" s="866">
        <f t="shared" si="13"/>
        <v>0</v>
      </c>
      <c r="Z53" s="866">
        <f t="shared" si="13"/>
        <v>0</v>
      </c>
      <c r="AA53" s="866">
        <f t="shared" si="13"/>
        <v>0</v>
      </c>
      <c r="AB53" s="866">
        <f t="shared" si="13"/>
        <v>0</v>
      </c>
      <c r="AC53" s="866">
        <f t="shared" si="13"/>
        <v>0</v>
      </c>
      <c r="AD53" s="866">
        <f t="shared" si="13"/>
        <v>0</v>
      </c>
      <c r="AE53" s="866">
        <f t="shared" si="13"/>
        <v>0</v>
      </c>
      <c r="AF53" s="866">
        <f t="shared" si="13"/>
        <v>0</v>
      </c>
      <c r="AG53" s="866">
        <f t="shared" si="13"/>
        <v>0</v>
      </c>
      <c r="AH53" s="866">
        <f t="shared" si="13"/>
        <v>0</v>
      </c>
      <c r="AI53" s="866">
        <f t="shared" si="13"/>
        <v>0</v>
      </c>
      <c r="AJ53" s="866">
        <f t="shared" si="13"/>
        <v>0</v>
      </c>
      <c r="AK53" s="866">
        <f t="shared" si="13"/>
        <v>0</v>
      </c>
      <c r="AL53" s="866" t="e">
        <f t="shared" si="13"/>
        <v>#VALUE!</v>
      </c>
      <c r="AM53" s="866" t="e">
        <f t="shared" si="13"/>
        <v>#VALUE!</v>
      </c>
      <c r="AN53" s="872" t="e">
        <f t="shared" si="13"/>
        <v>#VALUE!</v>
      </c>
    </row>
    <row r="54" spans="1:44" ht="24.95" customHeight="1" thickBot="1">
      <c r="L54" s="417">
        <v>50</v>
      </c>
      <c r="M54" s="417"/>
      <c r="N54" s="417">
        <f t="shared" si="12"/>
        <v>0</v>
      </c>
      <c r="R54" s="19"/>
      <c r="S54" s="854" t="s">
        <v>168</v>
      </c>
      <c r="T54" s="852">
        <f>'CUSTOMERS REPORT'!B20+'CUSTOMERS REPORT'!B66+'CUSTOMERS REPORT'!B104+'CUSTOMERS REPORT'!B143+'CUSTOMERS REPORT'!B181+'CUSTOMERS REPORT'!B221+'CUSTOMERS REPORT'!B258+'CUSTOMERS REPORT'!B298+'CUSTOMERS REPORT'!B339+'CUSTOMERS REPORT'!B381+'CUSTOMERS REPORT'!B420+'CUSTOMERS REPORT'!B458+'CUSTOMERS REPORT'!B494+'CUSTOMERS REPORT'!B531+'CUSTOMERS REPORT'!B569+'CUSTOMERS REPORT'!B605+'CUSTOMERS REPORT'!B643+'CUSTOMERS REPORT'!B681+'CUSTOMERS REPORT'!B719+'CUSTOMERS REPORT'!B757+'CUSTOMERS REPORT'!B795+'CUSTOMERS REPORT'!B833+'CUSTOMERS REPORT'!B871+'CUSTOMERS REPORT'!B910+'CUSTOMERS REPORT'!B949+'CUSTOMERS REPORT'!B987+'CUSTOMERS REPORT'!B1025+'CUSTOMERS REPORT'!B1063+'CUSTOMERS REPORT'!B1101+'CUSTOMERS REPORT'!B1139+'CUSTOMERS REPORT'!B1176+'CUSTOMERS REPORT'!B1213+'CUSTOMERS REPORT'!B1250+'CUSTOMERS REPORT'!B1287+'CUSTOMERS REPORT'!B1324+'CUSTOMERS REPORT'!B1361+'CUSTOMERS REPORT'!B1398+'CUSTOMERS REPORT'!B1434</f>
        <v>0</v>
      </c>
      <c r="U54" s="852">
        <f>'CUSTOMERS REPORT'!C20+'CUSTOMERS REPORT'!C66+'CUSTOMERS REPORT'!C104+'CUSTOMERS REPORT'!C143+'CUSTOMERS REPORT'!C181+'CUSTOMERS REPORT'!C221+'CUSTOMERS REPORT'!C258+'CUSTOMERS REPORT'!C298+'CUSTOMERS REPORT'!C339+'CUSTOMERS REPORT'!C381+'CUSTOMERS REPORT'!C420+'CUSTOMERS REPORT'!C458+'CUSTOMERS REPORT'!C494+'CUSTOMERS REPORT'!C531+'CUSTOMERS REPORT'!C569+'CUSTOMERS REPORT'!C605+'CUSTOMERS REPORT'!C643+'CUSTOMERS REPORT'!C681+'CUSTOMERS REPORT'!C719+'CUSTOMERS REPORT'!C757+'CUSTOMERS REPORT'!C795+'CUSTOMERS REPORT'!C833+'CUSTOMERS REPORT'!C871+'CUSTOMERS REPORT'!C910+'CUSTOMERS REPORT'!C949+'CUSTOMERS REPORT'!C987+'CUSTOMERS REPORT'!C1025+'CUSTOMERS REPORT'!C1063+'CUSTOMERS REPORT'!C1101+'CUSTOMERS REPORT'!C1139+'CUSTOMERS REPORT'!C1176+'CUSTOMERS REPORT'!C1213+'CUSTOMERS REPORT'!C1250+'CUSTOMERS REPORT'!C1287+'CUSTOMERS REPORT'!C1324+'CUSTOMERS REPORT'!C1361+'CUSTOMERS REPORT'!C1398+'CUSTOMERS REPORT'!C1434</f>
        <v>0</v>
      </c>
      <c r="V54" s="852">
        <f>'CUSTOMERS REPORT'!D20+'CUSTOMERS REPORT'!D66+'CUSTOMERS REPORT'!D104+'CUSTOMERS REPORT'!D143+'CUSTOMERS REPORT'!D181+'CUSTOMERS REPORT'!D221+'CUSTOMERS REPORT'!D258+'CUSTOMERS REPORT'!D298+'CUSTOMERS REPORT'!D339+'CUSTOMERS REPORT'!D381+'CUSTOMERS REPORT'!D420+'CUSTOMERS REPORT'!D458+'CUSTOMERS REPORT'!D494+'CUSTOMERS REPORT'!D531+'CUSTOMERS REPORT'!D569+'CUSTOMERS REPORT'!D605+'CUSTOMERS REPORT'!D643+'CUSTOMERS REPORT'!D681+'CUSTOMERS REPORT'!D719+'CUSTOMERS REPORT'!D757+'CUSTOMERS REPORT'!D795+'CUSTOMERS REPORT'!D833+'CUSTOMERS REPORT'!D871+'CUSTOMERS REPORT'!D910+'CUSTOMERS REPORT'!D949+'CUSTOMERS REPORT'!D987+'CUSTOMERS REPORT'!D1025+'CUSTOMERS REPORT'!D1063+'CUSTOMERS REPORT'!D1101+'CUSTOMERS REPORT'!D1139+'CUSTOMERS REPORT'!D1176+'CUSTOMERS REPORT'!D1213+'CUSTOMERS REPORT'!D1250+'CUSTOMERS REPORT'!D1287+'CUSTOMERS REPORT'!D1324+'CUSTOMERS REPORT'!D1361+'CUSTOMERS REPORT'!D1398+'CUSTOMERS REPORT'!D1434</f>
        <v>0</v>
      </c>
      <c r="W54" s="852">
        <f>'CUSTOMERS REPORT'!E20+'CUSTOMERS REPORT'!E66+'CUSTOMERS REPORT'!E104+'CUSTOMERS REPORT'!E143+'CUSTOMERS REPORT'!E181+'CUSTOMERS REPORT'!E221+'CUSTOMERS REPORT'!E258+'CUSTOMERS REPORT'!E298+'CUSTOMERS REPORT'!E339+'CUSTOMERS REPORT'!E381+'CUSTOMERS REPORT'!E420+'CUSTOMERS REPORT'!E458+'CUSTOMERS REPORT'!E494+'CUSTOMERS REPORT'!E531+'CUSTOMERS REPORT'!E569+'CUSTOMERS REPORT'!E605+'CUSTOMERS REPORT'!E643+'CUSTOMERS REPORT'!E681+'CUSTOMERS REPORT'!E719+'CUSTOMERS REPORT'!E757+'CUSTOMERS REPORT'!E795+'CUSTOMERS REPORT'!E833+'CUSTOMERS REPORT'!E871+'CUSTOMERS REPORT'!E910+'CUSTOMERS REPORT'!E949+'CUSTOMERS REPORT'!E987+'CUSTOMERS REPORT'!E1025+'CUSTOMERS REPORT'!E1063+'CUSTOMERS REPORT'!E1101+'CUSTOMERS REPORT'!E1139+'CUSTOMERS REPORT'!E1176+'CUSTOMERS REPORT'!E1213+'CUSTOMERS REPORT'!E1250+'CUSTOMERS REPORT'!E1287+'CUSTOMERS REPORT'!E1324+'CUSTOMERS REPORT'!E1361+'CUSTOMERS REPORT'!E1398+'CUSTOMERS REPORT'!E1434</f>
        <v>0</v>
      </c>
      <c r="X54" s="852">
        <f>'CUSTOMERS REPORT'!F20+'CUSTOMERS REPORT'!F66+'CUSTOMERS REPORT'!F104+'CUSTOMERS REPORT'!F143+'CUSTOMERS REPORT'!F181+'CUSTOMERS REPORT'!F221+'CUSTOMERS REPORT'!F258+'CUSTOMERS REPORT'!F298+'CUSTOMERS REPORT'!F339+'CUSTOMERS REPORT'!F381+'CUSTOMERS REPORT'!F420+'CUSTOMERS REPORT'!F458+'CUSTOMERS REPORT'!F494+'CUSTOMERS REPORT'!F531+'CUSTOMERS REPORT'!F569+'CUSTOMERS REPORT'!F605+'CUSTOMERS REPORT'!F643+'CUSTOMERS REPORT'!F681+'CUSTOMERS REPORT'!F719+'CUSTOMERS REPORT'!F757+'CUSTOMERS REPORT'!F795+'CUSTOMERS REPORT'!F833+'CUSTOMERS REPORT'!F871+'CUSTOMERS REPORT'!F910+'CUSTOMERS REPORT'!F949+'CUSTOMERS REPORT'!F987+'CUSTOMERS REPORT'!F1025+'CUSTOMERS REPORT'!F1063+'CUSTOMERS REPORT'!F1101+'CUSTOMERS REPORT'!F1139+'CUSTOMERS REPORT'!F1176+'CUSTOMERS REPORT'!F1213+'CUSTOMERS REPORT'!F1250+'CUSTOMERS REPORT'!F1287+'CUSTOMERS REPORT'!F1324+'CUSTOMERS REPORT'!F1361+'CUSTOMERS REPORT'!F1398+'CUSTOMERS REPORT'!F1434</f>
        <v>0</v>
      </c>
      <c r="Y54" s="852">
        <f>'CUSTOMERS REPORT'!G20+'CUSTOMERS REPORT'!G66+'CUSTOMERS REPORT'!G104+'CUSTOMERS REPORT'!G143+'CUSTOMERS REPORT'!G181+'CUSTOMERS REPORT'!G221+'CUSTOMERS REPORT'!G258+'CUSTOMERS REPORT'!G298+'CUSTOMERS REPORT'!G339+'CUSTOMERS REPORT'!G381+'CUSTOMERS REPORT'!G420+'CUSTOMERS REPORT'!G458+'CUSTOMERS REPORT'!G494+'CUSTOMERS REPORT'!G531+'CUSTOMERS REPORT'!G569+'CUSTOMERS REPORT'!G605+'CUSTOMERS REPORT'!G643+'CUSTOMERS REPORT'!G681+'CUSTOMERS REPORT'!G719+'CUSTOMERS REPORT'!G757+'CUSTOMERS REPORT'!G795+'CUSTOMERS REPORT'!G833+'CUSTOMERS REPORT'!G871+'CUSTOMERS REPORT'!G910+'CUSTOMERS REPORT'!G949+'CUSTOMERS REPORT'!G987+'CUSTOMERS REPORT'!G1025+'CUSTOMERS REPORT'!G1063+'CUSTOMERS REPORT'!G1101+'CUSTOMERS REPORT'!G1139+'CUSTOMERS REPORT'!G1176+'CUSTOMERS REPORT'!G1213+'CUSTOMERS REPORT'!G1250+'CUSTOMERS REPORT'!G1287+'CUSTOMERS REPORT'!G1324+'CUSTOMERS REPORT'!G1361+'CUSTOMERS REPORT'!G1398+'CUSTOMERS REPORT'!G1434</f>
        <v>0</v>
      </c>
      <c r="Z54" s="852">
        <f>'CUSTOMERS REPORT'!H20+'CUSTOMERS REPORT'!H66+'CUSTOMERS REPORT'!H104+'CUSTOMERS REPORT'!H143+'CUSTOMERS REPORT'!H181+'CUSTOMERS REPORT'!H221+'CUSTOMERS REPORT'!H258+'CUSTOMERS REPORT'!H298+'CUSTOMERS REPORT'!H339+'CUSTOMERS REPORT'!H381+'CUSTOMERS REPORT'!H420+'CUSTOMERS REPORT'!H458+'CUSTOMERS REPORT'!H494+'CUSTOMERS REPORT'!H531+'CUSTOMERS REPORT'!H569+'CUSTOMERS REPORT'!H605+'CUSTOMERS REPORT'!H643+'CUSTOMERS REPORT'!H681+'CUSTOMERS REPORT'!H719+'CUSTOMERS REPORT'!H757+'CUSTOMERS REPORT'!H795+'CUSTOMERS REPORT'!H833+'CUSTOMERS REPORT'!H871+'CUSTOMERS REPORT'!H910+'CUSTOMERS REPORT'!H949+'CUSTOMERS REPORT'!H987+'CUSTOMERS REPORT'!H1025+'CUSTOMERS REPORT'!H1063+'CUSTOMERS REPORT'!H1101+'CUSTOMERS REPORT'!H1139+'CUSTOMERS REPORT'!H1176+'CUSTOMERS REPORT'!H1213+'CUSTOMERS REPORT'!H1250+'CUSTOMERS REPORT'!H1287+'CUSTOMERS REPORT'!H1324+'CUSTOMERS REPORT'!H1361+'CUSTOMERS REPORT'!H1398+'CUSTOMERS REPORT'!H1434</f>
        <v>0</v>
      </c>
      <c r="AA54" s="852">
        <f>'CUSTOMERS REPORT'!I20+'CUSTOMERS REPORT'!I66+'CUSTOMERS REPORT'!I104+'CUSTOMERS REPORT'!I143+'CUSTOMERS REPORT'!I181+'CUSTOMERS REPORT'!I221+'CUSTOMERS REPORT'!I258+'CUSTOMERS REPORT'!I298+'CUSTOMERS REPORT'!I339+'CUSTOMERS REPORT'!I381+'CUSTOMERS REPORT'!I420+'CUSTOMERS REPORT'!I458+'CUSTOMERS REPORT'!I494+'CUSTOMERS REPORT'!I531+'CUSTOMERS REPORT'!I569+'CUSTOMERS REPORT'!I605+'CUSTOMERS REPORT'!I643+'CUSTOMERS REPORT'!I681+'CUSTOMERS REPORT'!I719+'CUSTOMERS REPORT'!I757+'CUSTOMERS REPORT'!I795+'CUSTOMERS REPORT'!I833+'CUSTOMERS REPORT'!I871+'CUSTOMERS REPORT'!I910+'CUSTOMERS REPORT'!I949+'CUSTOMERS REPORT'!I987+'CUSTOMERS REPORT'!I1025+'CUSTOMERS REPORT'!I1063+'CUSTOMERS REPORT'!I1101+'CUSTOMERS REPORT'!I1139+'CUSTOMERS REPORT'!I1176+'CUSTOMERS REPORT'!I1213+'CUSTOMERS REPORT'!I1250+'CUSTOMERS REPORT'!I1287+'CUSTOMERS REPORT'!I1324+'CUSTOMERS REPORT'!I1361+'CUSTOMERS REPORT'!I1398+'CUSTOMERS REPORT'!I1434</f>
        <v>0</v>
      </c>
      <c r="AB54" s="852">
        <f>'CUSTOMERS REPORT'!J20+'CUSTOMERS REPORT'!J66+'CUSTOMERS REPORT'!J104+'CUSTOMERS REPORT'!J143+'CUSTOMERS REPORT'!J181+'CUSTOMERS REPORT'!J221+'CUSTOMERS REPORT'!J258+'CUSTOMERS REPORT'!J298+'CUSTOMERS REPORT'!J339+'CUSTOMERS REPORT'!J381+'CUSTOMERS REPORT'!J420+'CUSTOMERS REPORT'!J458+'CUSTOMERS REPORT'!J494+'CUSTOMERS REPORT'!J531+'CUSTOMERS REPORT'!J569+'CUSTOMERS REPORT'!J605+'CUSTOMERS REPORT'!J643+'CUSTOMERS REPORT'!J681+'CUSTOMERS REPORT'!J719+'CUSTOMERS REPORT'!J757+'CUSTOMERS REPORT'!J795+'CUSTOMERS REPORT'!J833+'CUSTOMERS REPORT'!J871+'CUSTOMERS REPORT'!J910+'CUSTOMERS REPORT'!J949+'CUSTOMERS REPORT'!J987+'CUSTOMERS REPORT'!J1025+'CUSTOMERS REPORT'!J1063+'CUSTOMERS REPORT'!J1101+'CUSTOMERS REPORT'!J1139+'CUSTOMERS REPORT'!J1176+'CUSTOMERS REPORT'!J1213+'CUSTOMERS REPORT'!J1250+'CUSTOMERS REPORT'!J1287+'CUSTOMERS REPORT'!J1324+'CUSTOMERS REPORT'!J1361+'CUSTOMERS REPORT'!J1398+'CUSTOMERS REPORT'!J1434</f>
        <v>0</v>
      </c>
      <c r="AC54" s="852">
        <f>'CUSTOMERS REPORT'!K20+'CUSTOMERS REPORT'!K66+'CUSTOMERS REPORT'!K104+'CUSTOMERS REPORT'!K143+'CUSTOMERS REPORT'!K181+'CUSTOMERS REPORT'!K221+'CUSTOMERS REPORT'!K258+'CUSTOMERS REPORT'!K298+'CUSTOMERS REPORT'!K339+'CUSTOMERS REPORT'!K381+'CUSTOMERS REPORT'!K420+'CUSTOMERS REPORT'!K458+'CUSTOMERS REPORT'!K494+'CUSTOMERS REPORT'!K531+'CUSTOMERS REPORT'!K569+'CUSTOMERS REPORT'!K605+'CUSTOMERS REPORT'!K643+'CUSTOMERS REPORT'!K681+'CUSTOMERS REPORT'!K719+'CUSTOMERS REPORT'!K757+'CUSTOMERS REPORT'!K795+'CUSTOMERS REPORT'!K833+'CUSTOMERS REPORT'!K871+'CUSTOMERS REPORT'!K910+'CUSTOMERS REPORT'!K949+'CUSTOMERS REPORT'!K987+'CUSTOMERS REPORT'!K1025+'CUSTOMERS REPORT'!K1063+'CUSTOMERS REPORT'!K1101+'CUSTOMERS REPORT'!K1139+'CUSTOMERS REPORT'!K1176+'CUSTOMERS REPORT'!K1213+'CUSTOMERS REPORT'!K1250+'CUSTOMERS REPORT'!K1287+'CUSTOMERS REPORT'!K1324+'CUSTOMERS REPORT'!K1361+'CUSTOMERS REPORT'!K1398+'CUSTOMERS REPORT'!K1434</f>
        <v>0</v>
      </c>
      <c r="AD54" s="852">
        <f>'CUSTOMERS REPORT'!L20+'CUSTOMERS REPORT'!L66+'CUSTOMERS REPORT'!L104+'CUSTOMERS REPORT'!L143+'CUSTOMERS REPORT'!L181+'CUSTOMERS REPORT'!L221+'CUSTOMERS REPORT'!L258+'CUSTOMERS REPORT'!L298+'CUSTOMERS REPORT'!L339+'CUSTOMERS REPORT'!L381+'CUSTOMERS REPORT'!L420+'CUSTOMERS REPORT'!L458+'CUSTOMERS REPORT'!L494+'CUSTOMERS REPORT'!L531+'CUSTOMERS REPORT'!L569+'CUSTOMERS REPORT'!L605+'CUSTOMERS REPORT'!L643+'CUSTOMERS REPORT'!L681+'CUSTOMERS REPORT'!L719+'CUSTOMERS REPORT'!L757+'CUSTOMERS REPORT'!L795+'CUSTOMERS REPORT'!L833+'CUSTOMERS REPORT'!L871+'CUSTOMERS REPORT'!L910+'CUSTOMERS REPORT'!L949+'CUSTOMERS REPORT'!L987+'CUSTOMERS REPORT'!L1025+'CUSTOMERS REPORT'!L1063+'CUSTOMERS REPORT'!L1101+'CUSTOMERS REPORT'!L1139+'CUSTOMERS REPORT'!L1176+'CUSTOMERS REPORT'!L1213+'CUSTOMERS REPORT'!L1250+'CUSTOMERS REPORT'!L1287+'CUSTOMERS REPORT'!L1324+'CUSTOMERS REPORT'!L1361+'CUSTOMERS REPORT'!L1398+'CUSTOMERS REPORT'!L1434</f>
        <v>0</v>
      </c>
      <c r="AE54" s="852">
        <f>'CUSTOMERS REPORT'!M20+'CUSTOMERS REPORT'!M66+'CUSTOMERS REPORT'!M104+'CUSTOMERS REPORT'!M143+'CUSTOMERS REPORT'!M181+'CUSTOMERS REPORT'!M221+'CUSTOMERS REPORT'!M258+'CUSTOMERS REPORT'!M298+'CUSTOMERS REPORT'!M339+'CUSTOMERS REPORT'!M381+'CUSTOMERS REPORT'!M420+'CUSTOMERS REPORT'!M458+'CUSTOMERS REPORT'!M494+'CUSTOMERS REPORT'!M531+'CUSTOMERS REPORT'!M569+'CUSTOMERS REPORT'!M605+'CUSTOMERS REPORT'!M643+'CUSTOMERS REPORT'!M681+'CUSTOMERS REPORT'!M719+'CUSTOMERS REPORT'!M757+'CUSTOMERS REPORT'!M795+'CUSTOMERS REPORT'!M833+'CUSTOMERS REPORT'!M871+'CUSTOMERS REPORT'!M910+'CUSTOMERS REPORT'!M949+'CUSTOMERS REPORT'!M987+'CUSTOMERS REPORT'!M1025+'CUSTOMERS REPORT'!M1063+'CUSTOMERS REPORT'!M1101+'CUSTOMERS REPORT'!M1139+'CUSTOMERS REPORT'!M1176+'CUSTOMERS REPORT'!M1213+'CUSTOMERS REPORT'!M1250+'CUSTOMERS REPORT'!M1287+'CUSTOMERS REPORT'!M1324+'CUSTOMERS REPORT'!M1361+'CUSTOMERS REPORT'!M1398+'CUSTOMERS REPORT'!M1434</f>
        <v>0</v>
      </c>
      <c r="AF54" s="852">
        <f>'CUSTOMERS REPORT'!N20+'CUSTOMERS REPORT'!N66+'CUSTOMERS REPORT'!N104+'CUSTOMERS REPORT'!N143+'CUSTOMERS REPORT'!N181+'CUSTOMERS REPORT'!N221+'CUSTOMERS REPORT'!N258+'CUSTOMERS REPORT'!N298+'CUSTOMERS REPORT'!N339+'CUSTOMERS REPORT'!N381+'CUSTOMERS REPORT'!N420+'CUSTOMERS REPORT'!N458+'CUSTOMERS REPORT'!N494+'CUSTOMERS REPORT'!N531+'CUSTOMERS REPORT'!N569+'CUSTOMERS REPORT'!N605+'CUSTOMERS REPORT'!N643+'CUSTOMERS REPORT'!N681+'CUSTOMERS REPORT'!N719+'CUSTOMERS REPORT'!N757+'CUSTOMERS REPORT'!N795+'CUSTOMERS REPORT'!N833+'CUSTOMERS REPORT'!N871+'CUSTOMERS REPORT'!N910+'CUSTOMERS REPORT'!N949+'CUSTOMERS REPORT'!N987+'CUSTOMERS REPORT'!N1025+'CUSTOMERS REPORT'!N1063+'CUSTOMERS REPORT'!N1101+'CUSTOMERS REPORT'!N1139+'CUSTOMERS REPORT'!N1176+'CUSTOMERS REPORT'!N1213+'CUSTOMERS REPORT'!N1250+'CUSTOMERS REPORT'!N1287+'CUSTOMERS REPORT'!N1324+'CUSTOMERS REPORT'!N1361+'CUSTOMERS REPORT'!N1398+'CUSTOMERS REPORT'!N1434</f>
        <v>0</v>
      </c>
      <c r="AG54" s="852">
        <f>'CUSTOMERS REPORT'!O20+'CUSTOMERS REPORT'!O66+'CUSTOMERS REPORT'!O104+'CUSTOMERS REPORT'!O143+'CUSTOMERS REPORT'!O181+'CUSTOMERS REPORT'!O221+'CUSTOMERS REPORT'!O258+'CUSTOMERS REPORT'!O298+'CUSTOMERS REPORT'!O339+'CUSTOMERS REPORT'!O381+'CUSTOMERS REPORT'!O420+'CUSTOMERS REPORT'!O458+'CUSTOMERS REPORT'!O494+'CUSTOMERS REPORT'!O531+'CUSTOMERS REPORT'!O569+'CUSTOMERS REPORT'!O605+'CUSTOMERS REPORT'!O643+'CUSTOMERS REPORT'!O681+'CUSTOMERS REPORT'!O719+'CUSTOMERS REPORT'!O757+'CUSTOMERS REPORT'!O795+'CUSTOMERS REPORT'!O833+'CUSTOMERS REPORT'!O871+'CUSTOMERS REPORT'!O910+'CUSTOMERS REPORT'!O949+'CUSTOMERS REPORT'!O987+'CUSTOMERS REPORT'!O1025+'CUSTOMERS REPORT'!O1063+'CUSTOMERS REPORT'!O1101+'CUSTOMERS REPORT'!O1139+'CUSTOMERS REPORT'!O1176+'CUSTOMERS REPORT'!O1213+'CUSTOMERS REPORT'!O1250+'CUSTOMERS REPORT'!O1287+'CUSTOMERS REPORT'!O1324+'CUSTOMERS REPORT'!O1361+'CUSTOMERS REPORT'!O1398+'CUSTOMERS REPORT'!O1434</f>
        <v>0</v>
      </c>
      <c r="AH54" s="852">
        <f>'CUSTOMERS REPORT'!P20+'CUSTOMERS REPORT'!P66+'CUSTOMERS REPORT'!P104+'CUSTOMERS REPORT'!P143+'CUSTOMERS REPORT'!P181+'CUSTOMERS REPORT'!P221+'CUSTOMERS REPORT'!P258+'CUSTOMERS REPORT'!P298+'CUSTOMERS REPORT'!P339+'CUSTOMERS REPORT'!P381+'CUSTOMERS REPORT'!P420+'CUSTOMERS REPORT'!P458+'CUSTOMERS REPORT'!P494+'CUSTOMERS REPORT'!P531+'CUSTOMERS REPORT'!P569+'CUSTOMERS REPORT'!P605+'CUSTOMERS REPORT'!P643+'CUSTOMERS REPORT'!P681+'CUSTOMERS REPORT'!P719+'CUSTOMERS REPORT'!P757+'CUSTOMERS REPORT'!P795+'CUSTOMERS REPORT'!P833+'CUSTOMERS REPORT'!P871+'CUSTOMERS REPORT'!P910+'CUSTOMERS REPORT'!P949+'CUSTOMERS REPORT'!P987+'CUSTOMERS REPORT'!P1025+'CUSTOMERS REPORT'!P1063+'CUSTOMERS REPORT'!P1101+'CUSTOMERS REPORT'!P1139+'CUSTOMERS REPORT'!P1176+'CUSTOMERS REPORT'!P1213+'CUSTOMERS REPORT'!P1250+'CUSTOMERS REPORT'!P1287+'CUSTOMERS REPORT'!P1324+'CUSTOMERS REPORT'!P1361+'CUSTOMERS REPORT'!P1398+'CUSTOMERS REPORT'!P1434</f>
        <v>0</v>
      </c>
      <c r="AI54" s="852">
        <f>'CUSTOMERS REPORT'!Q20+'CUSTOMERS REPORT'!Q66+'CUSTOMERS REPORT'!Q104+'CUSTOMERS REPORT'!Q143+'CUSTOMERS REPORT'!Q181+'CUSTOMERS REPORT'!Q221+'CUSTOMERS REPORT'!Q258+'CUSTOMERS REPORT'!Q298+'CUSTOMERS REPORT'!Q339+'CUSTOMERS REPORT'!Q381+'CUSTOMERS REPORT'!Q420+'CUSTOMERS REPORT'!Q458+'CUSTOMERS REPORT'!Q494+'CUSTOMERS REPORT'!Q531+'CUSTOMERS REPORT'!Q569+'CUSTOMERS REPORT'!Q605+'CUSTOMERS REPORT'!Q643+'CUSTOMERS REPORT'!Q681+'CUSTOMERS REPORT'!Q719+'CUSTOMERS REPORT'!Q757+'CUSTOMERS REPORT'!Q795+'CUSTOMERS REPORT'!Q833+'CUSTOMERS REPORT'!Q871+'CUSTOMERS REPORT'!Q910+'CUSTOMERS REPORT'!Q949+'CUSTOMERS REPORT'!Q987+'CUSTOMERS REPORT'!Q1025+'CUSTOMERS REPORT'!Q1063+'CUSTOMERS REPORT'!Q1101+'CUSTOMERS REPORT'!Q1139+'CUSTOMERS REPORT'!Q1176+'CUSTOMERS REPORT'!Q1213+'CUSTOMERS REPORT'!Q1250+'CUSTOMERS REPORT'!Q1287+'CUSTOMERS REPORT'!Q1324+'CUSTOMERS REPORT'!Q1361+'CUSTOMERS REPORT'!Q1398+'CUSTOMERS REPORT'!Q1434</f>
        <v>0</v>
      </c>
      <c r="AJ54" s="852">
        <f>'CUSTOMERS REPORT'!R20+'CUSTOMERS REPORT'!R66+'CUSTOMERS REPORT'!R104+'CUSTOMERS REPORT'!R143+'CUSTOMERS REPORT'!R181+'CUSTOMERS REPORT'!R221+'CUSTOMERS REPORT'!R258+'CUSTOMERS REPORT'!R298+'CUSTOMERS REPORT'!R339+'CUSTOMERS REPORT'!R381+'CUSTOMERS REPORT'!R420+'CUSTOMERS REPORT'!R458+'CUSTOMERS REPORT'!R494+'CUSTOMERS REPORT'!R531+'CUSTOMERS REPORT'!R569+'CUSTOMERS REPORT'!R605+'CUSTOMERS REPORT'!R643+'CUSTOMERS REPORT'!R681+'CUSTOMERS REPORT'!R719+'CUSTOMERS REPORT'!R757+'CUSTOMERS REPORT'!R795+'CUSTOMERS REPORT'!R833+'CUSTOMERS REPORT'!R871+'CUSTOMERS REPORT'!R910+'CUSTOMERS REPORT'!R949+'CUSTOMERS REPORT'!R987+'CUSTOMERS REPORT'!R1025+'CUSTOMERS REPORT'!R1063+'CUSTOMERS REPORT'!R1101+'CUSTOMERS REPORT'!R1139+'CUSTOMERS REPORT'!R1176+'CUSTOMERS REPORT'!R1213+'CUSTOMERS REPORT'!R1250+'CUSTOMERS REPORT'!R1287+'CUSTOMERS REPORT'!R1324+'CUSTOMERS REPORT'!R1361+'CUSTOMERS REPORT'!R1398+'CUSTOMERS REPORT'!R1434</f>
        <v>0</v>
      </c>
      <c r="AK54" s="852">
        <f>'CUSTOMERS REPORT'!S20+'CUSTOMERS REPORT'!S66+'CUSTOMERS REPORT'!S104+'CUSTOMERS REPORT'!S143+'CUSTOMERS REPORT'!S181+'CUSTOMERS REPORT'!S221+'CUSTOMERS REPORT'!S258+'CUSTOMERS REPORT'!S298+'CUSTOMERS REPORT'!S339+'CUSTOMERS REPORT'!S381+'CUSTOMERS REPORT'!S420+'CUSTOMERS REPORT'!S458+'CUSTOMERS REPORT'!S494+'CUSTOMERS REPORT'!S531+'CUSTOMERS REPORT'!S569+'CUSTOMERS REPORT'!S605+'CUSTOMERS REPORT'!S643+'CUSTOMERS REPORT'!S681+'CUSTOMERS REPORT'!S719+'CUSTOMERS REPORT'!S757+'CUSTOMERS REPORT'!S795+'CUSTOMERS REPORT'!S833+'CUSTOMERS REPORT'!S871+'CUSTOMERS REPORT'!S910+'CUSTOMERS REPORT'!S949+'CUSTOMERS REPORT'!S987+'CUSTOMERS REPORT'!S1025+'CUSTOMERS REPORT'!S1063+'CUSTOMERS REPORT'!S1101+'CUSTOMERS REPORT'!S1139+'CUSTOMERS REPORT'!S1176+'CUSTOMERS REPORT'!S1213+'CUSTOMERS REPORT'!S1250+'CUSTOMERS REPORT'!S1287+'CUSTOMERS REPORT'!S1324+'CUSTOMERS REPORT'!S1361+'CUSTOMERS REPORT'!S1398+'CUSTOMERS REPORT'!S1434</f>
        <v>0</v>
      </c>
      <c r="AL54" s="852" t="e">
        <f>'CUSTOMERS REPORT'!T20+'CUSTOMERS REPORT'!T66+'CUSTOMERS REPORT'!T104+'CUSTOMERS REPORT'!T143+'CUSTOMERS REPORT'!T181+'CUSTOMERS REPORT'!T221+'CUSTOMERS REPORT'!T258+'CUSTOMERS REPORT'!T298+'CUSTOMERS REPORT'!T339+'CUSTOMERS REPORT'!T381+'CUSTOMERS REPORT'!T420+'CUSTOMERS REPORT'!T458+'CUSTOMERS REPORT'!T494+'CUSTOMERS REPORT'!T531+'CUSTOMERS REPORT'!T569+'CUSTOMERS REPORT'!T605+'CUSTOMERS REPORT'!T643+'CUSTOMERS REPORT'!T681+'CUSTOMERS REPORT'!T719+'CUSTOMERS REPORT'!T757+'CUSTOMERS REPORT'!T795+'CUSTOMERS REPORT'!T833+'CUSTOMERS REPORT'!T871+'CUSTOMERS REPORT'!T910+'CUSTOMERS REPORT'!T949+'CUSTOMERS REPORT'!T987+'CUSTOMERS REPORT'!T1025+'CUSTOMERS REPORT'!T1063+'CUSTOMERS REPORT'!T1101+'CUSTOMERS REPORT'!T1139+'CUSTOMERS REPORT'!T1176+'CUSTOMERS REPORT'!T1213+'CUSTOMERS REPORT'!T1250+'CUSTOMERS REPORT'!T1287+'CUSTOMERS REPORT'!T1324+'CUSTOMERS REPORT'!T1361+'CUSTOMERS REPORT'!T1398+'CUSTOMERS REPORT'!T1434</f>
        <v>#VALUE!</v>
      </c>
      <c r="AM54" s="852" t="e">
        <f>'CUSTOMERS REPORT'!U20+'CUSTOMERS REPORT'!U66+'CUSTOMERS REPORT'!U104+'CUSTOMERS REPORT'!U143+'CUSTOMERS REPORT'!U181+'CUSTOMERS REPORT'!U221+'CUSTOMERS REPORT'!U258+'CUSTOMERS REPORT'!U298+'CUSTOMERS REPORT'!U339+'CUSTOMERS REPORT'!U381+'CUSTOMERS REPORT'!U420+'CUSTOMERS REPORT'!U458+'CUSTOMERS REPORT'!U494+'CUSTOMERS REPORT'!U531+'CUSTOMERS REPORT'!U569+'CUSTOMERS REPORT'!U605+'CUSTOMERS REPORT'!U643+'CUSTOMERS REPORT'!U681+'CUSTOMERS REPORT'!U719+'CUSTOMERS REPORT'!U757+'CUSTOMERS REPORT'!U795+'CUSTOMERS REPORT'!U833+'CUSTOMERS REPORT'!U871+'CUSTOMERS REPORT'!U910+'CUSTOMERS REPORT'!U949+'CUSTOMERS REPORT'!U987+'CUSTOMERS REPORT'!U1025+'CUSTOMERS REPORT'!U1063+'CUSTOMERS REPORT'!U1101+'CUSTOMERS REPORT'!U1139+'CUSTOMERS REPORT'!U1176+'CUSTOMERS REPORT'!U1213+'CUSTOMERS REPORT'!U1250+'CUSTOMERS REPORT'!U1287+'CUSTOMERS REPORT'!U1324+'CUSTOMERS REPORT'!U1361+'CUSTOMERS REPORT'!U1398+'CUSTOMERS REPORT'!U1434</f>
        <v>#VALUE!</v>
      </c>
      <c r="AN54" s="852" t="e">
        <f>'CUSTOMERS REPORT'!V20+'CUSTOMERS REPORT'!V66+'CUSTOMERS REPORT'!V104+'CUSTOMERS REPORT'!V143+'CUSTOMERS REPORT'!V181+'CUSTOMERS REPORT'!V221+'CUSTOMERS REPORT'!V258+'CUSTOMERS REPORT'!V298+'CUSTOMERS REPORT'!V339+'CUSTOMERS REPORT'!V381+'CUSTOMERS REPORT'!V420+'CUSTOMERS REPORT'!V458+'CUSTOMERS REPORT'!V494+'CUSTOMERS REPORT'!V531+'CUSTOMERS REPORT'!V569+'CUSTOMERS REPORT'!V605+'CUSTOMERS REPORT'!V643+'CUSTOMERS REPORT'!V681+'CUSTOMERS REPORT'!V719+'CUSTOMERS REPORT'!V757+'CUSTOMERS REPORT'!V795+'CUSTOMERS REPORT'!V833+'CUSTOMERS REPORT'!V871+'CUSTOMERS REPORT'!V910+'CUSTOMERS REPORT'!V949+'CUSTOMERS REPORT'!V987+'CUSTOMERS REPORT'!V1025+'CUSTOMERS REPORT'!V1063+'CUSTOMERS REPORT'!V1101+'CUSTOMERS REPORT'!V1139+'CUSTOMERS REPORT'!V1176+'CUSTOMERS REPORT'!V1213+'CUSTOMERS REPORT'!V1250+'CUSTOMERS REPORT'!V1287+'CUSTOMERS REPORT'!V1324+'CUSTOMERS REPORT'!V1361+'CUSTOMERS REPORT'!V1398+'CUSTOMERS REPORT'!V1434</f>
        <v>#VALUE!</v>
      </c>
      <c r="AR54" t="s">
        <v>1</v>
      </c>
    </row>
    <row r="55" spans="1:44" ht="24.95" customHeight="1" thickBot="1">
      <c r="L55" s="417">
        <v>20</v>
      </c>
      <c r="M55" s="417"/>
      <c r="N55" s="417">
        <f t="shared" si="12"/>
        <v>0</v>
      </c>
      <c r="R55" s="123">
        <f>'12'!R57</f>
        <v>0</v>
      </c>
      <c r="S55" s="865" t="s">
        <v>169</v>
      </c>
      <c r="T55" s="866">
        <f t="shared" ref="T55:AN55" si="14">T53-T54-T51</f>
        <v>0</v>
      </c>
      <c r="U55" s="866">
        <f t="shared" si="14"/>
        <v>0</v>
      </c>
      <c r="V55" s="866">
        <f t="shared" si="14"/>
        <v>0</v>
      </c>
      <c r="W55" s="866">
        <f t="shared" si="14"/>
        <v>0</v>
      </c>
      <c r="X55" s="866">
        <f t="shared" si="14"/>
        <v>0</v>
      </c>
      <c r="Y55" s="866">
        <f t="shared" si="14"/>
        <v>0</v>
      </c>
      <c r="Z55" s="866">
        <f t="shared" si="14"/>
        <v>0</v>
      </c>
      <c r="AA55" s="866">
        <f t="shared" si="14"/>
        <v>0</v>
      </c>
      <c r="AB55" s="866">
        <f t="shared" si="14"/>
        <v>0</v>
      </c>
      <c r="AC55" s="866">
        <f t="shared" si="14"/>
        <v>0</v>
      </c>
      <c r="AD55" s="866">
        <f t="shared" si="14"/>
        <v>0</v>
      </c>
      <c r="AE55" s="866">
        <f t="shared" si="14"/>
        <v>0</v>
      </c>
      <c r="AF55" s="866">
        <f>AF53-AF54-AF51</f>
        <v>0</v>
      </c>
      <c r="AG55" s="866">
        <f t="shared" si="14"/>
        <v>0</v>
      </c>
      <c r="AH55" s="866">
        <f t="shared" si="14"/>
        <v>0</v>
      </c>
      <c r="AI55" s="866">
        <f t="shared" si="14"/>
        <v>0</v>
      </c>
      <c r="AJ55" s="866">
        <f t="shared" si="14"/>
        <v>0</v>
      </c>
      <c r="AK55" s="866">
        <f t="shared" si="14"/>
        <v>0</v>
      </c>
      <c r="AL55" s="866" t="e">
        <f t="shared" si="14"/>
        <v>#VALUE!</v>
      </c>
      <c r="AM55" s="866" t="e">
        <f t="shared" si="14"/>
        <v>#VALUE!</v>
      </c>
      <c r="AN55" s="872" t="e">
        <f t="shared" si="14"/>
        <v>#VALUE!</v>
      </c>
    </row>
    <row r="56" spans="1:44" ht="28.5" thickBot="1">
      <c r="A56" s="114"/>
      <c r="B56" s="120"/>
      <c r="C56" s="115"/>
      <c r="L56" s="417">
        <v>10</v>
      </c>
      <c r="M56" s="417"/>
      <c r="N56" s="417">
        <f t="shared" si="12"/>
        <v>0</v>
      </c>
      <c r="R56" s="123">
        <f>T56+U56+V56+W56+X56+Y56+Z56+AA56+AB56+AC56+AD56+AE56+AF56+AG56+AH56+AI56+AJ56+AK56+AL56+AM56+AN56</f>
        <v>0</v>
      </c>
      <c r="S56" s="874" t="s">
        <v>170</v>
      </c>
      <c r="T56" s="875"/>
      <c r="U56" s="875"/>
      <c r="V56" s="875"/>
      <c r="W56" s="875"/>
      <c r="X56" s="875"/>
      <c r="Y56" s="875"/>
      <c r="Z56" s="876"/>
      <c r="AA56" s="875"/>
      <c r="AB56" s="875"/>
      <c r="AC56" s="875"/>
      <c r="AD56" s="875"/>
      <c r="AE56" s="875"/>
      <c r="AF56" s="875"/>
      <c r="AG56" s="875"/>
      <c r="AH56" s="875"/>
      <c r="AI56" s="875"/>
      <c r="AJ56" s="877"/>
      <c r="AK56" s="877"/>
      <c r="AL56" s="52"/>
      <c r="AM56" s="52"/>
      <c r="AN56" s="928"/>
    </row>
    <row r="57" spans="1:44" ht="27" customHeight="1" thickBot="1">
      <c r="A57" s="114"/>
      <c r="B57" s="131"/>
      <c r="C57" s="115"/>
      <c r="D57" s="115"/>
      <c r="E57" s="19"/>
      <c r="F57" s="19"/>
      <c r="G57" s="19"/>
      <c r="H57" s="19"/>
      <c r="I57" s="19"/>
      <c r="J57" s="19"/>
      <c r="K57" s="19"/>
      <c r="L57" s="418">
        <v>1</v>
      </c>
      <c r="M57" s="418"/>
      <c r="N57" s="417">
        <f t="shared" si="12"/>
        <v>0</v>
      </c>
      <c r="O57" s="19"/>
      <c r="R57" s="736">
        <f>SUM(R55:R56)</f>
        <v>0</v>
      </c>
      <c r="S57" s="882" t="s">
        <v>23</v>
      </c>
      <c r="T57" s="883" t="e">
        <f t="shared" ref="T57:AI57" si="15">T50/T56</f>
        <v>#DIV/0!</v>
      </c>
      <c r="U57" s="883" t="e">
        <f t="shared" si="15"/>
        <v>#DIV/0!</v>
      </c>
      <c r="V57" s="883" t="e">
        <f t="shared" si="15"/>
        <v>#DIV/0!</v>
      </c>
      <c r="W57" s="883" t="e">
        <f t="shared" si="15"/>
        <v>#DIV/0!</v>
      </c>
      <c r="X57" s="883" t="e">
        <f t="shared" si="15"/>
        <v>#DIV/0!</v>
      </c>
      <c r="Y57" s="883" t="e">
        <f t="shared" si="15"/>
        <v>#DIV/0!</v>
      </c>
      <c r="Z57" s="883" t="e">
        <f t="shared" si="15"/>
        <v>#DIV/0!</v>
      </c>
      <c r="AA57" s="883" t="e">
        <f t="shared" si="15"/>
        <v>#DIV/0!</v>
      </c>
      <c r="AB57" s="883" t="e">
        <f t="shared" si="15"/>
        <v>#DIV/0!</v>
      </c>
      <c r="AC57" s="883" t="e">
        <f t="shared" si="15"/>
        <v>#DIV/0!</v>
      </c>
      <c r="AD57" s="883" t="e">
        <f t="shared" si="15"/>
        <v>#DIV/0!</v>
      </c>
      <c r="AE57" s="883" t="e">
        <f t="shared" si="15"/>
        <v>#DIV/0!</v>
      </c>
      <c r="AF57" s="883" t="e">
        <f t="shared" si="15"/>
        <v>#DIV/0!</v>
      </c>
      <c r="AG57" s="883" t="e">
        <f t="shared" si="15"/>
        <v>#DIV/0!</v>
      </c>
      <c r="AH57" s="883" t="e">
        <f t="shared" si="15"/>
        <v>#DIV/0!</v>
      </c>
      <c r="AI57" s="883" t="e">
        <f t="shared" si="15"/>
        <v>#DIV/0!</v>
      </c>
      <c r="AJ57" s="883" t="e">
        <f>AJ50/AJ56</f>
        <v>#DIV/0!</v>
      </c>
      <c r="AK57" s="883" t="e">
        <f>AK50/AK56</f>
        <v>#DIV/0!</v>
      </c>
      <c r="AL57" s="883" t="e">
        <f t="shared" ref="AL57:AN57" si="16">AL50/AL56</f>
        <v>#DIV/0!</v>
      </c>
      <c r="AM57" s="883" t="e">
        <f t="shared" si="16"/>
        <v>#DIV/0!</v>
      </c>
      <c r="AN57" s="884" t="e">
        <f t="shared" si="16"/>
        <v>#DIV/0!</v>
      </c>
    </row>
    <row r="58" spans="1:44" ht="27" customHeight="1" thickBot="1">
      <c r="A58" s="114"/>
      <c r="B58" s="131"/>
      <c r="C58" s="115"/>
      <c r="D58" s="115" t="s">
        <v>1</v>
      </c>
      <c r="L58" s="1501" t="s">
        <v>171</v>
      </c>
      <c r="M58" s="1501"/>
      <c r="N58" s="419">
        <f>SUM(N50:N57)</f>
        <v>0</v>
      </c>
      <c r="R58" s="19"/>
      <c r="S58" s="878" t="s">
        <v>172</v>
      </c>
      <c r="T58" s="879">
        <f>T54</f>
        <v>0</v>
      </c>
      <c r="U58" s="879">
        <f t="shared" ref="U58:AI58" si="17">U54</f>
        <v>0</v>
      </c>
      <c r="V58" s="879">
        <f t="shared" si="17"/>
        <v>0</v>
      </c>
      <c r="W58" s="879">
        <f t="shared" si="17"/>
        <v>0</v>
      </c>
      <c r="X58" s="879">
        <f t="shared" si="17"/>
        <v>0</v>
      </c>
      <c r="Y58" s="879">
        <f t="shared" si="17"/>
        <v>0</v>
      </c>
      <c r="Z58" s="879">
        <f t="shared" si="17"/>
        <v>0</v>
      </c>
      <c r="AA58" s="879">
        <f t="shared" si="17"/>
        <v>0</v>
      </c>
      <c r="AB58" s="879">
        <f t="shared" si="17"/>
        <v>0</v>
      </c>
      <c r="AC58" s="879">
        <f t="shared" si="17"/>
        <v>0</v>
      </c>
      <c r="AD58" s="879">
        <f t="shared" si="17"/>
        <v>0</v>
      </c>
      <c r="AE58" s="879">
        <f t="shared" si="17"/>
        <v>0</v>
      </c>
      <c r="AF58" s="879">
        <f t="shared" si="17"/>
        <v>0</v>
      </c>
      <c r="AG58" s="879">
        <f t="shared" si="17"/>
        <v>0</v>
      </c>
      <c r="AH58" s="879">
        <f t="shared" si="17"/>
        <v>0</v>
      </c>
      <c r="AI58" s="879">
        <f t="shared" si="17"/>
        <v>0</v>
      </c>
      <c r="AJ58" s="879">
        <f>AJ54</f>
        <v>0</v>
      </c>
      <c r="AK58" s="879">
        <f>AK54</f>
        <v>0</v>
      </c>
      <c r="AL58" s="880"/>
      <c r="AM58" s="880"/>
      <c r="AN58" s="881"/>
    </row>
    <row r="59" spans="1:44" ht="27" customHeight="1">
      <c r="A59" s="114"/>
      <c r="B59" s="132"/>
      <c r="C59" s="115"/>
      <c r="D59" s="115" t="s">
        <v>1</v>
      </c>
      <c r="K59" t="s">
        <v>1</v>
      </c>
      <c r="L59" s="1486" t="s">
        <v>173</v>
      </c>
      <c r="M59" s="1486"/>
      <c r="N59" s="420">
        <f>N58-Q48</f>
        <v>0</v>
      </c>
      <c r="R59" s="19"/>
      <c r="S59" s="114"/>
      <c r="T59" s="121"/>
      <c r="U59" s="121"/>
      <c r="V59" s="121"/>
      <c r="W59" s="121"/>
      <c r="X59" s="121"/>
      <c r="Y59" s="121"/>
      <c r="Z59" s="122"/>
      <c r="AA59" s="121"/>
      <c r="AB59" s="121"/>
      <c r="AC59" s="121"/>
      <c r="AD59" s="121"/>
      <c r="AE59" s="121"/>
      <c r="AF59" s="121"/>
      <c r="AG59" s="121"/>
      <c r="AH59" s="119"/>
      <c r="AI59" s="119"/>
    </row>
    <row r="60" spans="1:44" ht="23.25">
      <c r="A60" s="114"/>
      <c r="B60" s="132"/>
      <c r="C60" s="115"/>
      <c r="D60" s="115"/>
      <c r="P60" s="19"/>
      <c r="Q60" s="19"/>
      <c r="R60" s="19"/>
      <c r="S60" s="19" t="s">
        <v>1</v>
      </c>
      <c r="AG60" t="s">
        <v>1</v>
      </c>
    </row>
    <row r="61" spans="1:44" ht="23.25">
      <c r="A61" s="114"/>
      <c r="B61" s="132"/>
      <c r="C61" s="115"/>
      <c r="D61" s="116"/>
      <c r="M61" t="s">
        <v>1</v>
      </c>
      <c r="P61" s="185"/>
      <c r="Q61" s="186"/>
      <c r="R61" s="19"/>
      <c r="S61" s="19"/>
    </row>
    <row r="62" spans="1:44" ht="20.25">
      <c r="C62" s="116"/>
      <c r="P62" s="1226"/>
      <c r="Q62" s="19"/>
      <c r="R62" s="19"/>
      <c r="S62" s="19"/>
      <c r="U62" t="s">
        <v>1</v>
      </c>
    </row>
    <row r="63" spans="1:44">
      <c r="E63" s="19"/>
    </row>
    <row r="64" spans="1:44">
      <c r="E64" s="19"/>
      <c r="J64" t="s">
        <v>3</v>
      </c>
    </row>
    <row r="65" spans="3:5" ht="21">
      <c r="C65" s="251"/>
      <c r="E65" s="19"/>
    </row>
    <row r="66" spans="3:5">
      <c r="E66" s="49"/>
    </row>
    <row r="67" spans="3:5" ht="23.25">
      <c r="E67" s="113"/>
    </row>
  </sheetData>
  <mergeCells count="21">
    <mergeCell ref="L59:M59"/>
    <mergeCell ref="T47:W47"/>
    <mergeCell ref="X47:Z47"/>
    <mergeCell ref="S47:S48"/>
    <mergeCell ref="AJ47:AK47"/>
    <mergeCell ref="AL47:AM47"/>
    <mergeCell ref="AI7:AJ7"/>
    <mergeCell ref="AI20:AJ20"/>
    <mergeCell ref="L58:M58"/>
    <mergeCell ref="A6:Q6"/>
    <mergeCell ref="S6:AE6"/>
    <mergeCell ref="A7:B7"/>
    <mergeCell ref="P7:Q7"/>
    <mergeCell ref="H48:I48"/>
    <mergeCell ref="P24:Q24"/>
    <mergeCell ref="P33:Q33"/>
    <mergeCell ref="P42:Q42"/>
    <mergeCell ref="H46:I46"/>
    <mergeCell ref="H47:I47"/>
    <mergeCell ref="AA47:AB47"/>
    <mergeCell ref="AC47:AI47"/>
  </mergeCells>
  <conditionalFormatting sqref="M48:N48">
    <cfRule type="duplicateValues" dxfId="391" priority="29"/>
    <cfRule type="duplicateValues" dxfId="390" priority="30"/>
    <cfRule type="duplicateValues" dxfId="389" priority="31"/>
    <cfRule type="duplicateValues" dxfId="388" priority="32"/>
  </conditionalFormatting>
  <conditionalFormatting sqref="L48 N48">
    <cfRule type="cellIs" dxfId="387" priority="28" operator="equal">
      <formula>66890</formula>
    </cfRule>
  </conditionalFormatting>
  <conditionalFormatting sqref="N48">
    <cfRule type="cellIs" dxfId="386" priority="27" operator="lessThan">
      <formula>1</formula>
    </cfRule>
  </conditionalFormatting>
  <conditionalFormatting sqref="T57">
    <cfRule type="cellIs" dxfId="385" priority="16" operator="lessThan">
      <formula>63</formula>
    </cfRule>
  </conditionalFormatting>
  <conditionalFormatting sqref="U57">
    <cfRule type="cellIs" dxfId="384" priority="14" operator="lessThan">
      <formula>63</formula>
    </cfRule>
    <cfRule type="cellIs" dxfId="383" priority="15" operator="lessThan">
      <formula>63</formula>
    </cfRule>
  </conditionalFormatting>
  <conditionalFormatting sqref="W57">
    <cfRule type="cellIs" dxfId="382" priority="13" operator="lessThan">
      <formula>140</formula>
    </cfRule>
  </conditionalFormatting>
  <conditionalFormatting sqref="X57">
    <cfRule type="cellIs" dxfId="381" priority="12" operator="lessThan">
      <formula>125</formula>
    </cfRule>
  </conditionalFormatting>
  <conditionalFormatting sqref="Y57">
    <cfRule type="cellIs" dxfId="380" priority="11" operator="lessThan">
      <formula>150</formula>
    </cfRule>
  </conditionalFormatting>
  <conditionalFormatting sqref="Z57">
    <cfRule type="cellIs" dxfId="379" priority="10" operator="lessThan">
      <formula>590</formula>
    </cfRule>
  </conditionalFormatting>
  <conditionalFormatting sqref="AA57">
    <cfRule type="cellIs" dxfId="378" priority="9" operator="lessThan">
      <formula>704</formula>
    </cfRule>
  </conditionalFormatting>
  <conditionalFormatting sqref="AC57">
    <cfRule type="cellIs" dxfId="377" priority="8" operator="lessThan">
      <formula>52</formula>
    </cfRule>
  </conditionalFormatting>
  <conditionalFormatting sqref="AD57">
    <cfRule type="cellIs" dxfId="376" priority="7" operator="lessThan">
      <formula>52</formula>
    </cfRule>
  </conditionalFormatting>
  <conditionalFormatting sqref="AH57">
    <cfRule type="cellIs" dxfId="375" priority="6" operator="lessThan">
      <formula>63</formula>
    </cfRule>
  </conditionalFormatting>
  <conditionalFormatting sqref="AI57">
    <cfRule type="cellIs" dxfId="374" priority="5" operator="lessThan">
      <formula>63</formula>
    </cfRule>
  </conditionalFormatting>
  <conditionalFormatting sqref="AK57">
    <cfRule type="cellIs" dxfId="373" priority="4" operator="lessThan">
      <formula>270</formula>
    </cfRule>
  </conditionalFormatting>
  <conditionalFormatting sqref="AJ57">
    <cfRule type="cellIs" dxfId="372" priority="3" operator="lessThan">
      <formula>270</formula>
    </cfRule>
  </conditionalFormatting>
  <conditionalFormatting sqref="AL57:AN57">
    <cfRule type="cellIs" dxfId="371" priority="1" operator="lessThan">
      <formula>270</formula>
    </cfRule>
  </conditionalFormatting>
  <printOptions horizontalCentered="1" verticalCentered="1"/>
  <pageMargins left="0" right="0.5" top="0" bottom="0" header="0" footer="0"/>
  <pageSetup paperSize="5" scale="45" orientation="landscape" cellComments="asDisplayed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BB67"/>
  <sheetViews>
    <sheetView topLeftCell="R6" zoomScale="90" zoomScaleNormal="90" workbookViewId="0">
      <selection activeCell="R6" sqref="R6"/>
    </sheetView>
  </sheetViews>
  <sheetFormatPr defaultRowHeight="15"/>
  <cols>
    <col min="1" max="1" width="32.7109375" bestFit="1" customWidth="1"/>
    <col min="2" max="2" width="17.7109375" customWidth="1"/>
    <col min="3" max="4" width="20.7109375" customWidth="1"/>
    <col min="5" max="5" width="4.7109375" customWidth="1"/>
    <col min="6" max="6" width="35.85546875" bestFit="1" customWidth="1"/>
    <col min="7" max="7" width="17.7109375" customWidth="1"/>
    <col min="8" max="9" width="19.140625" bestFit="1" customWidth="1"/>
    <col min="10" max="11" width="17.7109375" customWidth="1"/>
    <col min="12" max="12" width="19.140625" bestFit="1" customWidth="1"/>
    <col min="13" max="14" width="18.7109375" customWidth="1"/>
    <col min="15" max="15" width="7.7109375" customWidth="1"/>
    <col min="16" max="16" width="28.7109375" customWidth="1"/>
    <col min="17" max="17" width="20.7109375" customWidth="1"/>
    <col min="18" max="18" width="7.5703125" bestFit="1" customWidth="1"/>
    <col min="19" max="19" width="32.7109375" customWidth="1"/>
    <col min="20" max="20" width="20.28515625" bestFit="1" customWidth="1"/>
    <col min="21" max="21" width="17.7109375" customWidth="1"/>
    <col min="22" max="22" width="20.28515625" bestFit="1" customWidth="1"/>
    <col min="23" max="23" width="17.7109375" customWidth="1"/>
    <col min="24" max="24" width="20.28515625" bestFit="1" customWidth="1"/>
    <col min="25" max="25" width="14.7109375" customWidth="1"/>
    <col min="26" max="26" width="23.7109375" bestFit="1" customWidth="1"/>
    <col min="27" max="27" width="20.140625" bestFit="1" customWidth="1"/>
    <col min="28" max="28" width="22.28515625" bestFit="1" customWidth="1"/>
    <col min="29" max="29" width="20.140625" bestFit="1" customWidth="1"/>
    <col min="30" max="30" width="17.7109375" customWidth="1"/>
    <col min="31" max="31" width="20.140625" bestFit="1" customWidth="1"/>
    <col min="32" max="33" width="20.7109375" customWidth="1"/>
    <col min="34" max="37" width="17.7109375" customWidth="1"/>
    <col min="38" max="40" width="13" hidden="1" customWidth="1"/>
  </cols>
  <sheetData>
    <row r="1" spans="1:36">
      <c r="E1" s="5"/>
    </row>
    <row r="2" spans="1:36">
      <c r="E2" s="5"/>
    </row>
    <row r="3" spans="1:36" ht="15.75" thickBot="1">
      <c r="C3" t="s">
        <v>1</v>
      </c>
      <c r="E3" s="5" t="s">
        <v>1</v>
      </c>
      <c r="F3" t="s">
        <v>1</v>
      </c>
      <c r="N3" t="s">
        <v>1</v>
      </c>
      <c r="S3" t="s">
        <v>1</v>
      </c>
      <c r="U3" t="s">
        <v>1</v>
      </c>
    </row>
    <row r="4" spans="1:36" ht="21.75" thickTop="1">
      <c r="B4" t="s">
        <v>1</v>
      </c>
      <c r="D4" t="s">
        <v>1</v>
      </c>
      <c r="E4" t="s">
        <v>1</v>
      </c>
      <c r="P4" s="617" t="s">
        <v>108</v>
      </c>
      <c r="Q4" s="618">
        <f>'13'!Q4+'14'!Q9+'14'!Q10+'14'!Q19+'14'!Q20+'14'!Q21+'14'!Q22</f>
        <v>0</v>
      </c>
    </row>
    <row r="5" spans="1:36" ht="21.75" thickBot="1">
      <c r="P5" s="619" t="s">
        <v>109</v>
      </c>
      <c r="Q5" s="620">
        <f>'13'!Q5+'14'!Q25+'14'!Q26+'14'!Q27+'14'!Q28+'14'!Q29+'14'!Q30+'14'!Q31</f>
        <v>0</v>
      </c>
    </row>
    <row r="6" spans="1:36" ht="48" thickTop="1" thickBot="1">
      <c r="A6" s="1502">
        <f>'Main Page'!E30</f>
        <v>44879</v>
      </c>
      <c r="B6" s="1507"/>
      <c r="C6" s="1507"/>
      <c r="D6" s="1507"/>
      <c r="E6" s="1507"/>
      <c r="F6" s="1507"/>
      <c r="G6" s="1507"/>
      <c r="H6" s="1507"/>
      <c r="I6" s="1507"/>
      <c r="J6" s="1507"/>
      <c r="K6" s="1507"/>
      <c r="L6" s="1507"/>
      <c r="M6" s="1507"/>
      <c r="N6" s="1507"/>
      <c r="O6" s="1507"/>
      <c r="P6" s="1507"/>
      <c r="Q6" s="1515"/>
      <c r="R6" t="s">
        <v>1</v>
      </c>
      <c r="S6" s="1502">
        <f>A6</f>
        <v>44879</v>
      </c>
      <c r="T6" s="1503"/>
      <c r="U6" s="1503"/>
      <c r="V6" s="1503"/>
      <c r="W6" s="1503"/>
      <c r="X6" s="1503"/>
      <c r="Y6" s="1503"/>
      <c r="Z6" s="1503"/>
      <c r="AA6" s="1503"/>
      <c r="AB6" s="1503"/>
      <c r="AC6" s="1503"/>
      <c r="AD6" s="1503"/>
      <c r="AE6" s="1504"/>
    </row>
    <row r="7" spans="1:36" ht="39.950000000000003" customHeight="1" thickTop="1" thickBot="1">
      <c r="A7" s="1505" t="s">
        <v>110</v>
      </c>
      <c r="B7" s="1506"/>
      <c r="C7" s="367" t="s">
        <v>97</v>
      </c>
      <c r="D7" s="368" t="s">
        <v>74</v>
      </c>
      <c r="F7" s="363" t="s">
        <v>111</v>
      </c>
      <c r="G7" s="364" t="s">
        <v>112</v>
      </c>
      <c r="H7" s="365" t="s">
        <v>113</v>
      </c>
      <c r="I7" s="365" t="s">
        <v>26</v>
      </c>
      <c r="J7" s="365" t="s">
        <v>114</v>
      </c>
      <c r="K7" s="366" t="s">
        <v>115</v>
      </c>
      <c r="L7" s="365" t="s">
        <v>116</v>
      </c>
      <c r="M7" s="365" t="s">
        <v>117</v>
      </c>
      <c r="N7" s="365" t="s">
        <v>118</v>
      </c>
      <c r="P7" s="1510" t="s">
        <v>69</v>
      </c>
      <c r="Q7" s="1511"/>
      <c r="S7" s="380" t="s">
        <v>58</v>
      </c>
      <c r="T7" s="380" t="s">
        <v>59</v>
      </c>
      <c r="U7" s="380" t="s">
        <v>119</v>
      </c>
      <c r="V7" s="380" t="s">
        <v>74</v>
      </c>
      <c r="W7" s="380" t="s">
        <v>120</v>
      </c>
      <c r="X7" s="380" t="s">
        <v>59</v>
      </c>
      <c r="Z7" s="367" t="s">
        <v>121</v>
      </c>
      <c r="AA7" s="367" t="s">
        <v>97</v>
      </c>
      <c r="AB7" s="415" t="s">
        <v>122</v>
      </c>
      <c r="AC7" s="416" t="s">
        <v>90</v>
      </c>
      <c r="AD7" s="367" t="s">
        <v>56</v>
      </c>
      <c r="AE7" s="381" t="s">
        <v>100</v>
      </c>
      <c r="AF7" s="560" t="s">
        <v>122</v>
      </c>
      <c r="AG7" s="570" t="s">
        <v>56</v>
      </c>
      <c r="AI7" s="1487" t="s">
        <v>123</v>
      </c>
      <c r="AJ7" s="1488"/>
    </row>
    <row r="8" spans="1:36" ht="27" customHeight="1" thickTop="1" thickBot="1">
      <c r="A8" s="717" t="s">
        <v>471</v>
      </c>
      <c r="B8" s="233">
        <v>1000</v>
      </c>
      <c r="C8" s="463"/>
      <c r="D8" s="233"/>
      <c r="F8" s="478" t="str">
        <f>'13'!F8</f>
        <v>ISHAQ ANSARI</v>
      </c>
      <c r="G8" s="405">
        <f>'CUSTOMERS REPORT'!Y21</f>
        <v>0</v>
      </c>
      <c r="H8" s="503">
        <f>'CUSTOMERS REPORT'!Z21</f>
        <v>0</v>
      </c>
      <c r="I8" s="405">
        <f>'CUSTOMERS REPORT'!AA21</f>
        <v>0</v>
      </c>
      <c r="J8" s="497">
        <f>'CUSTOMERS REPORT'!AB21</f>
        <v>0</v>
      </c>
      <c r="K8" s="497">
        <f>'CUSTOMERS REPORT'!AC21</f>
        <v>0</v>
      </c>
      <c r="L8" s="508">
        <f>'CUSTOMERS REPORT'!AD21</f>
        <v>0</v>
      </c>
      <c r="M8" s="413">
        <f>'13'!M8+'14'!G8</f>
        <v>0</v>
      </c>
      <c r="N8" s="411">
        <f>'13'!N8+'14'!J8</f>
        <v>0</v>
      </c>
      <c r="P8" s="191" t="s">
        <v>124</v>
      </c>
      <c r="Q8" s="223">
        <f>'13'!Q32</f>
        <v>0</v>
      </c>
      <c r="S8" s="399" t="str">
        <f>'13'!S8</f>
        <v>FLOUR</v>
      </c>
      <c r="T8" s="446">
        <f>'13'!X8</f>
        <v>0</v>
      </c>
      <c r="U8" s="455"/>
      <c r="V8" s="450">
        <f t="shared" ref="V8:V43" si="0">SUM(T8:U8)</f>
        <v>0</v>
      </c>
      <c r="W8" s="450">
        <v>26</v>
      </c>
      <c r="X8" s="446">
        <f t="shared" ref="X8:X43" si="1">V8-W8</f>
        <v>-26</v>
      </c>
      <c r="Z8" s="382" t="str">
        <f>'13'!Z8</f>
        <v>GHAZI</v>
      </c>
      <c r="AA8" s="464">
        <f>'13'!AE8</f>
        <v>0</v>
      </c>
      <c r="AB8" s="459"/>
      <c r="AC8" s="233">
        <f t="shared" ref="AC8:AC41" si="2">AA8+AB8</f>
        <v>0</v>
      </c>
      <c r="AD8" s="468"/>
      <c r="AE8" s="463">
        <f t="shared" ref="AE8:AE42" si="3">AC8-AD8</f>
        <v>0</v>
      </c>
      <c r="AF8" s="563">
        <f>'13'!AF8+'14'!AB8</f>
        <v>0</v>
      </c>
      <c r="AG8" s="233">
        <f>'13'!AG8+'14'!AD8</f>
        <v>0</v>
      </c>
      <c r="AI8" s="391" t="s">
        <v>126</v>
      </c>
      <c r="AJ8" s="392">
        <f>'13'!AJ10</f>
        <v>0</v>
      </c>
    </row>
    <row r="9" spans="1:36" ht="27" customHeight="1" thickTop="1">
      <c r="A9" s="717" t="s">
        <v>472</v>
      </c>
      <c r="B9" s="526">
        <v>312000</v>
      </c>
      <c r="C9" s="348"/>
      <c r="D9" s="550"/>
      <c r="F9" s="479" t="str">
        <f>'13'!F9</f>
        <v>MAKKI BAKERY</v>
      </c>
      <c r="G9" s="406">
        <f>'CUSTOMERS REPORT'!Y67</f>
        <v>0</v>
      </c>
      <c r="H9" s="504">
        <f>'CUSTOMERS REPORT'!Z67</f>
        <v>0</v>
      </c>
      <c r="I9" s="406">
        <f>'CUSTOMERS REPORT'!AA67</f>
        <v>0</v>
      </c>
      <c r="J9" s="498">
        <f>'CUSTOMERS REPORT'!AB67</f>
        <v>0</v>
      </c>
      <c r="K9" s="498">
        <f>'CUSTOMERS REPORT'!AC67</f>
        <v>0</v>
      </c>
      <c r="L9" s="509">
        <f>'CUSTOMERS REPORT'!AD67</f>
        <v>0</v>
      </c>
      <c r="M9" s="414">
        <f>'13'!M9+'14'!G9</f>
        <v>0</v>
      </c>
      <c r="N9" s="412">
        <f>'13'!N9+'14'!J9</f>
        <v>0</v>
      </c>
      <c r="P9" s="432"/>
      <c r="Q9" s="436"/>
      <c r="S9" s="400" t="str">
        <f>'13'!S9</f>
        <v>SUGAR</v>
      </c>
      <c r="T9" s="446">
        <f>'13'!X9</f>
        <v>0</v>
      </c>
      <c r="U9" s="456"/>
      <c r="V9" s="451">
        <f t="shared" si="0"/>
        <v>0</v>
      </c>
      <c r="W9" s="451">
        <v>455</v>
      </c>
      <c r="X9" s="447">
        <f t="shared" si="1"/>
        <v>-455</v>
      </c>
      <c r="Z9" s="375" t="str">
        <f>'13'!Z9</f>
        <v>SOHNI</v>
      </c>
      <c r="AA9" s="464">
        <f>'13'!AE9</f>
        <v>0</v>
      </c>
      <c r="AB9" s="460"/>
      <c r="AC9" s="462">
        <f t="shared" si="2"/>
        <v>0</v>
      </c>
      <c r="AD9" s="469"/>
      <c r="AE9" s="348">
        <f t="shared" si="3"/>
        <v>0</v>
      </c>
      <c r="AF9" s="563">
        <f>'13'!AF9+'14'!AB9</f>
        <v>0</v>
      </c>
      <c r="AG9" s="234">
        <f>'13'!AG9+'14'!AD9</f>
        <v>0</v>
      </c>
      <c r="AI9" s="393" t="s">
        <v>128</v>
      </c>
      <c r="AJ9" s="394">
        <f>B26</f>
        <v>10400</v>
      </c>
    </row>
    <row r="10" spans="1:36" ht="27" customHeight="1" thickBot="1">
      <c r="A10" s="718" t="s">
        <v>473</v>
      </c>
      <c r="B10" s="528">
        <v>1500</v>
      </c>
      <c r="C10" s="350"/>
      <c r="D10" s="550"/>
      <c r="F10" s="479" t="str">
        <f>'13'!F10</f>
        <v>ABID HUSSAIN</v>
      </c>
      <c r="G10" s="406">
        <f>'CUSTOMERS REPORT'!Y105</f>
        <v>0</v>
      </c>
      <c r="H10" s="504">
        <f>'CUSTOMERS REPORT'!Z105</f>
        <v>0</v>
      </c>
      <c r="I10" s="406">
        <f>'CUSTOMERS REPORT'!AA105</f>
        <v>0</v>
      </c>
      <c r="J10" s="498">
        <f>'CUSTOMERS REPORT'!AB105</f>
        <v>0</v>
      </c>
      <c r="K10" s="498">
        <f>'CUSTOMERS REPORT'!AC105</f>
        <v>0</v>
      </c>
      <c r="L10" s="509">
        <f>'CUSTOMERS REPORT'!AD105</f>
        <v>0</v>
      </c>
      <c r="M10" s="414">
        <f>'13'!M10+'14'!G10</f>
        <v>0</v>
      </c>
      <c r="N10" s="412">
        <f>'13'!N10+'14'!J10</f>
        <v>0</v>
      </c>
      <c r="P10" s="433"/>
      <c r="Q10" s="437"/>
      <c r="S10" s="400" t="str">
        <f>'13'!S10</f>
        <v>GHEE</v>
      </c>
      <c r="T10" s="446">
        <f>'13'!X10</f>
        <v>0</v>
      </c>
      <c r="U10" s="456"/>
      <c r="V10" s="451">
        <f t="shared" si="0"/>
        <v>0</v>
      </c>
      <c r="W10" s="451">
        <v>7</v>
      </c>
      <c r="X10" s="447">
        <f t="shared" si="1"/>
        <v>-7</v>
      </c>
      <c r="Z10" s="375" t="str">
        <f>'13'!Z10</f>
        <v>HUSSAINI</v>
      </c>
      <c r="AA10" s="464">
        <f>'13'!AE10</f>
        <v>0</v>
      </c>
      <c r="AB10" s="460"/>
      <c r="AC10" s="462">
        <f t="shared" si="2"/>
        <v>0</v>
      </c>
      <c r="AD10" s="469"/>
      <c r="AE10" s="348">
        <f t="shared" si="3"/>
        <v>0</v>
      </c>
      <c r="AF10" s="563">
        <f>'13'!AF10+'14'!AB10</f>
        <v>0</v>
      </c>
      <c r="AG10" s="234">
        <f>'13'!AG10+'14'!AD10</f>
        <v>0</v>
      </c>
      <c r="AI10" s="395" t="s">
        <v>74</v>
      </c>
      <c r="AJ10" s="396">
        <f>AJ8+AJ9</f>
        <v>10400</v>
      </c>
    </row>
    <row r="11" spans="1:36" ht="27" customHeight="1" thickTop="1">
      <c r="A11" s="718"/>
      <c r="B11" s="528"/>
      <c r="C11" s="350"/>
      <c r="D11" s="550"/>
      <c r="F11" s="479" t="str">
        <f>'13'!F11</f>
        <v>SHAHID 5 #</v>
      </c>
      <c r="G11" s="406">
        <f>'CUSTOMERS REPORT'!Y144</f>
        <v>0</v>
      </c>
      <c r="H11" s="504">
        <f>'CUSTOMERS REPORT'!Z144</f>
        <v>0</v>
      </c>
      <c r="I11" s="406">
        <f>'CUSTOMERS REPORT'!AA144</f>
        <v>0</v>
      </c>
      <c r="J11" s="498">
        <f>'CUSTOMERS REPORT'!AB144</f>
        <v>0</v>
      </c>
      <c r="K11" s="498">
        <f>'CUSTOMERS REPORT'!AC144</f>
        <v>0</v>
      </c>
      <c r="L11" s="509">
        <f>'CUSTOMERS REPORT'!AD144</f>
        <v>0</v>
      </c>
      <c r="M11" s="414">
        <f>'13'!M11+'14'!G11</f>
        <v>0</v>
      </c>
      <c r="N11" s="412">
        <f>'13'!N11+'14'!J11</f>
        <v>0</v>
      </c>
      <c r="P11" s="433"/>
      <c r="Q11" s="437"/>
      <c r="S11" s="400" t="str">
        <f>'13'!S11</f>
        <v>YEAST</v>
      </c>
      <c r="T11" s="446">
        <f>'13'!X11</f>
        <v>0</v>
      </c>
      <c r="U11" s="456"/>
      <c r="V11" s="451">
        <f t="shared" ref="V11:V20" si="4">SUM(T11:U11)</f>
        <v>0</v>
      </c>
      <c r="W11" s="451">
        <v>13</v>
      </c>
      <c r="X11" s="447">
        <f t="shared" ref="X11:X20" si="5">V11-W11</f>
        <v>-13</v>
      </c>
      <c r="Z11" s="375" t="str">
        <f>'13'!Z11</f>
        <v>IMRAN ALAM</v>
      </c>
      <c r="AA11" s="464">
        <f>'13'!AE11</f>
        <v>0</v>
      </c>
      <c r="AB11" s="460"/>
      <c r="AC11" s="462">
        <f t="shared" ref="AC11:AC23" si="6">AA11+AB11</f>
        <v>0</v>
      </c>
      <c r="AD11" s="469"/>
      <c r="AE11" s="348">
        <f t="shared" ref="AE11:AE23" si="7">AC11-AD11</f>
        <v>0</v>
      </c>
      <c r="AF11" s="563">
        <f>'13'!AF11+'14'!AB11</f>
        <v>0</v>
      </c>
      <c r="AG11" s="234">
        <f>'13'!AG11+'14'!AD11</f>
        <v>0</v>
      </c>
      <c r="AI11" s="1031"/>
      <c r="AJ11" s="1032"/>
    </row>
    <row r="12" spans="1:36" ht="27" customHeight="1">
      <c r="A12" s="718"/>
      <c r="B12" s="528"/>
      <c r="C12" s="350"/>
      <c r="D12" s="550"/>
      <c r="F12" s="479" t="str">
        <f>'13'!F12</f>
        <v>ZULFIQAR</v>
      </c>
      <c r="G12" s="406">
        <f>'CUSTOMERS REPORT'!Y182</f>
        <v>0</v>
      </c>
      <c r="H12" s="504">
        <f>'CUSTOMERS REPORT'!Z182</f>
        <v>0</v>
      </c>
      <c r="I12" s="406">
        <f>'CUSTOMERS REPORT'!AA182</f>
        <v>0</v>
      </c>
      <c r="J12" s="498">
        <f>'CUSTOMERS REPORT'!AB182</f>
        <v>0</v>
      </c>
      <c r="K12" s="498">
        <f>'CUSTOMERS REPORT'!AC182</f>
        <v>0</v>
      </c>
      <c r="L12" s="509">
        <f>'CUSTOMERS REPORT'!AD182</f>
        <v>0</v>
      </c>
      <c r="M12" s="414">
        <f>'13'!M12+'14'!G12</f>
        <v>0</v>
      </c>
      <c r="N12" s="412">
        <f>'13'!N12+'14'!J12</f>
        <v>0</v>
      </c>
      <c r="P12" s="433"/>
      <c r="Q12" s="437"/>
      <c r="S12" s="400" t="str">
        <f>'13'!S12</f>
        <v xml:space="preserve">EKKA </v>
      </c>
      <c r="T12" s="446">
        <f>'13'!X12</f>
        <v>0</v>
      </c>
      <c r="U12" s="456"/>
      <c r="V12" s="451">
        <f t="shared" si="4"/>
        <v>0</v>
      </c>
      <c r="W12" s="451"/>
      <c r="X12" s="447">
        <f t="shared" si="5"/>
        <v>0</v>
      </c>
      <c r="Z12" s="375" t="str">
        <f>'13'!Z12</f>
        <v>ZAHEER</v>
      </c>
      <c r="AA12" s="464">
        <f>'13'!AE12</f>
        <v>0</v>
      </c>
      <c r="AB12" s="460"/>
      <c r="AC12" s="462">
        <f t="shared" si="6"/>
        <v>0</v>
      </c>
      <c r="AD12" s="469"/>
      <c r="AE12" s="348">
        <f t="shared" si="7"/>
        <v>0</v>
      </c>
      <c r="AF12" s="563">
        <f>'13'!AF12+'14'!AB12</f>
        <v>0</v>
      </c>
      <c r="AG12" s="234">
        <f>'13'!AG12+'14'!AD12</f>
        <v>0</v>
      </c>
      <c r="AI12" s="1031"/>
      <c r="AJ12" s="1032"/>
    </row>
    <row r="13" spans="1:36" ht="27" customHeight="1">
      <c r="A13" s="718"/>
      <c r="B13" s="528"/>
      <c r="C13" s="350"/>
      <c r="D13" s="550"/>
      <c r="F13" s="479" t="str">
        <f>'13'!F13</f>
        <v>QASIM ORANGI</v>
      </c>
      <c r="G13" s="406">
        <f>'CUSTOMERS REPORT'!Y222</f>
        <v>0</v>
      </c>
      <c r="H13" s="504">
        <f>'CUSTOMERS REPORT'!Z222</f>
        <v>0</v>
      </c>
      <c r="I13" s="406">
        <f>'CUSTOMERS REPORT'!AA222</f>
        <v>0</v>
      </c>
      <c r="J13" s="498">
        <f>'CUSTOMERS REPORT'!AB222</f>
        <v>0</v>
      </c>
      <c r="K13" s="498">
        <f>'CUSTOMERS REPORT'!AC222</f>
        <v>0</v>
      </c>
      <c r="L13" s="509">
        <f>'CUSTOMERS REPORT'!AD222</f>
        <v>0</v>
      </c>
      <c r="M13" s="414">
        <f>'13'!M13+'14'!G13</f>
        <v>0</v>
      </c>
      <c r="N13" s="412">
        <f>'13'!N13+'14'!J13</f>
        <v>0</v>
      </c>
      <c r="P13" s="433"/>
      <c r="Q13" s="437"/>
      <c r="S13" s="400" t="str">
        <f>'13'!S13</f>
        <v>VANILLA</v>
      </c>
      <c r="T13" s="446">
        <f>'13'!X13</f>
        <v>0</v>
      </c>
      <c r="U13" s="456"/>
      <c r="V13" s="451">
        <f t="shared" si="4"/>
        <v>0</v>
      </c>
      <c r="W13" s="451"/>
      <c r="X13" s="447">
        <f t="shared" si="5"/>
        <v>0</v>
      </c>
      <c r="Z13" s="375" t="str">
        <f>'13'!Z13</f>
        <v>FAISAL</v>
      </c>
      <c r="AA13" s="464">
        <f>'13'!AE13</f>
        <v>-100000</v>
      </c>
      <c r="AB13" s="460"/>
      <c r="AC13" s="462">
        <f t="shared" si="6"/>
        <v>-100000</v>
      </c>
      <c r="AD13" s="469"/>
      <c r="AE13" s="348">
        <f t="shared" si="7"/>
        <v>-100000</v>
      </c>
      <c r="AF13" s="563">
        <f>'13'!AF13+'14'!AB13</f>
        <v>0</v>
      </c>
      <c r="AG13" s="234">
        <f>'13'!AG13+'14'!AD13</f>
        <v>100000</v>
      </c>
      <c r="AI13" s="1031"/>
      <c r="AJ13" s="1032"/>
    </row>
    <row r="14" spans="1:36" ht="27" customHeight="1">
      <c r="A14" s="718"/>
      <c r="B14" s="528"/>
      <c r="C14" s="350"/>
      <c r="D14" s="550"/>
      <c r="F14" s="479" t="str">
        <f>'13'!F14</f>
        <v>BADSHAH KHAN HYD</v>
      </c>
      <c r="G14" s="406">
        <f>'CUSTOMERS REPORT'!Y259</f>
        <v>0</v>
      </c>
      <c r="H14" s="504">
        <f>'CUSTOMERS REPORT'!Z259</f>
        <v>0</v>
      </c>
      <c r="I14" s="406">
        <f>'CUSTOMERS REPORT'!AA259</f>
        <v>0</v>
      </c>
      <c r="J14" s="498">
        <f>'CUSTOMERS REPORT'!AB259</f>
        <v>0</v>
      </c>
      <c r="K14" s="498">
        <f>'CUSTOMERS REPORT'!AC259</f>
        <v>0</v>
      </c>
      <c r="L14" s="509">
        <f>'CUSTOMERS REPORT'!AD259</f>
        <v>0</v>
      </c>
      <c r="M14" s="414">
        <f>'13'!M14+'14'!G14</f>
        <v>0</v>
      </c>
      <c r="N14" s="412">
        <f>'13'!N14+'14'!J14</f>
        <v>0</v>
      </c>
      <c r="P14" s="433"/>
      <c r="Q14" s="437"/>
      <c r="S14" s="400" t="str">
        <f>'13'!S14</f>
        <v>COLOUR</v>
      </c>
      <c r="T14" s="446">
        <f>'13'!X14</f>
        <v>0</v>
      </c>
      <c r="U14" s="456"/>
      <c r="V14" s="451">
        <f t="shared" si="4"/>
        <v>0</v>
      </c>
      <c r="W14" s="451"/>
      <c r="X14" s="447">
        <f t="shared" si="5"/>
        <v>0</v>
      </c>
      <c r="Z14" s="375" t="str">
        <f>'13'!Z14</f>
        <v>RANA EKKA</v>
      </c>
      <c r="AA14" s="464">
        <f>'13'!AE14</f>
        <v>0</v>
      </c>
      <c r="AB14" s="460"/>
      <c r="AC14" s="462">
        <f t="shared" si="6"/>
        <v>0</v>
      </c>
      <c r="AD14" s="469"/>
      <c r="AE14" s="348">
        <f t="shared" si="7"/>
        <v>0</v>
      </c>
      <c r="AF14" s="563">
        <f>'13'!AF14+'14'!AB14</f>
        <v>0</v>
      </c>
      <c r="AG14" s="234">
        <f>'13'!AG14+'14'!AD14</f>
        <v>0</v>
      </c>
      <c r="AI14" s="1031"/>
      <c r="AJ14" s="1032"/>
    </row>
    <row r="15" spans="1:36" ht="27" customHeight="1">
      <c r="A15" s="718"/>
      <c r="B15" s="528"/>
      <c r="C15" s="350"/>
      <c r="D15" s="550"/>
      <c r="F15" s="479" t="str">
        <f>'13'!F15</f>
        <v>SHAMOON</v>
      </c>
      <c r="G15" s="406">
        <f>'CUSTOMERS REPORT'!Y299</f>
        <v>0</v>
      </c>
      <c r="H15" s="504">
        <f>'CUSTOMERS REPORT'!Z299</f>
        <v>0</v>
      </c>
      <c r="I15" s="406">
        <f>'CUSTOMERS REPORT'!AA299</f>
        <v>0</v>
      </c>
      <c r="J15" s="498">
        <f>'CUSTOMERS REPORT'!AB299</f>
        <v>0</v>
      </c>
      <c r="K15" s="498">
        <f>'CUSTOMERS REPORT'!AC299</f>
        <v>0</v>
      </c>
      <c r="L15" s="509">
        <f>'CUSTOMERS REPORT'!AD299</f>
        <v>0</v>
      </c>
      <c r="M15" s="414">
        <f>'13'!M15+'14'!G15</f>
        <v>0</v>
      </c>
      <c r="N15" s="412">
        <f>'13'!N15+'14'!J15</f>
        <v>0</v>
      </c>
      <c r="P15" s="433"/>
      <c r="Q15" s="437"/>
      <c r="S15" s="400" t="str">
        <f>'13'!S15</f>
        <v>TILL</v>
      </c>
      <c r="T15" s="446">
        <f>'13'!X15</f>
        <v>0</v>
      </c>
      <c r="U15" s="456"/>
      <c r="V15" s="451">
        <f t="shared" si="4"/>
        <v>0</v>
      </c>
      <c r="W15" s="451"/>
      <c r="X15" s="447">
        <f t="shared" si="5"/>
        <v>0</v>
      </c>
      <c r="Z15" s="375" t="str">
        <f>'13'!Z15</f>
        <v>sheeba</v>
      </c>
      <c r="AA15" s="464">
        <f>'13'!AE15</f>
        <v>0</v>
      </c>
      <c r="AB15" s="460"/>
      <c r="AC15" s="462">
        <f t="shared" si="6"/>
        <v>0</v>
      </c>
      <c r="AD15" s="469"/>
      <c r="AE15" s="348">
        <f t="shared" si="7"/>
        <v>0</v>
      </c>
      <c r="AF15" s="563">
        <f>'13'!AF15+'14'!AB15</f>
        <v>0</v>
      </c>
      <c r="AG15" s="234">
        <f>'13'!AG15+'14'!AD15</f>
        <v>0</v>
      </c>
      <c r="AI15" s="1031"/>
      <c r="AJ15" s="1032"/>
    </row>
    <row r="16" spans="1:36" ht="27" customHeight="1">
      <c r="A16" s="718"/>
      <c r="B16" s="528"/>
      <c r="C16" s="350"/>
      <c r="D16" s="550"/>
      <c r="F16" s="479" t="str">
        <f>'13'!F16</f>
        <v>MATEEN</v>
      </c>
      <c r="G16" s="406">
        <f>'CUSTOMERS REPORT'!Y340</f>
        <v>0</v>
      </c>
      <c r="H16" s="504">
        <f>'CUSTOMERS REPORT'!Z340</f>
        <v>0</v>
      </c>
      <c r="I16" s="406">
        <f>'CUSTOMERS REPORT'!AA340</f>
        <v>0</v>
      </c>
      <c r="J16" s="498">
        <f>'CUSTOMERS REPORT'!AB340</f>
        <v>0</v>
      </c>
      <c r="K16" s="498">
        <f>'CUSTOMERS REPORT'!AC340</f>
        <v>0</v>
      </c>
      <c r="L16" s="509">
        <f>'CUSTOMERS REPORT'!AD340</f>
        <v>0</v>
      </c>
      <c r="M16" s="414">
        <f>'13'!M16+'14'!G16</f>
        <v>0</v>
      </c>
      <c r="N16" s="412">
        <f>'13'!N16+'14'!J16</f>
        <v>0</v>
      </c>
      <c r="P16" s="433"/>
      <c r="Q16" s="437"/>
      <c r="S16" s="400" t="str">
        <f>'13'!S16</f>
        <v>ILLAICHI</v>
      </c>
      <c r="T16" s="446">
        <f>'13'!X16</f>
        <v>0</v>
      </c>
      <c r="U16" s="456"/>
      <c r="V16" s="451">
        <f t="shared" si="4"/>
        <v>0</v>
      </c>
      <c r="W16" s="451"/>
      <c r="X16" s="447">
        <f t="shared" si="5"/>
        <v>0</v>
      </c>
      <c r="Z16" s="375" t="str">
        <f>'13'!Z16</f>
        <v>COTTON</v>
      </c>
      <c r="AA16" s="464">
        <f>'13'!AE16</f>
        <v>0</v>
      </c>
      <c r="AB16" s="460"/>
      <c r="AC16" s="462">
        <f t="shared" si="6"/>
        <v>0</v>
      </c>
      <c r="AD16" s="469"/>
      <c r="AE16" s="348">
        <f t="shared" si="7"/>
        <v>0</v>
      </c>
      <c r="AF16" s="563">
        <f>'13'!AF16+'14'!AB16</f>
        <v>0</v>
      </c>
      <c r="AG16" s="234">
        <f>'13'!AG16+'14'!AD16</f>
        <v>0</v>
      </c>
      <c r="AI16" s="1031"/>
      <c r="AJ16" s="1032"/>
    </row>
    <row r="17" spans="1:36" ht="27" customHeight="1">
      <c r="A17" s="718"/>
      <c r="B17" s="528"/>
      <c r="C17" s="350"/>
      <c r="D17" s="550"/>
      <c r="F17" s="479" t="str">
        <f>'13'!F17</f>
        <v>AMJAD ORANGI</v>
      </c>
      <c r="G17" s="406">
        <f>'CUSTOMERS REPORT'!Y382</f>
        <v>0</v>
      </c>
      <c r="H17" s="504">
        <f>'CUSTOMERS REPORT'!Z382</f>
        <v>0</v>
      </c>
      <c r="I17" s="406">
        <f>'CUSTOMERS REPORT'!AA382</f>
        <v>0</v>
      </c>
      <c r="J17" s="498">
        <f>'CUSTOMERS REPORT'!AB382</f>
        <v>0</v>
      </c>
      <c r="K17" s="498">
        <f>'CUSTOMERS REPORT'!AC382</f>
        <v>0</v>
      </c>
      <c r="L17" s="509">
        <f>'CUSTOMERS REPORT'!AD382</f>
        <v>0</v>
      </c>
      <c r="M17" s="414">
        <f>'13'!M17+'14'!G17</f>
        <v>0</v>
      </c>
      <c r="N17" s="412">
        <f>'13'!N17+'14'!J17</f>
        <v>0</v>
      </c>
      <c r="P17" s="433"/>
      <c r="Q17" s="437"/>
      <c r="S17" s="400" t="str">
        <f>'13'!S17</f>
        <v>S-THELLI</v>
      </c>
      <c r="T17" s="446">
        <f>'13'!X17</f>
        <v>0</v>
      </c>
      <c r="U17" s="456"/>
      <c r="V17" s="451">
        <f t="shared" si="4"/>
        <v>0</v>
      </c>
      <c r="W17" s="451"/>
      <c r="X17" s="447">
        <f t="shared" si="5"/>
        <v>0</v>
      </c>
      <c r="Z17" s="375" t="str">
        <f>'13'!Z17</f>
        <v>SHAHID UP</v>
      </c>
      <c r="AA17" s="464">
        <f>'13'!AE17</f>
        <v>0</v>
      </c>
      <c r="AB17" s="460"/>
      <c r="AC17" s="462">
        <f t="shared" si="6"/>
        <v>0</v>
      </c>
      <c r="AD17" s="469"/>
      <c r="AE17" s="348">
        <f t="shared" si="7"/>
        <v>0</v>
      </c>
      <c r="AF17" s="563">
        <f>'13'!AF17+'14'!AB17</f>
        <v>0</v>
      </c>
      <c r="AG17" s="234">
        <f>'13'!AG17+'14'!AD17</f>
        <v>0</v>
      </c>
      <c r="AI17" s="1031"/>
      <c r="AJ17" s="1032"/>
    </row>
    <row r="18" spans="1:36" ht="27" customHeight="1">
      <c r="A18" s="718"/>
      <c r="B18" s="528"/>
      <c r="C18" s="350"/>
      <c r="D18" s="550"/>
      <c r="F18" s="479" t="str">
        <f>'13'!F18</f>
        <v>HAFIZ DRIVER</v>
      </c>
      <c r="G18" s="406">
        <f>'CUSTOMERS REPORT'!Y421</f>
        <v>0</v>
      </c>
      <c r="H18" s="504">
        <f>'CUSTOMERS REPORT'!Z421</f>
        <v>0</v>
      </c>
      <c r="I18" s="406">
        <f>'CUSTOMERS REPORT'!AA421</f>
        <v>0</v>
      </c>
      <c r="J18" s="498">
        <f>'CUSTOMERS REPORT'!AB421</f>
        <v>0</v>
      </c>
      <c r="K18" s="498">
        <f>'CUSTOMERS REPORT'!AC421</f>
        <v>0</v>
      </c>
      <c r="L18" s="509">
        <f>'CUSTOMERS REPORT'!AD421</f>
        <v>0</v>
      </c>
      <c r="M18" s="414">
        <f>'13'!M18+'14'!G18</f>
        <v>0</v>
      </c>
      <c r="N18" s="412">
        <f>'13'!N18+'14'!J18</f>
        <v>0</v>
      </c>
      <c r="P18" s="433"/>
      <c r="Q18" s="437"/>
      <c r="S18" s="400" t="str">
        <f>'13'!S18</f>
        <v>P-THELLI</v>
      </c>
      <c r="T18" s="446">
        <f>'13'!X18</f>
        <v>0</v>
      </c>
      <c r="U18" s="456"/>
      <c r="V18" s="451">
        <f t="shared" si="4"/>
        <v>0</v>
      </c>
      <c r="W18" s="451"/>
      <c r="X18" s="447">
        <f t="shared" si="5"/>
        <v>0</v>
      </c>
      <c r="Z18" s="375" t="str">
        <f>'13'!Z18</f>
        <v>SALT</v>
      </c>
      <c r="AA18" s="464">
        <f>'13'!AE18</f>
        <v>0</v>
      </c>
      <c r="AB18" s="460">
        <v>1500</v>
      </c>
      <c r="AC18" s="462">
        <f t="shared" si="6"/>
        <v>1500</v>
      </c>
      <c r="AD18" s="469">
        <v>1500</v>
      </c>
      <c r="AE18" s="348">
        <f t="shared" si="7"/>
        <v>0</v>
      </c>
      <c r="AF18" s="563">
        <f>'13'!AF18+'14'!AB18</f>
        <v>1500</v>
      </c>
      <c r="AG18" s="234">
        <f>'13'!AG18+'14'!AD18</f>
        <v>1500</v>
      </c>
      <c r="AI18" s="1031"/>
      <c r="AJ18" s="1032"/>
    </row>
    <row r="19" spans="1:36" ht="27" customHeight="1" thickBot="1">
      <c r="A19" s="719"/>
      <c r="B19" s="529"/>
      <c r="C19" s="350"/>
      <c r="D19" s="550"/>
      <c r="F19" s="479" t="str">
        <f>'13'!F19</f>
        <v>GHULAM QUETTA</v>
      </c>
      <c r="G19" s="406">
        <f>'CUSTOMERS REPORT'!Y459</f>
        <v>0</v>
      </c>
      <c r="H19" s="504">
        <f>'CUSTOMERS REPORT'!Z459</f>
        <v>0</v>
      </c>
      <c r="I19" s="406">
        <f>'CUSTOMERS REPORT'!AA459</f>
        <v>0</v>
      </c>
      <c r="J19" s="498">
        <f>'CUSTOMERS REPORT'!AB459</f>
        <v>0</v>
      </c>
      <c r="K19" s="498">
        <f>'CUSTOMERS REPORT'!AC459</f>
        <v>0</v>
      </c>
      <c r="L19" s="509">
        <f>'CUSTOMERS REPORT'!AD459</f>
        <v>0</v>
      </c>
      <c r="M19" s="414">
        <f>'13'!M19+'14'!G19</f>
        <v>0</v>
      </c>
      <c r="N19" s="412">
        <f>'13'!N19+'14'!J19</f>
        <v>0</v>
      </c>
      <c r="P19" s="433"/>
      <c r="Q19" s="437"/>
      <c r="S19" s="400" t="str">
        <f>'13'!S19</f>
        <v>RUBBER</v>
      </c>
      <c r="T19" s="446">
        <f>'13'!X19</f>
        <v>0</v>
      </c>
      <c r="U19" s="456"/>
      <c r="V19" s="451">
        <f t="shared" si="4"/>
        <v>0</v>
      </c>
      <c r="W19" s="451"/>
      <c r="X19" s="447">
        <f t="shared" si="5"/>
        <v>0</v>
      </c>
      <c r="Z19" s="375" t="str">
        <f>'13'!Z19</f>
        <v>NAVEED</v>
      </c>
      <c r="AA19" s="464">
        <f>'13'!AE19</f>
        <v>0</v>
      </c>
      <c r="AB19" s="460"/>
      <c r="AC19" s="462">
        <f t="shared" si="6"/>
        <v>0</v>
      </c>
      <c r="AD19" s="469"/>
      <c r="AE19" s="348">
        <f t="shared" si="7"/>
        <v>0</v>
      </c>
      <c r="AF19" s="563">
        <f>'13'!AF19+'14'!AB19</f>
        <v>0</v>
      </c>
      <c r="AG19" s="234">
        <f>'13'!AG19+'14'!AD19</f>
        <v>0</v>
      </c>
    </row>
    <row r="20" spans="1:36" ht="27" customHeight="1" thickTop="1" thickBot="1">
      <c r="A20" s="719"/>
      <c r="B20" s="529"/>
      <c r="C20" s="350"/>
      <c r="D20" s="550"/>
      <c r="F20" s="479" t="str">
        <f>'13'!F20</f>
        <v>HUSSAN GWADAR</v>
      </c>
      <c r="G20" s="406">
        <f>'CUSTOMERS REPORT'!Y495</f>
        <v>0</v>
      </c>
      <c r="H20" s="504">
        <f>'CUSTOMERS REPORT'!Z495</f>
        <v>0</v>
      </c>
      <c r="I20" s="406">
        <f>'CUSTOMERS REPORT'!AA495</f>
        <v>0</v>
      </c>
      <c r="J20" s="498">
        <f>'CUSTOMERS REPORT'!AB495</f>
        <v>0</v>
      </c>
      <c r="K20" s="498">
        <f>'CUSTOMERS REPORT'!AC495</f>
        <v>0</v>
      </c>
      <c r="L20" s="509">
        <f>'CUSTOMERS REPORT'!AD495</f>
        <v>0</v>
      </c>
      <c r="M20" s="414">
        <f>'13'!M20+'14'!G20</f>
        <v>0</v>
      </c>
      <c r="N20" s="412">
        <f>'13'!N20+'14'!J20</f>
        <v>0</v>
      </c>
      <c r="P20" s="433"/>
      <c r="Q20" s="437"/>
      <c r="S20" s="400" t="str">
        <f>'13'!S20</f>
        <v>SALT</v>
      </c>
      <c r="T20" s="446">
        <f>'13'!X20</f>
        <v>0</v>
      </c>
      <c r="U20" s="456">
        <v>250</v>
      </c>
      <c r="V20" s="451">
        <f t="shared" si="4"/>
        <v>250</v>
      </c>
      <c r="W20" s="451"/>
      <c r="X20" s="447">
        <f t="shared" si="5"/>
        <v>250</v>
      </c>
      <c r="Z20" s="375" t="str">
        <f>'13'!Z20</f>
        <v>YOUSUF BHAI</v>
      </c>
      <c r="AA20" s="464">
        <f>'13'!AE20</f>
        <v>118500</v>
      </c>
      <c r="AB20" s="460"/>
      <c r="AC20" s="462">
        <f t="shared" si="6"/>
        <v>118500</v>
      </c>
      <c r="AD20" s="469"/>
      <c r="AE20" s="348">
        <f t="shared" si="7"/>
        <v>118500</v>
      </c>
      <c r="AF20" s="563">
        <f>'13'!AF20+'14'!AB20</f>
        <v>118500</v>
      </c>
      <c r="AG20" s="234">
        <f>'13'!AG20+'14'!AD20</f>
        <v>0</v>
      </c>
      <c r="AI20" s="1487" t="s">
        <v>132</v>
      </c>
      <c r="AJ20" s="1488"/>
    </row>
    <row r="21" spans="1:36" ht="27" customHeight="1" thickTop="1" thickBot="1">
      <c r="A21" s="720"/>
      <c r="B21" s="530"/>
      <c r="C21" s="531"/>
      <c r="D21" s="553"/>
      <c r="F21" s="479" t="str">
        <f>'13'!F21</f>
        <v>AQASH S KOT</v>
      </c>
      <c r="G21" s="406">
        <f>'CUSTOMERS REPORT'!Y532</f>
        <v>0</v>
      </c>
      <c r="H21" s="504">
        <f>'CUSTOMERS REPORT'!Z532</f>
        <v>0</v>
      </c>
      <c r="I21" s="406">
        <f>'CUSTOMERS REPORT'!AA532</f>
        <v>0</v>
      </c>
      <c r="J21" s="498">
        <f>'CUSTOMERS REPORT'!AB532</f>
        <v>0</v>
      </c>
      <c r="K21" s="498">
        <f>'CUSTOMERS REPORT'!AC532</f>
        <v>0</v>
      </c>
      <c r="L21" s="509">
        <f>'CUSTOMERS REPORT'!AD532</f>
        <v>0</v>
      </c>
      <c r="M21" s="414">
        <f>'13'!M21+'14'!G21</f>
        <v>0</v>
      </c>
      <c r="N21" s="412">
        <f>'13'!N21+'14'!J21</f>
        <v>0</v>
      </c>
      <c r="P21" s="433"/>
      <c r="Q21" s="435"/>
      <c r="S21" s="400" t="str">
        <f>'13'!S21</f>
        <v>TAPE</v>
      </c>
      <c r="T21" s="446">
        <f>'13'!X21</f>
        <v>0</v>
      </c>
      <c r="U21" s="456"/>
      <c r="V21" s="451">
        <f t="shared" si="0"/>
        <v>0</v>
      </c>
      <c r="W21" s="451"/>
      <c r="X21" s="447">
        <f t="shared" si="1"/>
        <v>0</v>
      </c>
      <c r="Z21" s="375" t="str">
        <f>'13'!Z21</f>
        <v>SULEMAN  PRINT</v>
      </c>
      <c r="AA21" s="464">
        <f>'13'!AE21</f>
        <v>0</v>
      </c>
      <c r="AB21" s="460"/>
      <c r="AC21" s="462">
        <f t="shared" si="6"/>
        <v>0</v>
      </c>
      <c r="AD21" s="469">
        <v>312000</v>
      </c>
      <c r="AE21" s="348">
        <f t="shared" si="7"/>
        <v>-312000</v>
      </c>
      <c r="AF21" s="563">
        <f>'13'!AF21+'14'!AB21</f>
        <v>0</v>
      </c>
      <c r="AG21" s="234">
        <f>'13'!AG21+'14'!AD21</f>
        <v>312000</v>
      </c>
      <c r="AI21" s="391" t="s">
        <v>126</v>
      </c>
      <c r="AJ21" s="392">
        <f>'13'!AJ23</f>
        <v>0</v>
      </c>
    </row>
    <row r="22" spans="1:36" ht="27" customHeight="1" thickTop="1" thickBot="1">
      <c r="A22" s="486" t="s">
        <v>74</v>
      </c>
      <c r="B22" s="533">
        <f>SUM(B8:B21)</f>
        <v>314500</v>
      </c>
      <c r="C22" s="534">
        <f>'13'!D22</f>
        <v>0</v>
      </c>
      <c r="D22" s="535">
        <f t="shared" ref="D22" si="8">B22+C22</f>
        <v>314500</v>
      </c>
      <c r="F22" s="479" t="str">
        <f>'13'!F22</f>
        <v>SALEEM T JAM</v>
      </c>
      <c r="G22" s="406">
        <f>'CUSTOMERS REPORT'!Y570</f>
        <v>0</v>
      </c>
      <c r="H22" s="504">
        <f>'CUSTOMERS REPORT'!Z570</f>
        <v>0</v>
      </c>
      <c r="I22" s="406">
        <f>'CUSTOMERS REPORT'!AA570</f>
        <v>0</v>
      </c>
      <c r="J22" s="498">
        <f>'CUSTOMERS REPORT'!AB570</f>
        <v>0</v>
      </c>
      <c r="K22" s="498">
        <f>'CUSTOMERS REPORT'!AC570</f>
        <v>0</v>
      </c>
      <c r="L22" s="509">
        <f>'CUSTOMERS REPORT'!AD570</f>
        <v>0</v>
      </c>
      <c r="M22" s="414">
        <f>'13'!M22+'14'!G22</f>
        <v>0</v>
      </c>
      <c r="N22" s="412">
        <f>'13'!N22+'14'!J22</f>
        <v>0</v>
      </c>
      <c r="P22" s="433"/>
      <c r="Q22" s="438"/>
      <c r="S22" s="400" t="str">
        <f>'13'!S22</f>
        <v>COTTON</v>
      </c>
      <c r="T22" s="446">
        <f>'13'!X22</f>
        <v>0</v>
      </c>
      <c r="U22" s="456"/>
      <c r="V22" s="451">
        <f t="shared" si="0"/>
        <v>0</v>
      </c>
      <c r="W22" s="451"/>
      <c r="X22" s="447">
        <f t="shared" si="1"/>
        <v>0</v>
      </c>
      <c r="Z22" s="375" t="str">
        <f>'13'!Z22</f>
        <v>IRFAN VANILA</v>
      </c>
      <c r="AA22" s="464">
        <f>'13'!AE22</f>
        <v>0</v>
      </c>
      <c r="AB22" s="460"/>
      <c r="AC22" s="462">
        <f t="shared" si="6"/>
        <v>0</v>
      </c>
      <c r="AD22" s="469"/>
      <c r="AE22" s="348">
        <f t="shared" si="7"/>
        <v>0</v>
      </c>
      <c r="AF22" s="563">
        <f>'13'!AF22+'14'!AB22</f>
        <v>0</v>
      </c>
      <c r="AG22" s="234">
        <f>'13'!AG22+'14'!AD22</f>
        <v>0</v>
      </c>
      <c r="AI22" s="393">
        <f>R56</f>
        <v>13</v>
      </c>
      <c r="AJ22" s="394">
        <f>R56*1800</f>
        <v>23400</v>
      </c>
    </row>
    <row r="23" spans="1:36" ht="27" customHeight="1" thickTop="1" thickBot="1">
      <c r="A23" s="715" t="str">
        <f>'13'!A23</f>
        <v>OFFICE FOOD</v>
      </c>
      <c r="B23" s="462">
        <v>520</v>
      </c>
      <c r="C23" s="536">
        <f>'13'!D23</f>
        <v>0</v>
      </c>
      <c r="D23" s="537">
        <f t="shared" ref="D23:D48" si="9">B23+C23</f>
        <v>520</v>
      </c>
      <c r="F23" s="479" t="str">
        <f>'13'!F23</f>
        <v>JAMSHAD BADEEN</v>
      </c>
      <c r="G23" s="406">
        <f>'CUSTOMERS REPORT'!Y606</f>
        <v>0</v>
      </c>
      <c r="H23" s="504">
        <f>'CUSTOMERS REPORT'!Z606</f>
        <v>0</v>
      </c>
      <c r="I23" s="406">
        <f>'CUSTOMERS REPORT'!AA606</f>
        <v>0</v>
      </c>
      <c r="J23" s="498">
        <f>'CUSTOMERS REPORT'!AB606</f>
        <v>0</v>
      </c>
      <c r="K23" s="498">
        <f>'CUSTOMERS REPORT'!AC606</f>
        <v>0</v>
      </c>
      <c r="L23" s="509">
        <f>'CUSTOMERS REPORT'!AD606</f>
        <v>0</v>
      </c>
      <c r="M23" s="414">
        <f>'13'!M23+'14'!G23</f>
        <v>0</v>
      </c>
      <c r="N23" s="412">
        <f>'13'!N23+'14'!J23</f>
        <v>0</v>
      </c>
      <c r="P23" s="190" t="s">
        <v>48</v>
      </c>
      <c r="Q23" s="439">
        <f>SUM(Q8:Q22)</f>
        <v>0</v>
      </c>
      <c r="S23" s="400" t="str">
        <f>'13'!S23</f>
        <v>WHITE 6</v>
      </c>
      <c r="T23" s="446">
        <f>'13'!X23</f>
        <v>0</v>
      </c>
      <c r="U23" s="456"/>
      <c r="V23" s="451">
        <f t="shared" si="0"/>
        <v>0</v>
      </c>
      <c r="W23" s="451"/>
      <c r="X23" s="447">
        <f t="shared" si="1"/>
        <v>0</v>
      </c>
      <c r="Z23" s="375" t="str">
        <f>'13'!Z23</f>
        <v>IRANI GHEE</v>
      </c>
      <c r="AA23" s="464">
        <f>'13'!AE23</f>
        <v>0</v>
      </c>
      <c r="AB23" s="460"/>
      <c r="AC23" s="462">
        <f t="shared" si="6"/>
        <v>0</v>
      </c>
      <c r="AD23" s="469"/>
      <c r="AE23" s="348">
        <f t="shared" si="7"/>
        <v>0</v>
      </c>
      <c r="AF23" s="563">
        <f>'13'!AF23+'14'!AB23</f>
        <v>0</v>
      </c>
      <c r="AG23" s="234">
        <f>'13'!AG23+'14'!AD23</f>
        <v>0</v>
      </c>
      <c r="AI23" s="395" t="s">
        <v>74</v>
      </c>
      <c r="AJ23" s="396">
        <f>AJ21+AJ22</f>
        <v>23400</v>
      </c>
    </row>
    <row r="24" spans="1:36" ht="27" customHeight="1" thickTop="1" thickBot="1">
      <c r="A24" s="715" t="str">
        <f>'13'!A24</f>
        <v>LABOUR FOOD EXP</v>
      </c>
      <c r="B24" s="234">
        <v>2000</v>
      </c>
      <c r="C24" s="348">
        <f>'13'!D24</f>
        <v>0</v>
      </c>
      <c r="D24" s="234">
        <f t="shared" si="9"/>
        <v>2000</v>
      </c>
      <c r="F24" s="479" t="str">
        <f>'13'!F24</f>
        <v>SARFAZ MP</v>
      </c>
      <c r="G24" s="406">
        <f>'CUSTOMERS REPORT'!Y644</f>
        <v>0</v>
      </c>
      <c r="H24" s="504">
        <f>'CUSTOMERS REPORT'!Z644</f>
        <v>0</v>
      </c>
      <c r="I24" s="406">
        <f>'CUSTOMERS REPORT'!AA644</f>
        <v>0</v>
      </c>
      <c r="J24" s="498">
        <f>'CUSTOMERS REPORT'!AB644</f>
        <v>0</v>
      </c>
      <c r="K24" s="498">
        <f>'CUSTOMERS REPORT'!AC644</f>
        <v>0</v>
      </c>
      <c r="L24" s="509">
        <f>'CUSTOMERS REPORT'!AD644</f>
        <v>0</v>
      </c>
      <c r="M24" s="414">
        <f>'13'!M24+'14'!G24</f>
        <v>0</v>
      </c>
      <c r="N24" s="412">
        <f>'13'!N24+'14'!J24</f>
        <v>0</v>
      </c>
      <c r="P24" s="1514" t="s">
        <v>137</v>
      </c>
      <c r="Q24" s="1514"/>
      <c r="R24" t="s">
        <v>1</v>
      </c>
      <c r="S24" s="400" t="str">
        <f>'13'!S24</f>
        <v>ORANGE</v>
      </c>
      <c r="T24" s="446">
        <f>'13'!X24</f>
        <v>0</v>
      </c>
      <c r="U24" s="456"/>
      <c r="V24" s="451">
        <f t="shared" si="0"/>
        <v>0</v>
      </c>
      <c r="W24" s="451"/>
      <c r="X24" s="447">
        <f t="shared" si="1"/>
        <v>0</v>
      </c>
      <c r="Z24" s="375">
        <f>'13'!Z24</f>
        <v>0</v>
      </c>
      <c r="AA24" s="464">
        <f>'13'!AE24</f>
        <v>0</v>
      </c>
      <c r="AB24" s="745"/>
      <c r="AC24" s="462">
        <f t="shared" si="2"/>
        <v>0</v>
      </c>
      <c r="AD24" s="469"/>
      <c r="AE24" s="348">
        <f t="shared" si="3"/>
        <v>0</v>
      </c>
      <c r="AF24" s="563">
        <f>'13'!AF24+'14'!AB24</f>
        <v>0</v>
      </c>
      <c r="AG24" s="234">
        <f>'13'!AG24+'14'!AD24</f>
        <v>0</v>
      </c>
    </row>
    <row r="25" spans="1:36" ht="27" customHeight="1" thickTop="1" thickBot="1">
      <c r="A25" s="715" t="str">
        <f>'13'!A25</f>
        <v>OFFICE SALARY</v>
      </c>
      <c r="B25" s="234">
        <f>ATTENDANCE!AC28</f>
        <v>2000</v>
      </c>
      <c r="C25" s="348">
        <f>'13'!D25</f>
        <v>0</v>
      </c>
      <c r="D25" s="234">
        <f t="shared" si="9"/>
        <v>2000</v>
      </c>
      <c r="F25" s="479" t="str">
        <f>'13'!F25</f>
        <v>AFZAL MATLI</v>
      </c>
      <c r="G25" s="406">
        <f>'CUSTOMERS REPORT'!Y682</f>
        <v>0</v>
      </c>
      <c r="H25" s="504">
        <f>'CUSTOMERS REPORT'!Z682</f>
        <v>0</v>
      </c>
      <c r="I25" s="406">
        <f>'CUSTOMERS REPORT'!AA682</f>
        <v>0</v>
      </c>
      <c r="J25" s="498">
        <f>'CUSTOMERS REPORT'!AB682</f>
        <v>0</v>
      </c>
      <c r="K25" s="498">
        <f>'CUSTOMERS REPORT'!AC682</f>
        <v>0</v>
      </c>
      <c r="L25" s="509">
        <f>'CUSTOMERS REPORT'!AD682</f>
        <v>0</v>
      </c>
      <c r="M25" s="414">
        <f>'13'!M25+'14'!G25</f>
        <v>0</v>
      </c>
      <c r="N25" s="412">
        <f>'13'!N25+'14'!J25</f>
        <v>0</v>
      </c>
      <c r="P25" s="434"/>
      <c r="Q25" s="440"/>
      <c r="S25" s="400" t="str">
        <f>'13'!S25</f>
        <v>MAKKI 7</v>
      </c>
      <c r="T25" s="446">
        <f>'13'!X25</f>
        <v>0</v>
      </c>
      <c r="U25" s="456"/>
      <c r="V25" s="451">
        <f t="shared" si="0"/>
        <v>0</v>
      </c>
      <c r="W25" s="451"/>
      <c r="X25" s="447">
        <f t="shared" si="1"/>
        <v>0</v>
      </c>
      <c r="Z25" s="375">
        <f>'13'!Z25</f>
        <v>0</v>
      </c>
      <c r="AA25" s="464">
        <f>'13'!AE25</f>
        <v>0</v>
      </c>
      <c r="AB25" s="460"/>
      <c r="AC25" s="462">
        <f t="shared" si="2"/>
        <v>0</v>
      </c>
      <c r="AD25" s="469"/>
      <c r="AE25" s="348">
        <f t="shared" si="3"/>
        <v>0</v>
      </c>
      <c r="AF25" s="563">
        <f>'13'!AF25+'14'!AB25</f>
        <v>0</v>
      </c>
      <c r="AG25" s="234">
        <f>'13'!AG25+'14'!AD25</f>
        <v>0</v>
      </c>
      <c r="AI25" s="397" t="s">
        <v>59</v>
      </c>
      <c r="AJ25" s="398">
        <f>AJ23-AJ10</f>
        <v>13000</v>
      </c>
    </row>
    <row r="26" spans="1:36" ht="27" customHeight="1" thickTop="1">
      <c r="A26" s="715" t="str">
        <f>'13'!A26</f>
        <v>LABOUR SALARY</v>
      </c>
      <c r="B26" s="234">
        <f>SUM('SALERY SHEET'!AD97:AE97)</f>
        <v>10400</v>
      </c>
      <c r="C26" s="348">
        <f>'13'!D26</f>
        <v>0</v>
      </c>
      <c r="D26" s="234">
        <f t="shared" si="9"/>
        <v>10400</v>
      </c>
      <c r="F26" s="479" t="str">
        <f>'13'!F26</f>
        <v xml:space="preserve">ABDUL RASHEED </v>
      </c>
      <c r="G26" s="406">
        <f>'CUSTOMERS REPORT'!Y720</f>
        <v>0</v>
      </c>
      <c r="H26" s="504">
        <f>'CUSTOMERS REPORT'!Z720</f>
        <v>0</v>
      </c>
      <c r="I26" s="406">
        <f>'CUSTOMERS REPORT'!AA720</f>
        <v>0</v>
      </c>
      <c r="J26" s="498">
        <f>'CUSTOMERS REPORT'!AB720</f>
        <v>0</v>
      </c>
      <c r="K26" s="498">
        <f>'CUSTOMERS REPORT'!AC720</f>
        <v>0</v>
      </c>
      <c r="L26" s="509">
        <f>'CUSTOMERS REPORT'!AD720</f>
        <v>0</v>
      </c>
      <c r="M26" s="414">
        <f>'13'!M26+'14'!G26</f>
        <v>0</v>
      </c>
      <c r="N26" s="412">
        <f>'13'!N26+'14'!J26</f>
        <v>0</v>
      </c>
      <c r="P26" s="433"/>
      <c r="Q26" s="438"/>
      <c r="R26" t="s">
        <v>1</v>
      </c>
      <c r="S26" s="400" t="str">
        <f>'13'!S26</f>
        <v>BLUE 125 GM</v>
      </c>
      <c r="T26" s="446">
        <f>'13'!X26</f>
        <v>0</v>
      </c>
      <c r="U26" s="456"/>
      <c r="V26" s="451">
        <f t="shared" si="0"/>
        <v>0</v>
      </c>
      <c r="W26" s="451"/>
      <c r="X26" s="447">
        <f t="shared" si="1"/>
        <v>0</v>
      </c>
      <c r="Z26" s="375">
        <f>'13'!Z26</f>
        <v>0</v>
      </c>
      <c r="AA26" s="464">
        <f>'13'!AE26</f>
        <v>0</v>
      </c>
      <c r="AB26" s="460"/>
      <c r="AC26" s="462">
        <f t="shared" si="2"/>
        <v>0</v>
      </c>
      <c r="AD26" s="469"/>
      <c r="AE26" s="348">
        <f t="shared" si="3"/>
        <v>0</v>
      </c>
      <c r="AF26" s="563">
        <f>'13'!AF26+'14'!AB26</f>
        <v>0</v>
      </c>
      <c r="AG26" s="234">
        <f>'13'!AG26+'14'!AD26</f>
        <v>0</v>
      </c>
    </row>
    <row r="27" spans="1:36" ht="27" customHeight="1">
      <c r="A27" s="715" t="str">
        <f>'13'!A27</f>
        <v>SHAHZORE</v>
      </c>
      <c r="B27" s="234"/>
      <c r="C27" s="348">
        <f>'13'!D27</f>
        <v>0</v>
      </c>
      <c r="D27" s="234">
        <f t="shared" si="9"/>
        <v>0</v>
      </c>
      <c r="F27" s="479" t="str">
        <f>'13'!F27</f>
        <v>SALEEM ORANGI</v>
      </c>
      <c r="G27" s="406">
        <f>'CUSTOMERS REPORT'!Y758</f>
        <v>0</v>
      </c>
      <c r="H27" s="504">
        <f>'CUSTOMERS REPORT'!Z758</f>
        <v>0</v>
      </c>
      <c r="I27" s="406">
        <f>'CUSTOMERS REPORT'!AA758</f>
        <v>0</v>
      </c>
      <c r="J27" s="498">
        <f>'CUSTOMERS REPORT'!AB758</f>
        <v>0</v>
      </c>
      <c r="K27" s="498">
        <f>'CUSTOMERS REPORT'!AC758</f>
        <v>0</v>
      </c>
      <c r="L27" s="509">
        <f>'CUSTOMERS REPORT'!AD758</f>
        <v>0</v>
      </c>
      <c r="M27" s="414">
        <f>'13'!M27+'14'!G27</f>
        <v>0</v>
      </c>
      <c r="N27" s="412">
        <f>'13'!N27+'14'!J27</f>
        <v>0</v>
      </c>
      <c r="P27" s="433"/>
      <c r="Q27" s="435"/>
      <c r="R27" t="s">
        <v>1</v>
      </c>
      <c r="S27" s="400" t="str">
        <f>'13'!S27</f>
        <v>MAKKI 5</v>
      </c>
      <c r="T27" s="446">
        <f>'13'!X27</f>
        <v>0</v>
      </c>
      <c r="U27" s="456"/>
      <c r="V27" s="451">
        <f t="shared" si="0"/>
        <v>0</v>
      </c>
      <c r="W27" s="451"/>
      <c r="X27" s="447">
        <f t="shared" si="1"/>
        <v>0</v>
      </c>
      <c r="Z27" s="375">
        <f>'13'!Z27</f>
        <v>0</v>
      </c>
      <c r="AA27" s="464">
        <f>'13'!AE27</f>
        <v>0</v>
      </c>
      <c r="AB27" s="460"/>
      <c r="AC27" s="462">
        <f t="shared" si="2"/>
        <v>0</v>
      </c>
      <c r="AD27" s="469"/>
      <c r="AE27" s="348">
        <f t="shared" si="3"/>
        <v>0</v>
      </c>
      <c r="AF27" s="563">
        <f>'13'!AF27+'14'!AB27</f>
        <v>0</v>
      </c>
      <c r="AG27" s="234">
        <f>'13'!AG27+'14'!AD27</f>
        <v>0</v>
      </c>
    </row>
    <row r="28" spans="1:36" ht="27" customHeight="1">
      <c r="A28" s="715" t="str">
        <f>'13'!A28</f>
        <v>GENERATOR</v>
      </c>
      <c r="B28" s="234"/>
      <c r="C28" s="348">
        <f>'13'!D28</f>
        <v>0</v>
      </c>
      <c r="D28" s="234">
        <f t="shared" si="9"/>
        <v>0</v>
      </c>
      <c r="F28" s="479" t="str">
        <f>'13'!F28</f>
        <v>AYAZ OUSTA</v>
      </c>
      <c r="G28" s="406">
        <f>'CUSTOMERS REPORT'!Y796</f>
        <v>0</v>
      </c>
      <c r="H28" s="504">
        <f>'CUSTOMERS REPORT'!Z796</f>
        <v>0</v>
      </c>
      <c r="I28" s="406">
        <f>'CUSTOMERS REPORT'!AA796</f>
        <v>0</v>
      </c>
      <c r="J28" s="498">
        <f>'CUSTOMERS REPORT'!AB796</f>
        <v>0</v>
      </c>
      <c r="K28" s="498">
        <f>'CUSTOMERS REPORT'!AC796</f>
        <v>0</v>
      </c>
      <c r="L28" s="509">
        <f>'CUSTOMERS REPORT'!AD796</f>
        <v>0</v>
      </c>
      <c r="M28" s="414">
        <f>'13'!M28+'14'!G28</f>
        <v>0</v>
      </c>
      <c r="N28" s="412">
        <f>'13'!N28+'14'!J28</f>
        <v>0</v>
      </c>
      <c r="P28" s="433"/>
      <c r="Q28" s="438"/>
      <c r="S28" s="400" t="str">
        <f>'13'!S28</f>
        <v>MAKKI 2 PES</v>
      </c>
      <c r="T28" s="446">
        <f>'13'!X28</f>
        <v>0</v>
      </c>
      <c r="U28" s="456"/>
      <c r="V28" s="451">
        <f t="shared" si="0"/>
        <v>0</v>
      </c>
      <c r="W28" s="451"/>
      <c r="X28" s="447">
        <f t="shared" si="1"/>
        <v>0</v>
      </c>
      <c r="Z28" s="375">
        <f>'13'!Z28</f>
        <v>0</v>
      </c>
      <c r="AA28" s="464">
        <f>'13'!AE28</f>
        <v>0</v>
      </c>
      <c r="AB28" s="460"/>
      <c r="AC28" s="462">
        <f t="shared" si="2"/>
        <v>0</v>
      </c>
      <c r="AD28" s="469"/>
      <c r="AE28" s="348">
        <f t="shared" si="3"/>
        <v>0</v>
      </c>
      <c r="AF28" s="563">
        <f>'13'!AF28+'14'!AB28</f>
        <v>0</v>
      </c>
      <c r="AG28" s="234">
        <f>'13'!AG28+'14'!AD28</f>
        <v>0</v>
      </c>
    </row>
    <row r="29" spans="1:36" ht="27" customHeight="1">
      <c r="A29" s="715" t="str">
        <f>'13'!A29</f>
        <v>PATROL FAW</v>
      </c>
      <c r="B29" s="234">
        <v>2200</v>
      </c>
      <c r="C29" s="348">
        <f>'13'!D29</f>
        <v>0</v>
      </c>
      <c r="D29" s="234">
        <f t="shared" si="9"/>
        <v>2200</v>
      </c>
      <c r="F29" s="479" t="str">
        <f>'13'!F29</f>
        <v>AZHAR BADEEN</v>
      </c>
      <c r="G29" s="406">
        <f>'CUSTOMERS REPORT'!Y834</f>
        <v>0</v>
      </c>
      <c r="H29" s="504">
        <f>'CUSTOMERS REPORT'!Z834</f>
        <v>0</v>
      </c>
      <c r="I29" s="406">
        <f>'CUSTOMERS REPORT'!AA834</f>
        <v>0</v>
      </c>
      <c r="J29" s="498">
        <f>'CUSTOMERS REPORT'!AB834</f>
        <v>0</v>
      </c>
      <c r="K29" s="498">
        <f>'CUSTOMERS REPORT'!AC834</f>
        <v>0</v>
      </c>
      <c r="L29" s="509">
        <f>'CUSTOMERS REPORT'!AD834</f>
        <v>0</v>
      </c>
      <c r="M29" s="414">
        <f>'13'!M29+'14'!G29</f>
        <v>0</v>
      </c>
      <c r="N29" s="412">
        <f>'13'!N29+'14'!J29</f>
        <v>0</v>
      </c>
      <c r="P29" s="433"/>
      <c r="Q29" s="441"/>
      <c r="S29" s="400" t="str">
        <f>'13'!S29</f>
        <v xml:space="preserve">PRIME </v>
      </c>
      <c r="T29" s="446">
        <f>'13'!X29</f>
        <v>0</v>
      </c>
      <c r="U29" s="456"/>
      <c r="V29" s="451">
        <f t="shared" si="0"/>
        <v>0</v>
      </c>
      <c r="W29" s="451"/>
      <c r="X29" s="447">
        <f t="shared" si="1"/>
        <v>0</v>
      </c>
      <c r="Z29" s="375">
        <f>'13'!Z29</f>
        <v>0</v>
      </c>
      <c r="AA29" s="464">
        <f>'13'!AE29</f>
        <v>0</v>
      </c>
      <c r="AB29" s="460"/>
      <c r="AC29" s="462">
        <f t="shared" si="2"/>
        <v>0</v>
      </c>
      <c r="AD29" s="469"/>
      <c r="AE29" s="348">
        <f t="shared" si="3"/>
        <v>0</v>
      </c>
      <c r="AF29" s="563">
        <f>'13'!AF29+'14'!AB29</f>
        <v>0</v>
      </c>
      <c r="AG29" s="234">
        <f>'13'!AG29+'14'!AD29</f>
        <v>0</v>
      </c>
    </row>
    <row r="30" spans="1:36" ht="27" customHeight="1">
      <c r="A30" s="715" t="str">
        <f>'13'!A30</f>
        <v>FOTON DIESEL</v>
      </c>
      <c r="B30" s="234"/>
      <c r="C30" s="348">
        <f>'13'!D30</f>
        <v>0</v>
      </c>
      <c r="D30" s="234">
        <f t="shared" si="9"/>
        <v>0</v>
      </c>
      <c r="F30" s="479" t="str">
        <f>'13'!F30</f>
        <v>FAISAL HUB</v>
      </c>
      <c r="G30" s="406">
        <f>'CUSTOMERS REPORT'!Y872</f>
        <v>0</v>
      </c>
      <c r="H30" s="504">
        <f>'CUSTOMERS REPORT'!Z872</f>
        <v>0</v>
      </c>
      <c r="I30" s="406">
        <f>'CUSTOMERS REPORT'!AA872</f>
        <v>0</v>
      </c>
      <c r="J30" s="498">
        <f>'CUSTOMERS REPORT'!AB872</f>
        <v>0</v>
      </c>
      <c r="K30" s="498">
        <f>'CUSTOMERS REPORT'!AC872</f>
        <v>0</v>
      </c>
      <c r="L30" s="509">
        <f>'CUSTOMERS REPORT'!AD872</f>
        <v>0</v>
      </c>
      <c r="M30" s="414">
        <f>'13'!M30+'14'!G30</f>
        <v>0</v>
      </c>
      <c r="N30" s="412">
        <f>'13'!N30+'14'!J30</f>
        <v>0</v>
      </c>
      <c r="P30" s="433"/>
      <c r="Q30" s="442"/>
      <c r="S30" s="400" t="str">
        <f>'13'!S30</f>
        <v>PRIMR 15</v>
      </c>
      <c r="T30" s="446">
        <f>'13'!X30</f>
        <v>0</v>
      </c>
      <c r="U30" s="456"/>
      <c r="V30" s="451">
        <f t="shared" si="0"/>
        <v>0</v>
      </c>
      <c r="W30" s="451"/>
      <c r="X30" s="447">
        <f t="shared" si="1"/>
        <v>0</v>
      </c>
      <c r="Z30" s="375">
        <f>'13'!Z30</f>
        <v>0</v>
      </c>
      <c r="AA30" s="464">
        <f>'13'!AE30</f>
        <v>0</v>
      </c>
      <c r="AB30" s="460"/>
      <c r="AC30" s="462">
        <f t="shared" si="2"/>
        <v>0</v>
      </c>
      <c r="AD30" s="469"/>
      <c r="AE30" s="348">
        <f t="shared" si="3"/>
        <v>0</v>
      </c>
      <c r="AF30" s="563">
        <f>'13'!AF30+'14'!AB30</f>
        <v>0</v>
      </c>
      <c r="AG30" s="234">
        <f>'13'!AG30+'14'!AD30</f>
        <v>0</v>
      </c>
    </row>
    <row r="31" spans="1:36" ht="27" customHeight="1" thickBot="1">
      <c r="A31" s="715" t="str">
        <f>'13'!A31</f>
        <v>UTILITY BILLS</v>
      </c>
      <c r="B31" s="234"/>
      <c r="C31" s="348">
        <f>'13'!D31</f>
        <v>0</v>
      </c>
      <c r="D31" s="234">
        <f t="shared" si="9"/>
        <v>0</v>
      </c>
      <c r="F31" s="479" t="str">
        <f>'13'!F31</f>
        <v>ABDUL RAHMAN</v>
      </c>
      <c r="G31" s="406">
        <f>'CUSTOMERS REPORT'!Y911</f>
        <v>0</v>
      </c>
      <c r="H31" s="504">
        <f>'CUSTOMERS REPORT'!Z911</f>
        <v>0</v>
      </c>
      <c r="I31" s="406">
        <f>'CUSTOMERS REPORT'!AA911</f>
        <v>0</v>
      </c>
      <c r="J31" s="498">
        <f>'CUSTOMERS REPORT'!AB911</f>
        <v>0</v>
      </c>
      <c r="K31" s="498">
        <f>'CUSTOMERS REPORT'!AC911</f>
        <v>0</v>
      </c>
      <c r="L31" s="509">
        <f>'CUSTOMERS REPORT'!AD911</f>
        <v>0</v>
      </c>
      <c r="M31" s="414">
        <f>'13'!M31+'14'!G31</f>
        <v>0</v>
      </c>
      <c r="N31" s="412">
        <f>'13'!N31+'14'!J31</f>
        <v>0</v>
      </c>
      <c r="P31" s="433"/>
      <c r="Q31" s="435"/>
      <c r="S31" s="400" t="str">
        <f>'13'!S31</f>
        <v>KARACHI</v>
      </c>
      <c r="T31" s="446">
        <f>'13'!X31</f>
        <v>0</v>
      </c>
      <c r="U31" s="456"/>
      <c r="V31" s="451">
        <f t="shared" si="0"/>
        <v>0</v>
      </c>
      <c r="W31" s="451"/>
      <c r="X31" s="447">
        <f t="shared" si="1"/>
        <v>0</v>
      </c>
      <c r="Z31" s="375">
        <f>'13'!Z31</f>
        <v>0</v>
      </c>
      <c r="AA31" s="464">
        <f>'13'!AE31</f>
        <v>0</v>
      </c>
      <c r="AB31" s="460"/>
      <c r="AC31" s="462">
        <f t="shared" si="2"/>
        <v>0</v>
      </c>
      <c r="AD31" s="469"/>
      <c r="AE31" s="348">
        <f t="shared" si="3"/>
        <v>0</v>
      </c>
      <c r="AF31" s="563">
        <f>'13'!AF31+'14'!AB31</f>
        <v>0</v>
      </c>
      <c r="AG31" s="234">
        <f>'13'!AG31+'14'!AD31</f>
        <v>0</v>
      </c>
      <c r="AI31" t="s">
        <v>1</v>
      </c>
    </row>
    <row r="32" spans="1:36" ht="27" customHeight="1" thickTop="1" thickBot="1">
      <c r="A32" s="715" t="str">
        <f>'13'!A32</f>
        <v>WOOD</v>
      </c>
      <c r="B32" s="234"/>
      <c r="C32" s="348">
        <f>'13'!D32</f>
        <v>0</v>
      </c>
      <c r="D32" s="550">
        <f t="shared" si="9"/>
        <v>0</v>
      </c>
      <c r="F32" s="479" t="str">
        <f>'13'!F32</f>
        <v>HAJI JAN GIWANI</v>
      </c>
      <c r="G32" s="406">
        <f>'CUSTOMERS REPORT'!Y950</f>
        <v>0</v>
      </c>
      <c r="H32" s="504">
        <f>'CUSTOMERS REPORT'!Z950</f>
        <v>0</v>
      </c>
      <c r="I32" s="406">
        <f>'CUSTOMERS REPORT'!AA950</f>
        <v>0</v>
      </c>
      <c r="J32" s="498">
        <f>'CUSTOMERS REPORT'!AB950</f>
        <v>0</v>
      </c>
      <c r="K32" s="498">
        <f>'CUSTOMERS REPORT'!AC950</f>
        <v>0</v>
      </c>
      <c r="L32" s="509">
        <f>'CUSTOMERS REPORT'!AD950</f>
        <v>0</v>
      </c>
      <c r="M32" s="414">
        <f>'13'!M32+'14'!G32</f>
        <v>0</v>
      </c>
      <c r="N32" s="412">
        <f>'13'!N32+'14'!J32</f>
        <v>0</v>
      </c>
      <c r="P32" s="190" t="s">
        <v>51</v>
      </c>
      <c r="Q32" s="439">
        <f>Q23-Q25-Q26-Q27-Q28-Q29-Q30-Q31</f>
        <v>0</v>
      </c>
      <c r="R32" t="s">
        <v>1</v>
      </c>
      <c r="S32" s="400" t="str">
        <f>'13'!S32</f>
        <v>MARVI</v>
      </c>
      <c r="T32" s="446">
        <f>'13'!X32</f>
        <v>0</v>
      </c>
      <c r="U32" s="456"/>
      <c r="V32" s="451">
        <f t="shared" si="0"/>
        <v>0</v>
      </c>
      <c r="W32" s="451"/>
      <c r="X32" s="447">
        <f t="shared" si="1"/>
        <v>0</v>
      </c>
      <c r="Z32" s="375">
        <f>'13'!Z32</f>
        <v>0</v>
      </c>
      <c r="AA32" s="464">
        <f>'13'!AE32</f>
        <v>0</v>
      </c>
      <c r="AB32" s="460"/>
      <c r="AC32" s="462">
        <f t="shared" si="2"/>
        <v>0</v>
      </c>
      <c r="AD32" s="469"/>
      <c r="AE32" s="348">
        <f t="shared" si="3"/>
        <v>0</v>
      </c>
      <c r="AF32" s="563">
        <f>'13'!AF32+'14'!AB32</f>
        <v>0</v>
      </c>
      <c r="AG32" s="234">
        <f>'13'!AG32+'14'!AD32</f>
        <v>0</v>
      </c>
    </row>
    <row r="33" spans="1:40" ht="27" customHeight="1" thickTop="1" thickBot="1">
      <c r="A33" s="715" t="str">
        <f>'13'!A33</f>
        <v>TOLL</v>
      </c>
      <c r="B33" s="538"/>
      <c r="C33" s="348">
        <f>'13'!D33</f>
        <v>0</v>
      </c>
      <c r="D33" s="234">
        <f t="shared" si="9"/>
        <v>0</v>
      </c>
      <c r="F33" s="479" t="str">
        <f>'13'!F33</f>
        <v>ALI QURESHI HYD</v>
      </c>
      <c r="G33" s="406">
        <f>'CUSTOMERS REPORT'!Y988</f>
        <v>0</v>
      </c>
      <c r="H33" s="504">
        <f>'CUSTOMERS REPORT'!Z988</f>
        <v>0</v>
      </c>
      <c r="I33" s="406">
        <f>'CUSTOMERS REPORT'!AA988</f>
        <v>0</v>
      </c>
      <c r="J33" s="498">
        <f>'CUSTOMERS REPORT'!AB988</f>
        <v>0</v>
      </c>
      <c r="K33" s="498">
        <f>'CUSTOMERS REPORT'!AC988</f>
        <v>0</v>
      </c>
      <c r="L33" s="509">
        <f>'CUSTOMERS REPORT'!AD988</f>
        <v>0</v>
      </c>
      <c r="M33" s="414">
        <f>'13'!M33+'14'!G33</f>
        <v>0</v>
      </c>
      <c r="N33" s="412">
        <f>'13'!N33+'14'!J33</f>
        <v>0</v>
      </c>
      <c r="P33" s="1499" t="s">
        <v>149</v>
      </c>
      <c r="Q33" s="1500"/>
      <c r="S33" s="400" t="str">
        <f>'13'!S33</f>
        <v>TS</v>
      </c>
      <c r="T33" s="446">
        <f>'13'!X33</f>
        <v>0</v>
      </c>
      <c r="U33" s="456"/>
      <c r="V33" s="451">
        <f t="shared" si="0"/>
        <v>0</v>
      </c>
      <c r="W33" s="451"/>
      <c r="X33" s="447">
        <f t="shared" si="1"/>
        <v>0</v>
      </c>
      <c r="Z33" s="375">
        <f>'13'!Z33</f>
        <v>0</v>
      </c>
      <c r="AA33" s="464">
        <f>'13'!AE33</f>
        <v>0</v>
      </c>
      <c r="AB33" s="460">
        <f>'SHAKEEL RUSK'!D21+'SHAKEEL RUSK'!G21</f>
        <v>0</v>
      </c>
      <c r="AC33" s="462">
        <f t="shared" si="2"/>
        <v>0</v>
      </c>
      <c r="AD33" s="469"/>
      <c r="AE33" s="348">
        <f t="shared" si="3"/>
        <v>0</v>
      </c>
      <c r="AF33" s="563">
        <f>'13'!AF33+'14'!AB33</f>
        <v>0</v>
      </c>
      <c r="AG33" s="234">
        <f>'13'!AG33+'14'!AD33</f>
        <v>0</v>
      </c>
    </row>
    <row r="34" spans="1:40" ht="27" customHeight="1" thickTop="1" thickBot="1">
      <c r="A34" s="716" t="str">
        <f>'13'!A34</f>
        <v>FLOUR / SHGER</v>
      </c>
      <c r="B34" s="538"/>
      <c r="C34" s="348">
        <f>'13'!D34</f>
        <v>0</v>
      </c>
      <c r="D34" s="234">
        <f t="shared" si="9"/>
        <v>0</v>
      </c>
      <c r="F34" s="479" t="str">
        <f>'13'!F34</f>
        <v>ALI RAZA KAND KOT</v>
      </c>
      <c r="G34" s="406">
        <f>'CUSTOMERS REPORT'!Y1026</f>
        <v>0</v>
      </c>
      <c r="H34" s="504">
        <f>'CUSTOMERS REPORT'!Z1026</f>
        <v>0</v>
      </c>
      <c r="I34" s="406">
        <f>'CUSTOMERS REPORT'!AA1026</f>
        <v>0</v>
      </c>
      <c r="J34" s="498">
        <f>'CUSTOMERS REPORT'!AB1026</f>
        <v>0</v>
      </c>
      <c r="K34" s="498">
        <f>'CUSTOMERS REPORT'!AC1026</f>
        <v>0</v>
      </c>
      <c r="L34" s="509">
        <f>'CUSTOMERS REPORT'!AD1026</f>
        <v>0</v>
      </c>
      <c r="M34" s="414">
        <f>'13'!M34+'14'!G34</f>
        <v>0</v>
      </c>
      <c r="N34" s="412">
        <f>'13'!N34+'14'!J34</f>
        <v>0</v>
      </c>
      <c r="P34" s="220" t="s">
        <v>150</v>
      </c>
      <c r="Q34" s="223">
        <f>'13'!Q34</f>
        <v>0</v>
      </c>
      <c r="S34" s="400" t="str">
        <f>'13'!S34</f>
        <v>MAXI</v>
      </c>
      <c r="T34" s="446">
        <f>'13'!X34</f>
        <v>0</v>
      </c>
      <c r="U34" s="457"/>
      <c r="V34" s="452">
        <f t="shared" si="0"/>
        <v>0</v>
      </c>
      <c r="W34" s="452"/>
      <c r="X34" s="448">
        <f t="shared" si="1"/>
        <v>0</v>
      </c>
      <c r="Z34" s="375">
        <f>'13'!Z34</f>
        <v>0</v>
      </c>
      <c r="AA34" s="464">
        <f>'13'!AE34</f>
        <v>0</v>
      </c>
      <c r="AB34" s="460"/>
      <c r="AC34" s="462">
        <f t="shared" si="2"/>
        <v>0</v>
      </c>
      <c r="AD34" s="469"/>
      <c r="AE34" s="348">
        <f t="shared" si="3"/>
        <v>0</v>
      </c>
      <c r="AF34" s="563">
        <f>'13'!AF34+'14'!AB34</f>
        <v>0</v>
      </c>
      <c r="AG34" s="234">
        <f>'13'!AG34+'14'!AD34</f>
        <v>0</v>
      </c>
    </row>
    <row r="35" spans="1:40" ht="27" customHeight="1" thickTop="1">
      <c r="A35" s="716" t="str">
        <f>'13'!A35</f>
        <v>OVEN &amp; PP MACHINE</v>
      </c>
      <c r="B35" s="529"/>
      <c r="C35" s="348">
        <f>'13'!D35</f>
        <v>0</v>
      </c>
      <c r="D35" s="529">
        <f t="shared" si="9"/>
        <v>0</v>
      </c>
      <c r="F35" s="479" t="str">
        <f>'13'!F35</f>
        <v>IQBAL MORO</v>
      </c>
      <c r="G35" s="407">
        <f>'CUSTOMERS REPORT'!Y1064</f>
        <v>0</v>
      </c>
      <c r="H35" s="505">
        <f>'CUSTOMERS REPORT'!Z1064</f>
        <v>0</v>
      </c>
      <c r="I35" s="407">
        <f>'CUSTOMERS REPORT'!AA1064</f>
        <v>0</v>
      </c>
      <c r="J35" s="499">
        <f>'CUSTOMERS REPORT'!AB1064</f>
        <v>0</v>
      </c>
      <c r="K35" s="499">
        <f>'CUSTOMERS REPORT'!AC1064</f>
        <v>0</v>
      </c>
      <c r="L35" s="510">
        <f>'CUSTOMERS REPORT'!AD1064</f>
        <v>0</v>
      </c>
      <c r="M35" s="414">
        <f>'13'!M35+'14'!G35</f>
        <v>0</v>
      </c>
      <c r="N35" s="412">
        <f>'13'!N35+'14'!J35</f>
        <v>0</v>
      </c>
      <c r="P35" s="252" t="s">
        <v>151</v>
      </c>
      <c r="Q35" s="443">
        <f>'13'!Q35</f>
        <v>0</v>
      </c>
      <c r="R35" t="s">
        <v>1</v>
      </c>
      <c r="S35" s="400" t="str">
        <f>'13'!S35</f>
        <v>M A WHITE</v>
      </c>
      <c r="T35" s="446">
        <f>'13'!X35</f>
        <v>0</v>
      </c>
      <c r="U35" s="457"/>
      <c r="V35" s="452">
        <f t="shared" si="0"/>
        <v>0</v>
      </c>
      <c r="W35" s="452"/>
      <c r="X35" s="448">
        <f t="shared" si="1"/>
        <v>0</v>
      </c>
      <c r="Z35" s="375">
        <f>'13'!Z35</f>
        <v>0</v>
      </c>
      <c r="AA35" s="464">
        <f>'13'!AE35</f>
        <v>0</v>
      </c>
      <c r="AB35" s="460"/>
      <c r="AC35" s="462">
        <f t="shared" si="2"/>
        <v>0</v>
      </c>
      <c r="AD35" s="469"/>
      <c r="AE35" s="348">
        <f t="shared" si="3"/>
        <v>0</v>
      </c>
      <c r="AF35" s="563">
        <f>'13'!AF35+'14'!AB35</f>
        <v>0</v>
      </c>
      <c r="AG35" s="234">
        <f>'13'!AG35+'14'!AD35</f>
        <v>0</v>
      </c>
    </row>
    <row r="36" spans="1:40" ht="27" customHeight="1">
      <c r="A36" s="716" t="str">
        <f>'13'!A36</f>
        <v>zakat</v>
      </c>
      <c r="B36" s="539"/>
      <c r="C36" s="348">
        <f>'13'!D36</f>
        <v>0</v>
      </c>
      <c r="D36" s="529">
        <f t="shared" si="9"/>
        <v>0</v>
      </c>
      <c r="F36" s="479" t="str">
        <f>'13'!F36</f>
        <v>SARFARAZ T ADAM</v>
      </c>
      <c r="G36" s="407">
        <f>'CUSTOMERS REPORT'!Y1102</f>
        <v>0</v>
      </c>
      <c r="H36" s="505">
        <f>'CUSTOMERS REPORT'!Z1102</f>
        <v>0</v>
      </c>
      <c r="I36" s="407">
        <f>'CUSTOMERS REPORT'!AA1102</f>
        <v>0</v>
      </c>
      <c r="J36" s="499">
        <f>'CUSTOMERS REPORT'!AB1102</f>
        <v>0</v>
      </c>
      <c r="K36" s="499">
        <f>'CUSTOMERS REPORT'!AC1102</f>
        <v>0</v>
      </c>
      <c r="L36" s="510">
        <f>'CUSTOMERS REPORT'!AD1102</f>
        <v>0</v>
      </c>
      <c r="M36" s="414">
        <f>'13'!M36+'14'!G36</f>
        <v>0</v>
      </c>
      <c r="N36" s="412">
        <f>'13'!N36+'14'!J36</f>
        <v>0</v>
      </c>
      <c r="P36" s="372" t="s">
        <v>152</v>
      </c>
      <c r="Q36" s="444">
        <f>J48</f>
        <v>0</v>
      </c>
      <c r="R36" t="s">
        <v>1</v>
      </c>
      <c r="S36" s="400" t="str">
        <f>'13'!S36</f>
        <v>M A ORING</v>
      </c>
      <c r="T36" s="446">
        <f>'13'!X36</f>
        <v>0</v>
      </c>
      <c r="U36" s="456"/>
      <c r="V36" s="451">
        <f t="shared" si="0"/>
        <v>0</v>
      </c>
      <c r="W36" s="452"/>
      <c r="X36" s="448">
        <f t="shared" si="1"/>
        <v>0</v>
      </c>
      <c r="Z36" s="375">
        <f>'13'!Z36</f>
        <v>0</v>
      </c>
      <c r="AA36" s="464">
        <f>'13'!AE36</f>
        <v>0</v>
      </c>
      <c r="AB36" s="460"/>
      <c r="AC36" s="462">
        <f t="shared" si="2"/>
        <v>0</v>
      </c>
      <c r="AD36" s="469"/>
      <c r="AE36" s="348">
        <f t="shared" si="3"/>
        <v>0</v>
      </c>
      <c r="AF36" s="563">
        <f>'13'!AF36+'14'!AB36</f>
        <v>0</v>
      </c>
      <c r="AG36" s="234">
        <f>'13'!AG36+'14'!AD36</f>
        <v>0</v>
      </c>
    </row>
    <row r="37" spans="1:40" ht="27" customHeight="1">
      <c r="A37" s="715" t="str">
        <f>'13'!A37</f>
        <v>javeed manghopir</v>
      </c>
      <c r="B37" s="234"/>
      <c r="C37" s="348">
        <f>'13'!D37</f>
        <v>0</v>
      </c>
      <c r="D37" s="234">
        <f t="shared" si="9"/>
        <v>0</v>
      </c>
      <c r="F37" s="479" t="str">
        <f>'13'!F37</f>
        <v>MUMTAZ K N SHAH</v>
      </c>
      <c r="G37" s="406">
        <f>'CUSTOMERS REPORT'!Y1140</f>
        <v>0</v>
      </c>
      <c r="H37" s="504">
        <f>'CUSTOMERS REPORT'!Z1140</f>
        <v>0</v>
      </c>
      <c r="I37" s="406">
        <f>'CUSTOMERS REPORT'!AA1140</f>
        <v>0</v>
      </c>
      <c r="J37" s="498">
        <f>'CUSTOMERS REPORT'!AB1140</f>
        <v>0</v>
      </c>
      <c r="K37" s="498">
        <f>'CUSTOMERS REPORT'!AC1140</f>
        <v>0</v>
      </c>
      <c r="L37" s="509">
        <f>'CUSTOMERS REPORT'!AD1140</f>
        <v>0</v>
      </c>
      <c r="M37" s="414">
        <f>'13'!M37+'14'!G37</f>
        <v>0</v>
      </c>
      <c r="N37" s="412">
        <f>'13'!N37+'14'!J37</f>
        <v>0</v>
      </c>
      <c r="P37" s="373" t="s">
        <v>153</v>
      </c>
      <c r="Q37" s="445">
        <f>Q34+Q35+Q36</f>
        <v>0</v>
      </c>
      <c r="R37" t="s">
        <v>1</v>
      </c>
      <c r="S37" s="400">
        <f>'13'!S37</f>
        <v>0</v>
      </c>
      <c r="T37" s="446">
        <f>'13'!X37</f>
        <v>0</v>
      </c>
      <c r="U37" s="456"/>
      <c r="V37" s="451">
        <f t="shared" si="0"/>
        <v>0</v>
      </c>
      <c r="W37" s="452"/>
      <c r="X37" s="448">
        <f t="shared" si="1"/>
        <v>0</v>
      </c>
      <c r="Z37" s="375">
        <f>'13'!Z37</f>
        <v>0</v>
      </c>
      <c r="AA37" s="464">
        <f>'13'!AE37</f>
        <v>0</v>
      </c>
      <c r="AB37" s="460"/>
      <c r="AC37" s="462">
        <f t="shared" si="2"/>
        <v>0</v>
      </c>
      <c r="AD37" s="469"/>
      <c r="AE37" s="348">
        <f t="shared" si="3"/>
        <v>0</v>
      </c>
      <c r="AF37" s="563">
        <f>'13'!AF37+'14'!AB37</f>
        <v>0</v>
      </c>
      <c r="AG37" s="234">
        <f>'13'!AG37+'14'!AD37</f>
        <v>0</v>
      </c>
    </row>
    <row r="38" spans="1:40" ht="27" customHeight="1">
      <c r="A38" s="715" t="str">
        <f>'13'!A38</f>
        <v>EXSIS CASH</v>
      </c>
      <c r="B38" s="234"/>
      <c r="C38" s="348">
        <f>'13'!D38</f>
        <v>0</v>
      </c>
      <c r="D38" s="234">
        <f t="shared" si="9"/>
        <v>0</v>
      </c>
      <c r="F38" s="479" t="str">
        <f>'13'!F38</f>
        <v>GHULAM RASOOL QU</v>
      </c>
      <c r="G38" s="408">
        <f>'CUSTOMERS REPORT'!Y1177</f>
        <v>0</v>
      </c>
      <c r="H38" s="506">
        <f>'CUSTOMERS REPORT'!Z1177</f>
        <v>0</v>
      </c>
      <c r="I38" s="408">
        <f>'CUSTOMERS REPORT'!AA1177</f>
        <v>0</v>
      </c>
      <c r="J38" s="500">
        <f>'CUSTOMERS REPORT'!AB1177</f>
        <v>0</v>
      </c>
      <c r="K38" s="500">
        <f>'CUSTOMERS REPORT'!AC1177</f>
        <v>0</v>
      </c>
      <c r="L38" s="511">
        <f>'CUSTOMERS REPORT'!AD1177</f>
        <v>0</v>
      </c>
      <c r="M38" s="414">
        <f>'13'!M38+'14'!G38</f>
        <v>0</v>
      </c>
      <c r="N38" s="412">
        <f>'13'!N38+'14'!J38</f>
        <v>0</v>
      </c>
      <c r="P38" s="373" t="s">
        <v>154</v>
      </c>
      <c r="Q38" s="445">
        <f>D48</f>
        <v>331620</v>
      </c>
      <c r="S38" s="400">
        <f>'13'!S38</f>
        <v>0</v>
      </c>
      <c r="T38" s="446">
        <f>'13'!X38</f>
        <v>0</v>
      </c>
      <c r="U38" s="456"/>
      <c r="V38" s="451">
        <f t="shared" si="0"/>
        <v>0</v>
      </c>
      <c r="W38" s="452"/>
      <c r="X38" s="448">
        <f t="shared" si="1"/>
        <v>0</v>
      </c>
      <c r="Z38" s="375">
        <f>'13'!Z38</f>
        <v>0</v>
      </c>
      <c r="AA38" s="464">
        <f>'13'!AE38</f>
        <v>0</v>
      </c>
      <c r="AB38" s="460"/>
      <c r="AC38" s="462">
        <f t="shared" si="2"/>
        <v>0</v>
      </c>
      <c r="AD38" s="469"/>
      <c r="AE38" s="348">
        <f t="shared" si="3"/>
        <v>0</v>
      </c>
      <c r="AF38" s="563">
        <f>'13'!AF38+'14'!AB38</f>
        <v>0</v>
      </c>
      <c r="AG38" s="234">
        <f>'13'!AG38+'14'!AD38</f>
        <v>0</v>
      </c>
    </row>
    <row r="39" spans="1:40" ht="27" customHeight="1">
      <c r="A39" s="715" t="str">
        <f>'13'!A39</f>
        <v>SHORT CASH</v>
      </c>
      <c r="B39" s="234"/>
      <c r="C39" s="348">
        <f>'13'!D39</f>
        <v>0</v>
      </c>
      <c r="D39" s="234">
        <f t="shared" si="9"/>
        <v>0</v>
      </c>
      <c r="F39" s="479" t="str">
        <f>'13'!F39</f>
        <v>SHAMSHAD UNCLE</v>
      </c>
      <c r="G39" s="406">
        <f>'CUSTOMERS REPORT'!Y1214</f>
        <v>0</v>
      </c>
      <c r="H39" s="504">
        <f>'CUSTOMERS REPORT'!Z1214</f>
        <v>0</v>
      </c>
      <c r="I39" s="406">
        <f>'CUSTOMERS REPORT'!AA1214</f>
        <v>0</v>
      </c>
      <c r="J39" s="498">
        <f>'CUSTOMERS REPORT'!AB1214</f>
        <v>0</v>
      </c>
      <c r="K39" s="498">
        <f>'CUSTOMERS REPORT'!AC1214</f>
        <v>0</v>
      </c>
      <c r="L39" s="509">
        <f>'CUSTOMERS REPORT'!AD1214</f>
        <v>0</v>
      </c>
      <c r="M39" s="414">
        <f>'13'!M39+'14'!G39</f>
        <v>0</v>
      </c>
      <c r="N39" s="412">
        <f>'13'!N39+'14'!J39</f>
        <v>0</v>
      </c>
      <c r="P39" s="373" t="s">
        <v>109</v>
      </c>
      <c r="Q39" s="445">
        <f>'13'!Q39+'14'!Q25+'14'!Q26+'14'!Q27+'14'!Q28+'14'!Q29+'14'!Q30+'14'!Q31</f>
        <v>0</v>
      </c>
      <c r="R39" t="s">
        <v>1</v>
      </c>
      <c r="S39" s="400">
        <f>'13'!S39</f>
        <v>0</v>
      </c>
      <c r="T39" s="446">
        <f>'13'!X39</f>
        <v>0</v>
      </c>
      <c r="U39" s="456"/>
      <c r="V39" s="451">
        <f t="shared" si="0"/>
        <v>0</v>
      </c>
      <c r="W39" s="452"/>
      <c r="X39" s="448">
        <f t="shared" si="1"/>
        <v>0</v>
      </c>
      <c r="Z39" s="375">
        <f>'13'!Z39</f>
        <v>0</v>
      </c>
      <c r="AA39" s="464">
        <f>'13'!AE39</f>
        <v>0</v>
      </c>
      <c r="AB39" s="460"/>
      <c r="AC39" s="462">
        <f t="shared" si="2"/>
        <v>0</v>
      </c>
      <c r="AD39" s="469"/>
      <c r="AE39" s="348">
        <f t="shared" si="3"/>
        <v>0</v>
      </c>
      <c r="AF39" s="563">
        <f>'13'!AF39+'14'!AB39</f>
        <v>0</v>
      </c>
      <c r="AG39" s="234">
        <f>'13'!AG39+'14'!AD39</f>
        <v>0</v>
      </c>
    </row>
    <row r="40" spans="1:40" ht="27" customHeight="1" thickBot="1">
      <c r="A40" s="715" t="str">
        <f>'13'!A40</f>
        <v>ASSETS</v>
      </c>
      <c r="B40" s="234"/>
      <c r="C40" s="348">
        <f>'13'!D40</f>
        <v>0</v>
      </c>
      <c r="D40" s="234">
        <f t="shared" si="9"/>
        <v>0</v>
      </c>
      <c r="F40" s="479" t="str">
        <f>'13'!F40</f>
        <v>IBRAHEEM D.G KHAN</v>
      </c>
      <c r="G40" s="406">
        <f>'CUSTOMERS REPORT'!Y1251</f>
        <v>0</v>
      </c>
      <c r="H40" s="504">
        <f>'CUSTOMERS REPORT'!Z1251</f>
        <v>0</v>
      </c>
      <c r="I40" s="406">
        <f>'CUSTOMERS REPORT'!AA1251</f>
        <v>0</v>
      </c>
      <c r="J40" s="498">
        <f>'CUSTOMERS REPORT'!AB1251</f>
        <v>0</v>
      </c>
      <c r="K40" s="498">
        <f>'CUSTOMERS REPORT'!AC1251</f>
        <v>0</v>
      </c>
      <c r="L40" s="509">
        <f>'CUSTOMERS REPORT'!AD1251</f>
        <v>0</v>
      </c>
      <c r="M40" s="414">
        <f>'13'!M40+'14'!G40</f>
        <v>0</v>
      </c>
      <c r="N40" s="412">
        <f>'13'!N40+'14'!J40</f>
        <v>0</v>
      </c>
      <c r="P40" s="374" t="s">
        <v>155</v>
      </c>
      <c r="Q40" s="445">
        <f>Q48</f>
        <v>-331620</v>
      </c>
      <c r="S40" s="400">
        <f>'13'!S40</f>
        <v>0</v>
      </c>
      <c r="T40" s="446">
        <f>'13'!X40</f>
        <v>0</v>
      </c>
      <c r="U40" s="456"/>
      <c r="V40" s="451">
        <f t="shared" si="0"/>
        <v>0</v>
      </c>
      <c r="W40" s="452"/>
      <c r="X40" s="448">
        <f t="shared" si="1"/>
        <v>0</v>
      </c>
      <c r="Z40" s="375">
        <f>'13'!Z40</f>
        <v>0</v>
      </c>
      <c r="AA40" s="464">
        <f>'13'!AE40</f>
        <v>0</v>
      </c>
      <c r="AB40" s="460"/>
      <c r="AC40" s="462">
        <f t="shared" si="2"/>
        <v>0</v>
      </c>
      <c r="AD40" s="469"/>
      <c r="AE40" s="348">
        <f t="shared" si="3"/>
        <v>0</v>
      </c>
      <c r="AF40" s="563">
        <f>'13'!AF40+'14'!AB40</f>
        <v>0</v>
      </c>
      <c r="AG40" s="234">
        <f>'13'!AG40+'14'!AD40</f>
        <v>0</v>
      </c>
    </row>
    <row r="41" spans="1:40" ht="27" customHeight="1" thickTop="1" thickBot="1">
      <c r="A41" s="715" t="str">
        <f>'13'!A41</f>
        <v>BIKE.INSTALMINT</v>
      </c>
      <c r="B41" s="234"/>
      <c r="C41" s="348">
        <f>'13'!D41</f>
        <v>0</v>
      </c>
      <c r="D41" s="234">
        <f t="shared" si="9"/>
        <v>0</v>
      </c>
      <c r="E41" t="s">
        <v>1</v>
      </c>
      <c r="F41" s="479" t="str">
        <f>'13'!F41</f>
        <v>PISHAWAR</v>
      </c>
      <c r="G41" s="409">
        <f>'CUSTOMERS REPORT'!Y1288</f>
        <v>0</v>
      </c>
      <c r="H41" s="507">
        <f>'CUSTOMERS REPORT'!Z1288</f>
        <v>0</v>
      </c>
      <c r="I41" s="409">
        <f>'CUSTOMERS REPORT'!AA1288</f>
        <v>0</v>
      </c>
      <c r="J41" s="501">
        <f>'CUSTOMERS REPORT'!AB1288</f>
        <v>0</v>
      </c>
      <c r="K41" s="501">
        <f>'CUSTOMERS REPORT'!AC1288</f>
        <v>0</v>
      </c>
      <c r="L41" s="512">
        <f>'CUSTOMERS REPORT'!AD1288</f>
        <v>0</v>
      </c>
      <c r="M41" s="414">
        <f>'13'!M41+'14'!G41</f>
        <v>0</v>
      </c>
      <c r="N41" s="412">
        <f>'13'!N41+'14'!J41</f>
        <v>0</v>
      </c>
      <c r="P41" s="221" t="s">
        <v>51</v>
      </c>
      <c r="Q41" s="223">
        <f>Q37-Q38-Q39-Q40</f>
        <v>0</v>
      </c>
      <c r="S41" s="400">
        <f>'13'!S41</f>
        <v>0</v>
      </c>
      <c r="T41" s="446">
        <f>'13'!X41</f>
        <v>0</v>
      </c>
      <c r="U41" s="456"/>
      <c r="V41" s="451">
        <f t="shared" si="0"/>
        <v>0</v>
      </c>
      <c r="W41" s="452"/>
      <c r="X41" s="448">
        <f t="shared" si="1"/>
        <v>0</v>
      </c>
      <c r="Z41" s="375">
        <f>'13'!Z41</f>
        <v>0</v>
      </c>
      <c r="AA41" s="464">
        <f>'13'!AE41</f>
        <v>0</v>
      </c>
      <c r="AB41" s="460"/>
      <c r="AC41" s="462">
        <f t="shared" si="2"/>
        <v>0</v>
      </c>
      <c r="AD41" s="469"/>
      <c r="AE41" s="348">
        <f t="shared" si="3"/>
        <v>0</v>
      </c>
      <c r="AF41" s="563">
        <f>'13'!AF41+'14'!AB41</f>
        <v>0</v>
      </c>
      <c r="AG41" s="234">
        <f>'13'!AG41+'14'!AD41</f>
        <v>0</v>
      </c>
    </row>
    <row r="42" spans="1:40" ht="27" customHeight="1" thickTop="1" thickBot="1">
      <c r="A42" s="715" t="str">
        <f>'13'!A42</f>
        <v>B.C</v>
      </c>
      <c r="B42" s="529"/>
      <c r="C42" s="348">
        <f>'13'!D42</f>
        <v>0</v>
      </c>
      <c r="D42" s="529">
        <f t="shared" si="9"/>
        <v>0</v>
      </c>
      <c r="F42" s="479" t="str">
        <f>'13'!F42</f>
        <v>HUZAFA KOTRI</v>
      </c>
      <c r="G42" s="409">
        <f>'CUSTOMERS REPORT'!Y1325</f>
        <v>0</v>
      </c>
      <c r="H42" s="507">
        <f>'CUSTOMERS REPORT'!Z1325</f>
        <v>0</v>
      </c>
      <c r="I42" s="409">
        <f>'CUSTOMERS REPORT'!AA1325</f>
        <v>0</v>
      </c>
      <c r="J42" s="501">
        <f>'CUSTOMERS REPORT'!AB1325</f>
        <v>0</v>
      </c>
      <c r="K42" s="501">
        <f>'CUSTOMERS REPORT'!AC1325</f>
        <v>0</v>
      </c>
      <c r="L42" s="512">
        <f>'CUSTOMERS REPORT'!AD1325</f>
        <v>0</v>
      </c>
      <c r="M42" s="414">
        <f>'13'!M42+'14'!G42</f>
        <v>0</v>
      </c>
      <c r="N42" s="412">
        <f>'13'!N42+'14'!J42</f>
        <v>0</v>
      </c>
      <c r="P42" s="1499" t="s">
        <v>157</v>
      </c>
      <c r="Q42" s="1500"/>
      <c r="S42" s="400">
        <f>'13'!S42</f>
        <v>0</v>
      </c>
      <c r="T42" s="446">
        <f>'13'!X42</f>
        <v>0</v>
      </c>
      <c r="U42" s="458"/>
      <c r="V42" s="453">
        <f t="shared" si="0"/>
        <v>0</v>
      </c>
      <c r="W42" s="454"/>
      <c r="X42" s="449">
        <f t="shared" si="1"/>
        <v>0</v>
      </c>
      <c r="Z42" s="375">
        <f>'13'!Z42</f>
        <v>0</v>
      </c>
      <c r="AA42" s="464">
        <f>'13'!AE42</f>
        <v>0</v>
      </c>
      <c r="AB42" s="461"/>
      <c r="AC42" s="462">
        <f>AA42+AB42</f>
        <v>0</v>
      </c>
      <c r="AD42" s="470"/>
      <c r="AE42" s="348">
        <f t="shared" si="3"/>
        <v>0</v>
      </c>
      <c r="AF42" s="564">
        <f>'13'!AF42+'14'!AB42</f>
        <v>0</v>
      </c>
      <c r="AG42" s="572">
        <f>'13'!AG42+'14'!AD42</f>
        <v>0</v>
      </c>
    </row>
    <row r="43" spans="1:40" ht="27" customHeight="1" thickTop="1" thickBot="1">
      <c r="A43" s="715" t="str">
        <f>'13'!A43</f>
        <v>AQEEL</v>
      </c>
      <c r="B43" s="539"/>
      <c r="C43" s="348">
        <f>'13'!D43</f>
        <v>0</v>
      </c>
      <c r="D43" s="529">
        <f t="shared" si="9"/>
        <v>0</v>
      </c>
      <c r="F43" s="479" t="str">
        <f>'13'!F43</f>
        <v>ZAHID LAHORE</v>
      </c>
      <c r="G43" s="409">
        <f>'CUSTOMERS REPORT'!Y1362</f>
        <v>0</v>
      </c>
      <c r="H43" s="507">
        <f>'CUSTOMERS REPORT'!Z1362</f>
        <v>0</v>
      </c>
      <c r="I43" s="409">
        <f>'CUSTOMERS REPORT'!AA1362</f>
        <v>0</v>
      </c>
      <c r="J43" s="501">
        <f>'CUSTOMERS REPORT'!AB1362</f>
        <v>0</v>
      </c>
      <c r="K43" s="501">
        <f>'CUSTOMERS REPORT'!AC1362</f>
        <v>0</v>
      </c>
      <c r="L43" s="512">
        <f>'CUSTOMERS REPORT'!AD1362</f>
        <v>0</v>
      </c>
      <c r="M43" s="414">
        <f>'13'!M43+'14'!G43</f>
        <v>0</v>
      </c>
      <c r="N43" s="412">
        <f>'13'!N43+'14'!J43</f>
        <v>0</v>
      </c>
      <c r="P43" s="220" t="s">
        <v>124</v>
      </c>
      <c r="Q43" s="223">
        <f>'13'!Q48</f>
        <v>0</v>
      </c>
      <c r="R43" t="s">
        <v>1</v>
      </c>
      <c r="S43" s="400">
        <f>'13'!S43</f>
        <v>0</v>
      </c>
      <c r="T43" s="446">
        <f>'13'!X43</f>
        <v>0</v>
      </c>
      <c r="U43" s="1024"/>
      <c r="V43" s="453">
        <f t="shared" si="0"/>
        <v>0</v>
      </c>
      <c r="W43" s="403"/>
      <c r="X43" s="449">
        <f t="shared" si="1"/>
        <v>0</v>
      </c>
      <c r="Z43" s="383"/>
      <c r="AA43" s="356">
        <f>SUM(AA8:AA42)</f>
        <v>18500</v>
      </c>
      <c r="AB43" s="385">
        <f>SUM(AB8:AB42)</f>
        <v>1500</v>
      </c>
      <c r="AC43" s="357" t="s">
        <v>74</v>
      </c>
      <c r="AD43" s="387">
        <f>SUM(AD8:AD42)</f>
        <v>313500</v>
      </c>
      <c r="AE43" s="358">
        <f>SUM(AE8:AE42)</f>
        <v>-293500</v>
      </c>
      <c r="AF43" s="565">
        <f>SUM(AF8:AF42)</f>
        <v>120000</v>
      </c>
      <c r="AG43" s="571">
        <f>SUM(AG8:AG42)</f>
        <v>413500</v>
      </c>
    </row>
    <row r="44" spans="1:40" ht="27" customHeight="1" thickTop="1">
      <c r="A44" s="715" t="str">
        <f>'13'!A44</f>
        <v>M.YOUSUF</v>
      </c>
      <c r="B44" s="234"/>
      <c r="C44" s="348">
        <f>'13'!D44</f>
        <v>0</v>
      </c>
      <c r="D44" s="234">
        <f t="shared" si="9"/>
        <v>0</v>
      </c>
      <c r="F44" s="479" t="str">
        <f>'13'!F44</f>
        <v>CASH SALE</v>
      </c>
      <c r="G44" s="409">
        <f>'CUSTOMERS REPORT'!Y1399</f>
        <v>0</v>
      </c>
      <c r="H44" s="507">
        <f>'CUSTOMERS REPORT'!Z1399</f>
        <v>0</v>
      </c>
      <c r="I44" s="409">
        <f>'CUSTOMERS REPORT'!AA1399</f>
        <v>0</v>
      </c>
      <c r="J44" s="501">
        <f>'CUSTOMERS REPORT'!AB1399</f>
        <v>0</v>
      </c>
      <c r="K44" s="501">
        <f>'CUSTOMERS REPORT'!AC1399</f>
        <v>0</v>
      </c>
      <c r="L44" s="512">
        <f>'CUSTOMERS REPORT'!AD1399</f>
        <v>0</v>
      </c>
      <c r="M44" s="414">
        <f>'13'!M44+'14'!G44</f>
        <v>0</v>
      </c>
      <c r="N44" s="412">
        <f>'13'!N44+'14'!J44</f>
        <v>0</v>
      </c>
      <c r="P44" s="222" t="s">
        <v>114</v>
      </c>
      <c r="Q44" s="377">
        <f>J46</f>
        <v>0</v>
      </c>
      <c r="S44" s="400"/>
      <c r="T44" s="348"/>
      <c r="U44" s="306"/>
      <c r="V44" s="349"/>
      <c r="W44" s="351"/>
      <c r="X44" s="350"/>
      <c r="Z44" s="375"/>
      <c r="AA44" s="339"/>
      <c r="AB44" s="386">
        <f>'13'!AB45</f>
        <v>118500</v>
      </c>
      <c r="AC44" s="340" t="s">
        <v>126</v>
      </c>
      <c r="AD44" s="388">
        <f>'13'!AD45</f>
        <v>100000</v>
      </c>
      <c r="AE44" s="341"/>
      <c r="AF44" s="561"/>
      <c r="AG44" s="83" t="s">
        <v>1</v>
      </c>
    </row>
    <row r="45" spans="1:40" ht="27" customHeight="1" thickBot="1">
      <c r="A45" s="715" t="str">
        <f>'13'!A45</f>
        <v>SHAKEEL</v>
      </c>
      <c r="B45" s="234"/>
      <c r="C45" s="348">
        <f>'13'!D45</f>
        <v>0</v>
      </c>
      <c r="D45" s="234">
        <f t="shared" si="9"/>
        <v>0</v>
      </c>
      <c r="F45" s="479" t="str">
        <f>'13'!F45</f>
        <v xml:space="preserve">FREE </v>
      </c>
      <c r="G45" s="410">
        <f>'CUSTOMERS REPORT'!Y1436</f>
        <v>0</v>
      </c>
      <c r="H45" s="362">
        <f>'CUSTOMERS REPORT'!Z1436</f>
        <v>0</v>
      </c>
      <c r="I45" s="410">
        <f>'CUSTOMERS REPORT'!AA1436</f>
        <v>0</v>
      </c>
      <c r="J45" s="502">
        <f>'CUSTOMERS REPORT'!AB1436</f>
        <v>0</v>
      </c>
      <c r="K45" s="502">
        <f>'CUSTOMERS REPORT'!AC1436</f>
        <v>0</v>
      </c>
      <c r="L45" s="513">
        <f>'CUSTOMERS REPORT'!AD1436</f>
        <v>0</v>
      </c>
      <c r="M45" s="414">
        <f>'13'!M45+'14'!G45</f>
        <v>0</v>
      </c>
      <c r="N45" s="412">
        <f>'13'!N45+'14'!J45</f>
        <v>0</v>
      </c>
      <c r="P45" s="222" t="s">
        <v>153</v>
      </c>
      <c r="Q45" s="378">
        <f>Q43+Q44</f>
        <v>0</v>
      </c>
      <c r="S45" s="401"/>
      <c r="T45" s="352"/>
      <c r="U45" s="307"/>
      <c r="V45" s="353"/>
      <c r="W45" s="354"/>
      <c r="X45" s="355"/>
      <c r="Z45" s="384"/>
      <c r="AA45" s="359"/>
      <c r="AB45" s="390">
        <f>SUM(AB43:AB44)</f>
        <v>120000</v>
      </c>
      <c r="AC45" s="360" t="s">
        <v>74</v>
      </c>
      <c r="AD45" s="389">
        <f>SUM(AD43:AD44)</f>
        <v>413500</v>
      </c>
      <c r="AE45" s="361"/>
      <c r="AF45" s="562"/>
      <c r="AG45" s="573"/>
    </row>
    <row r="46" spans="1:40" ht="27" customHeight="1" thickTop="1" thickBot="1">
      <c r="A46" s="715" t="str">
        <f>'13'!A46</f>
        <v>ZAHID HUSSAN</v>
      </c>
      <c r="B46" s="234"/>
      <c r="C46" s="348">
        <f>'13'!D46</f>
        <v>0</v>
      </c>
      <c r="D46" s="234">
        <f t="shared" si="9"/>
        <v>0</v>
      </c>
      <c r="F46" s="369"/>
      <c r="G46" s="424">
        <f>SUM(G8:G45)</f>
        <v>0</v>
      </c>
      <c r="H46" s="1497" t="s">
        <v>160</v>
      </c>
      <c r="I46" s="1498"/>
      <c r="J46" s="421">
        <f>SUM(J8:J45)</f>
        <v>0</v>
      </c>
      <c r="K46" s="427">
        <f>SUM(K8:K45)</f>
        <v>0</v>
      </c>
      <c r="L46" s="431">
        <f>SUM(L8:L45)</f>
        <v>0</v>
      </c>
      <c r="M46" s="429">
        <f>SUM(M8:M45)</f>
        <v>0</v>
      </c>
      <c r="N46" s="430">
        <f>SUM(N8:N45)</f>
        <v>0</v>
      </c>
      <c r="P46" s="222" t="s">
        <v>154</v>
      </c>
      <c r="Q46" s="378">
        <f>B48</f>
        <v>331620</v>
      </c>
    </row>
    <row r="47" spans="1:40" ht="27" customHeight="1" thickBot="1">
      <c r="A47" s="715" t="str">
        <f>'13'!A47</f>
        <v xml:space="preserve">INVESTOR </v>
      </c>
      <c r="B47" s="540"/>
      <c r="C47" s="348">
        <f>'13'!D47</f>
        <v>0</v>
      </c>
      <c r="D47" s="542">
        <f t="shared" si="9"/>
        <v>0</v>
      </c>
      <c r="F47" s="370"/>
      <c r="G47" s="425">
        <f>'13'!G48</f>
        <v>0</v>
      </c>
      <c r="H47" s="1512" t="s">
        <v>162</v>
      </c>
      <c r="I47" s="1513"/>
      <c r="J47" s="423">
        <f>'13'!J48</f>
        <v>0</v>
      </c>
      <c r="K47" s="423">
        <f>'13'!K48</f>
        <v>0</v>
      </c>
      <c r="L47" s="343"/>
      <c r="M47" s="344"/>
      <c r="N47" s="345"/>
      <c r="P47" s="375" t="s">
        <v>163</v>
      </c>
      <c r="Q47" s="378">
        <f>Q9+Q10+Q19+Q20+Q21+Q22</f>
        <v>0</v>
      </c>
      <c r="R47" s="19"/>
      <c r="S47" s="1489" t="s">
        <v>92</v>
      </c>
      <c r="T47" s="1516" t="s">
        <v>95</v>
      </c>
      <c r="U47" s="1518"/>
      <c r="V47" s="1518"/>
      <c r="W47" s="1517"/>
      <c r="X47" s="1516" t="s">
        <v>7</v>
      </c>
      <c r="Y47" s="1518"/>
      <c r="Z47" s="1517"/>
      <c r="AA47" s="1516" t="s">
        <v>8</v>
      </c>
      <c r="AB47" s="1517"/>
      <c r="AC47" s="1516" t="s">
        <v>9</v>
      </c>
      <c r="AD47" s="1518"/>
      <c r="AE47" s="1518"/>
      <c r="AF47" s="1518"/>
      <c r="AG47" s="1518"/>
      <c r="AH47" s="1518"/>
      <c r="AI47" s="1518"/>
      <c r="AJ47" s="1405" t="s">
        <v>10</v>
      </c>
      <c r="AK47" s="1406"/>
      <c r="AL47" s="1400" t="s">
        <v>289</v>
      </c>
      <c r="AM47" s="1401"/>
      <c r="AN47" s="842" t="s">
        <v>290</v>
      </c>
    </row>
    <row r="48" spans="1:40" ht="27" customHeight="1" thickTop="1" thickBot="1">
      <c r="A48" s="192" t="s">
        <v>74</v>
      </c>
      <c r="B48" s="544">
        <f>SUM(B22:B47)</f>
        <v>331620</v>
      </c>
      <c r="C48" s="543">
        <f>'13'!D48</f>
        <v>0</v>
      </c>
      <c r="D48" s="544">
        <f t="shared" si="9"/>
        <v>331620</v>
      </c>
      <c r="F48" s="371"/>
      <c r="G48" s="426">
        <f>G46+G47</f>
        <v>0</v>
      </c>
      <c r="H48" s="1495" t="s">
        <v>164</v>
      </c>
      <c r="I48" s="1496"/>
      <c r="J48" s="422">
        <f>J46+J47</f>
        <v>0</v>
      </c>
      <c r="K48" s="428">
        <f>K46+K47</f>
        <v>0</v>
      </c>
      <c r="L48" s="346"/>
      <c r="M48" s="347"/>
      <c r="N48" s="622">
        <f>G48-J48</f>
        <v>0</v>
      </c>
      <c r="P48" s="376" t="s">
        <v>155</v>
      </c>
      <c r="Q48" s="379">
        <f>Q45-Q46-Q47</f>
        <v>-331620</v>
      </c>
      <c r="R48" s="19"/>
      <c r="S48" s="1490"/>
      <c r="T48" s="482" t="s">
        <v>12</v>
      </c>
      <c r="U48" s="482" t="s">
        <v>13</v>
      </c>
      <c r="V48" s="482" t="s">
        <v>14</v>
      </c>
      <c r="W48" s="958" t="s">
        <v>263</v>
      </c>
      <c r="X48" s="482" t="s">
        <v>12</v>
      </c>
      <c r="Y48" s="482" t="s">
        <v>13</v>
      </c>
      <c r="Z48" s="482" t="s">
        <v>282</v>
      </c>
      <c r="AA48" s="482" t="s">
        <v>12</v>
      </c>
      <c r="AB48" s="482" t="s">
        <v>16</v>
      </c>
      <c r="AC48" s="482" t="s">
        <v>17</v>
      </c>
      <c r="AD48" s="482" t="s">
        <v>18</v>
      </c>
      <c r="AE48" s="482" t="s">
        <v>19</v>
      </c>
      <c r="AF48" s="484" t="s">
        <v>96</v>
      </c>
      <c r="AG48" s="484" t="s">
        <v>257</v>
      </c>
      <c r="AH48" s="482" t="s">
        <v>254</v>
      </c>
      <c r="AI48" s="482" t="s">
        <v>20</v>
      </c>
      <c r="AJ48" s="483" t="s">
        <v>14</v>
      </c>
      <c r="AK48" s="482" t="s">
        <v>13</v>
      </c>
      <c r="AL48" s="846" t="s">
        <v>284</v>
      </c>
      <c r="AM48" s="846" t="s">
        <v>288</v>
      </c>
      <c r="AN48" s="966" t="s">
        <v>291</v>
      </c>
    </row>
    <row r="49" spans="1:54" ht="24.95" customHeight="1" thickTop="1" thickBot="1">
      <c r="Q49" s="111">
        <f>Q48+Q41</f>
        <v>-331620</v>
      </c>
      <c r="R49" s="19"/>
      <c r="S49" s="865" t="s">
        <v>165</v>
      </c>
      <c r="T49" s="866">
        <f>'13'!T55</f>
        <v>0</v>
      </c>
      <c r="U49" s="866">
        <f>'13'!U55</f>
        <v>0</v>
      </c>
      <c r="V49" s="866">
        <f>'13'!V55</f>
        <v>0</v>
      </c>
      <c r="W49" s="866">
        <f>'13'!W55</f>
        <v>0</v>
      </c>
      <c r="X49" s="866">
        <f>'13'!X55</f>
        <v>0</v>
      </c>
      <c r="Y49" s="866">
        <f>'13'!Y55</f>
        <v>0</v>
      </c>
      <c r="Z49" s="866">
        <f>'13'!Z55</f>
        <v>0</v>
      </c>
      <c r="AA49" s="866">
        <f>'13'!AA55</f>
        <v>0</v>
      </c>
      <c r="AB49" s="866">
        <f>'13'!AB55</f>
        <v>0</v>
      </c>
      <c r="AC49" s="866">
        <f>'13'!AC55</f>
        <v>0</v>
      </c>
      <c r="AD49" s="866">
        <f>'13'!AD55</f>
        <v>0</v>
      </c>
      <c r="AE49" s="866">
        <f>'13'!AE55</f>
        <v>0</v>
      </c>
      <c r="AF49" s="866">
        <f>'13'!AF55</f>
        <v>0</v>
      </c>
      <c r="AG49" s="866">
        <f>'13'!AG55</f>
        <v>0</v>
      </c>
      <c r="AH49" s="866">
        <f>'13'!AH55</f>
        <v>0</v>
      </c>
      <c r="AI49" s="866">
        <f>'13'!AI55</f>
        <v>0</v>
      </c>
      <c r="AJ49" s="866">
        <f>'13'!AJ55</f>
        <v>0</v>
      </c>
      <c r="AK49" s="866">
        <f>'13'!AK55</f>
        <v>0</v>
      </c>
      <c r="AL49" s="866" t="e">
        <f>'13'!AL55</f>
        <v>#VALUE!</v>
      </c>
      <c r="AM49" s="866" t="e">
        <f>'13'!AM55</f>
        <v>#VALUE!</v>
      </c>
      <c r="AN49" s="866" t="e">
        <f>'13'!AN55</f>
        <v>#VALUE!</v>
      </c>
    </row>
    <row r="50" spans="1:54" ht="24.95" customHeight="1" thickBot="1">
      <c r="C50" t="s">
        <v>1</v>
      </c>
      <c r="L50" s="417">
        <v>5000</v>
      </c>
      <c r="M50" s="417"/>
      <c r="N50" s="417">
        <f t="shared" ref="N50:N57" si="10">L50*M50</f>
        <v>0</v>
      </c>
      <c r="R50" s="19"/>
      <c r="S50" s="854" t="s">
        <v>166</v>
      </c>
      <c r="T50" s="852"/>
      <c r="U50" s="852"/>
      <c r="V50" s="852"/>
      <c r="W50" s="852"/>
      <c r="X50" s="852"/>
      <c r="Y50" s="852"/>
      <c r="Z50" s="852"/>
      <c r="AA50" s="852"/>
      <c r="AB50" s="852"/>
      <c r="AC50" s="852">
        <v>465</v>
      </c>
      <c r="AD50" s="852"/>
      <c r="AE50" s="852"/>
      <c r="AF50" s="852">
        <v>381</v>
      </c>
      <c r="AG50" s="855"/>
      <c r="AH50" s="852">
        <v>854</v>
      </c>
      <c r="AI50" s="852"/>
      <c r="AJ50" s="848"/>
      <c r="AK50" s="848"/>
      <c r="AL50" s="849"/>
      <c r="AM50" s="849"/>
      <c r="AN50" s="930"/>
    </row>
    <row r="51" spans="1:54" ht="24.95" customHeight="1" thickBot="1">
      <c r="L51" s="417">
        <v>1000</v>
      </c>
      <c r="M51" s="417"/>
      <c r="N51" s="417">
        <f t="shared" si="10"/>
        <v>0</v>
      </c>
      <c r="R51" s="19"/>
      <c r="S51" s="867" t="s">
        <v>91</v>
      </c>
      <c r="T51" s="868"/>
      <c r="U51" s="868"/>
      <c r="V51" s="868">
        <v>2</v>
      </c>
      <c r="W51" s="868"/>
      <c r="X51" s="868"/>
      <c r="Y51" s="868"/>
      <c r="Z51" s="868">
        <v>2</v>
      </c>
      <c r="AA51" s="868"/>
      <c r="AB51" s="868"/>
      <c r="AC51" s="868"/>
      <c r="AD51" s="868"/>
      <c r="AE51" s="868"/>
      <c r="AF51" s="868"/>
      <c r="AG51" s="869">
        <v>2</v>
      </c>
      <c r="AH51" s="868"/>
      <c r="AI51" s="870"/>
      <c r="AJ51" s="868"/>
      <c r="AK51" s="868">
        <v>1</v>
      </c>
      <c r="AL51" s="849"/>
      <c r="AM51" s="849"/>
      <c r="AN51" s="850"/>
    </row>
    <row r="52" spans="1:54" ht="24.95" customHeight="1" thickBot="1">
      <c r="L52" s="417">
        <v>500</v>
      </c>
      <c r="M52" s="417"/>
      <c r="N52" s="417">
        <f t="shared" si="10"/>
        <v>0</v>
      </c>
      <c r="O52" t="s">
        <v>1</v>
      </c>
      <c r="R52" s="19"/>
      <c r="S52" s="856" t="s">
        <v>167</v>
      </c>
      <c r="T52" s="857"/>
      <c r="U52" s="857"/>
      <c r="V52" s="857"/>
      <c r="W52" s="857"/>
      <c r="X52" s="857"/>
      <c r="Y52" s="857"/>
      <c r="Z52" s="857"/>
      <c r="AA52" s="857"/>
      <c r="AB52" s="857"/>
      <c r="AC52" s="857"/>
      <c r="AD52" s="857"/>
      <c r="AE52" s="857"/>
      <c r="AF52" s="857"/>
      <c r="AG52" s="858"/>
      <c r="AH52" s="859"/>
      <c r="AI52" s="860"/>
      <c r="AJ52" s="851"/>
      <c r="AK52" s="851"/>
      <c r="AL52" s="849"/>
      <c r="AM52" s="849"/>
      <c r="AN52" s="850"/>
    </row>
    <row r="53" spans="1:54" ht="24.95" customHeight="1" thickBot="1">
      <c r="L53" s="417">
        <v>100</v>
      </c>
      <c r="M53" s="417"/>
      <c r="N53" s="417">
        <f t="shared" si="10"/>
        <v>0</v>
      </c>
      <c r="R53" s="19"/>
      <c r="S53" s="871" t="s">
        <v>81</v>
      </c>
      <c r="T53" s="866">
        <f t="shared" ref="T53:AN53" si="11">SUM(T49+T50+T52)</f>
        <v>0</v>
      </c>
      <c r="U53" s="866">
        <f t="shared" si="11"/>
        <v>0</v>
      </c>
      <c r="V53" s="866">
        <f t="shared" si="11"/>
        <v>0</v>
      </c>
      <c r="W53" s="866">
        <f t="shared" si="11"/>
        <v>0</v>
      </c>
      <c r="X53" s="866">
        <f t="shared" si="11"/>
        <v>0</v>
      </c>
      <c r="Y53" s="866">
        <f t="shared" si="11"/>
        <v>0</v>
      </c>
      <c r="Z53" s="866">
        <f t="shared" si="11"/>
        <v>0</v>
      </c>
      <c r="AA53" s="866">
        <f t="shared" si="11"/>
        <v>0</v>
      </c>
      <c r="AB53" s="866">
        <f t="shared" si="11"/>
        <v>0</v>
      </c>
      <c r="AC53" s="866">
        <f t="shared" si="11"/>
        <v>465</v>
      </c>
      <c r="AD53" s="866">
        <f t="shared" si="11"/>
        <v>0</v>
      </c>
      <c r="AE53" s="866">
        <f t="shared" si="11"/>
        <v>0</v>
      </c>
      <c r="AF53" s="866">
        <f t="shared" si="11"/>
        <v>381</v>
      </c>
      <c r="AG53" s="866">
        <f t="shared" si="11"/>
        <v>0</v>
      </c>
      <c r="AH53" s="866">
        <f t="shared" si="11"/>
        <v>854</v>
      </c>
      <c r="AI53" s="866">
        <f t="shared" si="11"/>
        <v>0</v>
      </c>
      <c r="AJ53" s="866">
        <f t="shared" si="11"/>
        <v>0</v>
      </c>
      <c r="AK53" s="866">
        <f t="shared" si="11"/>
        <v>0</v>
      </c>
      <c r="AL53" s="866" t="e">
        <f t="shared" si="11"/>
        <v>#VALUE!</v>
      </c>
      <c r="AM53" s="866" t="e">
        <f t="shared" si="11"/>
        <v>#VALUE!</v>
      </c>
      <c r="AN53" s="872" t="e">
        <f t="shared" si="11"/>
        <v>#VALUE!</v>
      </c>
      <c r="AP53" s="2"/>
      <c r="AR53" s="2"/>
    </row>
    <row r="54" spans="1:54" ht="24.95" customHeight="1" thickBot="1">
      <c r="L54" s="417">
        <v>50</v>
      </c>
      <c r="M54" s="417"/>
      <c r="N54" s="417">
        <f t="shared" si="10"/>
        <v>0</v>
      </c>
      <c r="R54" s="19"/>
      <c r="S54" s="854" t="s">
        <v>168</v>
      </c>
      <c r="T54" s="852">
        <f>'CUSTOMERS REPORT'!B21+'CUSTOMERS REPORT'!B67+'CUSTOMERS REPORT'!B105+'CUSTOMERS REPORT'!B144+'CUSTOMERS REPORT'!B182+'CUSTOMERS REPORT'!B222+'CUSTOMERS REPORT'!B259+'CUSTOMERS REPORT'!B299+'CUSTOMERS REPORT'!B340+'CUSTOMERS REPORT'!B382+'CUSTOMERS REPORT'!B421+'CUSTOMERS REPORT'!B459+'CUSTOMERS REPORT'!B495+'CUSTOMERS REPORT'!B532+'CUSTOMERS REPORT'!B570+'CUSTOMERS REPORT'!B606+'CUSTOMERS REPORT'!B644+'CUSTOMERS REPORT'!B682+'CUSTOMERS REPORT'!B720+'CUSTOMERS REPORT'!B758+'CUSTOMERS REPORT'!B796+'CUSTOMERS REPORT'!B834+'CUSTOMERS REPORT'!B872+'CUSTOMERS REPORT'!B911+'CUSTOMERS REPORT'!B950+'CUSTOMERS REPORT'!B988+'CUSTOMERS REPORT'!B1026+'CUSTOMERS REPORT'!B1064+'CUSTOMERS REPORT'!B1102+'CUSTOMERS REPORT'!B1140+'CUSTOMERS REPORT'!B1177+'CUSTOMERS REPORT'!B1214+'CUSTOMERS REPORT'!B1251+'CUSTOMERS REPORT'!B1288+'CUSTOMERS REPORT'!B1325+'CUSTOMERS REPORT'!B1362+'CUSTOMERS REPORT'!B1399+'CUSTOMERS REPORT'!B1435</f>
        <v>0</v>
      </c>
      <c r="U54" s="852">
        <f>'CUSTOMERS REPORT'!C21+'CUSTOMERS REPORT'!C67+'CUSTOMERS REPORT'!C105+'CUSTOMERS REPORT'!C144+'CUSTOMERS REPORT'!C182+'CUSTOMERS REPORT'!C222+'CUSTOMERS REPORT'!C259+'CUSTOMERS REPORT'!C299+'CUSTOMERS REPORT'!C340+'CUSTOMERS REPORT'!C382+'CUSTOMERS REPORT'!C421+'CUSTOMERS REPORT'!C459+'CUSTOMERS REPORT'!C495+'CUSTOMERS REPORT'!C532+'CUSTOMERS REPORT'!C570+'CUSTOMERS REPORT'!C606+'CUSTOMERS REPORT'!C644+'CUSTOMERS REPORT'!C682+'CUSTOMERS REPORT'!C720+'CUSTOMERS REPORT'!C758+'CUSTOMERS REPORT'!C796+'CUSTOMERS REPORT'!C834+'CUSTOMERS REPORT'!C872+'CUSTOMERS REPORT'!C911+'CUSTOMERS REPORT'!C950+'CUSTOMERS REPORT'!C988+'CUSTOMERS REPORT'!C1026+'CUSTOMERS REPORT'!C1064+'CUSTOMERS REPORT'!C1102+'CUSTOMERS REPORT'!C1140+'CUSTOMERS REPORT'!C1177+'CUSTOMERS REPORT'!C1214+'CUSTOMERS REPORT'!C1251+'CUSTOMERS REPORT'!C1288+'CUSTOMERS REPORT'!C1325+'CUSTOMERS REPORT'!C1362+'CUSTOMERS REPORT'!C1399+'CUSTOMERS REPORT'!C1435</f>
        <v>0</v>
      </c>
      <c r="V54" s="852">
        <f>'CUSTOMERS REPORT'!D21+'CUSTOMERS REPORT'!D67+'CUSTOMERS REPORT'!D105+'CUSTOMERS REPORT'!D144+'CUSTOMERS REPORT'!D182+'CUSTOMERS REPORT'!D222+'CUSTOMERS REPORT'!D259+'CUSTOMERS REPORT'!D299+'CUSTOMERS REPORT'!D340+'CUSTOMERS REPORT'!D382+'CUSTOMERS REPORT'!D421+'CUSTOMERS REPORT'!D459+'CUSTOMERS REPORT'!D495+'CUSTOMERS REPORT'!D532+'CUSTOMERS REPORT'!D570+'CUSTOMERS REPORT'!D606+'CUSTOMERS REPORT'!D644+'CUSTOMERS REPORT'!D682+'CUSTOMERS REPORT'!D720+'CUSTOMERS REPORT'!D758+'CUSTOMERS REPORT'!D796+'CUSTOMERS REPORT'!D834+'CUSTOMERS REPORT'!D872+'CUSTOMERS REPORT'!D911+'CUSTOMERS REPORT'!D950+'CUSTOMERS REPORT'!D988+'CUSTOMERS REPORT'!D1026+'CUSTOMERS REPORT'!D1064+'CUSTOMERS REPORT'!D1102+'CUSTOMERS REPORT'!D1140+'CUSTOMERS REPORT'!D1177+'CUSTOMERS REPORT'!D1214+'CUSTOMERS REPORT'!D1251+'CUSTOMERS REPORT'!D1288+'CUSTOMERS REPORT'!D1325+'CUSTOMERS REPORT'!D1362+'CUSTOMERS REPORT'!D1399+'CUSTOMERS REPORT'!D1435</f>
        <v>0</v>
      </c>
      <c r="W54" s="852">
        <f>'CUSTOMERS REPORT'!E21+'CUSTOMERS REPORT'!E67+'CUSTOMERS REPORT'!E105+'CUSTOMERS REPORT'!E144+'CUSTOMERS REPORT'!E182+'CUSTOMERS REPORT'!E222+'CUSTOMERS REPORT'!E259+'CUSTOMERS REPORT'!E299+'CUSTOMERS REPORT'!E340+'CUSTOMERS REPORT'!E382+'CUSTOMERS REPORT'!E421+'CUSTOMERS REPORT'!E459+'CUSTOMERS REPORT'!E495+'CUSTOMERS REPORT'!E532+'CUSTOMERS REPORT'!E570+'CUSTOMERS REPORT'!E606+'CUSTOMERS REPORT'!E644+'CUSTOMERS REPORT'!E682+'CUSTOMERS REPORT'!E720+'CUSTOMERS REPORT'!E758+'CUSTOMERS REPORT'!E796+'CUSTOMERS REPORT'!E834+'CUSTOMERS REPORT'!E872+'CUSTOMERS REPORT'!E911+'CUSTOMERS REPORT'!E950+'CUSTOMERS REPORT'!E988+'CUSTOMERS REPORT'!E1026+'CUSTOMERS REPORT'!E1064+'CUSTOMERS REPORT'!E1102+'CUSTOMERS REPORT'!E1140+'CUSTOMERS REPORT'!E1177+'CUSTOMERS REPORT'!E1214+'CUSTOMERS REPORT'!E1251+'CUSTOMERS REPORT'!E1288+'CUSTOMERS REPORT'!E1325+'CUSTOMERS REPORT'!E1362+'CUSTOMERS REPORT'!E1399+'CUSTOMERS REPORT'!E1435</f>
        <v>0</v>
      </c>
      <c r="X54" s="852">
        <f>'CUSTOMERS REPORT'!F21+'CUSTOMERS REPORT'!F67+'CUSTOMERS REPORT'!F105+'CUSTOMERS REPORT'!F144+'CUSTOMERS REPORT'!F182+'CUSTOMERS REPORT'!F222+'CUSTOMERS REPORT'!F259+'CUSTOMERS REPORT'!F299+'CUSTOMERS REPORT'!F340+'CUSTOMERS REPORT'!F382+'CUSTOMERS REPORT'!F421+'CUSTOMERS REPORT'!F459+'CUSTOMERS REPORT'!F495+'CUSTOMERS REPORT'!F532+'CUSTOMERS REPORT'!F570+'CUSTOMERS REPORT'!F606+'CUSTOMERS REPORT'!F644+'CUSTOMERS REPORT'!F682+'CUSTOMERS REPORT'!F720+'CUSTOMERS REPORT'!F758+'CUSTOMERS REPORT'!F796+'CUSTOMERS REPORT'!F834+'CUSTOMERS REPORT'!F872+'CUSTOMERS REPORT'!F911+'CUSTOMERS REPORT'!F950+'CUSTOMERS REPORT'!F988+'CUSTOMERS REPORT'!F1026+'CUSTOMERS REPORT'!F1064+'CUSTOMERS REPORT'!F1102+'CUSTOMERS REPORT'!F1140+'CUSTOMERS REPORT'!F1177+'CUSTOMERS REPORT'!F1214+'CUSTOMERS REPORT'!F1251+'CUSTOMERS REPORT'!F1288+'CUSTOMERS REPORT'!F1325+'CUSTOMERS REPORT'!F1362+'CUSTOMERS REPORT'!F1399+'CUSTOMERS REPORT'!F1435</f>
        <v>0</v>
      </c>
      <c r="Y54" s="852">
        <f>'CUSTOMERS REPORT'!G21+'CUSTOMERS REPORT'!G67+'CUSTOMERS REPORT'!G105+'CUSTOMERS REPORT'!G144+'CUSTOMERS REPORT'!G182+'CUSTOMERS REPORT'!G222+'CUSTOMERS REPORT'!G259+'CUSTOMERS REPORT'!G299+'CUSTOMERS REPORT'!G340+'CUSTOMERS REPORT'!G382+'CUSTOMERS REPORT'!G421+'CUSTOMERS REPORT'!G459+'CUSTOMERS REPORT'!G495+'CUSTOMERS REPORT'!G532+'CUSTOMERS REPORT'!G570+'CUSTOMERS REPORT'!G606+'CUSTOMERS REPORT'!G644+'CUSTOMERS REPORT'!G682+'CUSTOMERS REPORT'!G720+'CUSTOMERS REPORT'!G758+'CUSTOMERS REPORT'!G796+'CUSTOMERS REPORT'!G834+'CUSTOMERS REPORT'!G872+'CUSTOMERS REPORT'!G911+'CUSTOMERS REPORT'!G950+'CUSTOMERS REPORT'!G988+'CUSTOMERS REPORT'!G1026+'CUSTOMERS REPORT'!G1064+'CUSTOMERS REPORT'!G1102+'CUSTOMERS REPORT'!G1140+'CUSTOMERS REPORT'!G1177+'CUSTOMERS REPORT'!G1214+'CUSTOMERS REPORT'!G1251+'CUSTOMERS REPORT'!G1288+'CUSTOMERS REPORT'!G1325+'CUSTOMERS REPORT'!G1362+'CUSTOMERS REPORT'!G1399+'CUSTOMERS REPORT'!G1435</f>
        <v>0</v>
      </c>
      <c r="Z54" s="852">
        <f>'CUSTOMERS REPORT'!H21+'CUSTOMERS REPORT'!H67+'CUSTOMERS REPORT'!H105+'CUSTOMERS REPORT'!H144+'CUSTOMERS REPORT'!H182+'CUSTOMERS REPORT'!H222+'CUSTOMERS REPORT'!H259+'CUSTOMERS REPORT'!H299+'CUSTOMERS REPORT'!H340+'CUSTOMERS REPORT'!H382+'CUSTOMERS REPORT'!H421+'CUSTOMERS REPORT'!H459+'CUSTOMERS REPORT'!H495+'CUSTOMERS REPORT'!H532+'CUSTOMERS REPORT'!H570+'CUSTOMERS REPORT'!H606+'CUSTOMERS REPORT'!H644+'CUSTOMERS REPORT'!H682+'CUSTOMERS REPORT'!H720+'CUSTOMERS REPORT'!H758+'CUSTOMERS REPORT'!H796+'CUSTOMERS REPORT'!H834+'CUSTOMERS REPORT'!H872+'CUSTOMERS REPORT'!H911+'CUSTOMERS REPORT'!H950+'CUSTOMERS REPORT'!H988+'CUSTOMERS REPORT'!H1026+'CUSTOMERS REPORT'!H1064+'CUSTOMERS REPORT'!H1102+'CUSTOMERS REPORT'!H1140+'CUSTOMERS REPORT'!H1177+'CUSTOMERS REPORT'!H1214+'CUSTOMERS REPORT'!H1251+'CUSTOMERS REPORT'!H1288+'CUSTOMERS REPORT'!H1325+'CUSTOMERS REPORT'!H1362+'CUSTOMERS REPORT'!H1399+'CUSTOMERS REPORT'!H1435</f>
        <v>0</v>
      </c>
      <c r="AA54" s="852">
        <f>'CUSTOMERS REPORT'!I21+'CUSTOMERS REPORT'!I67+'CUSTOMERS REPORT'!I105+'CUSTOMERS REPORT'!I144+'CUSTOMERS REPORT'!I182+'CUSTOMERS REPORT'!I222+'CUSTOMERS REPORT'!I259+'CUSTOMERS REPORT'!I299+'CUSTOMERS REPORT'!I340+'CUSTOMERS REPORT'!I382+'CUSTOMERS REPORT'!I421+'CUSTOMERS REPORT'!I459+'CUSTOMERS REPORT'!I495+'CUSTOMERS REPORT'!I532+'CUSTOMERS REPORT'!I570+'CUSTOMERS REPORT'!I606+'CUSTOMERS REPORT'!I644+'CUSTOMERS REPORT'!I682+'CUSTOMERS REPORT'!I720+'CUSTOMERS REPORT'!I758+'CUSTOMERS REPORT'!I796+'CUSTOMERS REPORT'!I834+'CUSTOMERS REPORT'!I872+'CUSTOMERS REPORT'!I911+'CUSTOMERS REPORT'!I950+'CUSTOMERS REPORT'!I988+'CUSTOMERS REPORT'!I1026+'CUSTOMERS REPORT'!I1064+'CUSTOMERS REPORT'!I1102+'CUSTOMERS REPORT'!I1140+'CUSTOMERS REPORT'!I1177+'CUSTOMERS REPORT'!I1214+'CUSTOMERS REPORT'!I1251+'CUSTOMERS REPORT'!I1288+'CUSTOMERS REPORT'!I1325+'CUSTOMERS REPORT'!I1362+'CUSTOMERS REPORT'!I1399+'CUSTOMERS REPORT'!I1435</f>
        <v>0</v>
      </c>
      <c r="AB54" s="852">
        <f>'CUSTOMERS REPORT'!J21+'CUSTOMERS REPORT'!J67+'CUSTOMERS REPORT'!J105+'CUSTOMERS REPORT'!J144+'CUSTOMERS REPORT'!J182+'CUSTOMERS REPORT'!J222+'CUSTOMERS REPORT'!J259+'CUSTOMERS REPORT'!J299+'CUSTOMERS REPORT'!J340+'CUSTOMERS REPORT'!J382+'CUSTOMERS REPORT'!J421+'CUSTOMERS REPORT'!J459+'CUSTOMERS REPORT'!J495+'CUSTOMERS REPORT'!J532+'CUSTOMERS REPORT'!J570+'CUSTOMERS REPORT'!J606+'CUSTOMERS REPORT'!J644+'CUSTOMERS REPORT'!J682+'CUSTOMERS REPORT'!J720+'CUSTOMERS REPORT'!J758+'CUSTOMERS REPORT'!J796+'CUSTOMERS REPORT'!J834+'CUSTOMERS REPORT'!J872+'CUSTOMERS REPORT'!J911+'CUSTOMERS REPORT'!J950+'CUSTOMERS REPORT'!J988+'CUSTOMERS REPORT'!J1026+'CUSTOMERS REPORT'!J1064+'CUSTOMERS REPORT'!J1102+'CUSTOMERS REPORT'!J1140+'CUSTOMERS REPORT'!J1177+'CUSTOMERS REPORT'!J1214+'CUSTOMERS REPORT'!J1251+'CUSTOMERS REPORT'!J1288+'CUSTOMERS REPORT'!J1325+'CUSTOMERS REPORT'!J1362+'CUSTOMERS REPORT'!J1399+'CUSTOMERS REPORT'!J1435</f>
        <v>0</v>
      </c>
      <c r="AC54" s="852">
        <f>'CUSTOMERS REPORT'!K21+'CUSTOMERS REPORT'!K67+'CUSTOMERS REPORT'!K105+'CUSTOMERS REPORT'!K144+'CUSTOMERS REPORT'!K182+'CUSTOMERS REPORT'!K222+'CUSTOMERS REPORT'!K259+'CUSTOMERS REPORT'!K299+'CUSTOMERS REPORT'!K340+'CUSTOMERS REPORT'!K382+'CUSTOMERS REPORT'!K421+'CUSTOMERS REPORT'!K459+'CUSTOMERS REPORT'!K495+'CUSTOMERS REPORT'!K532+'CUSTOMERS REPORT'!K570+'CUSTOMERS REPORT'!K606+'CUSTOMERS REPORT'!K644+'CUSTOMERS REPORT'!K682+'CUSTOMERS REPORT'!K720+'CUSTOMERS REPORT'!K758+'CUSTOMERS REPORT'!K796+'CUSTOMERS REPORT'!K834+'CUSTOMERS REPORT'!K872+'CUSTOMERS REPORT'!K911+'CUSTOMERS REPORT'!K950+'CUSTOMERS REPORT'!K988+'CUSTOMERS REPORT'!K1026+'CUSTOMERS REPORT'!K1064+'CUSTOMERS REPORT'!K1102+'CUSTOMERS REPORT'!K1140+'CUSTOMERS REPORT'!K1177+'CUSTOMERS REPORT'!K1214+'CUSTOMERS REPORT'!K1251+'CUSTOMERS REPORT'!K1288+'CUSTOMERS REPORT'!K1325+'CUSTOMERS REPORT'!K1362+'CUSTOMERS REPORT'!K1399+'CUSTOMERS REPORT'!K1435</f>
        <v>0</v>
      </c>
      <c r="AD54" s="852">
        <f>'CUSTOMERS REPORT'!L21+'CUSTOMERS REPORT'!L67+'CUSTOMERS REPORT'!L105+'CUSTOMERS REPORT'!L144+'CUSTOMERS REPORT'!L182+'CUSTOMERS REPORT'!L222+'CUSTOMERS REPORT'!L259+'CUSTOMERS REPORT'!L299+'CUSTOMERS REPORT'!L340+'CUSTOMERS REPORT'!L382+'CUSTOMERS REPORT'!L421+'CUSTOMERS REPORT'!L459+'CUSTOMERS REPORT'!L495+'CUSTOMERS REPORT'!L532+'CUSTOMERS REPORT'!L570+'CUSTOMERS REPORT'!L606+'CUSTOMERS REPORT'!L644+'CUSTOMERS REPORT'!L682+'CUSTOMERS REPORT'!L720+'CUSTOMERS REPORT'!L758+'CUSTOMERS REPORT'!L796+'CUSTOMERS REPORT'!L834+'CUSTOMERS REPORT'!L872+'CUSTOMERS REPORT'!L911+'CUSTOMERS REPORT'!L950+'CUSTOMERS REPORT'!L988+'CUSTOMERS REPORT'!L1026+'CUSTOMERS REPORT'!L1064+'CUSTOMERS REPORT'!L1102+'CUSTOMERS REPORT'!L1140+'CUSTOMERS REPORT'!L1177+'CUSTOMERS REPORT'!L1214+'CUSTOMERS REPORT'!L1251+'CUSTOMERS REPORT'!L1288+'CUSTOMERS REPORT'!L1325+'CUSTOMERS REPORT'!L1362+'CUSTOMERS REPORT'!L1399+'CUSTOMERS REPORT'!L1435</f>
        <v>0</v>
      </c>
      <c r="AE54" s="852">
        <f>'CUSTOMERS REPORT'!M21+'CUSTOMERS REPORT'!M67+'CUSTOMERS REPORT'!M105+'CUSTOMERS REPORT'!M144+'CUSTOMERS REPORT'!M182+'CUSTOMERS REPORT'!M222+'CUSTOMERS REPORT'!M259+'CUSTOMERS REPORT'!M299+'CUSTOMERS REPORT'!M340+'CUSTOMERS REPORT'!M382+'CUSTOMERS REPORT'!M421+'CUSTOMERS REPORT'!M459+'CUSTOMERS REPORT'!M495+'CUSTOMERS REPORT'!M532+'CUSTOMERS REPORT'!M570+'CUSTOMERS REPORT'!M606+'CUSTOMERS REPORT'!M644+'CUSTOMERS REPORT'!M682+'CUSTOMERS REPORT'!M720+'CUSTOMERS REPORT'!M758+'CUSTOMERS REPORT'!M796+'CUSTOMERS REPORT'!M834+'CUSTOMERS REPORT'!M872+'CUSTOMERS REPORT'!M911+'CUSTOMERS REPORT'!M950+'CUSTOMERS REPORT'!M988+'CUSTOMERS REPORT'!M1026+'CUSTOMERS REPORT'!M1064+'CUSTOMERS REPORT'!M1102+'CUSTOMERS REPORT'!M1140+'CUSTOMERS REPORT'!M1177+'CUSTOMERS REPORT'!M1214+'CUSTOMERS REPORT'!M1251+'CUSTOMERS REPORT'!M1288+'CUSTOMERS REPORT'!M1325+'CUSTOMERS REPORT'!M1362+'CUSTOMERS REPORT'!M1399+'CUSTOMERS REPORT'!M1435</f>
        <v>0</v>
      </c>
      <c r="AF54" s="852">
        <f>'CUSTOMERS REPORT'!N21+'CUSTOMERS REPORT'!N67+'CUSTOMERS REPORT'!N105+'CUSTOMERS REPORT'!N144+'CUSTOMERS REPORT'!N182+'CUSTOMERS REPORT'!N222+'CUSTOMERS REPORT'!N259+'CUSTOMERS REPORT'!N299+'CUSTOMERS REPORT'!N340+'CUSTOMERS REPORT'!N382+'CUSTOMERS REPORT'!N421+'CUSTOMERS REPORT'!N459+'CUSTOMERS REPORT'!N495+'CUSTOMERS REPORT'!N532+'CUSTOMERS REPORT'!N570+'CUSTOMERS REPORT'!N606+'CUSTOMERS REPORT'!N644+'CUSTOMERS REPORT'!N682+'CUSTOMERS REPORT'!N720+'CUSTOMERS REPORT'!N758+'CUSTOMERS REPORT'!N796+'CUSTOMERS REPORT'!N834+'CUSTOMERS REPORT'!N872+'CUSTOMERS REPORT'!N911+'CUSTOMERS REPORT'!N950+'CUSTOMERS REPORT'!N988+'CUSTOMERS REPORT'!N1026+'CUSTOMERS REPORT'!N1064+'CUSTOMERS REPORT'!N1102+'CUSTOMERS REPORT'!N1140+'CUSTOMERS REPORT'!N1177+'CUSTOMERS REPORT'!N1214+'CUSTOMERS REPORT'!N1251+'CUSTOMERS REPORT'!N1288+'CUSTOMERS REPORT'!N1325+'CUSTOMERS REPORT'!N1362+'CUSTOMERS REPORT'!N1399+'CUSTOMERS REPORT'!N1435</f>
        <v>0</v>
      </c>
      <c r="AG54" s="852">
        <f>'CUSTOMERS REPORT'!O21+'CUSTOMERS REPORT'!O67+'CUSTOMERS REPORT'!O105+'CUSTOMERS REPORT'!O144+'CUSTOMERS REPORT'!O182+'CUSTOMERS REPORT'!O222+'CUSTOMERS REPORT'!O259+'CUSTOMERS REPORT'!O299+'CUSTOMERS REPORT'!O340+'CUSTOMERS REPORT'!O382+'CUSTOMERS REPORT'!O421+'CUSTOMERS REPORT'!O459+'CUSTOMERS REPORT'!O495+'CUSTOMERS REPORT'!O532+'CUSTOMERS REPORT'!O570+'CUSTOMERS REPORT'!O606+'CUSTOMERS REPORT'!O644+'CUSTOMERS REPORT'!O682+'CUSTOMERS REPORT'!O720+'CUSTOMERS REPORT'!O758+'CUSTOMERS REPORT'!O796+'CUSTOMERS REPORT'!O834+'CUSTOMERS REPORT'!O872+'CUSTOMERS REPORT'!O911+'CUSTOMERS REPORT'!O950+'CUSTOMERS REPORT'!O988+'CUSTOMERS REPORT'!O1026+'CUSTOMERS REPORT'!O1064+'CUSTOMERS REPORT'!O1102+'CUSTOMERS REPORT'!O1140+'CUSTOMERS REPORT'!O1177+'CUSTOMERS REPORT'!O1214+'CUSTOMERS REPORT'!O1251+'CUSTOMERS REPORT'!O1288+'CUSTOMERS REPORT'!O1325+'CUSTOMERS REPORT'!O1362+'CUSTOMERS REPORT'!O1399+'CUSTOMERS REPORT'!O1435</f>
        <v>0</v>
      </c>
      <c r="AH54" s="852">
        <f>'CUSTOMERS REPORT'!P21+'CUSTOMERS REPORT'!P67+'CUSTOMERS REPORT'!P105+'CUSTOMERS REPORT'!P144+'CUSTOMERS REPORT'!P182+'CUSTOMERS REPORT'!P222+'CUSTOMERS REPORT'!P259+'CUSTOMERS REPORT'!P299+'CUSTOMERS REPORT'!P340+'CUSTOMERS REPORT'!P382+'CUSTOMERS REPORT'!P421+'CUSTOMERS REPORT'!P459+'CUSTOMERS REPORT'!P495+'CUSTOMERS REPORT'!P532+'CUSTOMERS REPORT'!P570+'CUSTOMERS REPORT'!P606+'CUSTOMERS REPORT'!P644+'CUSTOMERS REPORT'!P682+'CUSTOMERS REPORT'!P720+'CUSTOMERS REPORT'!P758+'CUSTOMERS REPORT'!P796+'CUSTOMERS REPORT'!P834+'CUSTOMERS REPORT'!P872+'CUSTOMERS REPORT'!P911+'CUSTOMERS REPORT'!P950+'CUSTOMERS REPORT'!P988+'CUSTOMERS REPORT'!P1026+'CUSTOMERS REPORT'!P1064+'CUSTOMERS REPORT'!P1102+'CUSTOMERS REPORT'!P1140+'CUSTOMERS REPORT'!P1177+'CUSTOMERS REPORT'!P1214+'CUSTOMERS REPORT'!P1251+'CUSTOMERS REPORT'!P1288+'CUSTOMERS REPORT'!P1325+'CUSTOMERS REPORT'!P1362+'CUSTOMERS REPORT'!P1399+'CUSTOMERS REPORT'!P1435</f>
        <v>0</v>
      </c>
      <c r="AI54" s="852">
        <f>'CUSTOMERS REPORT'!Q21+'CUSTOMERS REPORT'!Q67+'CUSTOMERS REPORT'!Q105+'CUSTOMERS REPORT'!Q144+'CUSTOMERS REPORT'!Q182+'CUSTOMERS REPORT'!Q222+'CUSTOMERS REPORT'!Q259+'CUSTOMERS REPORT'!Q299+'CUSTOMERS REPORT'!Q340+'CUSTOMERS REPORT'!Q382+'CUSTOMERS REPORT'!Q421+'CUSTOMERS REPORT'!Q459+'CUSTOMERS REPORT'!Q495+'CUSTOMERS REPORT'!Q532+'CUSTOMERS REPORT'!Q570+'CUSTOMERS REPORT'!Q606+'CUSTOMERS REPORT'!Q644+'CUSTOMERS REPORT'!Q682+'CUSTOMERS REPORT'!Q720+'CUSTOMERS REPORT'!Q758+'CUSTOMERS REPORT'!Q796+'CUSTOMERS REPORT'!Q834+'CUSTOMERS REPORT'!Q872+'CUSTOMERS REPORT'!Q911+'CUSTOMERS REPORT'!Q950+'CUSTOMERS REPORT'!Q988+'CUSTOMERS REPORT'!Q1026+'CUSTOMERS REPORT'!Q1064+'CUSTOMERS REPORT'!Q1102+'CUSTOMERS REPORT'!Q1140+'CUSTOMERS REPORT'!Q1177+'CUSTOMERS REPORT'!Q1214+'CUSTOMERS REPORT'!Q1251+'CUSTOMERS REPORT'!Q1288+'CUSTOMERS REPORT'!Q1325+'CUSTOMERS REPORT'!Q1362+'CUSTOMERS REPORT'!Q1399+'CUSTOMERS REPORT'!Q1435</f>
        <v>0</v>
      </c>
      <c r="AJ54" s="852">
        <f>'CUSTOMERS REPORT'!R21+'CUSTOMERS REPORT'!R67+'CUSTOMERS REPORT'!R105+'CUSTOMERS REPORT'!R144+'CUSTOMERS REPORT'!R182+'CUSTOMERS REPORT'!R222+'CUSTOMERS REPORT'!R259+'CUSTOMERS REPORT'!R299+'CUSTOMERS REPORT'!R340+'CUSTOMERS REPORT'!R382+'CUSTOMERS REPORT'!R421+'CUSTOMERS REPORT'!R459+'CUSTOMERS REPORT'!R495+'CUSTOMERS REPORT'!R532+'CUSTOMERS REPORT'!R570+'CUSTOMERS REPORT'!R606+'CUSTOMERS REPORT'!R644+'CUSTOMERS REPORT'!R682+'CUSTOMERS REPORT'!R720+'CUSTOMERS REPORT'!R758+'CUSTOMERS REPORT'!R796+'CUSTOMERS REPORT'!R834+'CUSTOMERS REPORT'!R872+'CUSTOMERS REPORT'!R911+'CUSTOMERS REPORT'!R950+'CUSTOMERS REPORT'!R988+'CUSTOMERS REPORT'!R1026+'CUSTOMERS REPORT'!R1064+'CUSTOMERS REPORT'!R1102+'CUSTOMERS REPORT'!R1140+'CUSTOMERS REPORT'!R1177+'CUSTOMERS REPORT'!R1214+'CUSTOMERS REPORT'!R1251+'CUSTOMERS REPORT'!R1288+'CUSTOMERS REPORT'!R1325+'CUSTOMERS REPORT'!R1362+'CUSTOMERS REPORT'!R1399+'CUSTOMERS REPORT'!R1435</f>
        <v>0</v>
      </c>
      <c r="AK54" s="852">
        <f>'CUSTOMERS REPORT'!S21+'CUSTOMERS REPORT'!S67+'CUSTOMERS REPORT'!S105+'CUSTOMERS REPORT'!S144+'CUSTOMERS REPORT'!S182+'CUSTOMERS REPORT'!S222+'CUSTOMERS REPORT'!S259+'CUSTOMERS REPORT'!S299+'CUSTOMERS REPORT'!S340+'CUSTOMERS REPORT'!S382+'CUSTOMERS REPORT'!S421+'CUSTOMERS REPORT'!S459+'CUSTOMERS REPORT'!S495+'CUSTOMERS REPORT'!S532+'CUSTOMERS REPORT'!S570+'CUSTOMERS REPORT'!S606+'CUSTOMERS REPORT'!S644+'CUSTOMERS REPORT'!S682+'CUSTOMERS REPORT'!S720+'CUSTOMERS REPORT'!S758+'CUSTOMERS REPORT'!S796+'CUSTOMERS REPORT'!S834+'CUSTOMERS REPORT'!S872+'CUSTOMERS REPORT'!S911+'CUSTOMERS REPORT'!S950+'CUSTOMERS REPORT'!S988+'CUSTOMERS REPORT'!S1026+'CUSTOMERS REPORT'!S1064+'CUSTOMERS REPORT'!S1102+'CUSTOMERS REPORT'!S1140+'CUSTOMERS REPORT'!S1177+'CUSTOMERS REPORT'!S1214+'CUSTOMERS REPORT'!S1251+'CUSTOMERS REPORT'!S1288+'CUSTOMERS REPORT'!S1325+'CUSTOMERS REPORT'!S1362+'CUSTOMERS REPORT'!S1399+'CUSTOMERS REPORT'!S1435</f>
        <v>0</v>
      </c>
      <c r="AL54" s="852">
        <f>'CUSTOMERS REPORT'!T21+'CUSTOMERS REPORT'!T67+'CUSTOMERS REPORT'!T105+'CUSTOMERS REPORT'!T144+'CUSTOMERS REPORT'!T182+'CUSTOMERS REPORT'!T222+'CUSTOMERS REPORT'!T259+'CUSTOMERS REPORT'!T299+'CUSTOMERS REPORT'!T340+'CUSTOMERS REPORT'!T382+'CUSTOMERS REPORT'!T421+'CUSTOMERS REPORT'!T459+'CUSTOMERS REPORT'!T495+'CUSTOMERS REPORT'!T532+'CUSTOMERS REPORT'!T570+'CUSTOMERS REPORT'!T606+'CUSTOMERS REPORT'!T644+'CUSTOMERS REPORT'!T682+'CUSTOMERS REPORT'!T720+'CUSTOMERS REPORT'!T758+'CUSTOMERS REPORT'!T796+'CUSTOMERS REPORT'!T834+'CUSTOMERS REPORT'!T872+'CUSTOMERS REPORT'!T911+'CUSTOMERS REPORT'!T950+'CUSTOMERS REPORT'!T988+'CUSTOMERS REPORT'!T1026+'CUSTOMERS REPORT'!T1064+'CUSTOMERS REPORT'!T1102+'CUSTOMERS REPORT'!T1140</f>
        <v>0</v>
      </c>
      <c r="AM54" s="852">
        <f>'CUSTOMERS REPORT'!U21+'CUSTOMERS REPORT'!U67+'CUSTOMERS REPORT'!U105+'CUSTOMERS REPORT'!U144+'CUSTOMERS REPORT'!U182+'CUSTOMERS REPORT'!U222+'CUSTOMERS REPORT'!U259+'CUSTOMERS REPORT'!U299+'CUSTOMERS REPORT'!U340+'CUSTOMERS REPORT'!U382+'CUSTOMERS REPORT'!U421+'CUSTOMERS REPORT'!U459+'CUSTOMERS REPORT'!U495+'CUSTOMERS REPORT'!U532+'CUSTOMERS REPORT'!U570+'CUSTOMERS REPORT'!U606+'CUSTOMERS REPORT'!U644+'CUSTOMERS REPORT'!U682+'CUSTOMERS REPORT'!U720+'CUSTOMERS REPORT'!U758+'CUSTOMERS REPORT'!U796+'CUSTOMERS REPORT'!U834+'CUSTOMERS REPORT'!U872+'CUSTOMERS REPORT'!U911+'CUSTOMERS REPORT'!U950+'CUSTOMERS REPORT'!U988+'CUSTOMERS REPORT'!U1026+'CUSTOMERS REPORT'!U1064+'CUSTOMERS REPORT'!U1102+'CUSTOMERS REPORT'!U1140</f>
        <v>0</v>
      </c>
      <c r="AN54" s="960">
        <f>'CUSTOMERS REPORT'!V21+'CUSTOMERS REPORT'!V67+'CUSTOMERS REPORT'!V105+'CUSTOMERS REPORT'!V144+'CUSTOMERS REPORT'!V182+'CUSTOMERS REPORT'!V222+'CUSTOMERS REPORT'!V259+'CUSTOMERS REPORT'!V299+'CUSTOMERS REPORT'!V340+'CUSTOMERS REPORT'!V382+'CUSTOMERS REPORT'!V421+'CUSTOMERS REPORT'!V459+'CUSTOMERS REPORT'!V495+'CUSTOMERS REPORT'!V532+'CUSTOMERS REPORT'!V570+'CUSTOMERS REPORT'!V606+'CUSTOMERS REPORT'!V644+'CUSTOMERS REPORT'!V682+'CUSTOMERS REPORT'!V720+'CUSTOMERS REPORT'!V758+'CUSTOMERS REPORT'!V796+'CUSTOMERS REPORT'!V834+'CUSTOMERS REPORT'!V872+'CUSTOMERS REPORT'!V911+'CUSTOMERS REPORT'!V950+'CUSTOMERS REPORT'!V988+'CUSTOMERS REPORT'!V1026+'CUSTOMERS REPORT'!V1064+'CUSTOMERS REPORT'!V1102+'CUSTOMERS REPORT'!V1140</f>
        <v>0</v>
      </c>
      <c r="AO54" s="961"/>
      <c r="AP54" s="961"/>
      <c r="AQ54" s="961"/>
      <c r="AR54" s="961"/>
      <c r="AS54" s="961"/>
      <c r="AT54" s="961"/>
      <c r="AU54" s="961"/>
      <c r="AV54" s="961"/>
      <c r="AW54" s="961"/>
      <c r="AX54" s="961"/>
      <c r="AY54" s="961"/>
      <c r="AZ54" s="961"/>
      <c r="BA54" s="961"/>
      <c r="BB54" s="961"/>
    </row>
    <row r="55" spans="1:54" ht="24.95" customHeight="1" thickBot="1">
      <c r="L55" s="417">
        <v>20</v>
      </c>
      <c r="M55" s="417"/>
      <c r="N55" s="417">
        <f t="shared" si="10"/>
        <v>0</v>
      </c>
      <c r="R55" s="123">
        <f>'13'!R57</f>
        <v>0</v>
      </c>
      <c r="S55" s="865" t="s">
        <v>169</v>
      </c>
      <c r="T55" s="866">
        <f t="shared" ref="T55:AN55" si="12">T53-T54-T51</f>
        <v>0</v>
      </c>
      <c r="U55" s="866">
        <f t="shared" si="12"/>
        <v>0</v>
      </c>
      <c r="V55" s="866">
        <f t="shared" si="12"/>
        <v>-2</v>
      </c>
      <c r="W55" s="866">
        <f t="shared" si="12"/>
        <v>0</v>
      </c>
      <c r="X55" s="866">
        <f t="shared" si="12"/>
        <v>0</v>
      </c>
      <c r="Y55" s="866">
        <f t="shared" si="12"/>
        <v>0</v>
      </c>
      <c r="Z55" s="866">
        <f t="shared" si="12"/>
        <v>-2</v>
      </c>
      <c r="AA55" s="866">
        <f t="shared" si="12"/>
        <v>0</v>
      </c>
      <c r="AB55" s="866">
        <f t="shared" si="12"/>
        <v>0</v>
      </c>
      <c r="AC55" s="866">
        <f t="shared" si="12"/>
        <v>465</v>
      </c>
      <c r="AD55" s="866">
        <f t="shared" si="12"/>
        <v>0</v>
      </c>
      <c r="AE55" s="866">
        <f t="shared" si="12"/>
        <v>0</v>
      </c>
      <c r="AF55" s="866">
        <f>AF53-AF54-AF51</f>
        <v>381</v>
      </c>
      <c r="AG55" s="866">
        <f t="shared" si="12"/>
        <v>-2</v>
      </c>
      <c r="AH55" s="866">
        <f t="shared" si="12"/>
        <v>854</v>
      </c>
      <c r="AI55" s="866">
        <f t="shared" si="12"/>
        <v>0</v>
      </c>
      <c r="AJ55" s="866">
        <f t="shared" si="12"/>
        <v>0</v>
      </c>
      <c r="AK55" s="866">
        <f t="shared" si="12"/>
        <v>-1</v>
      </c>
      <c r="AL55" s="866" t="e">
        <f t="shared" si="12"/>
        <v>#VALUE!</v>
      </c>
      <c r="AM55" s="866" t="e">
        <f t="shared" si="12"/>
        <v>#VALUE!</v>
      </c>
      <c r="AN55" s="872" t="e">
        <f t="shared" si="12"/>
        <v>#VALUE!</v>
      </c>
      <c r="AO55" s="40"/>
      <c r="AP55" s="2"/>
      <c r="AQ55" s="2"/>
    </row>
    <row r="56" spans="1:54" ht="28.5" thickBot="1">
      <c r="A56" s="114"/>
      <c r="B56" s="120"/>
      <c r="C56" s="115"/>
      <c r="L56" s="417">
        <v>10</v>
      </c>
      <c r="M56" s="417"/>
      <c r="N56" s="417">
        <f t="shared" si="10"/>
        <v>0</v>
      </c>
      <c r="R56" s="123">
        <f>T56+U56+V56+W56+X56+Y56+Z56+AA56+AB56+AC56+AD56+AE56+AF56+AG56+AH56+AI56+AJ56+AK56+AL56+AM56+AN56</f>
        <v>13</v>
      </c>
      <c r="S56" s="874" t="s">
        <v>170</v>
      </c>
      <c r="T56" s="875"/>
      <c r="U56" s="875"/>
      <c r="V56" s="875"/>
      <c r="W56" s="875"/>
      <c r="X56" s="875"/>
      <c r="Y56" s="875"/>
      <c r="Z56" s="876"/>
      <c r="AA56" s="875"/>
      <c r="AB56" s="875"/>
      <c r="AC56" s="875">
        <v>5</v>
      </c>
      <c r="AD56" s="875"/>
      <c r="AE56" s="875"/>
      <c r="AF56" s="875">
        <v>5</v>
      </c>
      <c r="AG56" s="875"/>
      <c r="AH56" s="875">
        <v>3</v>
      </c>
      <c r="AI56" s="875"/>
      <c r="AJ56" s="877"/>
      <c r="AK56" s="877"/>
      <c r="AL56" s="52"/>
      <c r="AM56" s="52"/>
      <c r="AN56" s="928"/>
    </row>
    <row r="57" spans="1:54" ht="27" customHeight="1" thickBot="1">
      <c r="A57" s="114"/>
      <c r="B57" s="131"/>
      <c r="C57" s="115"/>
      <c r="D57" s="115"/>
      <c r="E57" s="19"/>
      <c r="F57" s="19"/>
      <c r="G57" s="19"/>
      <c r="H57" s="19"/>
      <c r="I57" s="19"/>
      <c r="J57" s="19"/>
      <c r="K57" s="19"/>
      <c r="L57" s="418">
        <v>1</v>
      </c>
      <c r="M57" s="418"/>
      <c r="N57" s="417">
        <f t="shared" si="10"/>
        <v>0</v>
      </c>
      <c r="O57" s="19"/>
      <c r="R57" s="736">
        <f>SUM(R55:R56)</f>
        <v>13</v>
      </c>
      <c r="S57" s="882" t="s">
        <v>23</v>
      </c>
      <c r="T57" s="883" t="e">
        <f t="shared" ref="T57:AI57" si="13">T50/T56</f>
        <v>#DIV/0!</v>
      </c>
      <c r="U57" s="883" t="e">
        <f t="shared" si="13"/>
        <v>#DIV/0!</v>
      </c>
      <c r="V57" s="883" t="e">
        <f t="shared" si="13"/>
        <v>#DIV/0!</v>
      </c>
      <c r="W57" s="883" t="e">
        <f t="shared" si="13"/>
        <v>#DIV/0!</v>
      </c>
      <c r="X57" s="883" t="e">
        <f t="shared" si="13"/>
        <v>#DIV/0!</v>
      </c>
      <c r="Y57" s="883" t="e">
        <f t="shared" si="13"/>
        <v>#DIV/0!</v>
      </c>
      <c r="Z57" s="883" t="e">
        <f t="shared" si="13"/>
        <v>#DIV/0!</v>
      </c>
      <c r="AA57" s="883" t="e">
        <f t="shared" si="13"/>
        <v>#DIV/0!</v>
      </c>
      <c r="AB57" s="883" t="e">
        <f t="shared" si="13"/>
        <v>#DIV/0!</v>
      </c>
      <c r="AC57" s="883">
        <f t="shared" si="13"/>
        <v>93</v>
      </c>
      <c r="AD57" s="883" t="e">
        <f t="shared" si="13"/>
        <v>#DIV/0!</v>
      </c>
      <c r="AE57" s="883" t="e">
        <f t="shared" si="13"/>
        <v>#DIV/0!</v>
      </c>
      <c r="AF57" s="883">
        <f t="shared" si="13"/>
        <v>76.2</v>
      </c>
      <c r="AG57" s="883" t="e">
        <f t="shared" si="13"/>
        <v>#DIV/0!</v>
      </c>
      <c r="AH57" s="883">
        <f t="shared" si="13"/>
        <v>284.66666666666669</v>
      </c>
      <c r="AI57" s="883" t="e">
        <f t="shared" si="13"/>
        <v>#DIV/0!</v>
      </c>
      <c r="AJ57" s="883" t="e">
        <f>AJ50/AJ56</f>
        <v>#DIV/0!</v>
      </c>
      <c r="AK57" s="883" t="e">
        <f>AK50/AK56</f>
        <v>#DIV/0!</v>
      </c>
      <c r="AL57" s="883" t="e">
        <f t="shared" ref="AL57:AN57" si="14">AL50/AL56</f>
        <v>#DIV/0!</v>
      </c>
      <c r="AM57" s="883" t="e">
        <f t="shared" si="14"/>
        <v>#DIV/0!</v>
      </c>
      <c r="AN57" s="884" t="e">
        <f t="shared" si="14"/>
        <v>#DIV/0!</v>
      </c>
    </row>
    <row r="58" spans="1:54" ht="27" customHeight="1" thickBot="1">
      <c r="A58" s="114"/>
      <c r="B58" s="131"/>
      <c r="C58" s="115"/>
      <c r="D58" s="115" t="s">
        <v>1</v>
      </c>
      <c r="L58" s="1501" t="s">
        <v>171</v>
      </c>
      <c r="M58" s="1501"/>
      <c r="N58" s="419">
        <f>SUM(N50:N57)</f>
        <v>0</v>
      </c>
      <c r="R58" s="19"/>
      <c r="S58" s="878" t="s">
        <v>172</v>
      </c>
      <c r="T58" s="879">
        <f>T54</f>
        <v>0</v>
      </c>
      <c r="U58" s="879">
        <f t="shared" ref="U58:AI58" si="15">U54</f>
        <v>0</v>
      </c>
      <c r="V58" s="879">
        <f t="shared" si="15"/>
        <v>0</v>
      </c>
      <c r="W58" s="879">
        <f t="shared" si="15"/>
        <v>0</v>
      </c>
      <c r="X58" s="879">
        <f t="shared" si="15"/>
        <v>0</v>
      </c>
      <c r="Y58" s="879">
        <f t="shared" si="15"/>
        <v>0</v>
      </c>
      <c r="Z58" s="879">
        <f t="shared" si="15"/>
        <v>0</v>
      </c>
      <c r="AA58" s="879">
        <f t="shared" si="15"/>
        <v>0</v>
      </c>
      <c r="AB58" s="879">
        <f t="shared" si="15"/>
        <v>0</v>
      </c>
      <c r="AC58" s="879">
        <f t="shared" si="15"/>
        <v>0</v>
      </c>
      <c r="AD58" s="879">
        <f t="shared" si="15"/>
        <v>0</v>
      </c>
      <c r="AE58" s="879">
        <f t="shared" si="15"/>
        <v>0</v>
      </c>
      <c r="AF58" s="879">
        <f t="shared" si="15"/>
        <v>0</v>
      </c>
      <c r="AG58" s="879">
        <f t="shared" si="15"/>
        <v>0</v>
      </c>
      <c r="AH58" s="879">
        <f t="shared" si="15"/>
        <v>0</v>
      </c>
      <c r="AI58" s="879">
        <f t="shared" si="15"/>
        <v>0</v>
      </c>
      <c r="AJ58" s="879">
        <f>AJ54</f>
        <v>0</v>
      </c>
      <c r="AK58" s="879">
        <f>AK54</f>
        <v>0</v>
      </c>
      <c r="AL58" s="880"/>
      <c r="AM58" s="880"/>
      <c r="AN58" s="881"/>
    </row>
    <row r="59" spans="1:54" ht="27" customHeight="1">
      <c r="A59" s="114"/>
      <c r="B59" s="132"/>
      <c r="C59" s="115"/>
      <c r="D59" s="115" t="s">
        <v>1</v>
      </c>
      <c r="K59" t="s">
        <v>1</v>
      </c>
      <c r="L59" s="1486" t="s">
        <v>173</v>
      </c>
      <c r="M59" s="1486"/>
      <c r="N59" s="420">
        <f>N58-Q48</f>
        <v>331620</v>
      </c>
      <c r="R59" s="19"/>
      <c r="S59" s="114"/>
      <c r="T59" s="121"/>
      <c r="U59" s="121" t="s">
        <v>1</v>
      </c>
      <c r="V59" s="121"/>
      <c r="W59" s="121"/>
      <c r="X59" s="121"/>
      <c r="Y59" s="121"/>
      <c r="Z59" s="122"/>
      <c r="AA59" s="121"/>
      <c r="AB59" s="121"/>
      <c r="AC59" s="121"/>
      <c r="AD59" s="121"/>
      <c r="AE59" s="121"/>
      <c r="AF59" s="121"/>
      <c r="AG59" s="121"/>
      <c r="AH59" s="119"/>
      <c r="AI59" s="119"/>
    </row>
    <row r="60" spans="1:54" ht="23.25">
      <c r="A60" s="114"/>
      <c r="B60" s="132"/>
      <c r="C60" s="115"/>
      <c r="D60" s="115"/>
      <c r="P60" s="19"/>
      <c r="Q60" s="19"/>
      <c r="R60" s="19"/>
      <c r="S60" s="19"/>
      <c r="U60" t="s">
        <v>1</v>
      </c>
    </row>
    <row r="61" spans="1:54" ht="23.25">
      <c r="A61" s="114"/>
      <c r="B61" s="132"/>
      <c r="C61" s="115"/>
      <c r="D61" s="116"/>
      <c r="M61" t="s">
        <v>1</v>
      </c>
      <c r="P61" s="185"/>
      <c r="Q61" s="186"/>
      <c r="R61" s="19"/>
      <c r="S61" s="19"/>
    </row>
    <row r="62" spans="1:54" ht="20.25">
      <c r="C62" s="116"/>
      <c r="P62" s="19"/>
      <c r="Q62" s="19"/>
      <c r="R62" s="19"/>
      <c r="S62" s="19"/>
    </row>
    <row r="63" spans="1:54">
      <c r="E63" s="19"/>
    </row>
    <row r="64" spans="1:54">
      <c r="E64" s="19"/>
      <c r="J64" t="s">
        <v>3</v>
      </c>
    </row>
    <row r="65" spans="3:5" ht="21">
      <c r="C65" s="251"/>
      <c r="E65" s="19"/>
    </row>
    <row r="66" spans="3:5">
      <c r="E66" s="49"/>
    </row>
    <row r="67" spans="3:5" ht="23.25">
      <c r="E67" s="113"/>
    </row>
  </sheetData>
  <mergeCells count="21">
    <mergeCell ref="L59:M59"/>
    <mergeCell ref="T47:W47"/>
    <mergeCell ref="X47:Z47"/>
    <mergeCell ref="S47:S48"/>
    <mergeCell ref="AJ47:AK47"/>
    <mergeCell ref="AL47:AM47"/>
    <mergeCell ref="AI7:AJ7"/>
    <mergeCell ref="AI20:AJ20"/>
    <mergeCell ref="L58:M58"/>
    <mergeCell ref="A6:Q6"/>
    <mergeCell ref="S6:AE6"/>
    <mergeCell ref="A7:B7"/>
    <mergeCell ref="P7:Q7"/>
    <mergeCell ref="H48:I48"/>
    <mergeCell ref="P24:Q24"/>
    <mergeCell ref="P33:Q33"/>
    <mergeCell ref="P42:Q42"/>
    <mergeCell ref="H46:I46"/>
    <mergeCell ref="H47:I47"/>
    <mergeCell ref="AA47:AB47"/>
    <mergeCell ref="AC47:AI47"/>
  </mergeCells>
  <conditionalFormatting sqref="M48:N48">
    <cfRule type="duplicateValues" dxfId="370" priority="29"/>
    <cfRule type="duplicateValues" dxfId="369" priority="30"/>
    <cfRule type="duplicateValues" dxfId="368" priority="31"/>
    <cfRule type="duplicateValues" dxfId="367" priority="32"/>
  </conditionalFormatting>
  <conditionalFormatting sqref="L48 N48">
    <cfRule type="cellIs" dxfId="366" priority="28" operator="equal">
      <formula>66890</formula>
    </cfRule>
  </conditionalFormatting>
  <conditionalFormatting sqref="N48">
    <cfRule type="cellIs" dxfId="365" priority="27" operator="lessThan">
      <formula>1</formula>
    </cfRule>
  </conditionalFormatting>
  <conditionalFormatting sqref="T57">
    <cfRule type="cellIs" dxfId="364" priority="16" operator="lessThan">
      <formula>63</formula>
    </cfRule>
  </conditionalFormatting>
  <conditionalFormatting sqref="U57">
    <cfRule type="cellIs" dxfId="363" priority="14" operator="lessThan">
      <formula>63</formula>
    </cfRule>
    <cfRule type="cellIs" dxfId="362" priority="15" operator="lessThan">
      <formula>63</formula>
    </cfRule>
  </conditionalFormatting>
  <conditionalFormatting sqref="W57">
    <cfRule type="cellIs" dxfId="361" priority="13" operator="lessThan">
      <formula>140</formula>
    </cfRule>
  </conditionalFormatting>
  <conditionalFormatting sqref="X57">
    <cfRule type="cellIs" dxfId="360" priority="12" operator="lessThan">
      <formula>125</formula>
    </cfRule>
  </conditionalFormatting>
  <conditionalFormatting sqref="Y57">
    <cfRule type="cellIs" dxfId="359" priority="11" operator="lessThan">
      <formula>150</formula>
    </cfRule>
  </conditionalFormatting>
  <conditionalFormatting sqref="Z57">
    <cfRule type="cellIs" dxfId="358" priority="10" operator="lessThan">
      <formula>590</formula>
    </cfRule>
  </conditionalFormatting>
  <conditionalFormatting sqref="AA57">
    <cfRule type="cellIs" dxfId="357" priority="9" operator="lessThan">
      <formula>704</formula>
    </cfRule>
  </conditionalFormatting>
  <conditionalFormatting sqref="AC57">
    <cfRule type="cellIs" dxfId="356" priority="8" operator="lessThan">
      <formula>52</formula>
    </cfRule>
  </conditionalFormatting>
  <conditionalFormatting sqref="AD57">
    <cfRule type="cellIs" dxfId="355" priority="7" operator="lessThan">
      <formula>52</formula>
    </cfRule>
  </conditionalFormatting>
  <conditionalFormatting sqref="AH57">
    <cfRule type="cellIs" dxfId="354" priority="6" operator="lessThan">
      <formula>63</formula>
    </cfRule>
  </conditionalFormatting>
  <conditionalFormatting sqref="AI57">
    <cfRule type="cellIs" dxfId="353" priority="5" operator="lessThan">
      <formula>63</formula>
    </cfRule>
  </conditionalFormatting>
  <conditionalFormatting sqref="AK57">
    <cfRule type="cellIs" dxfId="352" priority="4" operator="lessThan">
      <formula>270</formula>
    </cfRule>
  </conditionalFormatting>
  <conditionalFormatting sqref="AJ57">
    <cfRule type="cellIs" dxfId="351" priority="3" operator="lessThan">
      <formula>270</formula>
    </cfRule>
  </conditionalFormatting>
  <conditionalFormatting sqref="AL57:AN57">
    <cfRule type="cellIs" dxfId="350" priority="1" operator="lessThan">
      <formula>270</formula>
    </cfRule>
  </conditionalFormatting>
  <printOptions horizontalCentered="1" verticalCentered="1"/>
  <pageMargins left="0" right="0.5" top="0" bottom="0" header="0" footer="0"/>
  <pageSetup paperSize="5" scale="45" orientation="landscape" cellComments="asDisplayed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N67"/>
  <sheetViews>
    <sheetView topLeftCell="Q7" zoomScale="90" zoomScaleNormal="90" workbookViewId="0">
      <selection activeCell="AD8" sqref="AD8"/>
    </sheetView>
  </sheetViews>
  <sheetFormatPr defaultRowHeight="15"/>
  <cols>
    <col min="1" max="1" width="32.7109375" bestFit="1" customWidth="1"/>
    <col min="2" max="2" width="20.140625" bestFit="1" customWidth="1"/>
    <col min="3" max="4" width="20.7109375" customWidth="1"/>
    <col min="5" max="5" width="4.7109375" customWidth="1"/>
    <col min="6" max="6" width="29.140625" bestFit="1" customWidth="1"/>
    <col min="7" max="7" width="17.7109375" customWidth="1"/>
    <col min="8" max="8" width="19.140625" bestFit="1" customWidth="1"/>
    <col min="9" max="9" width="18.7109375" customWidth="1"/>
    <col min="10" max="11" width="17.7109375" customWidth="1"/>
    <col min="12" max="12" width="19.140625" bestFit="1" customWidth="1"/>
    <col min="13" max="14" width="18.7109375" customWidth="1"/>
    <col min="15" max="15" width="7.7109375" customWidth="1"/>
    <col min="16" max="16" width="28.7109375" customWidth="1"/>
    <col min="17" max="17" width="20.7109375" customWidth="1"/>
    <col min="18" max="18" width="7.5703125" bestFit="1" customWidth="1"/>
    <col min="19" max="19" width="32.7109375" customWidth="1"/>
    <col min="20" max="20" width="20.28515625" bestFit="1" customWidth="1"/>
    <col min="21" max="21" width="17.7109375" customWidth="1"/>
    <col min="22" max="22" width="20.28515625" bestFit="1" customWidth="1"/>
    <col min="23" max="24" width="17.7109375" customWidth="1"/>
    <col min="25" max="25" width="14.7109375" customWidth="1"/>
    <col min="26" max="26" width="23.7109375" bestFit="1" customWidth="1"/>
    <col min="27" max="27" width="20.140625" bestFit="1" customWidth="1"/>
    <col min="28" max="28" width="18.140625" bestFit="1" customWidth="1"/>
    <col min="29" max="29" width="20.140625" bestFit="1" customWidth="1"/>
    <col min="30" max="30" width="17.7109375" customWidth="1"/>
    <col min="31" max="31" width="20.140625" bestFit="1" customWidth="1"/>
    <col min="32" max="33" width="20.7109375" customWidth="1"/>
    <col min="34" max="37" width="17.7109375" customWidth="1"/>
    <col min="38" max="38" width="11.42578125" hidden="1" customWidth="1"/>
    <col min="39" max="39" width="0" hidden="1" customWidth="1"/>
    <col min="40" max="40" width="13" hidden="1" customWidth="1"/>
  </cols>
  <sheetData>
    <row r="1" spans="1:36">
      <c r="E1" s="5"/>
    </row>
    <row r="2" spans="1:36">
      <c r="E2" s="5"/>
    </row>
    <row r="3" spans="1:36" ht="15.75" thickBot="1">
      <c r="C3" t="s">
        <v>1</v>
      </c>
      <c r="E3" s="5" t="s">
        <v>1</v>
      </c>
      <c r="F3" t="s">
        <v>1</v>
      </c>
      <c r="N3" t="s">
        <v>1</v>
      </c>
      <c r="S3" t="s">
        <v>1</v>
      </c>
      <c r="U3" t="s">
        <v>1</v>
      </c>
    </row>
    <row r="4" spans="1:36" ht="21.75" thickTop="1">
      <c r="B4" t="s">
        <v>1</v>
      </c>
      <c r="D4" t="s">
        <v>1</v>
      </c>
      <c r="E4" t="s">
        <v>1</v>
      </c>
      <c r="P4" s="617" t="s">
        <v>108</v>
      </c>
      <c r="Q4" s="618">
        <f>'14'!Q4+'15'!Q9+'15'!Q10+'15'!Q19+'15'!Q20+'15'!Q21+'15'!Q22</f>
        <v>0</v>
      </c>
    </row>
    <row r="5" spans="1:36" ht="21.75" thickBot="1">
      <c r="P5" s="619" t="s">
        <v>109</v>
      </c>
      <c r="Q5" s="620">
        <f>'14'!Q5+'15'!Q25+'15'!Q26+'15'!Q27+'15'!Q28+'15'!Q29+'15'!Q30+'15'!Q31</f>
        <v>0</v>
      </c>
    </row>
    <row r="6" spans="1:36" ht="48" thickTop="1" thickBot="1">
      <c r="A6" s="1502">
        <f>'Main Page'!E31</f>
        <v>44880</v>
      </c>
      <c r="B6" s="1507"/>
      <c r="C6" s="1507"/>
      <c r="D6" s="1507"/>
      <c r="E6" s="1507"/>
      <c r="F6" s="1507"/>
      <c r="G6" s="1507"/>
      <c r="H6" s="1507"/>
      <c r="I6" s="1507"/>
      <c r="J6" s="1507"/>
      <c r="K6" s="1507"/>
      <c r="L6" s="1507"/>
      <c r="M6" s="1507"/>
      <c r="N6" s="1507"/>
      <c r="O6" s="1507"/>
      <c r="P6" s="1507"/>
      <c r="Q6" s="1515"/>
      <c r="R6" t="s">
        <v>1</v>
      </c>
      <c r="S6" s="1502">
        <f>A6</f>
        <v>44880</v>
      </c>
      <c r="T6" s="1503"/>
      <c r="U6" s="1503"/>
      <c r="V6" s="1503"/>
      <c r="W6" s="1503"/>
      <c r="X6" s="1503"/>
      <c r="Y6" s="1503"/>
      <c r="Z6" s="1503"/>
      <c r="AA6" s="1503"/>
      <c r="AB6" s="1503"/>
      <c r="AC6" s="1503"/>
      <c r="AD6" s="1503"/>
      <c r="AE6" s="1504"/>
    </row>
    <row r="7" spans="1:36" ht="39.950000000000003" customHeight="1" thickTop="1" thickBot="1">
      <c r="A7" s="1505" t="s">
        <v>110</v>
      </c>
      <c r="B7" s="1506"/>
      <c r="C7" s="367" t="s">
        <v>97</v>
      </c>
      <c r="D7" s="368" t="s">
        <v>74</v>
      </c>
      <c r="F7" s="363" t="s">
        <v>111</v>
      </c>
      <c r="G7" s="364" t="s">
        <v>112</v>
      </c>
      <c r="H7" s="365" t="s">
        <v>113</v>
      </c>
      <c r="I7" s="365" t="s">
        <v>26</v>
      </c>
      <c r="J7" s="365" t="s">
        <v>114</v>
      </c>
      <c r="K7" s="366" t="s">
        <v>115</v>
      </c>
      <c r="L7" s="365" t="s">
        <v>116</v>
      </c>
      <c r="M7" s="365" t="s">
        <v>117</v>
      </c>
      <c r="N7" s="365" t="s">
        <v>118</v>
      </c>
      <c r="P7" s="1510" t="s">
        <v>69</v>
      </c>
      <c r="Q7" s="1511"/>
      <c r="S7" s="380" t="s">
        <v>58</v>
      </c>
      <c r="T7" s="380" t="s">
        <v>59</v>
      </c>
      <c r="U7" s="380" t="s">
        <v>119</v>
      </c>
      <c r="V7" s="380" t="s">
        <v>74</v>
      </c>
      <c r="W7" s="380" t="s">
        <v>120</v>
      </c>
      <c r="X7" s="380" t="s">
        <v>59</v>
      </c>
      <c r="Z7" s="367" t="s">
        <v>121</v>
      </c>
      <c r="AA7" s="367" t="s">
        <v>97</v>
      </c>
      <c r="AB7" s="415" t="s">
        <v>122</v>
      </c>
      <c r="AC7" s="416" t="s">
        <v>90</v>
      </c>
      <c r="AD7" s="367" t="s">
        <v>56</v>
      </c>
      <c r="AE7" s="381" t="s">
        <v>100</v>
      </c>
      <c r="AF7" s="560" t="s">
        <v>122</v>
      </c>
      <c r="AG7" s="570" t="s">
        <v>56</v>
      </c>
      <c r="AI7" s="1487" t="s">
        <v>123</v>
      </c>
      <c r="AJ7" s="1488"/>
    </row>
    <row r="8" spans="1:36" ht="27" customHeight="1" thickTop="1" thickBot="1">
      <c r="A8" s="955" t="s">
        <v>474</v>
      </c>
      <c r="B8" s="949">
        <v>110000</v>
      </c>
      <c r="C8" s="463"/>
      <c r="D8" s="233"/>
      <c r="F8" s="478" t="str">
        <f>'14'!F8</f>
        <v>ISHAQ ANSARI</v>
      </c>
      <c r="G8" s="405">
        <f>'CUSTOMERS REPORT'!Y22</f>
        <v>0</v>
      </c>
      <c r="H8" s="503">
        <f>'CUSTOMERS REPORT'!Z22</f>
        <v>0</v>
      </c>
      <c r="I8" s="405">
        <f>'CUSTOMERS REPORT'!AA22</f>
        <v>0</v>
      </c>
      <c r="J8" s="497">
        <f>'CUSTOMERS REPORT'!AB22</f>
        <v>0</v>
      </c>
      <c r="K8" s="497">
        <f>'CUSTOMERS REPORT'!AC22</f>
        <v>0</v>
      </c>
      <c r="L8" s="508">
        <f>'CUSTOMERS REPORT'!AD22</f>
        <v>0</v>
      </c>
      <c r="M8" s="413">
        <f>'14'!M8+'15'!G8</f>
        <v>0</v>
      </c>
      <c r="N8" s="411">
        <f>'14'!N8+'15'!J8</f>
        <v>0</v>
      </c>
      <c r="P8" s="191" t="s">
        <v>124</v>
      </c>
      <c r="Q8" s="223">
        <f>'14'!Q32</f>
        <v>0</v>
      </c>
      <c r="S8" s="399" t="str">
        <f>'14'!S8</f>
        <v>FLOUR</v>
      </c>
      <c r="T8" s="446">
        <f>'14'!X8</f>
        <v>-26</v>
      </c>
      <c r="U8" s="455"/>
      <c r="V8" s="450">
        <f t="shared" ref="V8:V43" si="0">SUM(T8:U8)</f>
        <v>-26</v>
      </c>
      <c r="W8" s="450">
        <v>26</v>
      </c>
      <c r="X8" s="446">
        <f t="shared" ref="X8:X43" si="1">V8-W8</f>
        <v>-52</v>
      </c>
      <c r="Z8" s="382" t="str">
        <f>'14'!Z8</f>
        <v>GHAZI</v>
      </c>
      <c r="AA8" s="464">
        <f>'14'!AE8</f>
        <v>0</v>
      </c>
      <c r="AB8" s="459"/>
      <c r="AC8" s="233">
        <f t="shared" ref="AC8:AC41" si="2">AA8+AB8</f>
        <v>0</v>
      </c>
      <c r="AD8" s="468"/>
      <c r="AE8" s="463">
        <f t="shared" ref="AE8:AE42" si="3">AC8-AD8</f>
        <v>0</v>
      </c>
      <c r="AF8" s="563">
        <f>'14'!AF8+'15'!AB8</f>
        <v>0</v>
      </c>
      <c r="AG8" s="233">
        <f>'14'!AG8+'15'!AD8</f>
        <v>0</v>
      </c>
      <c r="AI8" s="391" t="s">
        <v>126</v>
      </c>
      <c r="AJ8" s="392">
        <f>'14'!AJ10</f>
        <v>10400</v>
      </c>
    </row>
    <row r="9" spans="1:36" ht="27" customHeight="1" thickTop="1">
      <c r="A9" s="957" t="s">
        <v>468</v>
      </c>
      <c r="B9" s="950">
        <v>156100</v>
      </c>
      <c r="C9" s="348"/>
      <c r="D9" s="550"/>
      <c r="F9" s="479" t="str">
        <f>'14'!F9</f>
        <v>MAKKI BAKERY</v>
      </c>
      <c r="G9" s="406">
        <f>'CUSTOMERS REPORT'!Y68</f>
        <v>0</v>
      </c>
      <c r="H9" s="504">
        <f>'CUSTOMERS REPORT'!Z68</f>
        <v>0</v>
      </c>
      <c r="I9" s="406">
        <f>'CUSTOMERS REPORT'!AA68</f>
        <v>0</v>
      </c>
      <c r="J9" s="498">
        <f>'CUSTOMERS REPORT'!AB68</f>
        <v>0</v>
      </c>
      <c r="K9" s="498">
        <f>'CUSTOMERS REPORT'!AC68</f>
        <v>0</v>
      </c>
      <c r="L9" s="509">
        <f>'CUSTOMERS REPORT'!AD68</f>
        <v>0</v>
      </c>
      <c r="M9" s="414">
        <f>'14'!M9+'15'!G9</f>
        <v>0</v>
      </c>
      <c r="N9" s="412">
        <f>'14'!N9+'15'!J9</f>
        <v>0</v>
      </c>
      <c r="P9" s="432"/>
      <c r="Q9" s="436"/>
      <c r="S9" s="400" t="str">
        <f>'14'!S9</f>
        <v>SUGAR</v>
      </c>
      <c r="T9" s="446">
        <f>'14'!X9</f>
        <v>-455</v>
      </c>
      <c r="U9" s="456"/>
      <c r="V9" s="451">
        <f t="shared" si="0"/>
        <v>-455</v>
      </c>
      <c r="W9" s="451">
        <v>455</v>
      </c>
      <c r="X9" s="447">
        <f t="shared" si="1"/>
        <v>-910</v>
      </c>
      <c r="Z9" s="375" t="str">
        <f>'14'!Z9</f>
        <v>SOHNI</v>
      </c>
      <c r="AA9" s="464">
        <f>'14'!AE9</f>
        <v>0</v>
      </c>
      <c r="AB9" s="460"/>
      <c r="AC9" s="462">
        <f t="shared" si="2"/>
        <v>0</v>
      </c>
      <c r="AD9" s="469">
        <v>130000</v>
      </c>
      <c r="AE9" s="348">
        <f t="shared" si="3"/>
        <v>-130000</v>
      </c>
      <c r="AF9" s="563">
        <f>'14'!AF9+'15'!AB9</f>
        <v>0</v>
      </c>
      <c r="AG9" s="234">
        <f>'14'!AG9+'15'!AD9</f>
        <v>130000</v>
      </c>
      <c r="AI9" s="393" t="s">
        <v>128</v>
      </c>
      <c r="AJ9" s="394">
        <f>B26</f>
        <v>27900</v>
      </c>
    </row>
    <row r="10" spans="1:36" ht="27" customHeight="1" thickBot="1">
      <c r="A10" s="956" t="s">
        <v>442</v>
      </c>
      <c r="B10" s="950">
        <v>130000</v>
      </c>
      <c r="C10" s="350"/>
      <c r="D10" s="550"/>
      <c r="F10" s="479" t="str">
        <f>'14'!F10</f>
        <v>ABID HUSSAIN</v>
      </c>
      <c r="G10" s="406">
        <f>'CUSTOMERS REPORT'!Y106</f>
        <v>0</v>
      </c>
      <c r="H10" s="504">
        <f>'CUSTOMERS REPORT'!Z106</f>
        <v>0</v>
      </c>
      <c r="I10" s="406">
        <f>'CUSTOMERS REPORT'!AA106</f>
        <v>0</v>
      </c>
      <c r="J10" s="498">
        <f>'CUSTOMERS REPORT'!AB106</f>
        <v>0</v>
      </c>
      <c r="K10" s="498">
        <f>'CUSTOMERS REPORT'!AC106</f>
        <v>0</v>
      </c>
      <c r="L10" s="509">
        <f>'CUSTOMERS REPORT'!AD106</f>
        <v>0</v>
      </c>
      <c r="M10" s="414">
        <f>'14'!M10+'15'!G10</f>
        <v>0</v>
      </c>
      <c r="N10" s="412">
        <f>'14'!N10+'15'!J10</f>
        <v>0</v>
      </c>
      <c r="P10" s="433"/>
      <c r="Q10" s="437"/>
      <c r="S10" s="400" t="str">
        <f>'14'!S10</f>
        <v>GHEE</v>
      </c>
      <c r="T10" s="446">
        <f>'14'!X10</f>
        <v>-7</v>
      </c>
      <c r="U10" s="456"/>
      <c r="V10" s="451">
        <f t="shared" si="0"/>
        <v>-7</v>
      </c>
      <c r="W10" s="451">
        <v>6</v>
      </c>
      <c r="X10" s="447">
        <f t="shared" si="1"/>
        <v>-13</v>
      </c>
      <c r="Z10" s="375" t="str">
        <f>'14'!Z10</f>
        <v>HUSSAINI</v>
      </c>
      <c r="AA10" s="464">
        <f>'14'!AE10</f>
        <v>0</v>
      </c>
      <c r="AB10" s="460"/>
      <c r="AC10" s="462">
        <f t="shared" si="2"/>
        <v>0</v>
      </c>
      <c r="AD10" s="469">
        <v>156100</v>
      </c>
      <c r="AE10" s="348">
        <f t="shared" si="3"/>
        <v>-156100</v>
      </c>
      <c r="AF10" s="563">
        <f>'14'!AF10+'15'!AB10</f>
        <v>0</v>
      </c>
      <c r="AG10" s="234">
        <f>'14'!AG10+'15'!AD10</f>
        <v>156100</v>
      </c>
      <c r="AI10" s="395" t="s">
        <v>74</v>
      </c>
      <c r="AJ10" s="396">
        <f>AJ8+AJ9</f>
        <v>38300</v>
      </c>
    </row>
    <row r="11" spans="1:36" ht="27" customHeight="1" thickTop="1">
      <c r="A11" s="956" t="s">
        <v>475</v>
      </c>
      <c r="B11" s="950">
        <v>150000</v>
      </c>
      <c r="C11" s="350"/>
      <c r="D11" s="550"/>
      <c r="F11" s="479" t="str">
        <f>'14'!F11</f>
        <v>SHAHID 5 #</v>
      </c>
      <c r="G11" s="406">
        <f>'CUSTOMERS REPORT'!Y145</f>
        <v>0</v>
      </c>
      <c r="H11" s="498">
        <f>'CUSTOMERS REPORT'!Z145</f>
        <v>0</v>
      </c>
      <c r="I11" s="406">
        <f>'CUSTOMERS REPORT'!AA145</f>
        <v>0</v>
      </c>
      <c r="J11" s="498">
        <f>'CUSTOMERS REPORT'!AB145</f>
        <v>0</v>
      </c>
      <c r="K11" s="498">
        <f>'CUSTOMERS REPORT'!AC145</f>
        <v>0</v>
      </c>
      <c r="L11" s="406">
        <f>'CUSTOMERS REPORT'!AD145</f>
        <v>0</v>
      </c>
      <c r="M11" s="414">
        <f>'14'!M11+'15'!G11</f>
        <v>0</v>
      </c>
      <c r="N11" s="412">
        <f>'14'!N11+'15'!J11</f>
        <v>0</v>
      </c>
      <c r="P11" s="433"/>
      <c r="Q11" s="437"/>
      <c r="S11" s="400" t="str">
        <f>'14'!S11</f>
        <v>YEAST</v>
      </c>
      <c r="T11" s="446">
        <f>'14'!X11</f>
        <v>-13</v>
      </c>
      <c r="U11" s="456"/>
      <c r="V11" s="451">
        <f t="shared" ref="V11:V21" si="4">SUM(T11:U11)</f>
        <v>-13</v>
      </c>
      <c r="W11" s="451">
        <v>13</v>
      </c>
      <c r="X11" s="447">
        <f t="shared" ref="X11:X21" si="5">V11-W11</f>
        <v>-26</v>
      </c>
      <c r="Z11" s="375" t="str">
        <f>'14'!Z11</f>
        <v>IMRAN ALAM</v>
      </c>
      <c r="AA11" s="464">
        <f>'14'!AE11</f>
        <v>0</v>
      </c>
      <c r="AB11" s="460"/>
      <c r="AC11" s="462">
        <f t="shared" ref="AC11:AC25" si="6">AA11+AB11</f>
        <v>0</v>
      </c>
      <c r="AD11" s="469"/>
      <c r="AE11" s="348">
        <f t="shared" ref="AE11:AE25" si="7">AC11-AD11</f>
        <v>0</v>
      </c>
      <c r="AF11" s="563">
        <f>'14'!AF11+'15'!AB11</f>
        <v>0</v>
      </c>
      <c r="AG11" s="234">
        <f>'14'!AG11+'15'!AD11</f>
        <v>0</v>
      </c>
      <c r="AI11" s="1031"/>
      <c r="AJ11" s="1032"/>
    </row>
    <row r="12" spans="1:36" ht="27" customHeight="1">
      <c r="A12" s="956" t="s">
        <v>476</v>
      </c>
      <c r="B12" s="950">
        <v>5700</v>
      </c>
      <c r="C12" s="350"/>
      <c r="D12" s="550"/>
      <c r="F12" s="479" t="str">
        <f>'14'!F12</f>
        <v>ZULFIQAR</v>
      </c>
      <c r="G12" s="406">
        <f>'CUSTOMERS REPORT'!Y183</f>
        <v>0</v>
      </c>
      <c r="H12" s="498">
        <f>'CUSTOMERS REPORT'!Z183</f>
        <v>0</v>
      </c>
      <c r="I12" s="406">
        <f>'CUSTOMERS REPORT'!AA183</f>
        <v>0</v>
      </c>
      <c r="J12" s="498">
        <f>'CUSTOMERS REPORT'!AB183</f>
        <v>0</v>
      </c>
      <c r="K12" s="498">
        <f>'CUSTOMERS REPORT'!AC183</f>
        <v>0</v>
      </c>
      <c r="L12" s="406">
        <f>'CUSTOMERS REPORT'!AD183</f>
        <v>0</v>
      </c>
      <c r="M12" s="414">
        <f>'14'!M12+'15'!G12</f>
        <v>0</v>
      </c>
      <c r="N12" s="412">
        <f>'14'!N12+'15'!J12</f>
        <v>0</v>
      </c>
      <c r="P12" s="433"/>
      <c r="Q12" s="437"/>
      <c r="S12" s="400" t="str">
        <f>'14'!S12</f>
        <v xml:space="preserve">EKKA </v>
      </c>
      <c r="T12" s="446">
        <f>'14'!X12</f>
        <v>0</v>
      </c>
      <c r="U12" s="456"/>
      <c r="V12" s="451">
        <f t="shared" si="4"/>
        <v>0</v>
      </c>
      <c r="W12" s="451"/>
      <c r="X12" s="447">
        <f t="shared" si="5"/>
        <v>0</v>
      </c>
      <c r="Z12" s="375" t="str">
        <f>'14'!Z12</f>
        <v>ZAHEER</v>
      </c>
      <c r="AA12" s="464">
        <f>'14'!AE12</f>
        <v>0</v>
      </c>
      <c r="AB12" s="460"/>
      <c r="AC12" s="462">
        <f t="shared" si="6"/>
        <v>0</v>
      </c>
      <c r="AD12" s="469"/>
      <c r="AE12" s="348">
        <f t="shared" si="7"/>
        <v>0</v>
      </c>
      <c r="AF12" s="563">
        <f>'14'!AF12+'15'!AB12</f>
        <v>0</v>
      </c>
      <c r="AG12" s="234">
        <f>'14'!AG12+'15'!AD12</f>
        <v>0</v>
      </c>
      <c r="AI12" s="1031"/>
      <c r="AJ12" s="1032"/>
    </row>
    <row r="13" spans="1:36" ht="27" customHeight="1">
      <c r="A13" s="956"/>
      <c r="B13" s="950"/>
      <c r="C13" s="350"/>
      <c r="D13" s="550"/>
      <c r="F13" s="479" t="str">
        <f>'14'!F13</f>
        <v>QASIM ORANGI</v>
      </c>
      <c r="G13" s="406">
        <f>'CUSTOMERS REPORT'!Y223</f>
        <v>0</v>
      </c>
      <c r="H13" s="498">
        <f>'CUSTOMERS REPORT'!Z223</f>
        <v>0</v>
      </c>
      <c r="I13" s="406">
        <f>'CUSTOMERS REPORT'!AA223</f>
        <v>0</v>
      </c>
      <c r="J13" s="498">
        <f>'CUSTOMERS REPORT'!AB223</f>
        <v>0</v>
      </c>
      <c r="K13" s="498">
        <f>'CUSTOMERS REPORT'!AC223</f>
        <v>0</v>
      </c>
      <c r="L13" s="406">
        <f>'CUSTOMERS REPORT'!AD223</f>
        <v>0</v>
      </c>
      <c r="M13" s="414">
        <f>'14'!M13+'15'!G13</f>
        <v>0</v>
      </c>
      <c r="N13" s="412">
        <f>'14'!N13+'15'!J13</f>
        <v>0</v>
      </c>
      <c r="P13" s="433"/>
      <c r="Q13" s="437"/>
      <c r="S13" s="400" t="str">
        <f>'14'!S13</f>
        <v>VANILLA</v>
      </c>
      <c r="T13" s="446">
        <f>'14'!X13</f>
        <v>0</v>
      </c>
      <c r="U13" s="456"/>
      <c r="V13" s="451">
        <f t="shared" si="4"/>
        <v>0</v>
      </c>
      <c r="W13" s="451"/>
      <c r="X13" s="447">
        <f t="shared" si="5"/>
        <v>0</v>
      </c>
      <c r="Z13" s="375" t="str">
        <f>'14'!Z13</f>
        <v>FAISAL</v>
      </c>
      <c r="AA13" s="464">
        <f>'14'!AE13</f>
        <v>-100000</v>
      </c>
      <c r="AB13" s="460"/>
      <c r="AC13" s="462">
        <f t="shared" si="6"/>
        <v>-100000</v>
      </c>
      <c r="AD13" s="469"/>
      <c r="AE13" s="348">
        <f t="shared" si="7"/>
        <v>-100000</v>
      </c>
      <c r="AF13" s="563">
        <f>'14'!AF13+'15'!AB13</f>
        <v>0</v>
      </c>
      <c r="AG13" s="234">
        <f>'14'!AG13+'15'!AD13</f>
        <v>100000</v>
      </c>
      <c r="AI13" s="1031"/>
      <c r="AJ13" s="1032"/>
    </row>
    <row r="14" spans="1:36" ht="27" customHeight="1">
      <c r="A14" s="956"/>
      <c r="B14" s="950"/>
      <c r="C14" s="350"/>
      <c r="D14" s="550"/>
      <c r="F14" s="479" t="str">
        <f>'14'!F14</f>
        <v>BADSHAH KHAN HYD</v>
      </c>
      <c r="G14" s="406">
        <f>'CUSTOMERS REPORT'!Y260</f>
        <v>0</v>
      </c>
      <c r="H14" s="498">
        <f>'CUSTOMERS REPORT'!Z260</f>
        <v>0</v>
      </c>
      <c r="I14" s="406">
        <f>'CUSTOMERS REPORT'!AA260</f>
        <v>0</v>
      </c>
      <c r="J14" s="498">
        <f>'CUSTOMERS REPORT'!AB260</f>
        <v>0</v>
      </c>
      <c r="K14" s="498">
        <f>'CUSTOMERS REPORT'!AC260</f>
        <v>0</v>
      </c>
      <c r="L14" s="406">
        <f>'CUSTOMERS REPORT'!AD260</f>
        <v>0</v>
      </c>
      <c r="M14" s="414">
        <f>'14'!M14+'15'!G14</f>
        <v>0</v>
      </c>
      <c r="N14" s="412">
        <f>'14'!N14+'15'!J14</f>
        <v>0</v>
      </c>
      <c r="P14" s="433"/>
      <c r="Q14" s="437"/>
      <c r="S14" s="400" t="str">
        <f>'14'!S14</f>
        <v>COLOUR</v>
      </c>
      <c r="T14" s="446">
        <f>'14'!X14</f>
        <v>0</v>
      </c>
      <c r="U14" s="456">
        <v>25</v>
      </c>
      <c r="V14" s="451">
        <f t="shared" si="4"/>
        <v>25</v>
      </c>
      <c r="W14" s="451"/>
      <c r="X14" s="447">
        <f t="shared" si="5"/>
        <v>25</v>
      </c>
      <c r="Z14" s="375" t="str">
        <f>'14'!Z14</f>
        <v>RANA EKKA</v>
      </c>
      <c r="AA14" s="464">
        <f>'14'!AE14</f>
        <v>0</v>
      </c>
      <c r="AB14" s="460"/>
      <c r="AC14" s="462">
        <f t="shared" si="6"/>
        <v>0</v>
      </c>
      <c r="AD14" s="469"/>
      <c r="AE14" s="348">
        <f t="shared" si="7"/>
        <v>0</v>
      </c>
      <c r="AF14" s="563">
        <f>'14'!AF14+'15'!AB14</f>
        <v>0</v>
      </c>
      <c r="AG14" s="234">
        <f>'14'!AG14+'15'!AD14</f>
        <v>0</v>
      </c>
      <c r="AI14" s="1031"/>
      <c r="AJ14" s="1032"/>
    </row>
    <row r="15" spans="1:36" ht="27" customHeight="1">
      <c r="A15" s="956"/>
      <c r="B15" s="950"/>
      <c r="C15" s="350"/>
      <c r="D15" s="550"/>
      <c r="F15" s="479" t="str">
        <f>'14'!F15</f>
        <v>SHAMOON</v>
      </c>
      <c r="G15" s="406">
        <f>'CUSTOMERS REPORT'!Y300</f>
        <v>0</v>
      </c>
      <c r="H15" s="498">
        <f>'CUSTOMERS REPORT'!Z300</f>
        <v>0</v>
      </c>
      <c r="I15" s="406">
        <f>'CUSTOMERS REPORT'!AA300</f>
        <v>0</v>
      </c>
      <c r="J15" s="498">
        <f>'CUSTOMERS REPORT'!AB300</f>
        <v>0</v>
      </c>
      <c r="K15" s="498">
        <f>'CUSTOMERS REPORT'!AC300</f>
        <v>0</v>
      </c>
      <c r="L15" s="406">
        <f>'CUSTOMERS REPORT'!AD300</f>
        <v>0</v>
      </c>
      <c r="M15" s="414">
        <f>'14'!M15+'15'!G15</f>
        <v>0</v>
      </c>
      <c r="N15" s="412">
        <f>'14'!N15+'15'!J15</f>
        <v>0</v>
      </c>
      <c r="P15" s="433"/>
      <c r="Q15" s="437"/>
      <c r="S15" s="400" t="str">
        <f>'14'!S15</f>
        <v>TILL</v>
      </c>
      <c r="T15" s="446">
        <f>'14'!X15</f>
        <v>0</v>
      </c>
      <c r="U15" s="456"/>
      <c r="V15" s="451">
        <f t="shared" si="4"/>
        <v>0</v>
      </c>
      <c r="W15" s="451"/>
      <c r="X15" s="447">
        <f t="shared" si="5"/>
        <v>0</v>
      </c>
      <c r="Z15" s="375" t="str">
        <f>'14'!Z15</f>
        <v>sheeba</v>
      </c>
      <c r="AA15" s="464">
        <f>'14'!AE15</f>
        <v>0</v>
      </c>
      <c r="AB15" s="460"/>
      <c r="AC15" s="462">
        <f t="shared" si="6"/>
        <v>0</v>
      </c>
      <c r="AD15" s="469">
        <v>150000</v>
      </c>
      <c r="AE15" s="348">
        <f t="shared" si="7"/>
        <v>-150000</v>
      </c>
      <c r="AF15" s="563">
        <f>'14'!AF15+'15'!AB15</f>
        <v>0</v>
      </c>
      <c r="AG15" s="234">
        <f>'14'!AG15+'15'!AD15</f>
        <v>150000</v>
      </c>
      <c r="AI15" s="1031"/>
      <c r="AJ15" s="1032"/>
    </row>
    <row r="16" spans="1:36" ht="27" customHeight="1">
      <c r="A16" s="956"/>
      <c r="B16" s="950"/>
      <c r="C16" s="350"/>
      <c r="D16" s="550"/>
      <c r="F16" s="479" t="str">
        <f>'14'!F16</f>
        <v>MATEEN</v>
      </c>
      <c r="G16" s="406">
        <f>'CUSTOMERS REPORT'!Y341</f>
        <v>0</v>
      </c>
      <c r="H16" s="498">
        <f>'CUSTOMERS REPORT'!Z341</f>
        <v>0</v>
      </c>
      <c r="I16" s="406">
        <f>'CUSTOMERS REPORT'!AA341</f>
        <v>0</v>
      </c>
      <c r="J16" s="498">
        <f>'CUSTOMERS REPORT'!AB341</f>
        <v>0</v>
      </c>
      <c r="K16" s="498">
        <f>'CUSTOMERS REPORT'!AC341</f>
        <v>0</v>
      </c>
      <c r="L16" s="406">
        <f>'CUSTOMERS REPORT'!AD341</f>
        <v>0</v>
      </c>
      <c r="M16" s="414">
        <f>'14'!M16+'15'!G16</f>
        <v>0</v>
      </c>
      <c r="N16" s="412">
        <f>'14'!N16+'15'!J16</f>
        <v>0</v>
      </c>
      <c r="P16" s="433"/>
      <c r="Q16" s="437"/>
      <c r="S16" s="400" t="str">
        <f>'14'!S16</f>
        <v>ILLAICHI</v>
      </c>
      <c r="T16" s="446">
        <f>'14'!X16</f>
        <v>0</v>
      </c>
      <c r="U16" s="456"/>
      <c r="V16" s="451">
        <f t="shared" si="4"/>
        <v>0</v>
      </c>
      <c r="W16" s="451"/>
      <c r="X16" s="447">
        <f t="shared" si="5"/>
        <v>0</v>
      </c>
      <c r="Z16" s="375" t="str">
        <f>'14'!Z16</f>
        <v>COTTON</v>
      </c>
      <c r="AA16" s="464">
        <f>'14'!AE16</f>
        <v>0</v>
      </c>
      <c r="AB16" s="460"/>
      <c r="AC16" s="462">
        <f t="shared" si="6"/>
        <v>0</v>
      </c>
      <c r="AD16" s="469"/>
      <c r="AE16" s="348">
        <f t="shared" si="7"/>
        <v>0</v>
      </c>
      <c r="AF16" s="563">
        <f>'14'!AF16+'15'!AB16</f>
        <v>0</v>
      </c>
      <c r="AG16" s="234">
        <f>'14'!AG16+'15'!AD16</f>
        <v>0</v>
      </c>
      <c r="AI16" s="1031"/>
      <c r="AJ16" s="1032"/>
    </row>
    <row r="17" spans="1:36" ht="27" customHeight="1">
      <c r="A17" s="956"/>
      <c r="B17" s="950"/>
      <c r="C17" s="350"/>
      <c r="D17" s="550"/>
      <c r="F17" s="479" t="str">
        <f>'14'!F17</f>
        <v>AMJAD ORANGI</v>
      </c>
      <c r="G17" s="406">
        <f>'CUSTOMERS REPORT'!Y383</f>
        <v>0</v>
      </c>
      <c r="H17" s="498">
        <f>'CUSTOMERS REPORT'!Z383</f>
        <v>0</v>
      </c>
      <c r="I17" s="406">
        <f>'CUSTOMERS REPORT'!AA383</f>
        <v>0</v>
      </c>
      <c r="J17" s="498">
        <f>'CUSTOMERS REPORT'!AB383</f>
        <v>0</v>
      </c>
      <c r="K17" s="498">
        <f>'CUSTOMERS REPORT'!AC383</f>
        <v>0</v>
      </c>
      <c r="L17" s="406">
        <f>'CUSTOMERS REPORT'!AD383</f>
        <v>0</v>
      </c>
      <c r="M17" s="414">
        <f>'14'!M17+'15'!G17</f>
        <v>0</v>
      </c>
      <c r="N17" s="412">
        <f>'14'!N17+'15'!J17</f>
        <v>0</v>
      </c>
      <c r="P17" s="433"/>
      <c r="Q17" s="437"/>
      <c r="S17" s="400" t="str">
        <f>'14'!S17</f>
        <v>S-THELLI</v>
      </c>
      <c r="T17" s="446">
        <f>'14'!X17</f>
        <v>0</v>
      </c>
      <c r="U17" s="456"/>
      <c r="V17" s="451">
        <f t="shared" si="4"/>
        <v>0</v>
      </c>
      <c r="W17" s="451"/>
      <c r="X17" s="447">
        <f t="shared" si="5"/>
        <v>0</v>
      </c>
      <c r="Z17" s="375" t="str">
        <f>'14'!Z17</f>
        <v>SHAHID UP</v>
      </c>
      <c r="AA17" s="464">
        <f>'14'!AE17</f>
        <v>0</v>
      </c>
      <c r="AB17" s="460">
        <v>21250</v>
      </c>
      <c r="AC17" s="462">
        <f t="shared" si="6"/>
        <v>21250</v>
      </c>
      <c r="AD17" s="469"/>
      <c r="AE17" s="348">
        <f t="shared" si="7"/>
        <v>21250</v>
      </c>
      <c r="AF17" s="563">
        <f>'14'!AF17+'15'!AB17</f>
        <v>21250</v>
      </c>
      <c r="AG17" s="234">
        <f>'14'!AG17+'15'!AD17</f>
        <v>0</v>
      </c>
      <c r="AI17" s="1031"/>
      <c r="AJ17" s="1032"/>
    </row>
    <row r="18" spans="1:36" ht="27" customHeight="1">
      <c r="A18" s="956"/>
      <c r="B18" s="950"/>
      <c r="C18" s="350"/>
      <c r="D18" s="550"/>
      <c r="F18" s="479" t="str">
        <f>'14'!F18</f>
        <v>HAFIZ DRIVER</v>
      </c>
      <c r="G18" s="406">
        <f>'CUSTOMERS REPORT'!Y422</f>
        <v>0</v>
      </c>
      <c r="H18" s="498">
        <f>'CUSTOMERS REPORT'!Z422</f>
        <v>0</v>
      </c>
      <c r="I18" s="406">
        <f>'CUSTOMERS REPORT'!AA422</f>
        <v>0</v>
      </c>
      <c r="J18" s="498">
        <f>'CUSTOMERS REPORT'!AB422</f>
        <v>0</v>
      </c>
      <c r="K18" s="498">
        <f>'CUSTOMERS REPORT'!AC422</f>
        <v>0</v>
      </c>
      <c r="L18" s="406">
        <f>'CUSTOMERS REPORT'!AD422</f>
        <v>0</v>
      </c>
      <c r="M18" s="414">
        <f>'14'!M18+'15'!G18</f>
        <v>0</v>
      </c>
      <c r="N18" s="412">
        <f>'14'!N18+'15'!J18</f>
        <v>0</v>
      </c>
      <c r="P18" s="433"/>
      <c r="Q18" s="437"/>
      <c r="S18" s="400" t="str">
        <f>'14'!S18</f>
        <v>P-THELLI</v>
      </c>
      <c r="T18" s="446">
        <f>'14'!X18</f>
        <v>0</v>
      </c>
      <c r="U18" s="456"/>
      <c r="V18" s="451">
        <f t="shared" si="4"/>
        <v>0</v>
      </c>
      <c r="W18" s="451"/>
      <c r="X18" s="447">
        <f t="shared" si="5"/>
        <v>0</v>
      </c>
      <c r="Z18" s="375" t="str">
        <f>'14'!Z18</f>
        <v>SALT</v>
      </c>
      <c r="AA18" s="464">
        <f>'14'!AE18</f>
        <v>0</v>
      </c>
      <c r="AB18" s="460"/>
      <c r="AC18" s="462">
        <f t="shared" si="6"/>
        <v>0</v>
      </c>
      <c r="AD18" s="469"/>
      <c r="AE18" s="348">
        <f t="shared" si="7"/>
        <v>0</v>
      </c>
      <c r="AF18" s="563">
        <f>'14'!AF18+'15'!AB18</f>
        <v>1500</v>
      </c>
      <c r="AG18" s="234">
        <f>'14'!AG18+'15'!AD18</f>
        <v>1500</v>
      </c>
      <c r="AI18" s="1031"/>
      <c r="AJ18" s="1032"/>
    </row>
    <row r="19" spans="1:36" ht="27" customHeight="1" thickBot="1">
      <c r="A19" s="951"/>
      <c r="B19" s="951"/>
      <c r="C19" s="350"/>
      <c r="D19" s="550"/>
      <c r="F19" s="479" t="str">
        <f>'14'!F19</f>
        <v>GHULAM QUETTA</v>
      </c>
      <c r="G19" s="406">
        <f>'CUSTOMERS REPORT'!Y460</f>
        <v>0</v>
      </c>
      <c r="H19" s="498">
        <f>'CUSTOMERS REPORT'!Z460</f>
        <v>0</v>
      </c>
      <c r="I19" s="406">
        <f>'CUSTOMERS REPORT'!AA460</f>
        <v>0</v>
      </c>
      <c r="J19" s="498">
        <f>'CUSTOMERS REPORT'!AB460</f>
        <v>0</v>
      </c>
      <c r="K19" s="498">
        <f>'CUSTOMERS REPORT'!AC460</f>
        <v>0</v>
      </c>
      <c r="L19" s="406">
        <f>'CUSTOMERS REPORT'!AD460</f>
        <v>0</v>
      </c>
      <c r="M19" s="414">
        <f>'14'!M19+'15'!G19</f>
        <v>0</v>
      </c>
      <c r="N19" s="412">
        <f>'14'!N19+'15'!J19</f>
        <v>0</v>
      </c>
      <c r="P19" s="433"/>
      <c r="Q19" s="437"/>
      <c r="S19" s="400" t="str">
        <f>'14'!S19</f>
        <v>RUBBER</v>
      </c>
      <c r="T19" s="446">
        <f>'14'!X19</f>
        <v>0</v>
      </c>
      <c r="U19" s="456"/>
      <c r="V19" s="451">
        <f t="shared" si="4"/>
        <v>0</v>
      </c>
      <c r="W19" s="451"/>
      <c r="X19" s="447">
        <f t="shared" si="5"/>
        <v>0</v>
      </c>
      <c r="Z19" s="375" t="str">
        <f>'14'!Z19</f>
        <v>NAVEED</v>
      </c>
      <c r="AA19" s="464">
        <f>'14'!AE19</f>
        <v>0</v>
      </c>
      <c r="AB19" s="460"/>
      <c r="AC19" s="462">
        <f t="shared" si="6"/>
        <v>0</v>
      </c>
      <c r="AD19" s="469"/>
      <c r="AE19" s="348">
        <f t="shared" si="7"/>
        <v>0</v>
      </c>
      <c r="AF19" s="563">
        <f>'14'!AF19+'15'!AB19</f>
        <v>0</v>
      </c>
      <c r="AG19" s="234">
        <f>'14'!AG19+'15'!AD19</f>
        <v>0</v>
      </c>
    </row>
    <row r="20" spans="1:36" ht="27" customHeight="1" thickTop="1" thickBot="1">
      <c r="A20" s="952"/>
      <c r="B20" s="951"/>
      <c r="C20" s="350"/>
      <c r="D20" s="550"/>
      <c r="F20" s="479" t="str">
        <f>'14'!F20</f>
        <v>HUSSAN GWADAR</v>
      </c>
      <c r="G20" s="406">
        <f>'CUSTOMERS REPORT'!Y496</f>
        <v>0</v>
      </c>
      <c r="H20" s="498">
        <f>'CUSTOMERS REPORT'!Z496</f>
        <v>0</v>
      </c>
      <c r="I20" s="406">
        <f>'CUSTOMERS REPORT'!AA496</f>
        <v>0</v>
      </c>
      <c r="J20" s="498">
        <f>'CUSTOMERS REPORT'!AB496</f>
        <v>0</v>
      </c>
      <c r="K20" s="498">
        <f>'CUSTOMERS REPORT'!AC496</f>
        <v>0</v>
      </c>
      <c r="L20" s="406">
        <f>'CUSTOMERS REPORT'!AD496</f>
        <v>0</v>
      </c>
      <c r="M20" s="414">
        <f>'14'!M20+'15'!G20</f>
        <v>0</v>
      </c>
      <c r="N20" s="412">
        <f>'14'!N20+'15'!J20</f>
        <v>0</v>
      </c>
      <c r="P20" s="433"/>
      <c r="Q20" s="437"/>
      <c r="S20" s="400" t="str">
        <f>'14'!S20</f>
        <v>SALT</v>
      </c>
      <c r="T20" s="446">
        <f>'14'!X20</f>
        <v>250</v>
      </c>
      <c r="U20" s="456"/>
      <c r="V20" s="451">
        <f t="shared" si="4"/>
        <v>250</v>
      </c>
      <c r="W20" s="451"/>
      <c r="X20" s="447">
        <f t="shared" si="5"/>
        <v>250</v>
      </c>
      <c r="Z20" s="375" t="str">
        <f>'14'!Z20</f>
        <v>YOUSUF BHAI</v>
      </c>
      <c r="AA20" s="464">
        <f>'14'!AE20</f>
        <v>118500</v>
      </c>
      <c r="AB20" s="460"/>
      <c r="AC20" s="462">
        <f t="shared" si="6"/>
        <v>118500</v>
      </c>
      <c r="AD20" s="469"/>
      <c r="AE20" s="348">
        <f t="shared" si="7"/>
        <v>118500</v>
      </c>
      <c r="AF20" s="563">
        <f>'14'!AF20+'15'!AB20</f>
        <v>118500</v>
      </c>
      <c r="AG20" s="234">
        <f>'14'!AG20+'15'!AD20</f>
        <v>0</v>
      </c>
      <c r="AI20" s="1487" t="s">
        <v>132</v>
      </c>
      <c r="AJ20" s="1488"/>
    </row>
    <row r="21" spans="1:36" ht="27" customHeight="1" thickTop="1" thickBot="1">
      <c r="A21" s="953"/>
      <c r="B21" s="954"/>
      <c r="C21" s="531"/>
      <c r="D21" s="553"/>
      <c r="F21" s="479" t="str">
        <f>'14'!F21</f>
        <v>AQASH S KOT</v>
      </c>
      <c r="G21" s="406">
        <f>'CUSTOMERS REPORT'!Y533</f>
        <v>0</v>
      </c>
      <c r="H21" s="498">
        <f>'CUSTOMERS REPORT'!Z533</f>
        <v>0</v>
      </c>
      <c r="I21" s="406">
        <f>'CUSTOMERS REPORT'!AA533</f>
        <v>0</v>
      </c>
      <c r="J21" s="498">
        <f>'CUSTOMERS REPORT'!AB533</f>
        <v>0</v>
      </c>
      <c r="K21" s="498">
        <f>'CUSTOMERS REPORT'!AC533</f>
        <v>0</v>
      </c>
      <c r="L21" s="406">
        <f>'CUSTOMERS REPORT'!AD533</f>
        <v>0</v>
      </c>
      <c r="M21" s="414">
        <f>'14'!M21+'15'!G21</f>
        <v>0</v>
      </c>
      <c r="N21" s="412">
        <f>'14'!N21+'15'!J21</f>
        <v>0</v>
      </c>
      <c r="P21" s="433"/>
      <c r="Q21" s="435"/>
      <c r="S21" s="400" t="str">
        <f>'14'!S21</f>
        <v>TAPE</v>
      </c>
      <c r="T21" s="446">
        <f>'14'!X21</f>
        <v>0</v>
      </c>
      <c r="U21" s="456"/>
      <c r="V21" s="451">
        <f t="shared" si="4"/>
        <v>0</v>
      </c>
      <c r="W21" s="451"/>
      <c r="X21" s="447">
        <f t="shared" si="5"/>
        <v>0</v>
      </c>
      <c r="Z21" s="375" t="str">
        <f>'14'!Z21</f>
        <v>SULEMAN  PRINT</v>
      </c>
      <c r="AA21" s="464">
        <f>'14'!AE21</f>
        <v>-312000</v>
      </c>
      <c r="AB21" s="460"/>
      <c r="AC21" s="462">
        <f t="shared" si="6"/>
        <v>-312000</v>
      </c>
      <c r="AD21" s="469"/>
      <c r="AE21" s="348">
        <f t="shared" si="7"/>
        <v>-312000</v>
      </c>
      <c r="AF21" s="563">
        <f>'14'!AF21+'15'!AB21</f>
        <v>0</v>
      </c>
      <c r="AG21" s="234">
        <f>'14'!AG21+'15'!AD21</f>
        <v>312000</v>
      </c>
      <c r="AI21" s="391" t="s">
        <v>126</v>
      </c>
      <c r="AJ21" s="392">
        <f>'14'!AJ23</f>
        <v>23400</v>
      </c>
    </row>
    <row r="22" spans="1:36" ht="27" customHeight="1" thickTop="1" thickBot="1">
      <c r="A22" s="486" t="s">
        <v>74</v>
      </c>
      <c r="B22" s="533">
        <f>SUM(B8:B21)</f>
        <v>551800</v>
      </c>
      <c r="C22" s="534">
        <f>'14'!D22</f>
        <v>314500</v>
      </c>
      <c r="D22" s="535">
        <f t="shared" ref="D22" si="8">B22+C22</f>
        <v>866300</v>
      </c>
      <c r="F22" s="479" t="str">
        <f>'14'!F22</f>
        <v>SALEEM T JAM</v>
      </c>
      <c r="G22" s="406">
        <f>'CUSTOMERS REPORT'!Y571</f>
        <v>0</v>
      </c>
      <c r="H22" s="498">
        <f>'CUSTOMERS REPORT'!Z571</f>
        <v>0</v>
      </c>
      <c r="I22" s="406">
        <f>'CUSTOMERS REPORT'!AA571</f>
        <v>0</v>
      </c>
      <c r="J22" s="498">
        <f>'CUSTOMERS REPORT'!AB571</f>
        <v>0</v>
      </c>
      <c r="K22" s="498">
        <f>'CUSTOMERS REPORT'!AC571</f>
        <v>0</v>
      </c>
      <c r="L22" s="406">
        <f>'CUSTOMERS REPORT'!AD571</f>
        <v>0</v>
      </c>
      <c r="M22" s="414">
        <f>'14'!M22+'15'!G22</f>
        <v>0</v>
      </c>
      <c r="N22" s="412">
        <f>'14'!N22+'15'!J22</f>
        <v>0</v>
      </c>
      <c r="P22" s="433"/>
      <c r="Q22" s="438"/>
      <c r="S22" s="400" t="str">
        <f>'14'!S22</f>
        <v>COTTON</v>
      </c>
      <c r="T22" s="446">
        <f>'14'!X22</f>
        <v>0</v>
      </c>
      <c r="U22" s="456"/>
      <c r="V22" s="451">
        <f t="shared" si="0"/>
        <v>0</v>
      </c>
      <c r="W22" s="451"/>
      <c r="X22" s="447">
        <f t="shared" si="1"/>
        <v>0</v>
      </c>
      <c r="Z22" s="375" t="str">
        <f>'14'!Z22</f>
        <v>IRFAN VANILA</v>
      </c>
      <c r="AA22" s="464">
        <f>'14'!AE22</f>
        <v>0</v>
      </c>
      <c r="AB22" s="460"/>
      <c r="AC22" s="462">
        <f t="shared" si="6"/>
        <v>0</v>
      </c>
      <c r="AD22" s="469">
        <v>110000</v>
      </c>
      <c r="AE22" s="348">
        <f t="shared" si="7"/>
        <v>-110000</v>
      </c>
      <c r="AF22" s="563">
        <f>'14'!AF22+'15'!AB22</f>
        <v>0</v>
      </c>
      <c r="AG22" s="234">
        <f>'14'!AG22+'15'!AD22</f>
        <v>110000</v>
      </c>
      <c r="AI22" s="393">
        <f>R56</f>
        <v>13</v>
      </c>
      <c r="AJ22" s="394">
        <f>R56*1800</f>
        <v>23400</v>
      </c>
    </row>
    <row r="23" spans="1:36" ht="27" customHeight="1" thickTop="1" thickBot="1">
      <c r="A23" s="715" t="str">
        <f>'14'!A23</f>
        <v>OFFICE FOOD</v>
      </c>
      <c r="B23" s="462">
        <v>370</v>
      </c>
      <c r="C23" s="536">
        <f>'14'!D23</f>
        <v>520</v>
      </c>
      <c r="D23" s="537">
        <f t="shared" ref="D23:D48" si="9">B23+C23</f>
        <v>890</v>
      </c>
      <c r="F23" s="479" t="str">
        <f>'14'!F23</f>
        <v>JAMSHAD BADEEN</v>
      </c>
      <c r="G23" s="406">
        <f>'CUSTOMERS REPORT'!Y607</f>
        <v>0</v>
      </c>
      <c r="H23" s="498">
        <f>'CUSTOMERS REPORT'!Z607</f>
        <v>0</v>
      </c>
      <c r="I23" s="406">
        <f>'CUSTOMERS REPORT'!AA607</f>
        <v>0</v>
      </c>
      <c r="J23" s="498">
        <f>'CUSTOMERS REPORT'!AB607</f>
        <v>0</v>
      </c>
      <c r="K23" s="498">
        <f>'CUSTOMERS REPORT'!AC607</f>
        <v>0</v>
      </c>
      <c r="L23" s="406">
        <f>'CUSTOMERS REPORT'!AD607</f>
        <v>0</v>
      </c>
      <c r="M23" s="414">
        <f>'14'!M23+'15'!G23</f>
        <v>0</v>
      </c>
      <c r="N23" s="412">
        <f>'14'!N23+'15'!J23</f>
        <v>0</v>
      </c>
      <c r="P23" s="190" t="s">
        <v>48</v>
      </c>
      <c r="Q23" s="439">
        <f>SUM(Q8:Q22)</f>
        <v>0</v>
      </c>
      <c r="S23" s="400" t="str">
        <f>'14'!S23</f>
        <v>WHITE 6</v>
      </c>
      <c r="T23" s="446">
        <f>'14'!X23</f>
        <v>0</v>
      </c>
      <c r="U23" s="456"/>
      <c r="V23" s="451">
        <f t="shared" si="0"/>
        <v>0</v>
      </c>
      <c r="W23" s="451"/>
      <c r="X23" s="447">
        <f t="shared" si="1"/>
        <v>0</v>
      </c>
      <c r="Z23" s="375" t="str">
        <f>'14'!Z23</f>
        <v>IRANI GHEE</v>
      </c>
      <c r="AA23" s="464">
        <f>'14'!AE23</f>
        <v>0</v>
      </c>
      <c r="AB23" s="460"/>
      <c r="AC23" s="462">
        <f t="shared" si="6"/>
        <v>0</v>
      </c>
      <c r="AD23" s="469"/>
      <c r="AE23" s="348">
        <f t="shared" si="7"/>
        <v>0</v>
      </c>
      <c r="AF23" s="563">
        <f>'14'!AF23+'15'!AB23</f>
        <v>0</v>
      </c>
      <c r="AG23" s="234">
        <f>'14'!AG23+'15'!AD23</f>
        <v>0</v>
      </c>
      <c r="AI23" s="395" t="s">
        <v>74</v>
      </c>
      <c r="AJ23" s="396">
        <f>AJ21+AJ22</f>
        <v>46800</v>
      </c>
    </row>
    <row r="24" spans="1:36" ht="27" customHeight="1" thickTop="1" thickBot="1">
      <c r="A24" s="715" t="str">
        <f>'14'!A24</f>
        <v>LABOUR FOOD EXP</v>
      </c>
      <c r="B24" s="234">
        <v>2000</v>
      </c>
      <c r="C24" s="348">
        <f>'14'!D24</f>
        <v>2000</v>
      </c>
      <c r="D24" s="234">
        <f t="shared" si="9"/>
        <v>4000</v>
      </c>
      <c r="F24" s="479" t="str">
        <f>'14'!F24</f>
        <v>SARFAZ MP</v>
      </c>
      <c r="G24" s="406">
        <f>'CUSTOMERS REPORT'!Y645</f>
        <v>0</v>
      </c>
      <c r="H24" s="498">
        <f>'CUSTOMERS REPORT'!Z645</f>
        <v>0</v>
      </c>
      <c r="I24" s="406">
        <f>'CUSTOMERS REPORT'!AA645</f>
        <v>0</v>
      </c>
      <c r="J24" s="498">
        <f>'CUSTOMERS REPORT'!AB645</f>
        <v>0</v>
      </c>
      <c r="K24" s="498">
        <f>'CUSTOMERS REPORT'!AC645</f>
        <v>0</v>
      </c>
      <c r="L24" s="406">
        <f>'CUSTOMERS REPORT'!AD645</f>
        <v>0</v>
      </c>
      <c r="M24" s="414">
        <f>'14'!M24+'15'!G24</f>
        <v>0</v>
      </c>
      <c r="N24" s="412">
        <f>'14'!N24+'15'!J24</f>
        <v>0</v>
      </c>
      <c r="P24" s="1514" t="s">
        <v>137</v>
      </c>
      <c r="Q24" s="1514"/>
      <c r="R24" t="s">
        <v>1</v>
      </c>
      <c r="S24" s="400" t="str">
        <f>'14'!S24</f>
        <v>ORANGE</v>
      </c>
      <c r="T24" s="446">
        <f>'14'!X24</f>
        <v>0</v>
      </c>
      <c r="U24" s="456"/>
      <c r="V24" s="451">
        <f t="shared" si="0"/>
        <v>0</v>
      </c>
      <c r="W24" s="451"/>
      <c r="X24" s="447">
        <f t="shared" si="1"/>
        <v>0</v>
      </c>
      <c r="Z24" s="375">
        <f>'14'!Z24</f>
        <v>0</v>
      </c>
      <c r="AA24" s="464">
        <f>'14'!AE24</f>
        <v>0</v>
      </c>
      <c r="AB24" s="460"/>
      <c r="AC24" s="462">
        <f t="shared" si="6"/>
        <v>0</v>
      </c>
      <c r="AD24" s="469"/>
      <c r="AE24" s="348">
        <f t="shared" si="7"/>
        <v>0</v>
      </c>
      <c r="AF24" s="563">
        <f>'14'!AF24+'15'!AB24</f>
        <v>0</v>
      </c>
      <c r="AG24" s="234">
        <f>'14'!AG24+'15'!AD24</f>
        <v>0</v>
      </c>
    </row>
    <row r="25" spans="1:36" ht="27" customHeight="1" thickTop="1" thickBot="1">
      <c r="A25" s="715" t="str">
        <f>'14'!A25</f>
        <v>OFFICE SALARY</v>
      </c>
      <c r="B25" s="234">
        <f>ATTENDANCE!AE28</f>
        <v>0</v>
      </c>
      <c r="C25" s="348">
        <f>'14'!D25</f>
        <v>2000</v>
      </c>
      <c r="D25" s="234">
        <f t="shared" si="9"/>
        <v>2000</v>
      </c>
      <c r="F25" s="479" t="str">
        <f>'14'!F25</f>
        <v>AFZAL MATLI</v>
      </c>
      <c r="G25" s="406">
        <f>'CUSTOMERS REPORT'!Y683</f>
        <v>0</v>
      </c>
      <c r="H25" s="498">
        <f>'CUSTOMERS REPORT'!Z683</f>
        <v>0</v>
      </c>
      <c r="I25" s="406">
        <f>'CUSTOMERS REPORT'!AA683</f>
        <v>0</v>
      </c>
      <c r="J25" s="498">
        <f>'CUSTOMERS REPORT'!AB683</f>
        <v>0</v>
      </c>
      <c r="K25" s="498">
        <f>'CUSTOMERS REPORT'!AC683</f>
        <v>0</v>
      </c>
      <c r="L25" s="406">
        <f>'CUSTOMERS REPORT'!AD683</f>
        <v>0</v>
      </c>
      <c r="M25" s="414">
        <f>'14'!M25+'15'!G25</f>
        <v>0</v>
      </c>
      <c r="N25" s="412">
        <f>'14'!N25+'15'!J25</f>
        <v>0</v>
      </c>
      <c r="P25" s="434"/>
      <c r="Q25" s="440"/>
      <c r="S25" s="400" t="str">
        <f>'14'!S25</f>
        <v>MAKKI 7</v>
      </c>
      <c r="T25" s="446">
        <f>'14'!X25</f>
        <v>0</v>
      </c>
      <c r="U25" s="456"/>
      <c r="V25" s="451">
        <f t="shared" si="0"/>
        <v>0</v>
      </c>
      <c r="W25" s="451"/>
      <c r="X25" s="447">
        <f t="shared" si="1"/>
        <v>0</v>
      </c>
      <c r="Z25" s="375">
        <f>'14'!Z25</f>
        <v>0</v>
      </c>
      <c r="AA25" s="464">
        <f>'14'!AE25</f>
        <v>0</v>
      </c>
      <c r="AB25" s="460"/>
      <c r="AC25" s="462">
        <f t="shared" si="6"/>
        <v>0</v>
      </c>
      <c r="AD25" s="469"/>
      <c r="AE25" s="348">
        <f t="shared" si="7"/>
        <v>0</v>
      </c>
      <c r="AF25" s="563">
        <f>'14'!AF25+'15'!AB25</f>
        <v>0</v>
      </c>
      <c r="AG25" s="234">
        <f>'14'!AG25+'15'!AD25</f>
        <v>0</v>
      </c>
      <c r="AI25" s="397" t="s">
        <v>59</v>
      </c>
      <c r="AJ25" s="398">
        <f>AJ23-AJ10</f>
        <v>8500</v>
      </c>
    </row>
    <row r="26" spans="1:36" ht="27" customHeight="1" thickTop="1">
      <c r="A26" s="715" t="str">
        <f>'14'!A26</f>
        <v>LABOUR SALARY</v>
      </c>
      <c r="B26" s="234">
        <f>SUM('SALERY SHEET'!AF97:AG97)</f>
        <v>27900</v>
      </c>
      <c r="C26" s="348">
        <f>'14'!D26</f>
        <v>10400</v>
      </c>
      <c r="D26" s="234">
        <f t="shared" si="9"/>
        <v>38300</v>
      </c>
      <c r="F26" s="479" t="str">
        <f>'14'!F26</f>
        <v xml:space="preserve">ABDUL RASHEED </v>
      </c>
      <c r="G26" s="406">
        <f>'CUSTOMERS REPORT'!Y721</f>
        <v>0</v>
      </c>
      <c r="H26" s="498">
        <f>'CUSTOMERS REPORT'!Z721</f>
        <v>0</v>
      </c>
      <c r="I26" s="406">
        <f>'CUSTOMERS REPORT'!AA721</f>
        <v>0</v>
      </c>
      <c r="J26" s="498">
        <f>'CUSTOMERS REPORT'!AB721</f>
        <v>0</v>
      </c>
      <c r="K26" s="498">
        <f>'CUSTOMERS REPORT'!AC721</f>
        <v>0</v>
      </c>
      <c r="L26" s="406">
        <f>'CUSTOMERS REPORT'!AD721</f>
        <v>0</v>
      </c>
      <c r="M26" s="414">
        <f>'14'!M26+'15'!G26</f>
        <v>0</v>
      </c>
      <c r="N26" s="412">
        <f>'14'!N26+'15'!J26</f>
        <v>0</v>
      </c>
      <c r="P26" s="433"/>
      <c r="Q26" s="438"/>
      <c r="R26" t="s">
        <v>1</v>
      </c>
      <c r="S26" s="400" t="str">
        <f>'14'!S26</f>
        <v>BLUE 125 GM</v>
      </c>
      <c r="T26" s="446">
        <f>'14'!X26</f>
        <v>0</v>
      </c>
      <c r="U26" s="456"/>
      <c r="V26" s="451">
        <f t="shared" si="0"/>
        <v>0</v>
      </c>
      <c r="W26" s="451"/>
      <c r="X26" s="447">
        <f t="shared" si="1"/>
        <v>0</v>
      </c>
      <c r="Z26" s="375">
        <f>'14'!Z26</f>
        <v>0</v>
      </c>
      <c r="AA26" s="464">
        <f>'14'!AE26</f>
        <v>0</v>
      </c>
      <c r="AB26" s="460"/>
      <c r="AC26" s="462">
        <f t="shared" si="2"/>
        <v>0</v>
      </c>
      <c r="AD26" s="469"/>
      <c r="AE26" s="348">
        <f t="shared" si="3"/>
        <v>0</v>
      </c>
      <c r="AF26" s="563">
        <f>'14'!AF26+'15'!AB26</f>
        <v>0</v>
      </c>
      <c r="AG26" s="234">
        <f>'14'!AG26+'15'!AD26</f>
        <v>0</v>
      </c>
    </row>
    <row r="27" spans="1:36" ht="27" customHeight="1">
      <c r="A27" s="715" t="str">
        <f>'14'!A27</f>
        <v>SHAHZORE</v>
      </c>
      <c r="B27" s="234"/>
      <c r="C27" s="348">
        <f>'14'!D27</f>
        <v>0</v>
      </c>
      <c r="D27" s="234">
        <f t="shared" si="9"/>
        <v>0</v>
      </c>
      <c r="F27" s="479" t="str">
        <f>'14'!F27</f>
        <v>SALEEM ORANGI</v>
      </c>
      <c r="G27" s="406">
        <f>'CUSTOMERS REPORT'!Y759</f>
        <v>0</v>
      </c>
      <c r="H27" s="498">
        <f>'CUSTOMERS REPORT'!Z759</f>
        <v>0</v>
      </c>
      <c r="I27" s="406">
        <f>'CUSTOMERS REPORT'!AA759</f>
        <v>0</v>
      </c>
      <c r="J27" s="498">
        <f>'CUSTOMERS REPORT'!AB759</f>
        <v>0</v>
      </c>
      <c r="K27" s="498">
        <f>'CUSTOMERS REPORT'!AC759</f>
        <v>0</v>
      </c>
      <c r="L27" s="406">
        <f>'CUSTOMERS REPORT'!AD759</f>
        <v>0</v>
      </c>
      <c r="M27" s="414">
        <f>'14'!M27+'15'!G27</f>
        <v>0</v>
      </c>
      <c r="N27" s="412">
        <f>'14'!N27+'15'!J27</f>
        <v>0</v>
      </c>
      <c r="P27" s="433"/>
      <c r="Q27" s="435"/>
      <c r="R27" t="s">
        <v>1</v>
      </c>
      <c r="S27" s="400" t="str">
        <f>'14'!S27</f>
        <v>MAKKI 5</v>
      </c>
      <c r="T27" s="446">
        <f>'14'!X27</f>
        <v>0</v>
      </c>
      <c r="U27" s="456"/>
      <c r="V27" s="451">
        <f t="shared" si="0"/>
        <v>0</v>
      </c>
      <c r="W27" s="451"/>
      <c r="X27" s="447">
        <f t="shared" si="1"/>
        <v>0</v>
      </c>
      <c r="Z27" s="375">
        <f>'14'!Z27</f>
        <v>0</v>
      </c>
      <c r="AA27" s="464">
        <f>'14'!AE27</f>
        <v>0</v>
      </c>
      <c r="AB27" s="460"/>
      <c r="AC27" s="462">
        <f t="shared" si="2"/>
        <v>0</v>
      </c>
      <c r="AD27" s="469"/>
      <c r="AE27" s="348">
        <f t="shared" si="3"/>
        <v>0</v>
      </c>
      <c r="AF27" s="563">
        <f>'14'!AF27+'15'!AB27</f>
        <v>0</v>
      </c>
      <c r="AG27" s="234">
        <f>'14'!AG27+'15'!AD27</f>
        <v>0</v>
      </c>
    </row>
    <row r="28" spans="1:36" ht="27" customHeight="1">
      <c r="A28" s="715" t="str">
        <f>'14'!A28</f>
        <v>GENERATOR</v>
      </c>
      <c r="B28" s="234">
        <v>6000</v>
      </c>
      <c r="C28" s="348">
        <f>'14'!D28</f>
        <v>0</v>
      </c>
      <c r="D28" s="234">
        <f t="shared" si="9"/>
        <v>6000</v>
      </c>
      <c r="F28" s="479" t="str">
        <f>'14'!F28</f>
        <v>AYAZ OUSTA</v>
      </c>
      <c r="G28" s="406">
        <f>'CUSTOMERS REPORT'!Y797</f>
        <v>0</v>
      </c>
      <c r="H28" s="498">
        <f>'CUSTOMERS REPORT'!Z797</f>
        <v>0</v>
      </c>
      <c r="I28" s="406">
        <f>'CUSTOMERS REPORT'!AA797</f>
        <v>0</v>
      </c>
      <c r="J28" s="498">
        <f>'CUSTOMERS REPORT'!AB797</f>
        <v>0</v>
      </c>
      <c r="K28" s="498">
        <f>'CUSTOMERS REPORT'!AC797</f>
        <v>0</v>
      </c>
      <c r="L28" s="406">
        <f>'CUSTOMERS REPORT'!AD797</f>
        <v>0</v>
      </c>
      <c r="M28" s="414">
        <f>'14'!M28+'15'!G28</f>
        <v>0</v>
      </c>
      <c r="N28" s="412">
        <f>'14'!N28+'15'!J28</f>
        <v>0</v>
      </c>
      <c r="P28" s="433"/>
      <c r="Q28" s="438"/>
      <c r="S28" s="400" t="str">
        <f>'14'!S28</f>
        <v>MAKKI 2 PES</v>
      </c>
      <c r="T28" s="446">
        <f>'14'!X28</f>
        <v>0</v>
      </c>
      <c r="U28" s="456"/>
      <c r="V28" s="451">
        <f t="shared" si="0"/>
        <v>0</v>
      </c>
      <c r="W28" s="451"/>
      <c r="X28" s="447">
        <f t="shared" si="1"/>
        <v>0</v>
      </c>
      <c r="Z28" s="375">
        <f>'14'!Z28</f>
        <v>0</v>
      </c>
      <c r="AA28" s="464">
        <f>'14'!AE28</f>
        <v>0</v>
      </c>
      <c r="AB28" s="460"/>
      <c r="AC28" s="462">
        <f t="shared" si="2"/>
        <v>0</v>
      </c>
      <c r="AD28" s="469"/>
      <c r="AE28" s="348">
        <f t="shared" si="3"/>
        <v>0</v>
      </c>
      <c r="AF28" s="563">
        <f>'14'!AF28+'15'!AB28</f>
        <v>0</v>
      </c>
      <c r="AG28" s="234">
        <f>'14'!AG28+'15'!AD28</f>
        <v>0</v>
      </c>
    </row>
    <row r="29" spans="1:36" ht="27" customHeight="1">
      <c r="A29" s="715" t="str">
        <f>'14'!A29</f>
        <v>PATROL FAW</v>
      </c>
      <c r="B29" s="234"/>
      <c r="C29" s="348">
        <f>'14'!D29</f>
        <v>2200</v>
      </c>
      <c r="D29" s="234">
        <f t="shared" si="9"/>
        <v>2200</v>
      </c>
      <c r="F29" s="479" t="str">
        <f>'14'!F29</f>
        <v>AZHAR BADEEN</v>
      </c>
      <c r="G29" s="406">
        <f>'CUSTOMERS REPORT'!Y835</f>
        <v>0</v>
      </c>
      <c r="H29" s="498">
        <f>'CUSTOMERS REPORT'!Z835</f>
        <v>0</v>
      </c>
      <c r="I29" s="406">
        <f>'CUSTOMERS REPORT'!AA835</f>
        <v>0</v>
      </c>
      <c r="J29" s="498">
        <f>'CUSTOMERS REPORT'!AB835</f>
        <v>0</v>
      </c>
      <c r="K29" s="498">
        <f>'CUSTOMERS REPORT'!AC835</f>
        <v>0</v>
      </c>
      <c r="L29" s="406">
        <f>'CUSTOMERS REPORT'!AD835</f>
        <v>0</v>
      </c>
      <c r="M29" s="414">
        <f>'14'!M29+'15'!G29</f>
        <v>0</v>
      </c>
      <c r="N29" s="412">
        <f>'14'!N29+'15'!J29</f>
        <v>0</v>
      </c>
      <c r="P29" s="433"/>
      <c r="Q29" s="441"/>
      <c r="S29" s="400" t="str">
        <f>'14'!S29</f>
        <v xml:space="preserve">PRIME </v>
      </c>
      <c r="T29" s="446">
        <f>'14'!X29</f>
        <v>0</v>
      </c>
      <c r="U29" s="456"/>
      <c r="V29" s="451">
        <f t="shared" si="0"/>
        <v>0</v>
      </c>
      <c r="W29" s="451"/>
      <c r="X29" s="447">
        <f t="shared" si="1"/>
        <v>0</v>
      </c>
      <c r="Z29" s="375">
        <f>'14'!Z29</f>
        <v>0</v>
      </c>
      <c r="AA29" s="464">
        <f>'14'!AE29</f>
        <v>0</v>
      </c>
      <c r="AB29" s="460"/>
      <c r="AC29" s="462">
        <f t="shared" si="2"/>
        <v>0</v>
      </c>
      <c r="AD29" s="469"/>
      <c r="AE29" s="348">
        <f t="shared" si="3"/>
        <v>0</v>
      </c>
      <c r="AF29" s="563">
        <f>'14'!AF29+'15'!AB29</f>
        <v>0</v>
      </c>
      <c r="AG29" s="234">
        <f>'14'!AG29+'15'!AD29</f>
        <v>0</v>
      </c>
    </row>
    <row r="30" spans="1:36" ht="27" customHeight="1">
      <c r="A30" s="715" t="str">
        <f>'14'!A30</f>
        <v>FOTON DIESEL</v>
      </c>
      <c r="B30" s="234"/>
      <c r="C30" s="348">
        <f>'14'!D30</f>
        <v>0</v>
      </c>
      <c r="D30" s="234">
        <f t="shared" si="9"/>
        <v>0</v>
      </c>
      <c r="F30" s="479" t="str">
        <f>'14'!F30</f>
        <v>FAISAL HUB</v>
      </c>
      <c r="G30" s="406">
        <f>'CUSTOMERS REPORT'!Y873</f>
        <v>0</v>
      </c>
      <c r="H30" s="498">
        <f>'CUSTOMERS REPORT'!Z873</f>
        <v>0</v>
      </c>
      <c r="I30" s="406">
        <f>'CUSTOMERS REPORT'!AA873</f>
        <v>0</v>
      </c>
      <c r="J30" s="498">
        <f>'CUSTOMERS REPORT'!AB873</f>
        <v>0</v>
      </c>
      <c r="K30" s="498">
        <f>'CUSTOMERS REPORT'!AC873</f>
        <v>0</v>
      </c>
      <c r="L30" s="406">
        <f>'CUSTOMERS REPORT'!AD873</f>
        <v>0</v>
      </c>
      <c r="M30" s="414">
        <f>'14'!M30+'15'!G30</f>
        <v>0</v>
      </c>
      <c r="N30" s="412">
        <f>'14'!N30+'15'!J30</f>
        <v>0</v>
      </c>
      <c r="P30" s="433"/>
      <c r="Q30" s="442"/>
      <c r="S30" s="400" t="str">
        <f>'14'!S30</f>
        <v>PRIMR 15</v>
      </c>
      <c r="T30" s="446">
        <f>'14'!X30</f>
        <v>0</v>
      </c>
      <c r="U30" s="456"/>
      <c r="V30" s="451">
        <f t="shared" si="0"/>
        <v>0</v>
      </c>
      <c r="W30" s="451"/>
      <c r="X30" s="447">
        <f t="shared" si="1"/>
        <v>0</v>
      </c>
      <c r="Z30" s="375">
        <f>'14'!Z30</f>
        <v>0</v>
      </c>
      <c r="AA30" s="464">
        <f>'14'!AE30</f>
        <v>0</v>
      </c>
      <c r="AB30" s="460"/>
      <c r="AC30" s="462">
        <f t="shared" si="2"/>
        <v>0</v>
      </c>
      <c r="AD30" s="469"/>
      <c r="AE30" s="348">
        <f t="shared" si="3"/>
        <v>0</v>
      </c>
      <c r="AF30" s="563">
        <f>'14'!AF30+'15'!AB30</f>
        <v>0</v>
      </c>
      <c r="AG30" s="234">
        <f>'14'!AG30+'15'!AD30</f>
        <v>0</v>
      </c>
    </row>
    <row r="31" spans="1:36" ht="27" customHeight="1" thickBot="1">
      <c r="A31" s="715" t="str">
        <f>'14'!A31</f>
        <v>UTILITY BILLS</v>
      </c>
      <c r="B31" s="234"/>
      <c r="C31" s="348">
        <f>'14'!D31</f>
        <v>0</v>
      </c>
      <c r="D31" s="234">
        <f t="shared" si="9"/>
        <v>0</v>
      </c>
      <c r="F31" s="479" t="str">
        <f>'14'!F31</f>
        <v>ABDUL RAHMAN</v>
      </c>
      <c r="G31" s="406">
        <f>'CUSTOMERS REPORT'!Y912</f>
        <v>0</v>
      </c>
      <c r="H31" s="498">
        <f>'CUSTOMERS REPORT'!Z912</f>
        <v>0</v>
      </c>
      <c r="I31" s="406">
        <f>'CUSTOMERS REPORT'!AA912</f>
        <v>0</v>
      </c>
      <c r="J31" s="498">
        <f>'CUSTOMERS REPORT'!AB912</f>
        <v>0</v>
      </c>
      <c r="K31" s="498">
        <f>'CUSTOMERS REPORT'!AC912</f>
        <v>0</v>
      </c>
      <c r="L31" s="406">
        <f>'CUSTOMERS REPORT'!AD912</f>
        <v>0</v>
      </c>
      <c r="M31" s="414">
        <f>'14'!M31+'15'!G31</f>
        <v>0</v>
      </c>
      <c r="N31" s="412">
        <f>'14'!N31+'15'!J31</f>
        <v>0</v>
      </c>
      <c r="P31" s="433"/>
      <c r="Q31" s="435"/>
      <c r="S31" s="400" t="str">
        <f>'14'!S31</f>
        <v>KARACHI</v>
      </c>
      <c r="T31" s="446">
        <f>'14'!X31</f>
        <v>0</v>
      </c>
      <c r="U31" s="456"/>
      <c r="V31" s="451">
        <f t="shared" si="0"/>
        <v>0</v>
      </c>
      <c r="W31" s="451"/>
      <c r="X31" s="447">
        <f t="shared" si="1"/>
        <v>0</v>
      </c>
      <c r="Z31" s="375">
        <f>'14'!Z31</f>
        <v>0</v>
      </c>
      <c r="AA31" s="464">
        <f>'14'!AE31</f>
        <v>0</v>
      </c>
      <c r="AB31" s="460"/>
      <c r="AC31" s="462">
        <f t="shared" si="2"/>
        <v>0</v>
      </c>
      <c r="AD31" s="469"/>
      <c r="AE31" s="348">
        <f t="shared" si="3"/>
        <v>0</v>
      </c>
      <c r="AF31" s="563">
        <f>'14'!AF31+'15'!AB31</f>
        <v>0</v>
      </c>
      <c r="AG31" s="234">
        <f>'14'!AG31+'15'!AD31</f>
        <v>0</v>
      </c>
      <c r="AI31" t="s">
        <v>1</v>
      </c>
    </row>
    <row r="32" spans="1:36" ht="27" customHeight="1" thickTop="1" thickBot="1">
      <c r="A32" s="715" t="str">
        <f>'14'!A32</f>
        <v>WOOD</v>
      </c>
      <c r="B32" s="234"/>
      <c r="C32" s="548">
        <f>'14'!D32</f>
        <v>0</v>
      </c>
      <c r="D32" s="234">
        <f t="shared" si="9"/>
        <v>0</v>
      </c>
      <c r="F32" s="479" t="str">
        <f>'14'!F32</f>
        <v>HAJI JAN GIWANI</v>
      </c>
      <c r="G32" s="406">
        <f>'CUSTOMERS REPORT'!Y951</f>
        <v>0</v>
      </c>
      <c r="H32" s="498">
        <f>'CUSTOMERS REPORT'!Z951</f>
        <v>0</v>
      </c>
      <c r="I32" s="406">
        <f>'CUSTOMERS REPORT'!AA951</f>
        <v>0</v>
      </c>
      <c r="J32" s="498">
        <f>'CUSTOMERS REPORT'!AB951</f>
        <v>0</v>
      </c>
      <c r="K32" s="498">
        <f>'CUSTOMERS REPORT'!AC951</f>
        <v>0</v>
      </c>
      <c r="L32" s="406">
        <f>'CUSTOMERS REPORT'!AD951</f>
        <v>0</v>
      </c>
      <c r="M32" s="414">
        <f>'14'!M32+'15'!G32</f>
        <v>0</v>
      </c>
      <c r="N32" s="412">
        <f>'14'!N32+'15'!J32</f>
        <v>0</v>
      </c>
      <c r="P32" s="190" t="s">
        <v>51</v>
      </c>
      <c r="Q32" s="439">
        <f>Q23-Q25-Q26-Q27-Q28-Q29-Q30-Q31</f>
        <v>0</v>
      </c>
      <c r="R32" t="s">
        <v>1</v>
      </c>
      <c r="S32" s="400" t="str">
        <f>'14'!S32</f>
        <v>MARVI</v>
      </c>
      <c r="T32" s="446">
        <f>'14'!X32</f>
        <v>0</v>
      </c>
      <c r="U32" s="456"/>
      <c r="V32" s="451">
        <f t="shared" si="0"/>
        <v>0</v>
      </c>
      <c r="W32" s="451"/>
      <c r="X32" s="447">
        <f t="shared" si="1"/>
        <v>0</v>
      </c>
      <c r="Z32" s="375">
        <f>'14'!Z32</f>
        <v>0</v>
      </c>
      <c r="AA32" s="464">
        <f>'14'!AE32</f>
        <v>0</v>
      </c>
      <c r="AB32" s="460"/>
      <c r="AC32" s="462">
        <f t="shared" si="2"/>
        <v>0</v>
      </c>
      <c r="AD32" s="469"/>
      <c r="AE32" s="348">
        <f t="shared" si="3"/>
        <v>0</v>
      </c>
      <c r="AF32" s="563">
        <f>'14'!AF32+'15'!AB32</f>
        <v>0</v>
      </c>
      <c r="AG32" s="234">
        <f>'14'!AG32+'15'!AD32</f>
        <v>0</v>
      </c>
    </row>
    <row r="33" spans="1:40" ht="27" customHeight="1" thickTop="1" thickBot="1">
      <c r="A33" s="716" t="str">
        <f>'14'!A33</f>
        <v>TOLL</v>
      </c>
      <c r="B33" s="538"/>
      <c r="C33" s="348">
        <f>'14'!D33</f>
        <v>0</v>
      </c>
      <c r="D33" s="234">
        <f t="shared" si="9"/>
        <v>0</v>
      </c>
      <c r="F33" s="479" t="str">
        <f>'14'!F33</f>
        <v>ALI QURESHI HYD</v>
      </c>
      <c r="G33" s="406">
        <f>'CUSTOMERS REPORT'!Y989</f>
        <v>0</v>
      </c>
      <c r="H33" s="498">
        <f>'CUSTOMERS REPORT'!Z989</f>
        <v>0</v>
      </c>
      <c r="I33" s="406">
        <f>'CUSTOMERS REPORT'!AA989</f>
        <v>0</v>
      </c>
      <c r="J33" s="498">
        <f>'CUSTOMERS REPORT'!AB989</f>
        <v>0</v>
      </c>
      <c r="K33" s="498">
        <f>'CUSTOMERS REPORT'!AC989</f>
        <v>0</v>
      </c>
      <c r="L33" s="406">
        <f>'CUSTOMERS REPORT'!AD989</f>
        <v>0</v>
      </c>
      <c r="M33" s="414">
        <f>'14'!M33+'15'!G33</f>
        <v>0</v>
      </c>
      <c r="N33" s="412">
        <f>'14'!N33+'15'!J33</f>
        <v>0</v>
      </c>
      <c r="P33" s="1499" t="s">
        <v>149</v>
      </c>
      <c r="Q33" s="1500"/>
      <c r="S33" s="400" t="str">
        <f>'14'!S33</f>
        <v>TS</v>
      </c>
      <c r="T33" s="446">
        <f>'14'!X33</f>
        <v>0</v>
      </c>
      <c r="U33" s="456"/>
      <c r="V33" s="451">
        <f t="shared" si="0"/>
        <v>0</v>
      </c>
      <c r="W33" s="451"/>
      <c r="X33" s="447">
        <f t="shared" si="1"/>
        <v>0</v>
      </c>
      <c r="Z33" s="375">
        <f>'14'!Z33</f>
        <v>0</v>
      </c>
      <c r="AA33" s="464">
        <f>'14'!AE33</f>
        <v>0</v>
      </c>
      <c r="AB33" s="460"/>
      <c r="AC33" s="462">
        <f t="shared" si="2"/>
        <v>0</v>
      </c>
      <c r="AD33" s="469"/>
      <c r="AE33" s="348">
        <f t="shared" si="3"/>
        <v>0</v>
      </c>
      <c r="AF33" s="563">
        <f>'14'!AF33+'15'!AB33</f>
        <v>0</v>
      </c>
      <c r="AG33" s="234">
        <f>'14'!AG33+'15'!AD33</f>
        <v>0</v>
      </c>
    </row>
    <row r="34" spans="1:40" ht="27" customHeight="1" thickTop="1" thickBot="1">
      <c r="A34" s="716" t="str">
        <f>'14'!A34</f>
        <v>FLOUR / SHGER</v>
      </c>
      <c r="B34" s="538"/>
      <c r="C34" s="348">
        <f>'14'!D34</f>
        <v>0</v>
      </c>
      <c r="D34" s="234">
        <f t="shared" si="9"/>
        <v>0</v>
      </c>
      <c r="F34" s="479" t="str">
        <f>'14'!F34</f>
        <v>ALI RAZA KAND KOT</v>
      </c>
      <c r="G34" s="406">
        <f>'CUSTOMERS REPORT'!Y1027</f>
        <v>0</v>
      </c>
      <c r="H34" s="498">
        <f>'CUSTOMERS REPORT'!Z1027</f>
        <v>0</v>
      </c>
      <c r="I34" s="406">
        <f>'CUSTOMERS REPORT'!AA1027</f>
        <v>0</v>
      </c>
      <c r="J34" s="498">
        <f>'CUSTOMERS REPORT'!AB1027</f>
        <v>0</v>
      </c>
      <c r="K34" s="498">
        <f>'CUSTOMERS REPORT'!AC1027</f>
        <v>0</v>
      </c>
      <c r="L34" s="406">
        <f>'CUSTOMERS REPORT'!AD1027</f>
        <v>0</v>
      </c>
      <c r="M34" s="414">
        <f>'14'!M34+'15'!G34</f>
        <v>0</v>
      </c>
      <c r="N34" s="412">
        <f>'14'!N34+'15'!J34</f>
        <v>0</v>
      </c>
      <c r="P34" s="220" t="s">
        <v>150</v>
      </c>
      <c r="Q34" s="223">
        <f>'14'!Q34</f>
        <v>0</v>
      </c>
      <c r="S34" s="400" t="str">
        <f>'14'!S34</f>
        <v>MAXI</v>
      </c>
      <c r="T34" s="446">
        <f>'14'!X34</f>
        <v>0</v>
      </c>
      <c r="U34" s="457"/>
      <c r="V34" s="452">
        <f t="shared" si="0"/>
        <v>0</v>
      </c>
      <c r="W34" s="452"/>
      <c r="X34" s="448">
        <f t="shared" si="1"/>
        <v>0</v>
      </c>
      <c r="Z34" s="375">
        <f>'14'!Z34</f>
        <v>0</v>
      </c>
      <c r="AA34" s="464">
        <f>'14'!AE34</f>
        <v>0</v>
      </c>
      <c r="AB34" s="460"/>
      <c r="AC34" s="462">
        <f t="shared" si="2"/>
        <v>0</v>
      </c>
      <c r="AD34" s="469"/>
      <c r="AE34" s="348">
        <f t="shared" si="3"/>
        <v>0</v>
      </c>
      <c r="AF34" s="563">
        <f>'14'!AF34+'15'!AB34</f>
        <v>0</v>
      </c>
      <c r="AG34" s="234">
        <f>'14'!AG34+'15'!AD34</f>
        <v>0</v>
      </c>
    </row>
    <row r="35" spans="1:40" ht="27" customHeight="1" thickTop="1">
      <c r="A35" s="716" t="str">
        <f>'14'!A35</f>
        <v>OVEN &amp; PP MACHINE</v>
      </c>
      <c r="B35" s="529"/>
      <c r="C35" s="348">
        <f>'14'!D35</f>
        <v>0</v>
      </c>
      <c r="D35" s="529">
        <f t="shared" si="9"/>
        <v>0</v>
      </c>
      <c r="F35" s="479" t="str">
        <f>'14'!F35</f>
        <v>IQBAL MORO</v>
      </c>
      <c r="G35" s="407">
        <f>'CUSTOMERS REPORT'!Y1065</f>
        <v>0</v>
      </c>
      <c r="H35" s="499">
        <f>'CUSTOMERS REPORT'!Z1065</f>
        <v>0</v>
      </c>
      <c r="I35" s="407">
        <f>'CUSTOMERS REPORT'!AA1065</f>
        <v>0</v>
      </c>
      <c r="J35" s="499">
        <f>'CUSTOMERS REPORT'!AB1065</f>
        <v>0</v>
      </c>
      <c r="K35" s="499">
        <f>'CUSTOMERS REPORT'!AC1065</f>
        <v>0</v>
      </c>
      <c r="L35" s="407">
        <f>'CUSTOMERS REPORT'!AD1065</f>
        <v>0</v>
      </c>
      <c r="M35" s="414">
        <f>'14'!M35+'15'!G35</f>
        <v>0</v>
      </c>
      <c r="N35" s="412">
        <f>'14'!N35+'15'!J35</f>
        <v>0</v>
      </c>
      <c r="P35" s="252" t="s">
        <v>151</v>
      </c>
      <c r="Q35" s="443">
        <f>'14'!Q35</f>
        <v>0</v>
      </c>
      <c r="R35" t="s">
        <v>1</v>
      </c>
      <c r="S35" s="400" t="str">
        <f>'14'!S35</f>
        <v>M A WHITE</v>
      </c>
      <c r="T35" s="446">
        <f>'14'!X35</f>
        <v>0</v>
      </c>
      <c r="U35" s="457"/>
      <c r="V35" s="452">
        <f t="shared" si="0"/>
        <v>0</v>
      </c>
      <c r="W35" s="452"/>
      <c r="X35" s="448">
        <f t="shared" si="1"/>
        <v>0</v>
      </c>
      <c r="Z35" s="375">
        <f>'14'!Z35</f>
        <v>0</v>
      </c>
      <c r="AA35" s="464">
        <f>'14'!AE35</f>
        <v>0</v>
      </c>
      <c r="AB35" s="460"/>
      <c r="AC35" s="462">
        <f t="shared" si="2"/>
        <v>0</v>
      </c>
      <c r="AD35" s="469"/>
      <c r="AE35" s="348">
        <f t="shared" si="3"/>
        <v>0</v>
      </c>
      <c r="AF35" s="563">
        <f>'14'!AF35+'15'!AB35</f>
        <v>0</v>
      </c>
      <c r="AG35" s="234">
        <f>'14'!AG35+'15'!AD35</f>
        <v>0</v>
      </c>
    </row>
    <row r="36" spans="1:40" ht="27" customHeight="1">
      <c r="A36" s="716" t="str">
        <f>'14'!A36</f>
        <v>zakat</v>
      </c>
      <c r="B36" s="539"/>
      <c r="C36" s="348">
        <f>'14'!D36</f>
        <v>0</v>
      </c>
      <c r="D36" s="529">
        <f t="shared" si="9"/>
        <v>0</v>
      </c>
      <c r="F36" s="479" t="str">
        <f>'14'!F36</f>
        <v>SARFARAZ T ADAM</v>
      </c>
      <c r="G36" s="407">
        <f>'CUSTOMERS REPORT'!Y1103</f>
        <v>0</v>
      </c>
      <c r="H36" s="499">
        <f>'CUSTOMERS REPORT'!Z1103</f>
        <v>0</v>
      </c>
      <c r="I36" s="407">
        <f>'CUSTOMERS REPORT'!AA1103</f>
        <v>0</v>
      </c>
      <c r="J36" s="499">
        <f>'CUSTOMERS REPORT'!AB1103</f>
        <v>0</v>
      </c>
      <c r="K36" s="499">
        <f>'CUSTOMERS REPORT'!AC1103</f>
        <v>0</v>
      </c>
      <c r="L36" s="407">
        <f>'CUSTOMERS REPORT'!AD1103</f>
        <v>0</v>
      </c>
      <c r="M36" s="414">
        <f>'14'!M36+'15'!G36</f>
        <v>0</v>
      </c>
      <c r="N36" s="412">
        <f>'14'!N36+'15'!J36</f>
        <v>0</v>
      </c>
      <c r="P36" s="372" t="s">
        <v>152</v>
      </c>
      <c r="Q36" s="444">
        <f>J48</f>
        <v>0</v>
      </c>
      <c r="R36" t="s">
        <v>1</v>
      </c>
      <c r="S36" s="400" t="str">
        <f>'14'!S36</f>
        <v>M A ORING</v>
      </c>
      <c r="T36" s="446">
        <f>'14'!X36</f>
        <v>0</v>
      </c>
      <c r="U36" s="456"/>
      <c r="V36" s="451">
        <f t="shared" si="0"/>
        <v>0</v>
      </c>
      <c r="W36" s="452"/>
      <c r="X36" s="448">
        <f t="shared" si="1"/>
        <v>0</v>
      </c>
      <c r="Z36" s="375">
        <f>'14'!Z36</f>
        <v>0</v>
      </c>
      <c r="AA36" s="464">
        <f>'14'!AE36</f>
        <v>0</v>
      </c>
      <c r="AB36" s="460"/>
      <c r="AC36" s="462">
        <f t="shared" si="2"/>
        <v>0</v>
      </c>
      <c r="AD36" s="469"/>
      <c r="AE36" s="348">
        <f t="shared" si="3"/>
        <v>0</v>
      </c>
      <c r="AF36" s="563">
        <f>'14'!AF36+'15'!AB36</f>
        <v>0</v>
      </c>
      <c r="AG36" s="234">
        <f>'14'!AG36+'15'!AD36</f>
        <v>0</v>
      </c>
    </row>
    <row r="37" spans="1:40" ht="27" customHeight="1">
      <c r="A37" s="716" t="str">
        <f>'14'!A37</f>
        <v>javeed manghopir</v>
      </c>
      <c r="B37" s="234"/>
      <c r="C37" s="348">
        <f>'14'!D37</f>
        <v>0</v>
      </c>
      <c r="D37" s="234">
        <f t="shared" si="9"/>
        <v>0</v>
      </c>
      <c r="F37" s="479" t="str">
        <f>'14'!F37</f>
        <v>MUMTAZ K N SHAH</v>
      </c>
      <c r="G37" s="406">
        <f>'CUSTOMERS REPORT'!Y1141</f>
        <v>0</v>
      </c>
      <c r="H37" s="498">
        <f>'CUSTOMERS REPORT'!Z1141</f>
        <v>0</v>
      </c>
      <c r="I37" s="406">
        <f>'CUSTOMERS REPORT'!AA1141</f>
        <v>0</v>
      </c>
      <c r="J37" s="498">
        <f>'CUSTOMERS REPORT'!AB1141</f>
        <v>0</v>
      </c>
      <c r="K37" s="498">
        <f>'CUSTOMERS REPORT'!AC1141</f>
        <v>0</v>
      </c>
      <c r="L37" s="406">
        <f>'CUSTOMERS REPORT'!AD1141</f>
        <v>0</v>
      </c>
      <c r="M37" s="414">
        <f>'14'!M37+'15'!G37</f>
        <v>0</v>
      </c>
      <c r="N37" s="412">
        <f>'14'!N37+'15'!J37</f>
        <v>0</v>
      </c>
      <c r="P37" s="373" t="s">
        <v>153</v>
      </c>
      <c r="Q37" s="445">
        <f>Q34+Q35+Q36</f>
        <v>0</v>
      </c>
      <c r="R37" t="s">
        <v>1</v>
      </c>
      <c r="S37" s="400">
        <f>'14'!S37</f>
        <v>0</v>
      </c>
      <c r="T37" s="446">
        <f>'14'!X37</f>
        <v>0</v>
      </c>
      <c r="U37" s="456"/>
      <c r="V37" s="451">
        <f t="shared" si="0"/>
        <v>0</v>
      </c>
      <c r="W37" s="452"/>
      <c r="X37" s="448">
        <f t="shared" si="1"/>
        <v>0</v>
      </c>
      <c r="Z37" s="375">
        <f>'14'!Z37</f>
        <v>0</v>
      </c>
      <c r="AA37" s="464">
        <f>'14'!AE37</f>
        <v>0</v>
      </c>
      <c r="AB37" s="460"/>
      <c r="AC37" s="462">
        <f t="shared" si="2"/>
        <v>0</v>
      </c>
      <c r="AD37" s="469"/>
      <c r="AE37" s="348">
        <f t="shared" si="3"/>
        <v>0</v>
      </c>
      <c r="AF37" s="563">
        <f>'14'!AF37+'15'!AB37</f>
        <v>0</v>
      </c>
      <c r="AG37" s="234">
        <f>'14'!AG37+'15'!AD37</f>
        <v>0</v>
      </c>
    </row>
    <row r="38" spans="1:40" ht="27" customHeight="1">
      <c r="A38" s="715" t="str">
        <f>'14'!A38</f>
        <v>EXSIS CASH</v>
      </c>
      <c r="B38" s="234"/>
      <c r="C38" s="348">
        <f>'14'!D38</f>
        <v>0</v>
      </c>
      <c r="D38" s="234">
        <f t="shared" si="9"/>
        <v>0</v>
      </c>
      <c r="F38" s="479" t="str">
        <f>'14'!F38</f>
        <v>GHULAM RASOOL QU</v>
      </c>
      <c r="G38" s="408">
        <f>'CUSTOMERS REPORT'!Y1178</f>
        <v>0</v>
      </c>
      <c r="H38" s="500">
        <f>'CUSTOMERS REPORT'!Z1178</f>
        <v>0</v>
      </c>
      <c r="I38" s="408">
        <f>'CUSTOMERS REPORT'!AA1178</f>
        <v>0</v>
      </c>
      <c r="J38" s="500">
        <f>'CUSTOMERS REPORT'!AB1178</f>
        <v>0</v>
      </c>
      <c r="K38" s="500">
        <f>'CUSTOMERS REPORT'!AC1178</f>
        <v>0</v>
      </c>
      <c r="L38" s="408">
        <f>'CUSTOMERS REPORT'!AD1178</f>
        <v>0</v>
      </c>
      <c r="M38" s="414">
        <f>'14'!M38+'15'!G38</f>
        <v>0</v>
      </c>
      <c r="N38" s="412">
        <f>'14'!N38+'15'!J38</f>
        <v>0</v>
      </c>
      <c r="P38" s="373" t="s">
        <v>154</v>
      </c>
      <c r="Q38" s="445">
        <f>D48</f>
        <v>919690</v>
      </c>
      <c r="S38" s="400">
        <f>'14'!S38</f>
        <v>0</v>
      </c>
      <c r="T38" s="446">
        <f>'14'!X38</f>
        <v>0</v>
      </c>
      <c r="U38" s="456"/>
      <c r="V38" s="451">
        <f t="shared" si="0"/>
        <v>0</v>
      </c>
      <c r="W38" s="452"/>
      <c r="X38" s="448">
        <f t="shared" si="1"/>
        <v>0</v>
      </c>
      <c r="Z38" s="375">
        <f>'14'!Z38</f>
        <v>0</v>
      </c>
      <c r="AA38" s="464">
        <f>'14'!AE38</f>
        <v>0</v>
      </c>
      <c r="AB38" s="460"/>
      <c r="AC38" s="462">
        <f t="shared" si="2"/>
        <v>0</v>
      </c>
      <c r="AD38" s="469"/>
      <c r="AE38" s="348">
        <f t="shared" si="3"/>
        <v>0</v>
      </c>
      <c r="AF38" s="563">
        <f>'14'!AF38+'15'!AB38</f>
        <v>0</v>
      </c>
      <c r="AG38" s="234">
        <f>'14'!AG38+'15'!AD38</f>
        <v>0</v>
      </c>
    </row>
    <row r="39" spans="1:40" ht="27" customHeight="1">
      <c r="A39" s="715" t="str">
        <f>'14'!A39</f>
        <v>SHORT CASH</v>
      </c>
      <c r="B39" s="234"/>
      <c r="C39" s="348">
        <f>'14'!D39</f>
        <v>0</v>
      </c>
      <c r="D39" s="550">
        <f t="shared" si="9"/>
        <v>0</v>
      </c>
      <c r="F39" s="479" t="str">
        <f>'14'!F39</f>
        <v>SHAMSHAD UNCLE</v>
      </c>
      <c r="G39" s="406">
        <f>'CUSTOMERS REPORT'!Y1215</f>
        <v>0</v>
      </c>
      <c r="H39" s="498">
        <f>'CUSTOMERS REPORT'!Z1215</f>
        <v>0</v>
      </c>
      <c r="I39" s="406">
        <f>'CUSTOMERS REPORT'!AA1215</f>
        <v>0</v>
      </c>
      <c r="J39" s="498">
        <f>'CUSTOMERS REPORT'!AB1215</f>
        <v>0</v>
      </c>
      <c r="K39" s="498">
        <f>'CUSTOMERS REPORT'!AC1215</f>
        <v>0</v>
      </c>
      <c r="L39" s="406">
        <f>'CUSTOMERS REPORT'!AD1215</f>
        <v>0</v>
      </c>
      <c r="M39" s="414">
        <f>'14'!M39+'15'!G39</f>
        <v>0</v>
      </c>
      <c r="N39" s="412">
        <f>'14'!N39+'15'!J39</f>
        <v>0</v>
      </c>
      <c r="P39" s="373" t="s">
        <v>109</v>
      </c>
      <c r="Q39" s="445">
        <f>'14'!Q39+'15'!Q25+'15'!Q26+'15'!Q27+'15'!Q28+'15'!Q29+'15'!Q30+'15'!Q31</f>
        <v>0</v>
      </c>
      <c r="R39" t="s">
        <v>1</v>
      </c>
      <c r="S39" s="400">
        <f>'14'!S39</f>
        <v>0</v>
      </c>
      <c r="T39" s="446">
        <f>'14'!X39</f>
        <v>0</v>
      </c>
      <c r="U39" s="456"/>
      <c r="V39" s="451">
        <f t="shared" si="0"/>
        <v>0</v>
      </c>
      <c r="W39" s="452"/>
      <c r="X39" s="448">
        <f t="shared" si="1"/>
        <v>0</v>
      </c>
      <c r="Z39" s="375">
        <f>'14'!Z39</f>
        <v>0</v>
      </c>
      <c r="AA39" s="464">
        <f>'14'!AE39</f>
        <v>0</v>
      </c>
      <c r="AB39" s="460"/>
      <c r="AC39" s="462">
        <f t="shared" si="2"/>
        <v>0</v>
      </c>
      <c r="AD39" s="469"/>
      <c r="AE39" s="348">
        <f t="shared" si="3"/>
        <v>0</v>
      </c>
      <c r="AF39" s="563">
        <f>'14'!AF39+'15'!AB39</f>
        <v>0</v>
      </c>
      <c r="AG39" s="234">
        <f>'14'!AG39+'15'!AD39</f>
        <v>0</v>
      </c>
    </row>
    <row r="40" spans="1:40" ht="27" customHeight="1" thickBot="1">
      <c r="A40" s="715" t="str">
        <f>'14'!A40</f>
        <v>ASSETS</v>
      </c>
      <c r="B40" s="234"/>
      <c r="C40" s="348">
        <f>'14'!D40</f>
        <v>0</v>
      </c>
      <c r="D40" s="234">
        <f t="shared" si="9"/>
        <v>0</v>
      </c>
      <c r="F40" s="479" t="str">
        <f>'14'!F40</f>
        <v>IBRAHEEM D.G KHAN</v>
      </c>
      <c r="G40" s="406">
        <f>'CUSTOMERS REPORT'!Y1252</f>
        <v>0</v>
      </c>
      <c r="H40" s="498">
        <f>'CUSTOMERS REPORT'!Z1252</f>
        <v>0</v>
      </c>
      <c r="I40" s="406">
        <f>'CUSTOMERS REPORT'!AA1252</f>
        <v>0</v>
      </c>
      <c r="J40" s="498">
        <f>'CUSTOMERS REPORT'!AB1252</f>
        <v>0</v>
      </c>
      <c r="K40" s="498">
        <f>'CUSTOMERS REPORT'!AC1252</f>
        <v>0</v>
      </c>
      <c r="L40" s="406">
        <f>'CUSTOMERS REPORT'!AD1252</f>
        <v>0</v>
      </c>
      <c r="M40" s="414">
        <f>'14'!M40+'15'!G40</f>
        <v>0</v>
      </c>
      <c r="N40" s="412">
        <f>'14'!N40+'15'!J40</f>
        <v>0</v>
      </c>
      <c r="P40" s="374" t="s">
        <v>155</v>
      </c>
      <c r="Q40" s="445">
        <f>Q48</f>
        <v>-919690</v>
      </c>
      <c r="S40" s="400">
        <f>'14'!S40</f>
        <v>0</v>
      </c>
      <c r="T40" s="446">
        <f>'14'!X40</f>
        <v>0</v>
      </c>
      <c r="U40" s="456"/>
      <c r="V40" s="451">
        <f t="shared" si="0"/>
        <v>0</v>
      </c>
      <c r="W40" s="452"/>
      <c r="X40" s="448">
        <f t="shared" si="1"/>
        <v>0</v>
      </c>
      <c r="Z40" s="375">
        <f>'14'!Z40</f>
        <v>0</v>
      </c>
      <c r="AA40" s="464">
        <f>'14'!AE40</f>
        <v>0</v>
      </c>
      <c r="AB40" s="460"/>
      <c r="AC40" s="462">
        <f t="shared" si="2"/>
        <v>0</v>
      </c>
      <c r="AD40" s="469"/>
      <c r="AE40" s="348">
        <f t="shared" si="3"/>
        <v>0</v>
      </c>
      <c r="AF40" s="563">
        <f>'14'!AF40+'15'!AB40</f>
        <v>0</v>
      </c>
      <c r="AG40" s="234">
        <f>'14'!AG40+'15'!AD40</f>
        <v>0</v>
      </c>
    </row>
    <row r="41" spans="1:40" ht="27" customHeight="1" thickTop="1" thickBot="1">
      <c r="A41" s="715" t="str">
        <f>'14'!A41</f>
        <v>BIKE.INSTALMINT</v>
      </c>
      <c r="B41" s="234"/>
      <c r="C41" s="348">
        <f>'14'!D41</f>
        <v>0</v>
      </c>
      <c r="D41" s="234">
        <f t="shared" si="9"/>
        <v>0</v>
      </c>
      <c r="E41" t="s">
        <v>1</v>
      </c>
      <c r="F41" s="479" t="str">
        <f>'14'!F41</f>
        <v>PISHAWAR</v>
      </c>
      <c r="G41" s="409">
        <f>'CUSTOMERS REPORT'!Y1289</f>
        <v>0</v>
      </c>
      <c r="H41" s="501">
        <f>'CUSTOMERS REPORT'!Z1289</f>
        <v>0</v>
      </c>
      <c r="I41" s="409">
        <f>'CUSTOMERS REPORT'!AA1289</f>
        <v>0</v>
      </c>
      <c r="J41" s="501">
        <f>'CUSTOMERS REPORT'!AB1289</f>
        <v>0</v>
      </c>
      <c r="K41" s="501">
        <f>'CUSTOMERS REPORT'!AC1289</f>
        <v>0</v>
      </c>
      <c r="L41" s="409">
        <f>'CUSTOMERS REPORT'!AD1289</f>
        <v>0</v>
      </c>
      <c r="M41" s="414">
        <f>'14'!M41+'15'!G41</f>
        <v>0</v>
      </c>
      <c r="N41" s="412">
        <f>'14'!N41+'15'!J41</f>
        <v>0</v>
      </c>
      <c r="P41" s="221" t="s">
        <v>51</v>
      </c>
      <c r="Q41" s="223">
        <f>Q37-Q38-Q39-Q40</f>
        <v>0</v>
      </c>
      <c r="S41" s="400">
        <f>'14'!S41</f>
        <v>0</v>
      </c>
      <c r="T41" s="446">
        <f>'14'!X41</f>
        <v>0</v>
      </c>
      <c r="U41" s="456"/>
      <c r="V41" s="451">
        <f t="shared" si="0"/>
        <v>0</v>
      </c>
      <c r="W41" s="452"/>
      <c r="X41" s="448">
        <f t="shared" si="1"/>
        <v>0</v>
      </c>
      <c r="Z41" s="375">
        <f>'14'!Z41</f>
        <v>0</v>
      </c>
      <c r="AA41" s="464">
        <f>'14'!AE41</f>
        <v>0</v>
      </c>
      <c r="AB41" s="460"/>
      <c r="AC41" s="462">
        <f t="shared" si="2"/>
        <v>0</v>
      </c>
      <c r="AD41" s="469"/>
      <c r="AE41" s="348">
        <f t="shared" si="3"/>
        <v>0</v>
      </c>
      <c r="AF41" s="563">
        <f>'14'!AF41+'15'!AB41</f>
        <v>0</v>
      </c>
      <c r="AG41" s="234">
        <f>'14'!AG41+'15'!AD41</f>
        <v>0</v>
      </c>
    </row>
    <row r="42" spans="1:40" ht="27" customHeight="1" thickTop="1" thickBot="1">
      <c r="A42" s="715" t="str">
        <f>'14'!A42</f>
        <v>B.C</v>
      </c>
      <c r="B42" s="529"/>
      <c r="C42" s="348">
        <f>'14'!D42</f>
        <v>0</v>
      </c>
      <c r="D42" s="529">
        <f t="shared" si="9"/>
        <v>0</v>
      </c>
      <c r="F42" s="479" t="str">
        <f>'14'!F42</f>
        <v>HUZAFA KOTRI</v>
      </c>
      <c r="G42" s="409">
        <f>'CUSTOMERS REPORT'!Y1326</f>
        <v>0</v>
      </c>
      <c r="H42" s="501">
        <f>'CUSTOMERS REPORT'!Z1326</f>
        <v>0</v>
      </c>
      <c r="I42" s="409">
        <f>'CUSTOMERS REPORT'!AA1326</f>
        <v>0</v>
      </c>
      <c r="J42" s="501">
        <f>'CUSTOMERS REPORT'!AB1326</f>
        <v>0</v>
      </c>
      <c r="K42" s="501">
        <f>'CUSTOMERS REPORT'!AC1326</f>
        <v>0</v>
      </c>
      <c r="L42" s="409">
        <f>'CUSTOMERS REPORT'!AD1326</f>
        <v>0</v>
      </c>
      <c r="M42" s="414">
        <f>'14'!M42+'15'!G42</f>
        <v>0</v>
      </c>
      <c r="N42" s="412">
        <f>'14'!N42+'15'!J42</f>
        <v>0</v>
      </c>
      <c r="P42" s="1499" t="s">
        <v>157</v>
      </c>
      <c r="Q42" s="1500"/>
      <c r="S42" s="400">
        <f>'14'!S42</f>
        <v>0</v>
      </c>
      <c r="T42" s="446">
        <f>'14'!X42</f>
        <v>0</v>
      </c>
      <c r="U42" s="458"/>
      <c r="V42" s="453">
        <f t="shared" si="0"/>
        <v>0</v>
      </c>
      <c r="W42" s="454"/>
      <c r="X42" s="449">
        <f t="shared" si="1"/>
        <v>0</v>
      </c>
      <c r="Z42" s="375">
        <f>'14'!Z42</f>
        <v>0</v>
      </c>
      <c r="AA42" s="464">
        <f>'14'!AE42</f>
        <v>0</v>
      </c>
      <c r="AB42" s="461"/>
      <c r="AC42" s="462">
        <f>AA42+AB42</f>
        <v>0</v>
      </c>
      <c r="AD42" s="470"/>
      <c r="AE42" s="348">
        <f t="shared" si="3"/>
        <v>0</v>
      </c>
      <c r="AF42" s="564">
        <f>'14'!AF42+'15'!AB42</f>
        <v>0</v>
      </c>
      <c r="AG42" s="572">
        <f>'14'!AG42+'15'!AD42</f>
        <v>0</v>
      </c>
    </row>
    <row r="43" spans="1:40" ht="27" customHeight="1" thickTop="1" thickBot="1">
      <c r="A43" s="715" t="str">
        <f>'14'!A43</f>
        <v>AQEEL</v>
      </c>
      <c r="B43" s="539"/>
      <c r="C43" s="348">
        <f>'14'!D43</f>
        <v>0</v>
      </c>
      <c r="D43" s="529">
        <f t="shared" si="9"/>
        <v>0</v>
      </c>
      <c r="F43" s="479" t="str">
        <f>'14'!F43</f>
        <v>ZAHID LAHORE</v>
      </c>
      <c r="G43" s="409">
        <f>'CUSTOMERS REPORT'!Y1363</f>
        <v>0</v>
      </c>
      <c r="H43" s="501">
        <f>'CUSTOMERS REPORT'!Z1363</f>
        <v>0</v>
      </c>
      <c r="I43" s="409">
        <f>'CUSTOMERS REPORT'!AA1363</f>
        <v>0</v>
      </c>
      <c r="J43" s="501">
        <f>'CUSTOMERS REPORT'!AB1363</f>
        <v>0</v>
      </c>
      <c r="K43" s="501">
        <f>'CUSTOMERS REPORT'!AC1363</f>
        <v>0</v>
      </c>
      <c r="L43" s="409">
        <f>'CUSTOMERS REPORT'!AD1363</f>
        <v>0</v>
      </c>
      <c r="M43" s="414">
        <f>'14'!M43+'15'!G43</f>
        <v>0</v>
      </c>
      <c r="N43" s="412">
        <f>'14'!N43+'15'!J43</f>
        <v>0</v>
      </c>
      <c r="P43" s="220" t="s">
        <v>124</v>
      </c>
      <c r="Q43" s="223">
        <f>'14'!Q48</f>
        <v>-331620</v>
      </c>
      <c r="R43" t="s">
        <v>1</v>
      </c>
      <c r="S43" s="400">
        <f>'14'!S43</f>
        <v>0</v>
      </c>
      <c r="T43" s="446">
        <f>'14'!X43</f>
        <v>0</v>
      </c>
      <c r="U43" s="358"/>
      <c r="V43" s="453">
        <f t="shared" si="0"/>
        <v>0</v>
      </c>
      <c r="W43" s="403"/>
      <c r="X43" s="449">
        <f t="shared" si="1"/>
        <v>0</v>
      </c>
      <c r="Z43" s="383"/>
      <c r="AA43" s="356">
        <f>SUM(AA8:AA42)</f>
        <v>-293500</v>
      </c>
      <c r="AB43" s="385">
        <f>SUM(AB8:AB42)</f>
        <v>21250</v>
      </c>
      <c r="AC43" s="357" t="s">
        <v>74</v>
      </c>
      <c r="AD43" s="387">
        <f>SUM(AD8:AD42)</f>
        <v>546100</v>
      </c>
      <c r="AE43" s="358">
        <f>SUM(AE8:AE42)</f>
        <v>-818350</v>
      </c>
      <c r="AF43" s="565">
        <f>SUM(AF8:AF42)</f>
        <v>141250</v>
      </c>
      <c r="AG43" s="571">
        <f>SUM(AG8:AG42)</f>
        <v>959600</v>
      </c>
    </row>
    <row r="44" spans="1:40" ht="27" customHeight="1" thickTop="1">
      <c r="A44" s="715" t="str">
        <f>'14'!A44</f>
        <v>M.YOUSUF</v>
      </c>
      <c r="B44" s="234"/>
      <c r="C44" s="348">
        <f>'14'!D44</f>
        <v>0</v>
      </c>
      <c r="D44" s="234">
        <f t="shared" si="9"/>
        <v>0</v>
      </c>
      <c r="F44" s="479" t="str">
        <f>'14'!F44</f>
        <v>CASH SALE</v>
      </c>
      <c r="G44" s="409">
        <f>'CUSTOMERS REPORT'!Y1400</f>
        <v>0</v>
      </c>
      <c r="H44" s="501">
        <f>'CUSTOMERS REPORT'!Z1400</f>
        <v>0</v>
      </c>
      <c r="I44" s="409">
        <f>'CUSTOMERS REPORT'!AA1400</f>
        <v>0</v>
      </c>
      <c r="J44" s="501">
        <f>'CUSTOMERS REPORT'!AB1400</f>
        <v>0</v>
      </c>
      <c r="K44" s="501">
        <f>'CUSTOMERS REPORT'!AC1400</f>
        <v>0</v>
      </c>
      <c r="L44" s="409">
        <f>'CUSTOMERS REPORT'!AD1400</f>
        <v>0</v>
      </c>
      <c r="M44" s="414">
        <f>'14'!M44+'15'!G44</f>
        <v>0</v>
      </c>
      <c r="N44" s="412">
        <f>'14'!N44+'15'!J44</f>
        <v>0</v>
      </c>
      <c r="P44" s="222" t="s">
        <v>114</v>
      </c>
      <c r="Q44" s="377">
        <f>J46</f>
        <v>0</v>
      </c>
      <c r="S44" s="400"/>
      <c r="T44" s="348"/>
      <c r="U44" s="306"/>
      <c r="V44" s="349"/>
      <c r="W44" s="351"/>
      <c r="X44" s="350"/>
      <c r="Z44" s="375"/>
      <c r="AA44" s="339"/>
      <c r="AB44" s="386">
        <f>'14'!AB45</f>
        <v>120000</v>
      </c>
      <c r="AC44" s="340" t="s">
        <v>126</v>
      </c>
      <c r="AD44" s="388">
        <f>'14'!AD45</f>
        <v>413500</v>
      </c>
      <c r="AE44" s="341"/>
      <c r="AF44" s="561"/>
      <c r="AG44" s="83" t="s">
        <v>1</v>
      </c>
    </row>
    <row r="45" spans="1:40" ht="27" customHeight="1" thickBot="1">
      <c r="A45" s="715" t="str">
        <f>'14'!A45</f>
        <v>SHAKEEL</v>
      </c>
      <c r="B45" s="234"/>
      <c r="C45" s="348">
        <f>'14'!D45</f>
        <v>0</v>
      </c>
      <c r="D45" s="234">
        <f t="shared" si="9"/>
        <v>0</v>
      </c>
      <c r="F45" s="479" t="str">
        <f>'14'!F45</f>
        <v xml:space="preserve">FREE </v>
      </c>
      <c r="G45" s="410">
        <f>'CUSTOMERS REPORT'!Y1436</f>
        <v>0</v>
      </c>
      <c r="H45" s="502">
        <f>'CUSTOMERS REPORT'!Z1436</f>
        <v>0</v>
      </c>
      <c r="I45" s="410">
        <f>'CUSTOMERS REPORT'!AA1436</f>
        <v>0</v>
      </c>
      <c r="J45" s="502">
        <f>'CUSTOMERS REPORT'!AB1436</f>
        <v>0</v>
      </c>
      <c r="K45" s="502">
        <f>'CUSTOMERS REPORT'!AC1436</f>
        <v>0</v>
      </c>
      <c r="L45" s="410">
        <f>'CUSTOMERS REPORT'!AD1436</f>
        <v>0</v>
      </c>
      <c r="M45" s="414">
        <f>'14'!M45+'15'!G45</f>
        <v>0</v>
      </c>
      <c r="N45" s="412">
        <f>'14'!N45+'15'!J45</f>
        <v>0</v>
      </c>
      <c r="P45" s="222" t="s">
        <v>153</v>
      </c>
      <c r="Q45" s="378">
        <f>Q43+Q44</f>
        <v>-331620</v>
      </c>
      <c r="S45" s="401"/>
      <c r="T45" s="352"/>
      <c r="U45" s="307"/>
      <c r="V45" s="353"/>
      <c r="W45" s="354"/>
      <c r="X45" s="355"/>
      <c r="Z45" s="384"/>
      <c r="AA45" s="359"/>
      <c r="AB45" s="390">
        <f>SUM(AB43:AB44)</f>
        <v>141250</v>
      </c>
      <c r="AC45" s="360" t="s">
        <v>74</v>
      </c>
      <c r="AD45" s="389">
        <f>SUM(AD43:AD44)</f>
        <v>959600</v>
      </c>
      <c r="AE45" s="361"/>
      <c r="AF45" s="562"/>
      <c r="AG45" s="573"/>
    </row>
    <row r="46" spans="1:40" ht="27" customHeight="1" thickTop="1" thickBot="1">
      <c r="A46" s="715" t="str">
        <f>'14'!A46</f>
        <v>ZAHID HUSSAN</v>
      </c>
      <c r="B46" s="234"/>
      <c r="C46" s="348">
        <f>'14'!D46</f>
        <v>0</v>
      </c>
      <c r="D46" s="234">
        <f t="shared" si="9"/>
        <v>0</v>
      </c>
      <c r="F46" s="369"/>
      <c r="G46" s="424">
        <f>SUM(G8:G45)</f>
        <v>0</v>
      </c>
      <c r="H46" s="1497" t="s">
        <v>160</v>
      </c>
      <c r="I46" s="1498"/>
      <c r="J46" s="421">
        <f>SUM(J8:J45)</f>
        <v>0</v>
      </c>
      <c r="K46" s="427">
        <f>SUM(K8:K45)</f>
        <v>0</v>
      </c>
      <c r="L46" s="431">
        <f>SUM(L8:L45)</f>
        <v>0</v>
      </c>
      <c r="M46" s="429">
        <f>SUM(M8:M45)</f>
        <v>0</v>
      </c>
      <c r="N46" s="430">
        <f>SUM(N8:N45)</f>
        <v>0</v>
      </c>
      <c r="P46" s="222" t="s">
        <v>154</v>
      </c>
      <c r="Q46" s="378">
        <f>B48</f>
        <v>588070</v>
      </c>
    </row>
    <row r="47" spans="1:40" ht="27" customHeight="1" thickBot="1">
      <c r="A47" s="715" t="str">
        <f>'14'!A47</f>
        <v xml:space="preserve">INVESTOR </v>
      </c>
      <c r="B47" s="540"/>
      <c r="C47" s="348">
        <f>'14'!D47</f>
        <v>0</v>
      </c>
      <c r="D47" s="542">
        <f t="shared" si="9"/>
        <v>0</v>
      </c>
      <c r="F47" s="370"/>
      <c r="G47" s="425">
        <f>'14'!G48</f>
        <v>0</v>
      </c>
      <c r="H47" s="1512" t="s">
        <v>162</v>
      </c>
      <c r="I47" s="1513"/>
      <c r="J47" s="423">
        <f>'14'!J48</f>
        <v>0</v>
      </c>
      <c r="K47" s="423">
        <f>'14'!K48</f>
        <v>0</v>
      </c>
      <c r="L47" s="343"/>
      <c r="M47" s="344"/>
      <c r="N47" s="345"/>
      <c r="P47" s="375" t="s">
        <v>163</v>
      </c>
      <c r="Q47" s="378">
        <f>Q9+Q10+Q19+Q20+Q21+Q22</f>
        <v>0</v>
      </c>
      <c r="R47" s="19"/>
      <c r="S47" s="1489" t="s">
        <v>92</v>
      </c>
      <c r="T47" s="1516" t="s">
        <v>95</v>
      </c>
      <c r="U47" s="1518"/>
      <c r="V47" s="1518"/>
      <c r="W47" s="1517"/>
      <c r="X47" s="1516" t="s">
        <v>7</v>
      </c>
      <c r="Y47" s="1518"/>
      <c r="Z47" s="1517"/>
      <c r="AA47" s="1516" t="s">
        <v>8</v>
      </c>
      <c r="AB47" s="1517"/>
      <c r="AC47" s="1516" t="s">
        <v>9</v>
      </c>
      <c r="AD47" s="1518"/>
      <c r="AE47" s="1518"/>
      <c r="AF47" s="1518"/>
      <c r="AG47" s="1518"/>
      <c r="AH47" s="1518"/>
      <c r="AI47" s="1518"/>
      <c r="AJ47" s="1405" t="s">
        <v>10</v>
      </c>
      <c r="AK47" s="1406"/>
      <c r="AL47" s="1400" t="s">
        <v>289</v>
      </c>
      <c r="AM47" s="1401"/>
      <c r="AN47" s="842" t="s">
        <v>290</v>
      </c>
    </row>
    <row r="48" spans="1:40" ht="27" customHeight="1" thickTop="1" thickBot="1">
      <c r="A48" s="192" t="s">
        <v>74</v>
      </c>
      <c r="B48" s="544">
        <f>SUM(B22:B47)</f>
        <v>588070</v>
      </c>
      <c r="C48" s="543">
        <f>'14'!D48</f>
        <v>331620</v>
      </c>
      <c r="D48" s="544">
        <f t="shared" si="9"/>
        <v>919690</v>
      </c>
      <c r="F48" s="371"/>
      <c r="G48" s="426">
        <f>G46+G47</f>
        <v>0</v>
      </c>
      <c r="H48" s="1495" t="s">
        <v>164</v>
      </c>
      <c r="I48" s="1496"/>
      <c r="J48" s="422">
        <f>J46+J47</f>
        <v>0</v>
      </c>
      <c r="K48" s="428">
        <f>K46+K47</f>
        <v>0</v>
      </c>
      <c r="L48" s="346"/>
      <c r="M48" s="347"/>
      <c r="N48" s="622">
        <f>G48-J48</f>
        <v>0</v>
      </c>
      <c r="P48" s="376" t="s">
        <v>155</v>
      </c>
      <c r="Q48" s="379">
        <f>Q45-Q46-Q47</f>
        <v>-919690</v>
      </c>
      <c r="R48" s="19"/>
      <c r="S48" s="1490"/>
      <c r="T48" s="482" t="s">
        <v>12</v>
      </c>
      <c r="U48" s="482" t="s">
        <v>13</v>
      </c>
      <c r="V48" s="482" t="s">
        <v>14</v>
      </c>
      <c r="W48" s="958" t="s">
        <v>263</v>
      </c>
      <c r="X48" s="482" t="s">
        <v>12</v>
      </c>
      <c r="Y48" s="482" t="s">
        <v>13</v>
      </c>
      <c r="Z48" s="482" t="s">
        <v>282</v>
      </c>
      <c r="AA48" s="482" t="s">
        <v>12</v>
      </c>
      <c r="AB48" s="482" t="s">
        <v>16</v>
      </c>
      <c r="AC48" s="482" t="s">
        <v>17</v>
      </c>
      <c r="AD48" s="482" t="s">
        <v>18</v>
      </c>
      <c r="AE48" s="482" t="s">
        <v>19</v>
      </c>
      <c r="AF48" s="484" t="s">
        <v>96</v>
      </c>
      <c r="AG48" s="484" t="s">
        <v>257</v>
      </c>
      <c r="AH48" s="482" t="s">
        <v>254</v>
      </c>
      <c r="AI48" s="482" t="s">
        <v>20</v>
      </c>
      <c r="AJ48" s="483" t="s">
        <v>14</v>
      </c>
      <c r="AK48" s="482" t="s">
        <v>13</v>
      </c>
      <c r="AL48" s="846" t="s">
        <v>284</v>
      </c>
      <c r="AM48" s="846" t="s">
        <v>288</v>
      </c>
      <c r="AN48" s="966" t="s">
        <v>291</v>
      </c>
    </row>
    <row r="49" spans="1:40" ht="24.95" customHeight="1" thickTop="1" thickBot="1">
      <c r="Q49" s="111">
        <f>Q48+Q41</f>
        <v>-919690</v>
      </c>
      <c r="R49" s="19"/>
      <c r="S49" s="865" t="s">
        <v>165</v>
      </c>
      <c r="T49" s="866">
        <f>'14'!T55</f>
        <v>0</v>
      </c>
      <c r="U49" s="866">
        <f>'14'!U55</f>
        <v>0</v>
      </c>
      <c r="V49" s="866">
        <f>'14'!V55</f>
        <v>-2</v>
      </c>
      <c r="W49" s="866">
        <f>'14'!W55</f>
        <v>0</v>
      </c>
      <c r="X49" s="866">
        <f>'14'!X55</f>
        <v>0</v>
      </c>
      <c r="Y49" s="866">
        <f>'14'!Y55</f>
        <v>0</v>
      </c>
      <c r="Z49" s="866">
        <f>'14'!Z55</f>
        <v>-2</v>
      </c>
      <c r="AA49" s="866">
        <f>'14'!AA55</f>
        <v>0</v>
      </c>
      <c r="AB49" s="866">
        <f>'14'!AB55</f>
        <v>0</v>
      </c>
      <c r="AC49" s="866">
        <f>'14'!AC55</f>
        <v>465</v>
      </c>
      <c r="AD49" s="866">
        <f>'14'!AD55</f>
        <v>0</v>
      </c>
      <c r="AE49" s="866">
        <f>'14'!AE55</f>
        <v>0</v>
      </c>
      <c r="AF49" s="866">
        <f>'14'!AF55</f>
        <v>381</v>
      </c>
      <c r="AG49" s="866">
        <f>'14'!AG55</f>
        <v>-2</v>
      </c>
      <c r="AH49" s="866">
        <f>'14'!AH55</f>
        <v>854</v>
      </c>
      <c r="AI49" s="866">
        <f>'14'!AI55</f>
        <v>0</v>
      </c>
      <c r="AJ49" s="866">
        <f>'14'!AJ55</f>
        <v>0</v>
      </c>
      <c r="AK49" s="866">
        <f>'14'!AK55</f>
        <v>-1</v>
      </c>
      <c r="AL49" s="866" t="e">
        <f>'14'!AL55</f>
        <v>#VALUE!</v>
      </c>
      <c r="AM49" s="866" t="e">
        <f>'14'!AM55</f>
        <v>#VALUE!</v>
      </c>
      <c r="AN49" s="866" t="e">
        <f>'14'!AN55</f>
        <v>#VALUE!</v>
      </c>
    </row>
    <row r="50" spans="1:40" ht="24.95" customHeight="1" thickBot="1">
      <c r="C50" t="s">
        <v>1</v>
      </c>
      <c r="L50" s="417">
        <v>5000</v>
      </c>
      <c r="M50" s="417"/>
      <c r="N50" s="417">
        <f t="shared" ref="N50:N57" si="10">L50*M50</f>
        <v>0</v>
      </c>
      <c r="R50" s="19"/>
      <c r="S50" s="854" t="s">
        <v>166</v>
      </c>
      <c r="T50" s="852"/>
      <c r="U50" s="852"/>
      <c r="V50" s="852"/>
      <c r="W50" s="852"/>
      <c r="X50" s="852"/>
      <c r="Y50" s="852"/>
      <c r="Z50" s="852"/>
      <c r="AA50" s="852"/>
      <c r="AB50" s="852"/>
      <c r="AC50" s="852">
        <v>359</v>
      </c>
      <c r="AD50" s="852">
        <v>70</v>
      </c>
      <c r="AE50" s="852"/>
      <c r="AF50" s="852">
        <v>161</v>
      </c>
      <c r="AG50" s="855">
        <v>376</v>
      </c>
      <c r="AH50" s="852"/>
      <c r="AI50" s="852">
        <v>631</v>
      </c>
      <c r="AJ50" s="848"/>
      <c r="AK50" s="848"/>
      <c r="AL50" s="849"/>
      <c r="AM50" s="849"/>
      <c r="AN50" s="930"/>
    </row>
    <row r="51" spans="1:40" ht="24.95" customHeight="1" thickBot="1">
      <c r="L51" s="417">
        <v>1000</v>
      </c>
      <c r="M51" s="417"/>
      <c r="N51" s="417">
        <f t="shared" si="10"/>
        <v>0</v>
      </c>
      <c r="R51" s="19"/>
      <c r="S51" s="867" t="s">
        <v>91</v>
      </c>
      <c r="T51" s="868"/>
      <c r="U51" s="868"/>
      <c r="V51" s="868"/>
      <c r="W51" s="868"/>
      <c r="X51" s="868"/>
      <c r="Y51" s="868"/>
      <c r="Z51" s="868"/>
      <c r="AA51" s="868"/>
      <c r="AB51" s="868"/>
      <c r="AC51" s="868"/>
      <c r="AD51" s="868"/>
      <c r="AE51" s="868"/>
      <c r="AF51" s="868"/>
      <c r="AG51" s="869"/>
      <c r="AH51" s="868"/>
      <c r="AI51" s="870"/>
      <c r="AJ51" s="868"/>
      <c r="AK51" s="868"/>
      <c r="AL51" s="849"/>
      <c r="AM51" s="849"/>
      <c r="AN51" s="850"/>
    </row>
    <row r="52" spans="1:40" ht="24.95" customHeight="1" thickBot="1">
      <c r="L52" s="417">
        <v>500</v>
      </c>
      <c r="M52" s="417"/>
      <c r="N52" s="417">
        <f t="shared" si="10"/>
        <v>0</v>
      </c>
      <c r="O52" t="s">
        <v>1</v>
      </c>
      <c r="R52" s="19"/>
      <c r="S52" s="856" t="s">
        <v>167</v>
      </c>
      <c r="T52" s="857"/>
      <c r="U52" s="857"/>
      <c r="V52" s="857"/>
      <c r="W52" s="857"/>
      <c r="X52" s="857"/>
      <c r="Y52" s="857"/>
      <c r="Z52" s="857"/>
      <c r="AA52" s="857"/>
      <c r="AB52" s="857"/>
      <c r="AC52" s="857"/>
      <c r="AD52" s="857"/>
      <c r="AE52" s="857"/>
      <c r="AF52" s="857"/>
      <c r="AG52" s="858"/>
      <c r="AH52" s="859"/>
      <c r="AI52" s="860"/>
      <c r="AJ52" s="851"/>
      <c r="AK52" s="851"/>
      <c r="AL52" s="849"/>
      <c r="AM52" s="849"/>
      <c r="AN52" s="850"/>
    </row>
    <row r="53" spans="1:40" ht="24.95" customHeight="1" thickBot="1">
      <c r="L53" s="417">
        <v>100</v>
      </c>
      <c r="M53" s="417"/>
      <c r="N53" s="417">
        <f t="shared" si="10"/>
        <v>0</v>
      </c>
      <c r="R53" s="19"/>
      <c r="S53" s="871" t="s">
        <v>81</v>
      </c>
      <c r="T53" s="866">
        <f t="shared" ref="T53:AN53" si="11">SUM(T49+T50+T52)</f>
        <v>0</v>
      </c>
      <c r="U53" s="866">
        <f t="shared" si="11"/>
        <v>0</v>
      </c>
      <c r="V53" s="866">
        <f t="shared" si="11"/>
        <v>-2</v>
      </c>
      <c r="W53" s="866">
        <f t="shared" si="11"/>
        <v>0</v>
      </c>
      <c r="X53" s="866">
        <f t="shared" si="11"/>
        <v>0</v>
      </c>
      <c r="Y53" s="866">
        <f t="shared" si="11"/>
        <v>0</v>
      </c>
      <c r="Z53" s="866">
        <f t="shared" si="11"/>
        <v>-2</v>
      </c>
      <c r="AA53" s="866">
        <f t="shared" si="11"/>
        <v>0</v>
      </c>
      <c r="AB53" s="866">
        <f t="shared" si="11"/>
        <v>0</v>
      </c>
      <c r="AC53" s="866">
        <f t="shared" si="11"/>
        <v>824</v>
      </c>
      <c r="AD53" s="866">
        <f t="shared" si="11"/>
        <v>70</v>
      </c>
      <c r="AE53" s="866">
        <f t="shared" si="11"/>
        <v>0</v>
      </c>
      <c r="AF53" s="866">
        <f t="shared" si="11"/>
        <v>542</v>
      </c>
      <c r="AG53" s="866">
        <f t="shared" si="11"/>
        <v>374</v>
      </c>
      <c r="AH53" s="866">
        <f t="shared" si="11"/>
        <v>854</v>
      </c>
      <c r="AI53" s="866">
        <f t="shared" si="11"/>
        <v>631</v>
      </c>
      <c r="AJ53" s="866">
        <f t="shared" si="11"/>
        <v>0</v>
      </c>
      <c r="AK53" s="866">
        <f t="shared" si="11"/>
        <v>-1</v>
      </c>
      <c r="AL53" s="866" t="e">
        <f t="shared" si="11"/>
        <v>#VALUE!</v>
      </c>
      <c r="AM53" s="866" t="e">
        <f t="shared" si="11"/>
        <v>#VALUE!</v>
      </c>
      <c r="AN53" s="872" t="e">
        <f t="shared" si="11"/>
        <v>#VALUE!</v>
      </c>
    </row>
    <row r="54" spans="1:40" ht="24.95" customHeight="1" thickBot="1">
      <c r="L54" s="417">
        <v>50</v>
      </c>
      <c r="M54" s="417"/>
      <c r="N54" s="417">
        <f t="shared" si="10"/>
        <v>0</v>
      </c>
      <c r="R54" s="19"/>
      <c r="S54" s="854" t="s">
        <v>168</v>
      </c>
      <c r="T54" s="852">
        <f>'CUSTOMERS REPORT'!B22+'CUSTOMERS REPORT'!B68+'CUSTOMERS REPORT'!B106+'CUSTOMERS REPORT'!B145+'CUSTOMERS REPORT'!B183+'CUSTOMERS REPORT'!B223+'CUSTOMERS REPORT'!B260+'CUSTOMERS REPORT'!B300+'CUSTOMERS REPORT'!B341+'CUSTOMERS REPORT'!B383+'CUSTOMERS REPORT'!B422+'CUSTOMERS REPORT'!B460+'CUSTOMERS REPORT'!B496+'CUSTOMERS REPORT'!B533+'CUSTOMERS REPORT'!B571+'CUSTOMERS REPORT'!B607+'CUSTOMERS REPORT'!B645+'CUSTOMERS REPORT'!B683+'CUSTOMERS REPORT'!B721+'CUSTOMERS REPORT'!B759+'CUSTOMERS REPORT'!B797+'CUSTOMERS REPORT'!B835+'CUSTOMERS REPORT'!B873+'CUSTOMERS REPORT'!B912+'CUSTOMERS REPORT'!B951+'CUSTOMERS REPORT'!B989+'CUSTOMERS REPORT'!B1027+'CUSTOMERS REPORT'!B1065+'CUSTOMERS REPORT'!B1103+'CUSTOMERS REPORT'!B1141+'CUSTOMERS REPORT'!B1178+'CUSTOMERS REPORT'!B1215+'CUSTOMERS REPORT'!B1252+'CUSTOMERS REPORT'!B1289+'CUSTOMERS REPORT'!B1326+'CUSTOMERS REPORT'!B1363+'CUSTOMERS REPORT'!B1400+'CUSTOMERS REPORT'!B1436</f>
        <v>0</v>
      </c>
      <c r="U54" s="852">
        <f>'CUSTOMERS REPORT'!C22+'CUSTOMERS REPORT'!C68+'CUSTOMERS REPORT'!C106+'CUSTOMERS REPORT'!C145+'CUSTOMERS REPORT'!C183+'CUSTOMERS REPORT'!C223+'CUSTOMERS REPORT'!C260+'CUSTOMERS REPORT'!C300+'CUSTOMERS REPORT'!C341+'CUSTOMERS REPORT'!C383+'CUSTOMERS REPORT'!C422+'CUSTOMERS REPORT'!C460+'CUSTOMERS REPORT'!C496+'CUSTOMERS REPORT'!C533+'CUSTOMERS REPORT'!C571+'CUSTOMERS REPORT'!C607+'CUSTOMERS REPORT'!C645+'CUSTOMERS REPORT'!C683+'CUSTOMERS REPORT'!C721+'CUSTOMERS REPORT'!C759+'CUSTOMERS REPORT'!C797+'CUSTOMERS REPORT'!C835+'CUSTOMERS REPORT'!C873+'CUSTOMERS REPORT'!C912+'CUSTOMERS REPORT'!C951+'CUSTOMERS REPORT'!C989+'CUSTOMERS REPORT'!C1027+'CUSTOMERS REPORT'!C1065+'CUSTOMERS REPORT'!C1103+'CUSTOMERS REPORT'!C1141+'CUSTOMERS REPORT'!C1178+'CUSTOMERS REPORT'!C1215+'CUSTOMERS REPORT'!C1252+'CUSTOMERS REPORT'!C1289+'CUSTOMERS REPORT'!C1326+'CUSTOMERS REPORT'!C1363+'CUSTOMERS REPORT'!C1400+'CUSTOMERS REPORT'!C1436</f>
        <v>0</v>
      </c>
      <c r="V54" s="852">
        <f>'CUSTOMERS REPORT'!D22+'CUSTOMERS REPORT'!D68+'CUSTOMERS REPORT'!D106+'CUSTOMERS REPORT'!D145+'CUSTOMERS REPORT'!D183+'CUSTOMERS REPORT'!D223+'CUSTOMERS REPORT'!D260+'CUSTOMERS REPORT'!D300+'CUSTOMERS REPORT'!D341+'CUSTOMERS REPORT'!D383+'CUSTOMERS REPORT'!D422+'CUSTOMERS REPORT'!D460+'CUSTOMERS REPORT'!D496+'CUSTOMERS REPORT'!D533+'CUSTOMERS REPORT'!D571+'CUSTOMERS REPORT'!D607+'CUSTOMERS REPORT'!D645+'CUSTOMERS REPORT'!D683+'CUSTOMERS REPORT'!D721+'CUSTOMERS REPORT'!D759+'CUSTOMERS REPORT'!D797+'CUSTOMERS REPORT'!D835+'CUSTOMERS REPORT'!D873+'CUSTOMERS REPORT'!D912+'CUSTOMERS REPORT'!D951+'CUSTOMERS REPORT'!D989+'CUSTOMERS REPORT'!D1027+'CUSTOMERS REPORT'!D1065+'CUSTOMERS REPORT'!D1103+'CUSTOMERS REPORT'!D1141+'CUSTOMERS REPORT'!D1178+'CUSTOMERS REPORT'!D1215+'CUSTOMERS REPORT'!D1252+'CUSTOMERS REPORT'!D1289+'CUSTOMERS REPORT'!D1326+'CUSTOMERS REPORT'!D1363+'CUSTOMERS REPORT'!D1400+'CUSTOMERS REPORT'!D1436</f>
        <v>0</v>
      </c>
      <c r="W54" s="852">
        <f>'CUSTOMERS REPORT'!E22+'CUSTOMERS REPORT'!E68+'CUSTOMERS REPORT'!E106+'CUSTOMERS REPORT'!E145+'CUSTOMERS REPORT'!E183+'CUSTOMERS REPORT'!E223+'CUSTOMERS REPORT'!E260+'CUSTOMERS REPORT'!E300+'CUSTOMERS REPORT'!E341+'CUSTOMERS REPORT'!E383+'CUSTOMERS REPORT'!E422+'CUSTOMERS REPORT'!E460+'CUSTOMERS REPORT'!E496+'CUSTOMERS REPORT'!E533+'CUSTOMERS REPORT'!E571+'CUSTOMERS REPORT'!E607+'CUSTOMERS REPORT'!E645+'CUSTOMERS REPORT'!E683+'CUSTOMERS REPORT'!E721+'CUSTOMERS REPORT'!E759+'CUSTOMERS REPORT'!E797+'CUSTOMERS REPORT'!E835+'CUSTOMERS REPORT'!E873+'CUSTOMERS REPORT'!E912+'CUSTOMERS REPORT'!E951+'CUSTOMERS REPORT'!E989+'CUSTOMERS REPORT'!E1027+'CUSTOMERS REPORT'!E1065+'CUSTOMERS REPORT'!E1103+'CUSTOMERS REPORT'!E1141+'CUSTOMERS REPORT'!E1178+'CUSTOMERS REPORT'!E1215+'CUSTOMERS REPORT'!E1252+'CUSTOMERS REPORT'!E1289+'CUSTOMERS REPORT'!E1326+'CUSTOMERS REPORT'!E1363+'CUSTOMERS REPORT'!E1400+'CUSTOMERS REPORT'!E1436</f>
        <v>0</v>
      </c>
      <c r="X54" s="852">
        <f>'CUSTOMERS REPORT'!F22+'CUSTOMERS REPORT'!F68+'CUSTOMERS REPORT'!F106+'CUSTOMERS REPORT'!F145+'CUSTOMERS REPORT'!F183+'CUSTOMERS REPORT'!F223+'CUSTOMERS REPORT'!F260+'CUSTOMERS REPORT'!F300+'CUSTOMERS REPORT'!F341+'CUSTOMERS REPORT'!F383+'CUSTOMERS REPORT'!F422+'CUSTOMERS REPORT'!F460+'CUSTOMERS REPORT'!F496+'CUSTOMERS REPORT'!F533+'CUSTOMERS REPORT'!F571+'CUSTOMERS REPORT'!F607+'CUSTOMERS REPORT'!F645+'CUSTOMERS REPORT'!F683+'CUSTOMERS REPORT'!F721+'CUSTOMERS REPORT'!F759+'CUSTOMERS REPORT'!F797+'CUSTOMERS REPORT'!F835+'CUSTOMERS REPORT'!F873+'CUSTOMERS REPORT'!F912+'CUSTOMERS REPORT'!F951+'CUSTOMERS REPORT'!F989+'CUSTOMERS REPORT'!F1027+'CUSTOMERS REPORT'!F1065+'CUSTOMERS REPORT'!F1103+'CUSTOMERS REPORT'!F1141+'CUSTOMERS REPORT'!F1178+'CUSTOMERS REPORT'!F1215+'CUSTOMERS REPORT'!F1252+'CUSTOMERS REPORT'!F1289+'CUSTOMERS REPORT'!F1326+'CUSTOMERS REPORT'!F1363+'CUSTOMERS REPORT'!F1400+'CUSTOMERS REPORT'!F1436</f>
        <v>0</v>
      </c>
      <c r="Y54" s="852">
        <f>'CUSTOMERS REPORT'!G22+'CUSTOMERS REPORT'!G68+'CUSTOMERS REPORT'!G106+'CUSTOMERS REPORT'!G145+'CUSTOMERS REPORT'!G183+'CUSTOMERS REPORT'!G223+'CUSTOMERS REPORT'!G260+'CUSTOMERS REPORT'!G300+'CUSTOMERS REPORT'!G341+'CUSTOMERS REPORT'!G383+'CUSTOMERS REPORT'!G422+'CUSTOMERS REPORT'!G460+'CUSTOMERS REPORT'!G496+'CUSTOMERS REPORT'!G533+'CUSTOMERS REPORT'!G571+'CUSTOMERS REPORT'!G607+'CUSTOMERS REPORT'!G645+'CUSTOMERS REPORT'!G683+'CUSTOMERS REPORT'!G721+'CUSTOMERS REPORT'!G759+'CUSTOMERS REPORT'!G797+'CUSTOMERS REPORT'!G835+'CUSTOMERS REPORT'!G873+'CUSTOMERS REPORT'!G912+'CUSTOMERS REPORT'!G951+'CUSTOMERS REPORT'!G989+'CUSTOMERS REPORT'!G1027+'CUSTOMERS REPORT'!G1065+'CUSTOMERS REPORT'!G1103+'CUSTOMERS REPORT'!G1141+'CUSTOMERS REPORT'!G1178+'CUSTOMERS REPORT'!G1215+'CUSTOMERS REPORT'!G1252+'CUSTOMERS REPORT'!G1289+'CUSTOMERS REPORT'!G1326+'CUSTOMERS REPORT'!G1363+'CUSTOMERS REPORT'!G1400+'CUSTOMERS REPORT'!G1436</f>
        <v>0</v>
      </c>
      <c r="Z54" s="852">
        <f>'CUSTOMERS REPORT'!H22+'CUSTOMERS REPORT'!H68+'CUSTOMERS REPORT'!H106+'CUSTOMERS REPORT'!H145+'CUSTOMERS REPORT'!H183+'CUSTOMERS REPORT'!H223+'CUSTOMERS REPORT'!H260+'CUSTOMERS REPORT'!H300+'CUSTOMERS REPORT'!H341+'CUSTOMERS REPORT'!H383+'CUSTOMERS REPORT'!H422+'CUSTOMERS REPORT'!H460+'CUSTOMERS REPORT'!H496+'CUSTOMERS REPORT'!H533+'CUSTOMERS REPORT'!H571+'CUSTOMERS REPORT'!H607+'CUSTOMERS REPORT'!H645+'CUSTOMERS REPORT'!H683+'CUSTOMERS REPORT'!H721+'CUSTOMERS REPORT'!H759+'CUSTOMERS REPORT'!H797+'CUSTOMERS REPORT'!H835+'CUSTOMERS REPORT'!H873+'CUSTOMERS REPORT'!H912+'CUSTOMERS REPORT'!H951+'CUSTOMERS REPORT'!H989+'CUSTOMERS REPORT'!H1027+'CUSTOMERS REPORT'!H1065+'CUSTOMERS REPORT'!H1103+'CUSTOMERS REPORT'!H1141+'CUSTOMERS REPORT'!H1178+'CUSTOMERS REPORT'!H1215+'CUSTOMERS REPORT'!H1252+'CUSTOMERS REPORT'!H1289+'CUSTOMERS REPORT'!H1326+'CUSTOMERS REPORT'!H1363+'CUSTOMERS REPORT'!H1400+'CUSTOMERS REPORT'!H1436</f>
        <v>0</v>
      </c>
      <c r="AA54" s="852">
        <f>'CUSTOMERS REPORT'!I22+'CUSTOMERS REPORT'!I68+'CUSTOMERS REPORT'!I106+'CUSTOMERS REPORT'!I145+'CUSTOMERS REPORT'!I183+'CUSTOMERS REPORT'!I223+'CUSTOMERS REPORT'!I260+'CUSTOMERS REPORT'!I300+'CUSTOMERS REPORT'!I341+'CUSTOMERS REPORT'!I383+'CUSTOMERS REPORT'!I422+'CUSTOMERS REPORT'!I460+'CUSTOMERS REPORT'!I496+'CUSTOMERS REPORT'!I533+'CUSTOMERS REPORT'!I571+'CUSTOMERS REPORT'!I607+'CUSTOMERS REPORT'!I645+'CUSTOMERS REPORT'!I683+'CUSTOMERS REPORT'!I721+'CUSTOMERS REPORT'!I759+'CUSTOMERS REPORT'!I797+'CUSTOMERS REPORT'!I835+'CUSTOMERS REPORT'!I873+'CUSTOMERS REPORT'!I912+'CUSTOMERS REPORT'!I951+'CUSTOMERS REPORT'!I989+'CUSTOMERS REPORT'!I1027+'CUSTOMERS REPORT'!I1065+'CUSTOMERS REPORT'!I1103+'CUSTOMERS REPORT'!I1141+'CUSTOMERS REPORT'!I1178+'CUSTOMERS REPORT'!I1215+'CUSTOMERS REPORT'!I1252+'CUSTOMERS REPORT'!I1289+'CUSTOMERS REPORT'!I1326+'CUSTOMERS REPORT'!I1363+'CUSTOMERS REPORT'!I1400+'CUSTOMERS REPORT'!I1436</f>
        <v>0</v>
      </c>
      <c r="AB54" s="852">
        <f>'CUSTOMERS REPORT'!J22+'CUSTOMERS REPORT'!J68+'CUSTOMERS REPORT'!J106+'CUSTOMERS REPORT'!J145+'CUSTOMERS REPORT'!J183+'CUSTOMERS REPORT'!J223+'CUSTOMERS REPORT'!J260+'CUSTOMERS REPORT'!J300+'CUSTOMERS REPORT'!J341+'CUSTOMERS REPORT'!J383+'CUSTOMERS REPORT'!J422+'CUSTOMERS REPORT'!J460+'CUSTOMERS REPORT'!J496+'CUSTOMERS REPORT'!J533+'CUSTOMERS REPORT'!J571+'CUSTOMERS REPORT'!J607+'CUSTOMERS REPORT'!J645+'CUSTOMERS REPORT'!J683+'CUSTOMERS REPORT'!J721+'CUSTOMERS REPORT'!J759+'CUSTOMERS REPORT'!J797+'CUSTOMERS REPORT'!J835+'CUSTOMERS REPORT'!J873+'CUSTOMERS REPORT'!J912+'CUSTOMERS REPORT'!J951+'CUSTOMERS REPORT'!J989+'CUSTOMERS REPORT'!J1027+'CUSTOMERS REPORT'!J1065+'CUSTOMERS REPORT'!J1103+'CUSTOMERS REPORT'!J1141+'CUSTOMERS REPORT'!J1178+'CUSTOMERS REPORT'!J1215+'CUSTOMERS REPORT'!J1252+'CUSTOMERS REPORT'!J1289+'CUSTOMERS REPORT'!J1326+'CUSTOMERS REPORT'!J1363+'CUSTOMERS REPORT'!J1400+'CUSTOMERS REPORT'!J1436</f>
        <v>0</v>
      </c>
      <c r="AC54" s="852">
        <f>'CUSTOMERS REPORT'!K22+'CUSTOMERS REPORT'!K68+'CUSTOMERS REPORT'!K106+'CUSTOMERS REPORT'!K145+'CUSTOMERS REPORT'!K183+'CUSTOMERS REPORT'!K223+'CUSTOMERS REPORT'!K260+'CUSTOMERS REPORT'!K300+'CUSTOMERS REPORT'!K341+'CUSTOMERS REPORT'!K383+'CUSTOMERS REPORT'!K422+'CUSTOMERS REPORT'!K460+'CUSTOMERS REPORT'!K496+'CUSTOMERS REPORT'!K533+'CUSTOMERS REPORT'!K571+'CUSTOMERS REPORT'!K607+'CUSTOMERS REPORT'!K645+'CUSTOMERS REPORT'!K683+'CUSTOMERS REPORT'!K721+'CUSTOMERS REPORT'!K759+'CUSTOMERS REPORT'!K797+'CUSTOMERS REPORT'!K835+'CUSTOMERS REPORT'!K873+'CUSTOMERS REPORT'!K912+'CUSTOMERS REPORT'!K951+'CUSTOMERS REPORT'!K989+'CUSTOMERS REPORT'!K1027+'CUSTOMERS REPORT'!K1065+'CUSTOMERS REPORT'!K1103+'CUSTOMERS REPORT'!K1141+'CUSTOMERS REPORT'!K1178+'CUSTOMERS REPORT'!K1215+'CUSTOMERS REPORT'!K1252+'CUSTOMERS REPORT'!K1289+'CUSTOMERS REPORT'!K1326+'CUSTOMERS REPORT'!K1363+'CUSTOMERS REPORT'!K1400+'CUSTOMERS REPORT'!K1436</f>
        <v>0</v>
      </c>
      <c r="AD54" s="852">
        <f>'CUSTOMERS REPORT'!L22+'CUSTOMERS REPORT'!L68+'CUSTOMERS REPORT'!L106+'CUSTOMERS REPORT'!L145+'CUSTOMERS REPORT'!L183+'CUSTOMERS REPORT'!L223+'CUSTOMERS REPORT'!L260+'CUSTOMERS REPORT'!L300+'CUSTOMERS REPORT'!L341+'CUSTOMERS REPORT'!L383+'CUSTOMERS REPORT'!L422+'CUSTOMERS REPORT'!L460+'CUSTOMERS REPORT'!L496+'CUSTOMERS REPORT'!L533+'CUSTOMERS REPORT'!L571+'CUSTOMERS REPORT'!L607+'CUSTOMERS REPORT'!L645+'CUSTOMERS REPORT'!L683+'CUSTOMERS REPORT'!L721+'CUSTOMERS REPORT'!L759+'CUSTOMERS REPORT'!L797+'CUSTOMERS REPORT'!L835+'CUSTOMERS REPORT'!L873+'CUSTOMERS REPORT'!L912+'CUSTOMERS REPORT'!L951+'CUSTOMERS REPORT'!L989+'CUSTOMERS REPORT'!L1027+'CUSTOMERS REPORT'!L1065+'CUSTOMERS REPORT'!L1103+'CUSTOMERS REPORT'!L1141+'CUSTOMERS REPORT'!L1178+'CUSTOMERS REPORT'!L1215+'CUSTOMERS REPORT'!L1252+'CUSTOMERS REPORT'!L1289+'CUSTOMERS REPORT'!L1326+'CUSTOMERS REPORT'!L1363+'CUSTOMERS REPORT'!L1400+'CUSTOMERS REPORT'!L1436</f>
        <v>0</v>
      </c>
      <c r="AE54" s="852">
        <f>'CUSTOMERS REPORT'!M22+'CUSTOMERS REPORT'!M68+'CUSTOMERS REPORT'!M106+'CUSTOMERS REPORT'!M145+'CUSTOMERS REPORT'!M183+'CUSTOMERS REPORT'!M223+'CUSTOMERS REPORT'!M260+'CUSTOMERS REPORT'!M300+'CUSTOMERS REPORT'!M341+'CUSTOMERS REPORT'!M383+'CUSTOMERS REPORT'!M422+'CUSTOMERS REPORT'!M460+'CUSTOMERS REPORT'!M496+'CUSTOMERS REPORT'!M533+'CUSTOMERS REPORT'!M571+'CUSTOMERS REPORT'!M607+'CUSTOMERS REPORT'!M645+'CUSTOMERS REPORT'!M683+'CUSTOMERS REPORT'!M721+'CUSTOMERS REPORT'!M759+'CUSTOMERS REPORT'!M797+'CUSTOMERS REPORT'!M835+'CUSTOMERS REPORT'!M873+'CUSTOMERS REPORT'!M912+'CUSTOMERS REPORT'!M951+'CUSTOMERS REPORT'!M989+'CUSTOMERS REPORT'!M1027+'CUSTOMERS REPORT'!M1065+'CUSTOMERS REPORT'!M1103+'CUSTOMERS REPORT'!M1141+'CUSTOMERS REPORT'!M1178+'CUSTOMERS REPORT'!M1215+'CUSTOMERS REPORT'!M1252+'CUSTOMERS REPORT'!M1289+'CUSTOMERS REPORT'!M1326+'CUSTOMERS REPORT'!M1363+'CUSTOMERS REPORT'!M1400+'CUSTOMERS REPORT'!M1436</f>
        <v>0</v>
      </c>
      <c r="AF54" s="852">
        <f>'CUSTOMERS REPORT'!N22+'CUSTOMERS REPORT'!N68+'CUSTOMERS REPORT'!N106+'CUSTOMERS REPORT'!N145+'CUSTOMERS REPORT'!N183+'CUSTOMERS REPORT'!N223+'CUSTOMERS REPORT'!N260+'CUSTOMERS REPORT'!N300+'CUSTOMERS REPORT'!N341+'CUSTOMERS REPORT'!N383+'CUSTOMERS REPORT'!N422+'CUSTOMERS REPORT'!N460+'CUSTOMERS REPORT'!N496+'CUSTOMERS REPORT'!N533+'CUSTOMERS REPORT'!N571+'CUSTOMERS REPORT'!N607+'CUSTOMERS REPORT'!N645+'CUSTOMERS REPORT'!N683+'CUSTOMERS REPORT'!N721+'CUSTOMERS REPORT'!N759+'CUSTOMERS REPORT'!N797+'CUSTOMERS REPORT'!N835+'CUSTOMERS REPORT'!N873+'CUSTOMERS REPORT'!N912+'CUSTOMERS REPORT'!N951+'CUSTOMERS REPORT'!N989+'CUSTOMERS REPORT'!N1027+'CUSTOMERS REPORT'!N1065+'CUSTOMERS REPORT'!N1103+'CUSTOMERS REPORT'!N1141+'CUSTOMERS REPORT'!N1178+'CUSTOMERS REPORT'!N1215+'CUSTOMERS REPORT'!N1252+'CUSTOMERS REPORT'!N1289+'CUSTOMERS REPORT'!N1326+'CUSTOMERS REPORT'!N1363+'CUSTOMERS REPORT'!N1400+'CUSTOMERS REPORT'!N1436</f>
        <v>0</v>
      </c>
      <c r="AG54" s="852">
        <f>'CUSTOMERS REPORT'!O22+'CUSTOMERS REPORT'!O68+'CUSTOMERS REPORT'!O106+'CUSTOMERS REPORT'!O145+'CUSTOMERS REPORT'!O183+'CUSTOMERS REPORT'!O223+'CUSTOMERS REPORT'!O260+'CUSTOMERS REPORT'!O300+'CUSTOMERS REPORT'!O341+'CUSTOMERS REPORT'!O383+'CUSTOMERS REPORT'!O422+'CUSTOMERS REPORT'!O460+'CUSTOMERS REPORT'!O496+'CUSTOMERS REPORT'!O533+'CUSTOMERS REPORT'!O571+'CUSTOMERS REPORT'!O607+'CUSTOMERS REPORT'!O645+'CUSTOMERS REPORT'!O683+'CUSTOMERS REPORT'!O721+'CUSTOMERS REPORT'!O759+'CUSTOMERS REPORT'!O797+'CUSTOMERS REPORT'!O835+'CUSTOMERS REPORT'!O873+'CUSTOMERS REPORT'!O912+'CUSTOMERS REPORT'!O951+'CUSTOMERS REPORT'!O989+'CUSTOMERS REPORT'!O1027+'CUSTOMERS REPORT'!O1065+'CUSTOMERS REPORT'!O1103+'CUSTOMERS REPORT'!O1141+'CUSTOMERS REPORT'!O1178+'CUSTOMERS REPORT'!O1215+'CUSTOMERS REPORT'!O1252+'CUSTOMERS REPORT'!O1289+'CUSTOMERS REPORT'!O1326+'CUSTOMERS REPORT'!O1363+'CUSTOMERS REPORT'!O1400+'CUSTOMERS REPORT'!O1436</f>
        <v>0</v>
      </c>
      <c r="AH54" s="852">
        <f>'CUSTOMERS REPORT'!P22+'CUSTOMERS REPORT'!P68+'CUSTOMERS REPORT'!P106+'CUSTOMERS REPORT'!P145+'CUSTOMERS REPORT'!P183+'CUSTOMERS REPORT'!P223+'CUSTOMERS REPORT'!P260+'CUSTOMERS REPORT'!P300+'CUSTOMERS REPORT'!P341+'CUSTOMERS REPORT'!P383+'CUSTOMERS REPORT'!P422+'CUSTOMERS REPORT'!P460+'CUSTOMERS REPORT'!P496+'CUSTOMERS REPORT'!P533+'CUSTOMERS REPORT'!P571+'CUSTOMERS REPORT'!P607+'CUSTOMERS REPORT'!P645+'CUSTOMERS REPORT'!P683+'CUSTOMERS REPORT'!P721+'CUSTOMERS REPORT'!P759+'CUSTOMERS REPORT'!P797+'CUSTOMERS REPORT'!P835+'CUSTOMERS REPORT'!P873+'CUSTOMERS REPORT'!P912+'CUSTOMERS REPORT'!P951+'CUSTOMERS REPORT'!P989+'CUSTOMERS REPORT'!P1027+'CUSTOMERS REPORT'!P1065+'CUSTOMERS REPORT'!P1103+'CUSTOMERS REPORT'!P1141+'CUSTOMERS REPORT'!P1178+'CUSTOMERS REPORT'!P1215+'CUSTOMERS REPORT'!P1252+'CUSTOMERS REPORT'!P1289+'CUSTOMERS REPORT'!P1326+'CUSTOMERS REPORT'!P1363+'CUSTOMERS REPORT'!P1400+'CUSTOMERS REPORT'!P1436</f>
        <v>0</v>
      </c>
      <c r="AI54" s="852">
        <f>'CUSTOMERS REPORT'!Q22+'CUSTOMERS REPORT'!Q68+'CUSTOMERS REPORT'!Q106+'CUSTOMERS REPORT'!Q145+'CUSTOMERS REPORT'!Q183+'CUSTOMERS REPORT'!Q223+'CUSTOMERS REPORT'!Q260+'CUSTOMERS REPORT'!Q300+'CUSTOMERS REPORT'!Q341+'CUSTOMERS REPORT'!Q383+'CUSTOMERS REPORT'!Q422+'CUSTOMERS REPORT'!Q460+'CUSTOMERS REPORT'!Q496+'CUSTOMERS REPORT'!Q533+'CUSTOMERS REPORT'!Q571+'CUSTOMERS REPORT'!Q607+'CUSTOMERS REPORT'!Q645+'CUSTOMERS REPORT'!Q683+'CUSTOMERS REPORT'!Q721+'CUSTOMERS REPORT'!Q759+'CUSTOMERS REPORT'!Q797+'CUSTOMERS REPORT'!Q835+'CUSTOMERS REPORT'!Q873+'CUSTOMERS REPORT'!Q912+'CUSTOMERS REPORT'!Q951+'CUSTOMERS REPORT'!Q989+'CUSTOMERS REPORT'!Q1027+'CUSTOMERS REPORT'!Q1065+'CUSTOMERS REPORT'!Q1103+'CUSTOMERS REPORT'!Q1141+'CUSTOMERS REPORT'!Q1178+'CUSTOMERS REPORT'!Q1215+'CUSTOMERS REPORT'!Q1252+'CUSTOMERS REPORT'!Q1289+'CUSTOMERS REPORT'!Q1326+'CUSTOMERS REPORT'!Q1363+'CUSTOMERS REPORT'!Q1400+'CUSTOMERS REPORT'!Q1436</f>
        <v>0</v>
      </c>
      <c r="AJ54" s="852">
        <f>'CUSTOMERS REPORT'!R22+'CUSTOMERS REPORT'!R68+'CUSTOMERS REPORT'!R106+'CUSTOMERS REPORT'!R145+'CUSTOMERS REPORT'!R183+'CUSTOMERS REPORT'!R223+'CUSTOMERS REPORT'!R260+'CUSTOMERS REPORT'!R300+'CUSTOMERS REPORT'!R341+'CUSTOMERS REPORT'!R383+'CUSTOMERS REPORT'!R422+'CUSTOMERS REPORT'!R460+'CUSTOMERS REPORT'!R496+'CUSTOMERS REPORT'!R533+'CUSTOMERS REPORT'!R571+'CUSTOMERS REPORT'!R607+'CUSTOMERS REPORT'!R645+'CUSTOMERS REPORT'!R683+'CUSTOMERS REPORT'!R721+'CUSTOMERS REPORT'!R759+'CUSTOMERS REPORT'!R797+'CUSTOMERS REPORT'!R835+'CUSTOMERS REPORT'!R873+'CUSTOMERS REPORT'!R912+'CUSTOMERS REPORT'!R951+'CUSTOMERS REPORT'!R989+'CUSTOMERS REPORT'!R1027+'CUSTOMERS REPORT'!R1065+'CUSTOMERS REPORT'!R1103+'CUSTOMERS REPORT'!R1141+'CUSTOMERS REPORT'!R1178+'CUSTOMERS REPORT'!R1215+'CUSTOMERS REPORT'!R1252+'CUSTOMERS REPORT'!R1289+'CUSTOMERS REPORT'!R1326+'CUSTOMERS REPORT'!R1363+'CUSTOMERS REPORT'!R1400+'CUSTOMERS REPORT'!R1436</f>
        <v>0</v>
      </c>
      <c r="AK54" s="852">
        <f>'CUSTOMERS REPORT'!S22+'CUSTOMERS REPORT'!S68+'CUSTOMERS REPORT'!S106+'CUSTOMERS REPORT'!S145+'CUSTOMERS REPORT'!S183+'CUSTOMERS REPORT'!S223+'CUSTOMERS REPORT'!S260+'CUSTOMERS REPORT'!S300+'CUSTOMERS REPORT'!S341+'CUSTOMERS REPORT'!S383+'CUSTOMERS REPORT'!S422+'CUSTOMERS REPORT'!S460+'CUSTOMERS REPORT'!S496+'CUSTOMERS REPORT'!S533+'CUSTOMERS REPORT'!S571+'CUSTOMERS REPORT'!S607+'CUSTOMERS REPORT'!S645+'CUSTOMERS REPORT'!S683+'CUSTOMERS REPORT'!S721+'CUSTOMERS REPORT'!S759+'CUSTOMERS REPORT'!S797+'CUSTOMERS REPORT'!S835+'CUSTOMERS REPORT'!S873+'CUSTOMERS REPORT'!S912+'CUSTOMERS REPORT'!S951+'CUSTOMERS REPORT'!S989+'CUSTOMERS REPORT'!S1027+'CUSTOMERS REPORT'!S1065+'CUSTOMERS REPORT'!S1103+'CUSTOMERS REPORT'!S1141+'CUSTOMERS REPORT'!S1178+'CUSTOMERS REPORT'!S1215+'CUSTOMERS REPORT'!S1252+'CUSTOMERS REPORT'!S1289+'CUSTOMERS REPORT'!S1326+'CUSTOMERS REPORT'!S1363+'CUSTOMERS REPORT'!S1400+'CUSTOMERS REPORT'!S1436</f>
        <v>0</v>
      </c>
      <c r="AL54" s="852">
        <f>'CUSTOMERS REPORT'!T22+'CUSTOMERS REPORT'!T68+'CUSTOMERS REPORT'!T106+'CUSTOMERS REPORT'!T145+'CUSTOMERS REPORT'!T183+'CUSTOMERS REPORT'!T223+'CUSTOMERS REPORT'!T260+'CUSTOMERS REPORT'!T300+'CUSTOMERS REPORT'!T341+'CUSTOMERS REPORT'!T383+'CUSTOMERS REPORT'!T422+'CUSTOMERS REPORT'!T460+'CUSTOMERS REPORT'!T496+'CUSTOMERS REPORT'!T533+'CUSTOMERS REPORT'!T571+'CUSTOMERS REPORT'!T607+'CUSTOMERS REPORT'!T645+'CUSTOMERS REPORT'!T683+'CUSTOMERS REPORT'!T721+'CUSTOMERS REPORT'!T759+'CUSTOMERS REPORT'!T797+'CUSTOMERS REPORT'!T835+'CUSTOMERS REPORT'!T873+'CUSTOMERS REPORT'!T912+'CUSTOMERS REPORT'!T951+'CUSTOMERS REPORT'!T989+'CUSTOMERS REPORT'!T1027+'CUSTOMERS REPORT'!T1065+'CUSTOMERS REPORT'!T1103+'CUSTOMERS REPORT'!T1141</f>
        <v>0</v>
      </c>
      <c r="AM54" s="852">
        <f>'CUSTOMERS REPORT'!U22+'CUSTOMERS REPORT'!U68+'CUSTOMERS REPORT'!U106+'CUSTOMERS REPORT'!U145+'CUSTOMERS REPORT'!U183+'CUSTOMERS REPORT'!U223+'CUSTOMERS REPORT'!U260+'CUSTOMERS REPORT'!U300+'CUSTOMERS REPORT'!U341+'CUSTOMERS REPORT'!U383+'CUSTOMERS REPORT'!U422+'CUSTOMERS REPORT'!U460+'CUSTOMERS REPORT'!U496+'CUSTOMERS REPORT'!U533+'CUSTOMERS REPORT'!U571+'CUSTOMERS REPORT'!U607+'CUSTOMERS REPORT'!U645+'CUSTOMERS REPORT'!U683+'CUSTOMERS REPORT'!U721+'CUSTOMERS REPORT'!U759+'CUSTOMERS REPORT'!U797+'CUSTOMERS REPORT'!U835+'CUSTOMERS REPORT'!U873+'CUSTOMERS REPORT'!U912+'CUSTOMERS REPORT'!U951+'CUSTOMERS REPORT'!U989+'CUSTOMERS REPORT'!U1027+'CUSTOMERS REPORT'!U1065+'CUSTOMERS REPORT'!U1103+'CUSTOMERS REPORT'!U1141</f>
        <v>0</v>
      </c>
      <c r="AN54" s="852">
        <f>'CUSTOMERS REPORT'!V22+'CUSTOMERS REPORT'!V68+'CUSTOMERS REPORT'!V106+'CUSTOMERS REPORT'!V145+'CUSTOMERS REPORT'!V183+'CUSTOMERS REPORT'!V223+'CUSTOMERS REPORT'!V260+'CUSTOMERS REPORT'!V300+'CUSTOMERS REPORT'!V341+'CUSTOMERS REPORT'!V383+'CUSTOMERS REPORT'!V422+'CUSTOMERS REPORT'!V460+'CUSTOMERS REPORT'!V496+'CUSTOMERS REPORT'!V533+'CUSTOMERS REPORT'!V571+'CUSTOMERS REPORT'!V607+'CUSTOMERS REPORT'!V645+'CUSTOMERS REPORT'!V683+'CUSTOMERS REPORT'!V721+'CUSTOMERS REPORT'!V759+'CUSTOMERS REPORT'!V797+'CUSTOMERS REPORT'!V835+'CUSTOMERS REPORT'!V873+'CUSTOMERS REPORT'!V912+'CUSTOMERS REPORT'!V951+'CUSTOMERS REPORT'!V989+'CUSTOMERS REPORT'!V1027+'CUSTOMERS REPORT'!V1065+'CUSTOMERS REPORT'!V1103+'CUSTOMERS REPORT'!V1141</f>
        <v>0</v>
      </c>
    </row>
    <row r="55" spans="1:40" ht="24.95" customHeight="1" thickBot="1">
      <c r="L55" s="417">
        <v>20</v>
      </c>
      <c r="M55" s="417"/>
      <c r="N55" s="417">
        <f t="shared" si="10"/>
        <v>0</v>
      </c>
      <c r="R55" s="123">
        <f>'14'!R57</f>
        <v>13</v>
      </c>
      <c r="S55" s="865" t="s">
        <v>169</v>
      </c>
      <c r="T55" s="866">
        <f t="shared" ref="T55:AN55" si="12">T53-T54-T51</f>
        <v>0</v>
      </c>
      <c r="U55" s="866">
        <f t="shared" si="12"/>
        <v>0</v>
      </c>
      <c r="V55" s="866">
        <f t="shared" si="12"/>
        <v>-2</v>
      </c>
      <c r="W55" s="866">
        <f t="shared" si="12"/>
        <v>0</v>
      </c>
      <c r="X55" s="866">
        <f t="shared" si="12"/>
        <v>0</v>
      </c>
      <c r="Y55" s="866">
        <f t="shared" si="12"/>
        <v>0</v>
      </c>
      <c r="Z55" s="866">
        <f t="shared" si="12"/>
        <v>-2</v>
      </c>
      <c r="AA55" s="866">
        <f t="shared" si="12"/>
        <v>0</v>
      </c>
      <c r="AB55" s="866">
        <f t="shared" si="12"/>
        <v>0</v>
      </c>
      <c r="AC55" s="866">
        <f t="shared" si="12"/>
        <v>824</v>
      </c>
      <c r="AD55" s="866">
        <f t="shared" si="12"/>
        <v>70</v>
      </c>
      <c r="AE55" s="866">
        <f t="shared" si="12"/>
        <v>0</v>
      </c>
      <c r="AF55" s="866">
        <f>AF53-AF54-AF51</f>
        <v>542</v>
      </c>
      <c r="AG55" s="866">
        <f t="shared" si="12"/>
        <v>374</v>
      </c>
      <c r="AH55" s="866">
        <f t="shared" si="12"/>
        <v>854</v>
      </c>
      <c r="AI55" s="866">
        <f t="shared" si="12"/>
        <v>631</v>
      </c>
      <c r="AJ55" s="866">
        <f t="shared" si="12"/>
        <v>0</v>
      </c>
      <c r="AK55" s="866">
        <f t="shared" si="12"/>
        <v>-1</v>
      </c>
      <c r="AL55" s="866" t="e">
        <f t="shared" si="12"/>
        <v>#VALUE!</v>
      </c>
      <c r="AM55" s="866" t="e">
        <f t="shared" si="12"/>
        <v>#VALUE!</v>
      </c>
      <c r="AN55" s="872" t="e">
        <f t="shared" si="12"/>
        <v>#VALUE!</v>
      </c>
    </row>
    <row r="56" spans="1:40" ht="28.5" thickBot="1">
      <c r="A56" s="114"/>
      <c r="B56" s="120"/>
      <c r="C56" s="115"/>
      <c r="L56" s="417">
        <v>10</v>
      </c>
      <c r="M56" s="417"/>
      <c r="N56" s="417">
        <f t="shared" si="10"/>
        <v>0</v>
      </c>
      <c r="R56" s="123">
        <f>T56+U56+V56+W56+X56+Y56+Z56+AA56+AB56+AC56+AD56+AE56+AF56+AG56+AH56+AI56+AJ56+AK56+AL56+AM56+AN56</f>
        <v>13</v>
      </c>
      <c r="S56" s="874" t="s">
        <v>170</v>
      </c>
      <c r="T56" s="875"/>
      <c r="U56" s="875"/>
      <c r="V56" s="875"/>
      <c r="W56" s="875"/>
      <c r="X56" s="875"/>
      <c r="Y56" s="875"/>
      <c r="Z56" s="876"/>
      <c r="AA56" s="875"/>
      <c r="AB56" s="875"/>
      <c r="AC56" s="875">
        <v>4</v>
      </c>
      <c r="AD56" s="875">
        <v>1</v>
      </c>
      <c r="AE56" s="875"/>
      <c r="AF56" s="875">
        <v>2.2000000000000002</v>
      </c>
      <c r="AG56" s="875">
        <v>4</v>
      </c>
      <c r="AH56" s="875"/>
      <c r="AI56" s="875">
        <v>1.8</v>
      </c>
      <c r="AJ56" s="877"/>
      <c r="AK56" s="877"/>
      <c r="AL56" s="52"/>
      <c r="AM56" s="52"/>
      <c r="AN56" s="928"/>
    </row>
    <row r="57" spans="1:40" ht="27" customHeight="1" thickBot="1">
      <c r="A57" s="114"/>
      <c r="B57" s="131"/>
      <c r="C57" s="115"/>
      <c r="D57" s="115"/>
      <c r="E57" s="19"/>
      <c r="F57" s="19"/>
      <c r="G57" s="19"/>
      <c r="H57" s="19"/>
      <c r="I57" s="19"/>
      <c r="J57" s="19"/>
      <c r="K57" s="19"/>
      <c r="L57" s="418">
        <v>1</v>
      </c>
      <c r="M57" s="418"/>
      <c r="N57" s="417">
        <f t="shared" si="10"/>
        <v>0</v>
      </c>
      <c r="O57" s="19"/>
      <c r="R57" s="736">
        <f>SUM(R55:R56)</f>
        <v>26</v>
      </c>
      <c r="S57" s="882" t="s">
        <v>23</v>
      </c>
      <c r="T57" s="883" t="e">
        <f t="shared" ref="T57:AI57" si="13">T50/T56</f>
        <v>#DIV/0!</v>
      </c>
      <c r="U57" s="883" t="e">
        <f t="shared" si="13"/>
        <v>#DIV/0!</v>
      </c>
      <c r="V57" s="883" t="e">
        <f t="shared" si="13"/>
        <v>#DIV/0!</v>
      </c>
      <c r="W57" s="883" t="e">
        <f t="shared" si="13"/>
        <v>#DIV/0!</v>
      </c>
      <c r="X57" s="883" t="e">
        <f t="shared" si="13"/>
        <v>#DIV/0!</v>
      </c>
      <c r="Y57" s="883" t="e">
        <f t="shared" si="13"/>
        <v>#DIV/0!</v>
      </c>
      <c r="Z57" s="883" t="e">
        <f t="shared" si="13"/>
        <v>#DIV/0!</v>
      </c>
      <c r="AA57" s="883" t="e">
        <f t="shared" si="13"/>
        <v>#DIV/0!</v>
      </c>
      <c r="AB57" s="883" t="e">
        <f t="shared" si="13"/>
        <v>#DIV/0!</v>
      </c>
      <c r="AC57" s="883">
        <f t="shared" si="13"/>
        <v>89.75</v>
      </c>
      <c r="AD57" s="883">
        <f t="shared" si="13"/>
        <v>70</v>
      </c>
      <c r="AE57" s="883" t="e">
        <f t="shared" si="13"/>
        <v>#DIV/0!</v>
      </c>
      <c r="AF57" s="883">
        <f t="shared" si="13"/>
        <v>73.181818181818173</v>
      </c>
      <c r="AG57" s="883">
        <f t="shared" si="13"/>
        <v>94</v>
      </c>
      <c r="AH57" s="883" t="e">
        <f t="shared" si="13"/>
        <v>#DIV/0!</v>
      </c>
      <c r="AI57" s="883">
        <f t="shared" si="13"/>
        <v>350.55555555555554</v>
      </c>
      <c r="AJ57" s="883" t="e">
        <f>AJ50/AJ56</f>
        <v>#DIV/0!</v>
      </c>
      <c r="AK57" s="883" t="e">
        <f>AK50/AK56</f>
        <v>#DIV/0!</v>
      </c>
      <c r="AL57" s="883" t="e">
        <f t="shared" ref="AL57:AN57" si="14">AL50/AL56</f>
        <v>#DIV/0!</v>
      </c>
      <c r="AM57" s="883" t="e">
        <f t="shared" si="14"/>
        <v>#DIV/0!</v>
      </c>
      <c r="AN57" s="884" t="e">
        <f t="shared" si="14"/>
        <v>#DIV/0!</v>
      </c>
    </row>
    <row r="58" spans="1:40" ht="27" customHeight="1" thickBot="1">
      <c r="A58" s="114"/>
      <c r="B58" s="131"/>
      <c r="C58" s="115"/>
      <c r="D58" s="115" t="s">
        <v>1</v>
      </c>
      <c r="L58" s="1501" t="s">
        <v>171</v>
      </c>
      <c r="M58" s="1501"/>
      <c r="N58" s="419">
        <f>SUM(N50:N57)</f>
        <v>0</v>
      </c>
      <c r="R58" s="19"/>
      <c r="S58" s="878" t="s">
        <v>172</v>
      </c>
      <c r="T58" s="879">
        <f>T54</f>
        <v>0</v>
      </c>
      <c r="U58" s="879">
        <f t="shared" ref="U58:AI58" si="15">U54</f>
        <v>0</v>
      </c>
      <c r="V58" s="879">
        <f t="shared" si="15"/>
        <v>0</v>
      </c>
      <c r="W58" s="879">
        <f t="shared" si="15"/>
        <v>0</v>
      </c>
      <c r="X58" s="879">
        <f t="shared" si="15"/>
        <v>0</v>
      </c>
      <c r="Y58" s="879">
        <f t="shared" si="15"/>
        <v>0</v>
      </c>
      <c r="Z58" s="879">
        <f t="shared" si="15"/>
        <v>0</v>
      </c>
      <c r="AA58" s="879">
        <f t="shared" si="15"/>
        <v>0</v>
      </c>
      <c r="AB58" s="879">
        <f t="shared" si="15"/>
        <v>0</v>
      </c>
      <c r="AC58" s="879">
        <f t="shared" si="15"/>
        <v>0</v>
      </c>
      <c r="AD58" s="879">
        <f t="shared" si="15"/>
        <v>0</v>
      </c>
      <c r="AE58" s="879">
        <f t="shared" si="15"/>
        <v>0</v>
      </c>
      <c r="AF58" s="879">
        <f t="shared" si="15"/>
        <v>0</v>
      </c>
      <c r="AG58" s="879">
        <f t="shared" si="15"/>
        <v>0</v>
      </c>
      <c r="AH58" s="879">
        <f t="shared" si="15"/>
        <v>0</v>
      </c>
      <c r="AI58" s="879">
        <f t="shared" si="15"/>
        <v>0</v>
      </c>
      <c r="AJ58" s="879">
        <f>AJ54</f>
        <v>0</v>
      </c>
      <c r="AK58" s="879">
        <f>AK54</f>
        <v>0</v>
      </c>
      <c r="AL58" s="880"/>
      <c r="AM58" s="880"/>
      <c r="AN58" s="881"/>
    </row>
    <row r="59" spans="1:40" ht="27" customHeight="1">
      <c r="A59" s="114"/>
      <c r="B59" s="132"/>
      <c r="C59" s="115"/>
      <c r="D59" s="115" t="s">
        <v>1</v>
      </c>
      <c r="K59" t="s">
        <v>1</v>
      </c>
      <c r="L59" s="1486" t="s">
        <v>173</v>
      </c>
      <c r="M59" s="1486"/>
      <c r="N59" s="420">
        <f>N58-Q48</f>
        <v>919690</v>
      </c>
      <c r="R59" s="19"/>
      <c r="S59" s="114"/>
      <c r="T59" s="121"/>
      <c r="U59" s="121" t="s">
        <v>1</v>
      </c>
      <c r="V59" s="121"/>
      <c r="W59" s="121"/>
      <c r="X59" s="121"/>
      <c r="Y59" s="121"/>
      <c r="Z59" s="122"/>
      <c r="AA59" s="121"/>
      <c r="AB59" s="121"/>
      <c r="AC59" s="121"/>
      <c r="AD59" s="121"/>
      <c r="AE59" s="121"/>
      <c r="AF59" s="121"/>
      <c r="AG59" s="121"/>
      <c r="AH59" s="119"/>
      <c r="AI59" s="119"/>
    </row>
    <row r="60" spans="1:40" ht="23.25">
      <c r="A60" s="114"/>
      <c r="B60" s="132"/>
      <c r="C60" s="115"/>
      <c r="D60" s="115"/>
      <c r="P60" s="19"/>
      <c r="Q60" s="19"/>
      <c r="R60" s="19"/>
      <c r="S60" s="19"/>
      <c r="U60" t="s">
        <v>1</v>
      </c>
    </row>
    <row r="61" spans="1:40" ht="23.25">
      <c r="A61" s="114"/>
      <c r="B61" s="132"/>
      <c r="C61" s="115"/>
      <c r="D61" s="116"/>
      <c r="M61" t="s">
        <v>1</v>
      </c>
      <c r="P61" s="185"/>
      <c r="Q61" s="186"/>
      <c r="R61" s="19"/>
      <c r="S61" s="19"/>
    </row>
    <row r="62" spans="1:40" ht="20.25">
      <c r="C62" s="116"/>
      <c r="P62" s="19"/>
      <c r="Q62" s="19"/>
      <c r="R62" s="19"/>
      <c r="S62" s="19"/>
    </row>
    <row r="63" spans="1:40">
      <c r="E63" s="19"/>
    </row>
    <row r="64" spans="1:40">
      <c r="E64" s="19"/>
      <c r="J64" t="s">
        <v>3</v>
      </c>
    </row>
    <row r="65" spans="3:5" ht="21">
      <c r="C65" s="251"/>
      <c r="E65" s="19"/>
    </row>
    <row r="66" spans="3:5">
      <c r="E66" s="49"/>
    </row>
    <row r="67" spans="3:5" ht="23.25">
      <c r="E67" s="113"/>
    </row>
  </sheetData>
  <mergeCells count="21">
    <mergeCell ref="L59:M59"/>
    <mergeCell ref="T47:W47"/>
    <mergeCell ref="X47:Z47"/>
    <mergeCell ref="S47:S48"/>
    <mergeCell ref="AJ47:AK47"/>
    <mergeCell ref="AL47:AM47"/>
    <mergeCell ref="AI7:AJ7"/>
    <mergeCell ref="AI20:AJ20"/>
    <mergeCell ref="L58:M58"/>
    <mergeCell ref="A6:Q6"/>
    <mergeCell ref="S6:AE6"/>
    <mergeCell ref="A7:B7"/>
    <mergeCell ref="P7:Q7"/>
    <mergeCell ref="H48:I48"/>
    <mergeCell ref="P24:Q24"/>
    <mergeCell ref="P33:Q33"/>
    <mergeCell ref="P42:Q42"/>
    <mergeCell ref="H46:I46"/>
    <mergeCell ref="H47:I47"/>
    <mergeCell ref="AA47:AB47"/>
    <mergeCell ref="AC47:AI47"/>
  </mergeCells>
  <conditionalFormatting sqref="M48:N48">
    <cfRule type="duplicateValues" dxfId="349" priority="29"/>
    <cfRule type="duplicateValues" dxfId="348" priority="30"/>
    <cfRule type="duplicateValues" dxfId="347" priority="31"/>
    <cfRule type="duplicateValues" dxfId="346" priority="32"/>
  </conditionalFormatting>
  <conditionalFormatting sqref="L48 N48">
    <cfRule type="cellIs" dxfId="345" priority="28" operator="equal">
      <formula>66890</formula>
    </cfRule>
  </conditionalFormatting>
  <conditionalFormatting sqref="N48">
    <cfRule type="cellIs" dxfId="344" priority="27" operator="lessThan">
      <formula>1</formula>
    </cfRule>
  </conditionalFormatting>
  <conditionalFormatting sqref="T57">
    <cfRule type="cellIs" dxfId="343" priority="16" operator="lessThan">
      <formula>63</formula>
    </cfRule>
  </conditionalFormatting>
  <conditionalFormatting sqref="U57">
    <cfRule type="cellIs" dxfId="342" priority="14" operator="lessThan">
      <formula>63</formula>
    </cfRule>
    <cfRule type="cellIs" dxfId="341" priority="15" operator="lessThan">
      <formula>63</formula>
    </cfRule>
  </conditionalFormatting>
  <conditionalFormatting sqref="W57">
    <cfRule type="cellIs" dxfId="340" priority="13" operator="lessThan">
      <formula>140</formula>
    </cfRule>
  </conditionalFormatting>
  <conditionalFormatting sqref="X57">
    <cfRule type="cellIs" dxfId="339" priority="12" operator="lessThan">
      <formula>125</formula>
    </cfRule>
  </conditionalFormatting>
  <conditionalFormatting sqref="Y57">
    <cfRule type="cellIs" dxfId="338" priority="11" operator="lessThan">
      <formula>150</formula>
    </cfRule>
  </conditionalFormatting>
  <conditionalFormatting sqref="Z57">
    <cfRule type="cellIs" dxfId="337" priority="10" operator="lessThan">
      <formula>590</formula>
    </cfRule>
  </conditionalFormatting>
  <conditionalFormatting sqref="AA57">
    <cfRule type="cellIs" dxfId="336" priority="9" operator="lessThan">
      <formula>704</formula>
    </cfRule>
  </conditionalFormatting>
  <conditionalFormatting sqref="AC57">
    <cfRule type="cellIs" dxfId="335" priority="8" operator="lessThan">
      <formula>52</formula>
    </cfRule>
  </conditionalFormatting>
  <conditionalFormatting sqref="AD57">
    <cfRule type="cellIs" dxfId="334" priority="7" operator="lessThan">
      <formula>52</formula>
    </cfRule>
  </conditionalFormatting>
  <conditionalFormatting sqref="AH57">
    <cfRule type="cellIs" dxfId="333" priority="6" operator="lessThan">
      <formula>63</formula>
    </cfRule>
  </conditionalFormatting>
  <conditionalFormatting sqref="AI57">
    <cfRule type="cellIs" dxfId="332" priority="5" operator="lessThan">
      <formula>63</formula>
    </cfRule>
  </conditionalFormatting>
  <conditionalFormatting sqref="AK57">
    <cfRule type="cellIs" dxfId="331" priority="4" operator="lessThan">
      <formula>270</formula>
    </cfRule>
  </conditionalFormatting>
  <conditionalFormatting sqref="AJ57">
    <cfRule type="cellIs" dxfId="330" priority="3" operator="lessThan">
      <formula>270</formula>
    </cfRule>
  </conditionalFormatting>
  <conditionalFormatting sqref="AL57:AN57">
    <cfRule type="cellIs" dxfId="329" priority="1" operator="lessThan">
      <formula>270</formula>
    </cfRule>
  </conditionalFormatting>
  <printOptions horizontalCentered="1" verticalCentered="1"/>
  <pageMargins left="0" right="0.5" top="0" bottom="0" header="0" footer="0"/>
  <pageSetup paperSize="5" scale="45" orientation="landscape" cellComments="asDisplayed" r:id="rId1"/>
  <ignoredErrors>
    <ignoredError sqref="AL57:AN57 AE57:AH57 AJ57 AB57:AC57 W57:Y57 T57:U57" evalError="1"/>
  </ignoredError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N67"/>
  <sheetViews>
    <sheetView topLeftCell="A25" zoomScale="90" zoomScaleNormal="90" workbookViewId="0">
      <selection activeCell="A50" sqref="A50"/>
    </sheetView>
  </sheetViews>
  <sheetFormatPr defaultRowHeight="15"/>
  <cols>
    <col min="1" max="1" width="32.7109375" bestFit="1" customWidth="1"/>
    <col min="2" max="2" width="17.7109375" customWidth="1"/>
    <col min="3" max="4" width="20.7109375" customWidth="1"/>
    <col min="5" max="5" width="4.7109375" customWidth="1"/>
    <col min="6" max="6" width="35.85546875" bestFit="1" customWidth="1"/>
    <col min="7" max="7" width="17.7109375" customWidth="1"/>
    <col min="8" max="9" width="19.140625" bestFit="1" customWidth="1"/>
    <col min="10" max="11" width="17.7109375" customWidth="1"/>
    <col min="12" max="12" width="19.140625" bestFit="1" customWidth="1"/>
    <col min="13" max="14" width="18.7109375" customWidth="1"/>
    <col min="15" max="15" width="7.7109375" customWidth="1"/>
    <col min="16" max="16" width="28.7109375" customWidth="1"/>
    <col min="17" max="17" width="20.7109375" customWidth="1"/>
    <col min="18" max="18" width="7.5703125" bestFit="1" customWidth="1"/>
    <col min="19" max="19" width="32.7109375" customWidth="1"/>
    <col min="20" max="22" width="20.28515625" bestFit="1" customWidth="1"/>
    <col min="23" max="23" width="17.7109375" customWidth="1"/>
    <col min="24" max="24" width="20.28515625" bestFit="1" customWidth="1"/>
    <col min="25" max="25" width="14.7109375" customWidth="1"/>
    <col min="26" max="26" width="23.7109375" bestFit="1" customWidth="1"/>
    <col min="27" max="27" width="20.140625" bestFit="1" customWidth="1"/>
    <col min="28" max="28" width="17.7109375" customWidth="1"/>
    <col min="29" max="29" width="20.140625" bestFit="1" customWidth="1"/>
    <col min="30" max="30" width="18.140625" bestFit="1" customWidth="1"/>
    <col min="31" max="31" width="20.140625" bestFit="1" customWidth="1"/>
    <col min="32" max="33" width="20.7109375" customWidth="1"/>
    <col min="34" max="37" width="17.7109375" customWidth="1"/>
    <col min="38" max="38" width="9.42578125" hidden="1" customWidth="1"/>
    <col min="39" max="39" width="0" hidden="1" customWidth="1"/>
    <col min="40" max="40" width="13" hidden="1" customWidth="1"/>
  </cols>
  <sheetData>
    <row r="1" spans="1:36">
      <c r="E1" s="5"/>
    </row>
    <row r="2" spans="1:36">
      <c r="E2" s="5"/>
    </row>
    <row r="3" spans="1:36" ht="15.75" thickBot="1">
      <c r="C3" t="s">
        <v>1</v>
      </c>
      <c r="E3" s="5" t="s">
        <v>1</v>
      </c>
      <c r="F3" t="s">
        <v>1</v>
      </c>
      <c r="N3" t="s">
        <v>1</v>
      </c>
      <c r="S3" t="s">
        <v>1</v>
      </c>
      <c r="U3" t="s">
        <v>1</v>
      </c>
    </row>
    <row r="4" spans="1:36" ht="21.75" thickTop="1">
      <c r="A4" t="s">
        <v>1</v>
      </c>
      <c r="B4" t="s">
        <v>1</v>
      </c>
      <c r="D4" t="s">
        <v>1</v>
      </c>
      <c r="E4" t="s">
        <v>1</v>
      </c>
      <c r="P4" s="617" t="s">
        <v>108</v>
      </c>
      <c r="Q4" s="618">
        <f>'15'!Q4+'16'!Q9+'16'!Q10+'16'!Q19+'16'!Q20+'16'!Q21+'16'!Q22</f>
        <v>0</v>
      </c>
    </row>
    <row r="5" spans="1:36" ht="21.75" thickBot="1">
      <c r="P5" s="619" t="s">
        <v>109</v>
      </c>
      <c r="Q5" s="620">
        <f>'15'!Q5+'16'!Q25+'16'!Q26+'16'!Q27+'16'!Q28+'16'!Q29+'16'!Q30+'16'!Q31</f>
        <v>0</v>
      </c>
    </row>
    <row r="6" spans="1:36" ht="48" thickTop="1" thickBot="1">
      <c r="A6" s="1502">
        <f>'Main Page'!E32</f>
        <v>44881</v>
      </c>
      <c r="B6" s="1507"/>
      <c r="C6" s="1507"/>
      <c r="D6" s="1507"/>
      <c r="E6" s="1507"/>
      <c r="F6" s="1507"/>
      <c r="G6" s="1507"/>
      <c r="H6" s="1507"/>
      <c r="I6" s="1507"/>
      <c r="J6" s="1507"/>
      <c r="K6" s="1507"/>
      <c r="L6" s="1507"/>
      <c r="M6" s="1507"/>
      <c r="N6" s="1507"/>
      <c r="O6" s="1507"/>
      <c r="P6" s="1507"/>
      <c r="Q6" s="1515"/>
      <c r="R6" t="s">
        <v>1</v>
      </c>
      <c r="S6" s="1502">
        <f>A6</f>
        <v>44881</v>
      </c>
      <c r="T6" s="1503"/>
      <c r="U6" s="1503"/>
      <c r="V6" s="1503"/>
      <c r="W6" s="1503"/>
      <c r="X6" s="1503"/>
      <c r="Y6" s="1503"/>
      <c r="Z6" s="1503"/>
      <c r="AA6" s="1503"/>
      <c r="AB6" s="1503"/>
      <c r="AC6" s="1503"/>
      <c r="AD6" s="1503"/>
      <c r="AE6" s="1504"/>
    </row>
    <row r="7" spans="1:36" ht="39.950000000000003" customHeight="1" thickTop="1" thickBot="1">
      <c r="A7" s="1505" t="s">
        <v>110</v>
      </c>
      <c r="B7" s="1506"/>
      <c r="C7" s="367" t="s">
        <v>97</v>
      </c>
      <c r="D7" s="368" t="s">
        <v>74</v>
      </c>
      <c r="F7" s="363" t="s">
        <v>111</v>
      </c>
      <c r="G7" s="364" t="s">
        <v>112</v>
      </c>
      <c r="H7" s="365" t="s">
        <v>113</v>
      </c>
      <c r="I7" s="365" t="s">
        <v>26</v>
      </c>
      <c r="J7" s="365" t="s">
        <v>114</v>
      </c>
      <c r="K7" s="366" t="s">
        <v>115</v>
      </c>
      <c r="L7" s="365" t="s">
        <v>116</v>
      </c>
      <c r="M7" s="365" t="s">
        <v>117</v>
      </c>
      <c r="N7" s="365" t="s">
        <v>118</v>
      </c>
      <c r="P7" s="1510" t="s">
        <v>69</v>
      </c>
      <c r="Q7" s="1511"/>
      <c r="S7" s="380" t="s">
        <v>58</v>
      </c>
      <c r="T7" s="380" t="s">
        <v>59</v>
      </c>
      <c r="U7" s="380" t="s">
        <v>119</v>
      </c>
      <c r="V7" s="380" t="s">
        <v>74</v>
      </c>
      <c r="W7" s="380" t="s">
        <v>120</v>
      </c>
      <c r="X7" s="380" t="s">
        <v>59</v>
      </c>
      <c r="Z7" s="367" t="s">
        <v>121</v>
      </c>
      <c r="AA7" s="367" t="s">
        <v>97</v>
      </c>
      <c r="AB7" s="415" t="s">
        <v>122</v>
      </c>
      <c r="AC7" s="416" t="s">
        <v>90</v>
      </c>
      <c r="AD7" s="367" t="s">
        <v>56</v>
      </c>
      <c r="AE7" s="381" t="s">
        <v>100</v>
      </c>
      <c r="AF7" s="560" t="s">
        <v>122</v>
      </c>
      <c r="AG7" s="570" t="s">
        <v>56</v>
      </c>
      <c r="AI7" s="1487" t="s">
        <v>123</v>
      </c>
      <c r="AJ7" s="1488"/>
    </row>
    <row r="8" spans="1:36" ht="27" customHeight="1" thickTop="1" thickBot="1">
      <c r="A8" s="717" t="s">
        <v>480</v>
      </c>
      <c r="B8" s="233">
        <v>120</v>
      </c>
      <c r="C8" s="463"/>
      <c r="D8" s="233"/>
      <c r="F8" s="478" t="str">
        <f>'15'!F8</f>
        <v>ISHAQ ANSARI</v>
      </c>
      <c r="G8" s="405">
        <f>'CUSTOMERS REPORT'!Y23</f>
        <v>0</v>
      </c>
      <c r="H8" s="503">
        <f>'CUSTOMERS REPORT'!Z23</f>
        <v>0</v>
      </c>
      <c r="I8" s="405">
        <f>'CUSTOMERS REPORT'!AA23</f>
        <v>0</v>
      </c>
      <c r="J8" s="497">
        <f>'CUSTOMERS REPORT'!AB23</f>
        <v>0</v>
      </c>
      <c r="K8" s="497">
        <f>'CUSTOMERS REPORT'!AC23</f>
        <v>0</v>
      </c>
      <c r="L8" s="508">
        <f>'CUSTOMERS REPORT'!AD23</f>
        <v>0</v>
      </c>
      <c r="M8" s="413">
        <f>'15'!M8+'16'!G8</f>
        <v>0</v>
      </c>
      <c r="N8" s="411">
        <f>'15'!N8+'16'!J8</f>
        <v>0</v>
      </c>
      <c r="P8" s="191" t="s">
        <v>124</v>
      </c>
      <c r="Q8" s="223">
        <f>'15'!Q32</f>
        <v>0</v>
      </c>
      <c r="S8" s="399" t="str">
        <f>'15'!S8</f>
        <v>FLOUR</v>
      </c>
      <c r="T8" s="446">
        <f>'15'!X8</f>
        <v>-52</v>
      </c>
      <c r="U8" s="455"/>
      <c r="V8" s="450">
        <f t="shared" ref="V8:V43" si="0">SUM(T8:U8)</f>
        <v>-52</v>
      </c>
      <c r="W8" s="450">
        <v>26</v>
      </c>
      <c r="X8" s="446">
        <f t="shared" ref="X8:X43" si="1">V8-W8</f>
        <v>-78</v>
      </c>
      <c r="Z8" s="382" t="str">
        <f>'15'!Z8</f>
        <v>GHAZI</v>
      </c>
      <c r="AA8" s="464">
        <f>'15'!AE8</f>
        <v>0</v>
      </c>
      <c r="AB8" s="459"/>
      <c r="AC8" s="233">
        <f t="shared" ref="AC8:AC41" si="2">AA8+AB8</f>
        <v>0</v>
      </c>
      <c r="AD8" s="468">
        <v>200000</v>
      </c>
      <c r="AE8" s="463">
        <f t="shared" ref="AE8:AE42" si="3">AC8-AD8</f>
        <v>-200000</v>
      </c>
      <c r="AF8" s="563">
        <f>'15'!AF8+'16'!AB8</f>
        <v>0</v>
      </c>
      <c r="AG8" s="233">
        <f>'15'!AG8+'16'!AD8</f>
        <v>200000</v>
      </c>
      <c r="AI8" s="391" t="s">
        <v>126</v>
      </c>
      <c r="AJ8" s="392">
        <f>'15'!AJ10</f>
        <v>38300</v>
      </c>
    </row>
    <row r="9" spans="1:36" ht="27" customHeight="1" thickTop="1">
      <c r="A9" s="718" t="s">
        <v>481</v>
      </c>
      <c r="B9" s="526">
        <v>100</v>
      </c>
      <c r="C9" s="348"/>
      <c r="D9" s="550"/>
      <c r="F9" s="479" t="str">
        <f>'15'!F9</f>
        <v>MAKKI BAKERY</v>
      </c>
      <c r="G9" s="406">
        <f>'CUSTOMERS REPORT'!Y69</f>
        <v>0</v>
      </c>
      <c r="H9" s="504">
        <f>'CUSTOMERS REPORT'!Z69</f>
        <v>0</v>
      </c>
      <c r="I9" s="406">
        <f>'CUSTOMERS REPORT'!AA69</f>
        <v>0</v>
      </c>
      <c r="J9" s="498">
        <f>'CUSTOMERS REPORT'!AB69</f>
        <v>0</v>
      </c>
      <c r="K9" s="498">
        <f>'CUSTOMERS REPORT'!AC69</f>
        <v>0</v>
      </c>
      <c r="L9" s="509">
        <f>'CUSTOMERS REPORT'!AD69</f>
        <v>0</v>
      </c>
      <c r="M9" s="414">
        <f>'15'!M9+'16'!G9</f>
        <v>0</v>
      </c>
      <c r="N9" s="412">
        <f>'15'!N9+'16'!J9</f>
        <v>0</v>
      </c>
      <c r="P9" s="432"/>
      <c r="Q9" s="436"/>
      <c r="S9" s="399" t="str">
        <f>'15'!S9</f>
        <v>SUGAR</v>
      </c>
      <c r="T9" s="446">
        <f>'15'!X9</f>
        <v>-910</v>
      </c>
      <c r="U9" s="456"/>
      <c r="V9" s="451">
        <f t="shared" si="0"/>
        <v>-910</v>
      </c>
      <c r="W9" s="451">
        <v>455</v>
      </c>
      <c r="X9" s="447">
        <f t="shared" si="1"/>
        <v>-1365</v>
      </c>
      <c r="Z9" s="375" t="str">
        <f>'15'!Z9</f>
        <v>SOHNI</v>
      </c>
      <c r="AA9" s="464">
        <f>'15'!AE9</f>
        <v>-130000</v>
      </c>
      <c r="AB9" s="460"/>
      <c r="AC9" s="462">
        <f t="shared" si="2"/>
        <v>-130000</v>
      </c>
      <c r="AD9" s="469">
        <v>70000</v>
      </c>
      <c r="AE9" s="348">
        <f t="shared" si="3"/>
        <v>-200000</v>
      </c>
      <c r="AF9" s="563">
        <f>'15'!AF9+'16'!AB9</f>
        <v>0</v>
      </c>
      <c r="AG9" s="234">
        <f>'15'!AG9+'16'!AD9</f>
        <v>200000</v>
      </c>
      <c r="AI9" s="393" t="s">
        <v>128</v>
      </c>
      <c r="AJ9" s="394">
        <f>B26</f>
        <v>0</v>
      </c>
    </row>
    <row r="10" spans="1:36" ht="27" customHeight="1" thickBot="1">
      <c r="A10" s="718" t="s">
        <v>482</v>
      </c>
      <c r="B10" s="528">
        <v>145000</v>
      </c>
      <c r="C10" s="350"/>
      <c r="D10" s="550"/>
      <c r="F10" s="479" t="str">
        <f>'15'!F10</f>
        <v>ABID HUSSAIN</v>
      </c>
      <c r="G10" s="406">
        <f>'CUSTOMERS REPORT'!Y107</f>
        <v>0</v>
      </c>
      <c r="H10" s="504">
        <f>'CUSTOMERS REPORT'!Z107</f>
        <v>0</v>
      </c>
      <c r="I10" s="406">
        <f>'CUSTOMERS REPORT'!AA107</f>
        <v>0</v>
      </c>
      <c r="J10" s="498">
        <f>'CUSTOMERS REPORT'!AB107</f>
        <v>0</v>
      </c>
      <c r="K10" s="498">
        <f>'CUSTOMERS REPORT'!AC107</f>
        <v>0</v>
      </c>
      <c r="L10" s="509">
        <f>'CUSTOMERS REPORT'!AD107</f>
        <v>0</v>
      </c>
      <c r="M10" s="414">
        <f>'15'!M10+'16'!G10</f>
        <v>0</v>
      </c>
      <c r="N10" s="412">
        <f>'15'!N10+'16'!J10</f>
        <v>0</v>
      </c>
      <c r="P10" s="433"/>
      <c r="Q10" s="437"/>
      <c r="S10" s="399" t="str">
        <f>'15'!S10</f>
        <v>GHEE</v>
      </c>
      <c r="T10" s="446">
        <f>'15'!X10</f>
        <v>-13</v>
      </c>
      <c r="U10" s="456"/>
      <c r="V10" s="451">
        <f t="shared" si="0"/>
        <v>-13</v>
      </c>
      <c r="W10" s="451">
        <v>6</v>
      </c>
      <c r="X10" s="447">
        <f t="shared" si="1"/>
        <v>-19</v>
      </c>
      <c r="Z10" s="375" t="str">
        <f>'15'!Z10</f>
        <v>HUSSAINI</v>
      </c>
      <c r="AA10" s="464">
        <f>'15'!AE10</f>
        <v>-156100</v>
      </c>
      <c r="AB10" s="460"/>
      <c r="AC10" s="462">
        <f t="shared" si="2"/>
        <v>-156100</v>
      </c>
      <c r="AD10" s="469"/>
      <c r="AE10" s="348">
        <f t="shared" si="3"/>
        <v>-156100</v>
      </c>
      <c r="AF10" s="563">
        <f>'15'!AF10+'16'!AB10</f>
        <v>0</v>
      </c>
      <c r="AG10" s="234">
        <f>'15'!AG10+'16'!AD10</f>
        <v>156100</v>
      </c>
      <c r="AI10" s="395" t="s">
        <v>74</v>
      </c>
      <c r="AJ10" s="396">
        <f>AJ8+AJ9</f>
        <v>38300</v>
      </c>
    </row>
    <row r="11" spans="1:36" ht="27" customHeight="1" thickTop="1">
      <c r="A11" s="718" t="s">
        <v>442</v>
      </c>
      <c r="B11" s="528">
        <v>70000</v>
      </c>
      <c r="C11" s="350"/>
      <c r="D11" s="550"/>
      <c r="F11" s="479" t="str">
        <f>'15'!F11</f>
        <v>SHAHID 5 #</v>
      </c>
      <c r="G11" s="406">
        <f>'CUSTOMERS REPORT'!Y146</f>
        <v>0</v>
      </c>
      <c r="H11" s="504">
        <f>'CUSTOMERS REPORT'!Z146</f>
        <v>0</v>
      </c>
      <c r="I11" s="406">
        <f>'CUSTOMERS REPORT'!AA146</f>
        <v>0</v>
      </c>
      <c r="J11" s="498">
        <f>'CUSTOMERS REPORT'!AB146</f>
        <v>0</v>
      </c>
      <c r="K11" s="498">
        <f>'CUSTOMERS REPORT'!AC146</f>
        <v>0</v>
      </c>
      <c r="L11" s="509">
        <f>'CUSTOMERS REPORT'!AD146</f>
        <v>0</v>
      </c>
      <c r="M11" s="414">
        <f>'15'!M11+'16'!G11</f>
        <v>0</v>
      </c>
      <c r="N11" s="412">
        <f>'15'!N11+'16'!J11</f>
        <v>0</v>
      </c>
      <c r="P11" s="433"/>
      <c r="Q11" s="437"/>
      <c r="S11" s="399" t="str">
        <f>'15'!S11</f>
        <v>YEAST</v>
      </c>
      <c r="T11" s="446">
        <f>'15'!X11</f>
        <v>-26</v>
      </c>
      <c r="U11" s="456"/>
      <c r="V11" s="451">
        <f t="shared" ref="V11:V18" si="4">SUM(T11:U11)</f>
        <v>-26</v>
      </c>
      <c r="W11" s="451">
        <v>13</v>
      </c>
      <c r="X11" s="447">
        <f t="shared" ref="X11:X18" si="5">V11-W11</f>
        <v>-39</v>
      </c>
      <c r="Z11" s="375" t="str">
        <f>'15'!Z11</f>
        <v>IMRAN ALAM</v>
      </c>
      <c r="AA11" s="464">
        <f>'15'!AE11</f>
        <v>0</v>
      </c>
      <c r="AB11" s="460"/>
      <c r="AC11" s="462">
        <f t="shared" ref="AC11:AC19" si="6">AA11+AB11</f>
        <v>0</v>
      </c>
      <c r="AD11" s="469">
        <v>145000</v>
      </c>
      <c r="AE11" s="348">
        <f t="shared" ref="AE11:AE19" si="7">AC11-AD11</f>
        <v>-145000</v>
      </c>
      <c r="AF11" s="563">
        <f>'15'!AF11+'16'!AB11</f>
        <v>0</v>
      </c>
      <c r="AG11" s="234">
        <f>'15'!AG11+'16'!AD11</f>
        <v>145000</v>
      </c>
      <c r="AI11" s="1031"/>
      <c r="AJ11" s="1032"/>
    </row>
    <row r="12" spans="1:36" ht="27" customHeight="1">
      <c r="A12" s="718" t="s">
        <v>465</v>
      </c>
      <c r="B12" s="528">
        <v>200000</v>
      </c>
      <c r="C12" s="350"/>
      <c r="D12" s="550"/>
      <c r="F12" s="479" t="str">
        <f>'15'!F12</f>
        <v>ZULFIQAR</v>
      </c>
      <c r="G12" s="406">
        <f>'CUSTOMERS REPORT'!Y184</f>
        <v>0</v>
      </c>
      <c r="H12" s="504">
        <f>'CUSTOMERS REPORT'!Z184</f>
        <v>0</v>
      </c>
      <c r="I12" s="406">
        <f>'CUSTOMERS REPORT'!AA184</f>
        <v>0</v>
      </c>
      <c r="J12" s="498">
        <f>'CUSTOMERS REPORT'!AB184</f>
        <v>0</v>
      </c>
      <c r="K12" s="498">
        <f>'CUSTOMERS REPORT'!AC184</f>
        <v>0</v>
      </c>
      <c r="L12" s="509">
        <f>'CUSTOMERS REPORT'!AD184</f>
        <v>0</v>
      </c>
      <c r="M12" s="414">
        <f>'15'!M12+'16'!G12</f>
        <v>0</v>
      </c>
      <c r="N12" s="412">
        <f>'15'!N12+'16'!J12</f>
        <v>0</v>
      </c>
      <c r="P12" s="433"/>
      <c r="Q12" s="437"/>
      <c r="S12" s="399" t="str">
        <f>'15'!S12</f>
        <v xml:space="preserve">EKKA </v>
      </c>
      <c r="T12" s="446">
        <f>'15'!X12</f>
        <v>0</v>
      </c>
      <c r="U12" s="456"/>
      <c r="V12" s="451">
        <f t="shared" si="4"/>
        <v>0</v>
      </c>
      <c r="W12" s="451"/>
      <c r="X12" s="447">
        <f t="shared" si="5"/>
        <v>0</v>
      </c>
      <c r="Z12" s="375" t="str">
        <f>'15'!Z12</f>
        <v>ZAHEER</v>
      </c>
      <c r="AA12" s="464">
        <f>'15'!AE12</f>
        <v>0</v>
      </c>
      <c r="AB12" s="460"/>
      <c r="AC12" s="462">
        <f t="shared" si="6"/>
        <v>0</v>
      </c>
      <c r="AD12" s="469"/>
      <c r="AE12" s="348">
        <f t="shared" si="7"/>
        <v>0</v>
      </c>
      <c r="AF12" s="563">
        <f>'15'!AF12+'16'!AB12</f>
        <v>0</v>
      </c>
      <c r="AG12" s="234">
        <f>'15'!AG12+'16'!AD12</f>
        <v>0</v>
      </c>
      <c r="AI12" s="1031"/>
      <c r="AJ12" s="1032"/>
    </row>
    <row r="13" spans="1:36" ht="27" customHeight="1">
      <c r="A13" s="718"/>
      <c r="B13" s="528"/>
      <c r="C13" s="350"/>
      <c r="D13" s="550"/>
      <c r="F13" s="479" t="str">
        <f>'15'!F13</f>
        <v>QASIM ORANGI</v>
      </c>
      <c r="G13" s="406">
        <f>'CUSTOMERS REPORT'!Y224</f>
        <v>0</v>
      </c>
      <c r="H13" s="504">
        <f>'CUSTOMERS REPORT'!Z224</f>
        <v>0</v>
      </c>
      <c r="I13" s="406">
        <f>'CUSTOMERS REPORT'!AA224</f>
        <v>0</v>
      </c>
      <c r="J13" s="498">
        <f>'CUSTOMERS REPORT'!AB224</f>
        <v>0</v>
      </c>
      <c r="K13" s="498">
        <f>'CUSTOMERS REPORT'!AC224</f>
        <v>0</v>
      </c>
      <c r="L13" s="509">
        <f>'CUSTOMERS REPORT'!AD224</f>
        <v>0</v>
      </c>
      <c r="M13" s="414">
        <f>'15'!M13+'16'!G13</f>
        <v>0</v>
      </c>
      <c r="N13" s="412">
        <f>'15'!N13+'16'!J13</f>
        <v>0</v>
      </c>
      <c r="P13" s="433"/>
      <c r="Q13" s="437"/>
      <c r="S13" s="399" t="str">
        <f>'15'!S13</f>
        <v>VANILLA</v>
      </c>
      <c r="T13" s="446">
        <f>'15'!X13</f>
        <v>0</v>
      </c>
      <c r="U13" s="456"/>
      <c r="V13" s="451">
        <f t="shared" si="4"/>
        <v>0</v>
      </c>
      <c r="W13" s="451"/>
      <c r="X13" s="447">
        <f t="shared" si="5"/>
        <v>0</v>
      </c>
      <c r="Z13" s="375" t="str">
        <f>'15'!Z13</f>
        <v>FAISAL</v>
      </c>
      <c r="AA13" s="464">
        <f>'15'!AE13</f>
        <v>-100000</v>
      </c>
      <c r="AB13" s="460"/>
      <c r="AC13" s="462">
        <f t="shared" si="6"/>
        <v>-100000</v>
      </c>
      <c r="AD13" s="469"/>
      <c r="AE13" s="348">
        <f t="shared" si="7"/>
        <v>-100000</v>
      </c>
      <c r="AF13" s="563">
        <f>'15'!AF13+'16'!AB13</f>
        <v>0</v>
      </c>
      <c r="AG13" s="234">
        <f>'15'!AG13+'16'!AD13</f>
        <v>100000</v>
      </c>
      <c r="AI13" s="1031"/>
      <c r="AJ13" s="1032"/>
    </row>
    <row r="14" spans="1:36" ht="27" customHeight="1">
      <c r="A14" s="718"/>
      <c r="B14" s="528"/>
      <c r="C14" s="350"/>
      <c r="D14" s="550"/>
      <c r="F14" s="479" t="str">
        <f>'15'!F14</f>
        <v>BADSHAH KHAN HYD</v>
      </c>
      <c r="G14" s="406">
        <f>'CUSTOMERS REPORT'!Y261</f>
        <v>0</v>
      </c>
      <c r="H14" s="504">
        <f>'CUSTOMERS REPORT'!Z261</f>
        <v>0</v>
      </c>
      <c r="I14" s="406">
        <f>'CUSTOMERS REPORT'!AA261</f>
        <v>0</v>
      </c>
      <c r="J14" s="498">
        <f>'CUSTOMERS REPORT'!AB261</f>
        <v>0</v>
      </c>
      <c r="K14" s="498">
        <f>'CUSTOMERS REPORT'!AC261</f>
        <v>0</v>
      </c>
      <c r="L14" s="509">
        <f>'CUSTOMERS REPORT'!AD261</f>
        <v>0</v>
      </c>
      <c r="M14" s="414">
        <f>'15'!M14+'16'!G14</f>
        <v>0</v>
      </c>
      <c r="N14" s="412">
        <f>'15'!N14+'16'!J14</f>
        <v>0</v>
      </c>
      <c r="P14" s="433"/>
      <c r="Q14" s="437"/>
      <c r="S14" s="399" t="str">
        <f>'15'!S14</f>
        <v>COLOUR</v>
      </c>
      <c r="T14" s="446">
        <f>'15'!X14</f>
        <v>25</v>
      </c>
      <c r="U14" s="456"/>
      <c r="V14" s="451">
        <f t="shared" si="4"/>
        <v>25</v>
      </c>
      <c r="W14" s="451"/>
      <c r="X14" s="447">
        <f t="shared" si="5"/>
        <v>25</v>
      </c>
      <c r="Z14" s="375" t="str">
        <f>'15'!Z14</f>
        <v>RANA EKKA</v>
      </c>
      <c r="AA14" s="464">
        <f>'15'!AE14</f>
        <v>0</v>
      </c>
      <c r="AB14" s="460"/>
      <c r="AC14" s="462">
        <f t="shared" si="6"/>
        <v>0</v>
      </c>
      <c r="AD14" s="469"/>
      <c r="AE14" s="348">
        <f t="shared" si="7"/>
        <v>0</v>
      </c>
      <c r="AF14" s="563">
        <f>'15'!AF14+'16'!AB14</f>
        <v>0</v>
      </c>
      <c r="AG14" s="234">
        <f>'15'!AG14+'16'!AD14</f>
        <v>0</v>
      </c>
      <c r="AI14" s="1031"/>
      <c r="AJ14" s="1032"/>
    </row>
    <row r="15" spans="1:36" ht="27" customHeight="1">
      <c r="A15" s="718"/>
      <c r="B15" s="528"/>
      <c r="C15" s="350"/>
      <c r="D15" s="550"/>
      <c r="F15" s="479" t="str">
        <f>'15'!F15</f>
        <v>SHAMOON</v>
      </c>
      <c r="G15" s="406">
        <f>'CUSTOMERS REPORT'!Y301</f>
        <v>0</v>
      </c>
      <c r="H15" s="504">
        <f>'CUSTOMERS REPORT'!Z301</f>
        <v>0</v>
      </c>
      <c r="I15" s="406">
        <f>'CUSTOMERS REPORT'!AA301</f>
        <v>0</v>
      </c>
      <c r="J15" s="498">
        <f>'CUSTOMERS REPORT'!AB301</f>
        <v>0</v>
      </c>
      <c r="K15" s="498">
        <f>'CUSTOMERS REPORT'!AC301</f>
        <v>0</v>
      </c>
      <c r="L15" s="509">
        <f>'CUSTOMERS REPORT'!AD301</f>
        <v>0</v>
      </c>
      <c r="M15" s="414">
        <f>'15'!M15+'16'!G15</f>
        <v>0</v>
      </c>
      <c r="N15" s="412">
        <f>'15'!N15+'16'!J15</f>
        <v>0</v>
      </c>
      <c r="P15" s="433"/>
      <c r="Q15" s="437"/>
      <c r="S15" s="399" t="str">
        <f>'15'!S15</f>
        <v>TILL</v>
      </c>
      <c r="T15" s="446">
        <f>'15'!X15</f>
        <v>0</v>
      </c>
      <c r="U15" s="456"/>
      <c r="V15" s="451">
        <f t="shared" si="4"/>
        <v>0</v>
      </c>
      <c r="W15" s="451"/>
      <c r="X15" s="447">
        <f t="shared" si="5"/>
        <v>0</v>
      </c>
      <c r="Z15" s="375" t="str">
        <f>'15'!Z15</f>
        <v>sheeba</v>
      </c>
      <c r="AA15" s="464">
        <f>'15'!AE15</f>
        <v>-150000</v>
      </c>
      <c r="AB15" s="460"/>
      <c r="AC15" s="462">
        <f t="shared" si="6"/>
        <v>-150000</v>
      </c>
      <c r="AD15" s="469"/>
      <c r="AE15" s="348">
        <f t="shared" si="7"/>
        <v>-150000</v>
      </c>
      <c r="AF15" s="563">
        <f>'15'!AF15+'16'!AB15</f>
        <v>0</v>
      </c>
      <c r="AG15" s="234">
        <f>'15'!AG15+'16'!AD15</f>
        <v>150000</v>
      </c>
      <c r="AI15" s="1031"/>
      <c r="AJ15" s="1032"/>
    </row>
    <row r="16" spans="1:36" ht="27" customHeight="1">
      <c r="A16" s="718"/>
      <c r="B16" s="528"/>
      <c r="C16" s="350"/>
      <c r="D16" s="550"/>
      <c r="F16" s="479" t="str">
        <f>'15'!F16</f>
        <v>MATEEN</v>
      </c>
      <c r="G16" s="406">
        <f>'CUSTOMERS REPORT'!Y342</f>
        <v>0</v>
      </c>
      <c r="H16" s="504">
        <f>'CUSTOMERS REPORT'!Z342</f>
        <v>0</v>
      </c>
      <c r="I16" s="406">
        <f>'CUSTOMERS REPORT'!AA342</f>
        <v>0</v>
      </c>
      <c r="J16" s="498">
        <f>'CUSTOMERS REPORT'!AB342</f>
        <v>0</v>
      </c>
      <c r="K16" s="498">
        <f>'CUSTOMERS REPORT'!AC342</f>
        <v>0</v>
      </c>
      <c r="L16" s="509">
        <f>'CUSTOMERS REPORT'!AD342</f>
        <v>0</v>
      </c>
      <c r="M16" s="414">
        <f>'15'!M16+'16'!G16</f>
        <v>0</v>
      </c>
      <c r="N16" s="412">
        <f>'15'!N16+'16'!J16</f>
        <v>0</v>
      </c>
      <c r="P16" s="433"/>
      <c r="Q16" s="437"/>
      <c r="S16" s="399" t="str">
        <f>'15'!S16</f>
        <v>ILLAICHI</v>
      </c>
      <c r="T16" s="446">
        <f>'15'!X16</f>
        <v>0</v>
      </c>
      <c r="U16" s="456"/>
      <c r="V16" s="451">
        <f t="shared" si="4"/>
        <v>0</v>
      </c>
      <c r="W16" s="451"/>
      <c r="X16" s="447">
        <f t="shared" si="5"/>
        <v>0</v>
      </c>
      <c r="Z16" s="375" t="str">
        <f>'15'!Z16</f>
        <v>COTTON</v>
      </c>
      <c r="AA16" s="464">
        <f>'15'!AE16</f>
        <v>0</v>
      </c>
      <c r="AB16" s="460"/>
      <c r="AC16" s="462">
        <f t="shared" si="6"/>
        <v>0</v>
      </c>
      <c r="AD16" s="469"/>
      <c r="AE16" s="348">
        <f t="shared" si="7"/>
        <v>0</v>
      </c>
      <c r="AF16" s="563">
        <f>'15'!AF16+'16'!AB16</f>
        <v>0</v>
      </c>
      <c r="AG16" s="234">
        <f>'15'!AG16+'16'!AD16</f>
        <v>0</v>
      </c>
      <c r="AI16" s="1031"/>
      <c r="AJ16" s="1032"/>
    </row>
    <row r="17" spans="1:36" ht="27" customHeight="1">
      <c r="A17" s="718"/>
      <c r="B17" s="528"/>
      <c r="C17" s="350"/>
      <c r="D17" s="550"/>
      <c r="F17" s="479" t="str">
        <f>'15'!F17</f>
        <v>AMJAD ORANGI</v>
      </c>
      <c r="G17" s="406">
        <f>'CUSTOMERS REPORT'!Y384</f>
        <v>0</v>
      </c>
      <c r="H17" s="504">
        <f>'CUSTOMERS REPORT'!Z384</f>
        <v>0</v>
      </c>
      <c r="I17" s="406">
        <f>'CUSTOMERS REPORT'!AA384</f>
        <v>0</v>
      </c>
      <c r="J17" s="498">
        <f>'CUSTOMERS REPORT'!AB384</f>
        <v>0</v>
      </c>
      <c r="K17" s="498">
        <f>'CUSTOMERS REPORT'!AC384</f>
        <v>0</v>
      </c>
      <c r="L17" s="509">
        <f>'CUSTOMERS REPORT'!AD384</f>
        <v>0</v>
      </c>
      <c r="M17" s="414">
        <f>'15'!M17+'16'!G17</f>
        <v>0</v>
      </c>
      <c r="N17" s="412">
        <f>'15'!N17+'16'!J17</f>
        <v>0</v>
      </c>
      <c r="P17" s="433"/>
      <c r="Q17" s="437"/>
      <c r="S17" s="399" t="str">
        <f>'15'!S17</f>
        <v>S-THELLI</v>
      </c>
      <c r="T17" s="446">
        <f>'15'!X17</f>
        <v>0</v>
      </c>
      <c r="U17" s="456"/>
      <c r="V17" s="451">
        <f t="shared" si="4"/>
        <v>0</v>
      </c>
      <c r="W17" s="451"/>
      <c r="X17" s="447">
        <f t="shared" si="5"/>
        <v>0</v>
      </c>
      <c r="Z17" s="375" t="str">
        <f>'15'!Z17</f>
        <v>SHAHID UP</v>
      </c>
      <c r="AA17" s="464">
        <f>'15'!AE17</f>
        <v>21250</v>
      </c>
      <c r="AB17" s="460"/>
      <c r="AC17" s="462">
        <f t="shared" si="6"/>
        <v>21250</v>
      </c>
      <c r="AD17" s="469"/>
      <c r="AE17" s="348">
        <f t="shared" si="7"/>
        <v>21250</v>
      </c>
      <c r="AF17" s="563">
        <f>'15'!AF17+'16'!AB17</f>
        <v>21250</v>
      </c>
      <c r="AG17" s="234">
        <f>'15'!AG17+'16'!AD17</f>
        <v>0</v>
      </c>
      <c r="AI17" s="1031"/>
      <c r="AJ17" s="1032"/>
    </row>
    <row r="18" spans="1:36" ht="27" customHeight="1">
      <c r="A18" s="718"/>
      <c r="B18" s="528"/>
      <c r="C18" s="350"/>
      <c r="D18" s="550"/>
      <c r="F18" s="479" t="str">
        <f>'15'!F18</f>
        <v>HAFIZ DRIVER</v>
      </c>
      <c r="G18" s="406">
        <f>'CUSTOMERS REPORT'!Y423</f>
        <v>0</v>
      </c>
      <c r="H18" s="504">
        <f>'CUSTOMERS REPORT'!Z423</f>
        <v>0</v>
      </c>
      <c r="I18" s="406">
        <f>'CUSTOMERS REPORT'!AA423</f>
        <v>0</v>
      </c>
      <c r="J18" s="498">
        <f>'CUSTOMERS REPORT'!AB423</f>
        <v>0</v>
      </c>
      <c r="K18" s="498">
        <f>'CUSTOMERS REPORT'!AC423</f>
        <v>0</v>
      </c>
      <c r="L18" s="509">
        <f>'CUSTOMERS REPORT'!AD423</f>
        <v>0</v>
      </c>
      <c r="M18" s="414">
        <f>'15'!M18+'16'!G18</f>
        <v>0</v>
      </c>
      <c r="N18" s="412">
        <f>'15'!N18+'16'!J18</f>
        <v>0</v>
      </c>
      <c r="P18" s="433"/>
      <c r="Q18" s="437"/>
      <c r="S18" s="399" t="str">
        <f>'15'!S18</f>
        <v>P-THELLI</v>
      </c>
      <c r="T18" s="446">
        <f>'15'!X18</f>
        <v>0</v>
      </c>
      <c r="U18" s="456"/>
      <c r="V18" s="451">
        <f t="shared" si="4"/>
        <v>0</v>
      </c>
      <c r="W18" s="451"/>
      <c r="X18" s="447">
        <f t="shared" si="5"/>
        <v>0</v>
      </c>
      <c r="Z18" s="375" t="str">
        <f>'15'!Z18</f>
        <v>SALT</v>
      </c>
      <c r="AA18" s="464">
        <f>'15'!AE18</f>
        <v>0</v>
      </c>
      <c r="AB18" s="460"/>
      <c r="AC18" s="462">
        <f t="shared" si="6"/>
        <v>0</v>
      </c>
      <c r="AD18" s="469"/>
      <c r="AE18" s="348">
        <f t="shared" si="7"/>
        <v>0</v>
      </c>
      <c r="AF18" s="563">
        <f>'15'!AF18+'16'!AB18</f>
        <v>1500</v>
      </c>
      <c r="AG18" s="234">
        <f>'15'!AG18+'16'!AD18</f>
        <v>1500</v>
      </c>
      <c r="AI18" s="1031"/>
      <c r="AJ18" s="1032"/>
    </row>
    <row r="19" spans="1:36" ht="27" customHeight="1" thickBot="1">
      <c r="A19" s="719"/>
      <c r="B19" s="529"/>
      <c r="C19" s="350"/>
      <c r="D19" s="550"/>
      <c r="F19" s="479" t="str">
        <f>'15'!F19</f>
        <v>GHULAM QUETTA</v>
      </c>
      <c r="G19" s="406">
        <f>'CUSTOMERS REPORT'!Y461</f>
        <v>0</v>
      </c>
      <c r="H19" s="504">
        <f>'CUSTOMERS REPORT'!Z461</f>
        <v>0</v>
      </c>
      <c r="I19" s="406">
        <f>'CUSTOMERS REPORT'!AA461</f>
        <v>0</v>
      </c>
      <c r="J19" s="498">
        <f>'CUSTOMERS REPORT'!AB461</f>
        <v>0</v>
      </c>
      <c r="K19" s="498">
        <f>'CUSTOMERS REPORT'!AC461</f>
        <v>0</v>
      </c>
      <c r="L19" s="509">
        <f>'CUSTOMERS REPORT'!AD461</f>
        <v>0</v>
      </c>
      <c r="M19" s="414">
        <f>'15'!M19+'16'!G19</f>
        <v>0</v>
      </c>
      <c r="N19" s="412">
        <f>'15'!N19+'16'!J19</f>
        <v>0</v>
      </c>
      <c r="P19" s="433"/>
      <c r="Q19" s="437"/>
      <c r="S19" s="399" t="str">
        <f>'15'!S19</f>
        <v>RUBBER</v>
      </c>
      <c r="T19" s="446">
        <f>'15'!X19</f>
        <v>0</v>
      </c>
      <c r="U19" s="456"/>
      <c r="V19" s="451">
        <f t="shared" si="0"/>
        <v>0</v>
      </c>
      <c r="W19" s="451"/>
      <c r="X19" s="447">
        <f t="shared" si="1"/>
        <v>0</v>
      </c>
      <c r="Z19" s="375" t="str">
        <f>'15'!Z19</f>
        <v>NAVEED</v>
      </c>
      <c r="AA19" s="464">
        <f>'15'!AE19</f>
        <v>0</v>
      </c>
      <c r="AB19" s="460"/>
      <c r="AC19" s="462">
        <f t="shared" si="6"/>
        <v>0</v>
      </c>
      <c r="AD19" s="469"/>
      <c r="AE19" s="348">
        <f t="shared" si="7"/>
        <v>0</v>
      </c>
      <c r="AF19" s="563">
        <f>'15'!AF19+'16'!AB19</f>
        <v>0</v>
      </c>
      <c r="AG19" s="234">
        <f>'15'!AG19+'16'!AD19</f>
        <v>0</v>
      </c>
    </row>
    <row r="20" spans="1:36" ht="27" customHeight="1" thickTop="1" thickBot="1">
      <c r="A20" s="719"/>
      <c r="B20" s="529"/>
      <c r="C20" s="350"/>
      <c r="D20" s="550"/>
      <c r="F20" s="479" t="str">
        <f>'15'!F20</f>
        <v>HUSSAN GWADAR</v>
      </c>
      <c r="G20" s="406">
        <f>'CUSTOMERS REPORT'!Y497</f>
        <v>0</v>
      </c>
      <c r="H20" s="504">
        <f>'CUSTOMERS REPORT'!Z497</f>
        <v>0</v>
      </c>
      <c r="I20" s="406">
        <f>'CUSTOMERS REPORT'!AA497</f>
        <v>0</v>
      </c>
      <c r="J20" s="498">
        <f>'CUSTOMERS REPORT'!AB497</f>
        <v>0</v>
      </c>
      <c r="K20" s="498">
        <f>'CUSTOMERS REPORT'!AC497</f>
        <v>0</v>
      </c>
      <c r="L20" s="509">
        <f>'CUSTOMERS REPORT'!AD497</f>
        <v>0</v>
      </c>
      <c r="M20" s="414">
        <f>'15'!M20+'16'!G20</f>
        <v>0</v>
      </c>
      <c r="N20" s="412">
        <f>'15'!N20+'16'!J20</f>
        <v>0</v>
      </c>
      <c r="P20" s="433"/>
      <c r="Q20" s="437"/>
      <c r="S20" s="399" t="str">
        <f>'15'!S20</f>
        <v>SALT</v>
      </c>
      <c r="T20" s="446">
        <f>'15'!X20</f>
        <v>250</v>
      </c>
      <c r="U20" s="456"/>
      <c r="V20" s="451">
        <f t="shared" si="0"/>
        <v>250</v>
      </c>
      <c r="W20" s="451"/>
      <c r="X20" s="447">
        <f t="shared" si="1"/>
        <v>250</v>
      </c>
      <c r="Z20" s="375" t="str">
        <f>'15'!Z20</f>
        <v>YOUSUF BHAI</v>
      </c>
      <c r="AA20" s="464">
        <f>'15'!AE20</f>
        <v>118500</v>
      </c>
      <c r="AB20" s="460"/>
      <c r="AC20" s="462">
        <f t="shared" si="2"/>
        <v>118500</v>
      </c>
      <c r="AD20" s="469"/>
      <c r="AE20" s="348">
        <f t="shared" si="3"/>
        <v>118500</v>
      </c>
      <c r="AF20" s="563">
        <f>'15'!AF20+'16'!AB20</f>
        <v>118500</v>
      </c>
      <c r="AG20" s="234">
        <f>'15'!AG20+'16'!AD20</f>
        <v>0</v>
      </c>
      <c r="AI20" s="1487" t="s">
        <v>132</v>
      </c>
      <c r="AJ20" s="1488"/>
    </row>
    <row r="21" spans="1:36" ht="27" customHeight="1" thickTop="1" thickBot="1">
      <c r="A21" s="720"/>
      <c r="B21" s="530"/>
      <c r="C21" s="531"/>
      <c r="D21" s="553"/>
      <c r="F21" s="479" t="str">
        <f>'15'!F21</f>
        <v>AQASH S KOT</v>
      </c>
      <c r="G21" s="406">
        <f>'CUSTOMERS REPORT'!Y534</f>
        <v>0</v>
      </c>
      <c r="H21" s="504">
        <f>'CUSTOMERS REPORT'!Z534</f>
        <v>0</v>
      </c>
      <c r="I21" s="406">
        <f>'CUSTOMERS REPORT'!AA534</f>
        <v>0</v>
      </c>
      <c r="J21" s="498">
        <f>'CUSTOMERS REPORT'!AB534</f>
        <v>0</v>
      </c>
      <c r="K21" s="498">
        <f>'CUSTOMERS REPORT'!AC534</f>
        <v>0</v>
      </c>
      <c r="L21" s="509">
        <f>'CUSTOMERS REPORT'!AD534</f>
        <v>0</v>
      </c>
      <c r="M21" s="414">
        <f>'15'!M21+'16'!G21</f>
        <v>0</v>
      </c>
      <c r="N21" s="412">
        <f>'15'!N21+'16'!J21</f>
        <v>0</v>
      </c>
      <c r="P21" s="433"/>
      <c r="Q21" s="435"/>
      <c r="S21" s="399" t="str">
        <f>'15'!S21</f>
        <v>TAPE</v>
      </c>
      <c r="T21" s="446">
        <f>'15'!X21</f>
        <v>0</v>
      </c>
      <c r="U21" s="456"/>
      <c r="V21" s="451">
        <f t="shared" si="0"/>
        <v>0</v>
      </c>
      <c r="W21" s="451"/>
      <c r="X21" s="447">
        <f t="shared" si="1"/>
        <v>0</v>
      </c>
      <c r="Z21" s="375" t="str">
        <f>'15'!Z21</f>
        <v>SULEMAN  PRINT</v>
      </c>
      <c r="AA21" s="464">
        <f>'15'!AE21</f>
        <v>-312000</v>
      </c>
      <c r="AB21" s="460"/>
      <c r="AC21" s="462">
        <f t="shared" si="2"/>
        <v>-312000</v>
      </c>
      <c r="AD21" s="469"/>
      <c r="AE21" s="348">
        <f t="shared" si="3"/>
        <v>-312000</v>
      </c>
      <c r="AF21" s="563">
        <f>'15'!AF21+'16'!AB21</f>
        <v>0</v>
      </c>
      <c r="AG21" s="234">
        <f>'15'!AG21+'16'!AD21</f>
        <v>312000</v>
      </c>
      <c r="AI21" s="391" t="s">
        <v>126</v>
      </c>
      <c r="AJ21" s="392">
        <f>'15'!AJ23</f>
        <v>46800</v>
      </c>
    </row>
    <row r="22" spans="1:36" ht="27" customHeight="1" thickTop="1" thickBot="1">
      <c r="A22" s="486" t="s">
        <v>74</v>
      </c>
      <c r="B22" s="533">
        <f>SUM(B8:B21)</f>
        <v>415220</v>
      </c>
      <c r="C22" s="534">
        <f>'15'!D22</f>
        <v>866300</v>
      </c>
      <c r="D22" s="535">
        <f t="shared" ref="D22" si="8">B22+C22</f>
        <v>1281520</v>
      </c>
      <c r="F22" s="479" t="str">
        <f>'15'!F22</f>
        <v>SALEEM T JAM</v>
      </c>
      <c r="G22" s="406">
        <f>'CUSTOMERS REPORT'!Y572</f>
        <v>0</v>
      </c>
      <c r="H22" s="504">
        <f>'CUSTOMERS REPORT'!Z572</f>
        <v>0</v>
      </c>
      <c r="I22" s="406">
        <f>'CUSTOMERS REPORT'!AA572</f>
        <v>0</v>
      </c>
      <c r="J22" s="498">
        <f>'CUSTOMERS REPORT'!AB572</f>
        <v>0</v>
      </c>
      <c r="K22" s="498">
        <f>'CUSTOMERS REPORT'!AC572</f>
        <v>0</v>
      </c>
      <c r="L22" s="509">
        <f>'CUSTOMERS REPORT'!AD572</f>
        <v>0</v>
      </c>
      <c r="M22" s="414">
        <f>'15'!M22+'16'!G22</f>
        <v>0</v>
      </c>
      <c r="N22" s="412">
        <f>'15'!N22+'16'!J22</f>
        <v>0</v>
      </c>
      <c r="P22" s="433"/>
      <c r="Q22" s="438"/>
      <c r="S22" s="399" t="str">
        <f>'15'!S22</f>
        <v>COTTON</v>
      </c>
      <c r="T22" s="446">
        <f>'15'!X22</f>
        <v>0</v>
      </c>
      <c r="U22" s="456"/>
      <c r="V22" s="451">
        <f t="shared" si="0"/>
        <v>0</v>
      </c>
      <c r="W22" s="451"/>
      <c r="X22" s="447">
        <f t="shared" si="1"/>
        <v>0</v>
      </c>
      <c r="Z22" s="375" t="str">
        <f>'15'!Z22</f>
        <v>IRFAN VANILA</v>
      </c>
      <c r="AA22" s="464">
        <f>'15'!AE22</f>
        <v>-110000</v>
      </c>
      <c r="AB22" s="460"/>
      <c r="AC22" s="462">
        <f t="shared" si="2"/>
        <v>-110000</v>
      </c>
      <c r="AD22" s="469"/>
      <c r="AE22" s="348">
        <f t="shared" si="3"/>
        <v>-110000</v>
      </c>
      <c r="AF22" s="563">
        <f>'15'!AF22+'16'!AB22</f>
        <v>0</v>
      </c>
      <c r="AG22" s="234">
        <f>'15'!AG22+'16'!AD22</f>
        <v>110000</v>
      </c>
      <c r="AI22" s="393">
        <f>R56</f>
        <v>13</v>
      </c>
      <c r="AJ22" s="394">
        <f>R56*1800</f>
        <v>23400</v>
      </c>
    </row>
    <row r="23" spans="1:36" ht="27" customHeight="1" thickTop="1" thickBot="1">
      <c r="A23" s="715" t="str">
        <f>'15'!A23</f>
        <v>OFFICE FOOD</v>
      </c>
      <c r="B23" s="462">
        <v>470</v>
      </c>
      <c r="C23" s="536">
        <f>'15'!D23</f>
        <v>890</v>
      </c>
      <c r="D23" s="537">
        <f t="shared" ref="D23:D48" si="9">B23+C23</f>
        <v>1360</v>
      </c>
      <c r="F23" s="479" t="str">
        <f>'15'!F23</f>
        <v>JAMSHAD BADEEN</v>
      </c>
      <c r="G23" s="406">
        <f>'CUSTOMERS REPORT'!Y608</f>
        <v>0</v>
      </c>
      <c r="H23" s="504">
        <f>'CUSTOMERS REPORT'!Z608</f>
        <v>0</v>
      </c>
      <c r="I23" s="406">
        <f>'CUSTOMERS REPORT'!AA608</f>
        <v>0</v>
      </c>
      <c r="J23" s="498">
        <f>'CUSTOMERS REPORT'!AB608</f>
        <v>0</v>
      </c>
      <c r="K23" s="498">
        <f>'CUSTOMERS REPORT'!AC608</f>
        <v>0</v>
      </c>
      <c r="L23" s="509">
        <f>'CUSTOMERS REPORT'!AD608</f>
        <v>0</v>
      </c>
      <c r="M23" s="414">
        <f>'15'!M23+'16'!G23</f>
        <v>0</v>
      </c>
      <c r="N23" s="412">
        <f>'15'!N23+'16'!J23</f>
        <v>0</v>
      </c>
      <c r="P23" s="190" t="s">
        <v>48</v>
      </c>
      <c r="Q23" s="439">
        <f>SUM(Q8:Q22)</f>
        <v>0</v>
      </c>
      <c r="S23" s="399" t="str">
        <f>'15'!S23</f>
        <v>WHITE 6</v>
      </c>
      <c r="T23" s="446">
        <f>'15'!X23</f>
        <v>0</v>
      </c>
      <c r="U23" s="456"/>
      <c r="V23" s="451">
        <f t="shared" si="0"/>
        <v>0</v>
      </c>
      <c r="W23" s="451"/>
      <c r="X23" s="447">
        <f t="shared" si="1"/>
        <v>0</v>
      </c>
      <c r="Z23" s="375" t="str">
        <f>'15'!Z23</f>
        <v>IRANI GHEE</v>
      </c>
      <c r="AA23" s="464">
        <f>'15'!AE23</f>
        <v>0</v>
      </c>
      <c r="AB23" s="460"/>
      <c r="AC23" s="462">
        <f t="shared" si="2"/>
        <v>0</v>
      </c>
      <c r="AD23" s="469"/>
      <c r="AE23" s="348">
        <f t="shared" si="3"/>
        <v>0</v>
      </c>
      <c r="AF23" s="563">
        <f>'15'!AF23+'16'!AB23</f>
        <v>0</v>
      </c>
      <c r="AG23" s="234">
        <f>'15'!AG23+'16'!AD23</f>
        <v>0</v>
      </c>
      <c r="AI23" s="395" t="s">
        <v>74</v>
      </c>
      <c r="AJ23" s="396">
        <f>AJ21+AJ22</f>
        <v>70200</v>
      </c>
    </row>
    <row r="24" spans="1:36" ht="27" customHeight="1" thickTop="1" thickBot="1">
      <c r="A24" s="715" t="str">
        <f>'15'!A24</f>
        <v>LABOUR FOOD EXP</v>
      </c>
      <c r="B24" s="234">
        <v>2000</v>
      </c>
      <c r="C24" s="348">
        <f>'15'!D24</f>
        <v>4000</v>
      </c>
      <c r="D24" s="234">
        <f t="shared" si="9"/>
        <v>6000</v>
      </c>
      <c r="F24" s="479" t="str">
        <f>'15'!F24</f>
        <v>SARFAZ MP</v>
      </c>
      <c r="G24" s="406">
        <f>'CUSTOMERS REPORT'!Y646</f>
        <v>0</v>
      </c>
      <c r="H24" s="504">
        <f>'CUSTOMERS REPORT'!Z646</f>
        <v>0</v>
      </c>
      <c r="I24" s="406">
        <f>'CUSTOMERS REPORT'!AA646</f>
        <v>0</v>
      </c>
      <c r="J24" s="498">
        <f>'CUSTOMERS REPORT'!AB646</f>
        <v>0</v>
      </c>
      <c r="K24" s="498">
        <f>'CUSTOMERS REPORT'!AC646</f>
        <v>0</v>
      </c>
      <c r="L24" s="509">
        <f>'CUSTOMERS REPORT'!AD646</f>
        <v>0</v>
      </c>
      <c r="M24" s="414">
        <f>'15'!M24+'16'!G24</f>
        <v>0</v>
      </c>
      <c r="N24" s="412">
        <f>'15'!N24+'16'!J24</f>
        <v>0</v>
      </c>
      <c r="P24" s="1514" t="s">
        <v>137</v>
      </c>
      <c r="Q24" s="1514"/>
      <c r="R24" t="s">
        <v>1</v>
      </c>
      <c r="S24" s="399" t="str">
        <f>'15'!S24</f>
        <v>ORANGE</v>
      </c>
      <c r="T24" s="446">
        <f>'15'!X24</f>
        <v>0</v>
      </c>
      <c r="U24" s="456"/>
      <c r="V24" s="451">
        <f t="shared" si="0"/>
        <v>0</v>
      </c>
      <c r="W24" s="451"/>
      <c r="X24" s="447">
        <f t="shared" si="1"/>
        <v>0</v>
      </c>
      <c r="Z24" s="375">
        <f>'15'!Z24</f>
        <v>0</v>
      </c>
      <c r="AA24" s="464">
        <f>'15'!AE24</f>
        <v>0</v>
      </c>
      <c r="AB24" s="460"/>
      <c r="AC24" s="462">
        <f t="shared" si="2"/>
        <v>0</v>
      </c>
      <c r="AD24" s="469"/>
      <c r="AE24" s="348">
        <f t="shared" si="3"/>
        <v>0</v>
      </c>
      <c r="AF24" s="563">
        <f>'15'!AF24+'16'!AB24</f>
        <v>0</v>
      </c>
      <c r="AG24" s="234">
        <f>'15'!AG24+'16'!AD24</f>
        <v>0</v>
      </c>
    </row>
    <row r="25" spans="1:36" ht="27" customHeight="1" thickTop="1" thickBot="1">
      <c r="A25" s="715" t="str">
        <f>'15'!A25</f>
        <v>OFFICE SALARY</v>
      </c>
      <c r="B25" s="234">
        <f>ATTENDANCE!AG28</f>
        <v>14000</v>
      </c>
      <c r="C25" s="348">
        <f>'15'!D25</f>
        <v>2000</v>
      </c>
      <c r="D25" s="234">
        <f t="shared" si="9"/>
        <v>16000</v>
      </c>
      <c r="F25" s="479" t="str">
        <f>'15'!F25</f>
        <v>AFZAL MATLI</v>
      </c>
      <c r="G25" s="406">
        <f>'CUSTOMERS REPORT'!Y684</f>
        <v>0</v>
      </c>
      <c r="H25" s="504">
        <f>'CUSTOMERS REPORT'!Z684</f>
        <v>0</v>
      </c>
      <c r="I25" s="406">
        <f>'CUSTOMERS REPORT'!AA684</f>
        <v>0</v>
      </c>
      <c r="J25" s="498">
        <f>'CUSTOMERS REPORT'!AB684</f>
        <v>0</v>
      </c>
      <c r="K25" s="498">
        <f>'CUSTOMERS REPORT'!AC684</f>
        <v>0</v>
      </c>
      <c r="L25" s="509">
        <f>'CUSTOMERS REPORT'!AD684</f>
        <v>0</v>
      </c>
      <c r="M25" s="414">
        <f>'15'!M25+'16'!G25</f>
        <v>0</v>
      </c>
      <c r="N25" s="412">
        <f>'15'!N25+'16'!J25</f>
        <v>0</v>
      </c>
      <c r="P25" s="434"/>
      <c r="Q25" s="440"/>
      <c r="S25" s="399" t="str">
        <f>'15'!S25</f>
        <v>MAKKI 7</v>
      </c>
      <c r="T25" s="446">
        <f>'15'!X25</f>
        <v>0</v>
      </c>
      <c r="U25" s="456"/>
      <c r="V25" s="451">
        <f t="shared" si="0"/>
        <v>0</v>
      </c>
      <c r="W25" s="451"/>
      <c r="X25" s="447">
        <f t="shared" si="1"/>
        <v>0</v>
      </c>
      <c r="Z25" s="375">
        <f>'15'!Z25</f>
        <v>0</v>
      </c>
      <c r="AA25" s="464">
        <f>'15'!AE25</f>
        <v>0</v>
      </c>
      <c r="AB25" s="460"/>
      <c r="AC25" s="462">
        <f t="shared" si="2"/>
        <v>0</v>
      </c>
      <c r="AD25" s="469"/>
      <c r="AE25" s="348">
        <f t="shared" si="3"/>
        <v>0</v>
      </c>
      <c r="AF25" s="563">
        <f>'15'!AF25+'16'!AB25</f>
        <v>0</v>
      </c>
      <c r="AG25" s="234">
        <f>'15'!AG25+'16'!AD25</f>
        <v>0</v>
      </c>
      <c r="AI25" s="397" t="s">
        <v>59</v>
      </c>
      <c r="AJ25" s="398">
        <f>AJ23-AJ10</f>
        <v>31900</v>
      </c>
    </row>
    <row r="26" spans="1:36" ht="27" customHeight="1" thickTop="1">
      <c r="A26" s="715" t="str">
        <f>'15'!A26</f>
        <v>LABOUR SALARY</v>
      </c>
      <c r="B26" s="234">
        <f>SUM('SALERY SHEET'!AH97:AI97)</f>
        <v>0</v>
      </c>
      <c r="C26" s="348">
        <f>'15'!D26</f>
        <v>38300</v>
      </c>
      <c r="D26" s="234">
        <f t="shared" si="9"/>
        <v>38300</v>
      </c>
      <c r="F26" s="479" t="str">
        <f>'15'!F26</f>
        <v xml:space="preserve">ABDUL RASHEED </v>
      </c>
      <c r="G26" s="406">
        <f>'CUSTOMERS REPORT'!Y722</f>
        <v>0</v>
      </c>
      <c r="H26" s="504">
        <f>'CUSTOMERS REPORT'!Z722</f>
        <v>0</v>
      </c>
      <c r="I26" s="406">
        <f>'CUSTOMERS REPORT'!AA722</f>
        <v>0</v>
      </c>
      <c r="J26" s="498">
        <f>'CUSTOMERS REPORT'!AB722</f>
        <v>0</v>
      </c>
      <c r="K26" s="498">
        <f>'CUSTOMERS REPORT'!AC722</f>
        <v>0</v>
      </c>
      <c r="L26" s="509">
        <f>'CUSTOMERS REPORT'!AD722</f>
        <v>0</v>
      </c>
      <c r="M26" s="414">
        <f>'15'!M26+'16'!G26</f>
        <v>0</v>
      </c>
      <c r="N26" s="412">
        <f>'15'!N26+'16'!J26</f>
        <v>0</v>
      </c>
      <c r="P26" s="433"/>
      <c r="Q26" s="438"/>
      <c r="R26" t="s">
        <v>1</v>
      </c>
      <c r="S26" s="399" t="str">
        <f>'15'!S26</f>
        <v>BLUE 125 GM</v>
      </c>
      <c r="T26" s="446">
        <f>'15'!X26</f>
        <v>0</v>
      </c>
      <c r="U26" s="456"/>
      <c r="V26" s="451">
        <f t="shared" si="0"/>
        <v>0</v>
      </c>
      <c r="W26" s="451"/>
      <c r="X26" s="447">
        <f t="shared" si="1"/>
        <v>0</v>
      </c>
      <c r="Z26" s="375">
        <f>'15'!Z26</f>
        <v>0</v>
      </c>
      <c r="AA26" s="464">
        <f>'15'!AE26</f>
        <v>0</v>
      </c>
      <c r="AB26" s="460"/>
      <c r="AC26" s="462">
        <f t="shared" si="2"/>
        <v>0</v>
      </c>
      <c r="AD26" s="469"/>
      <c r="AE26" s="348">
        <f t="shared" si="3"/>
        <v>0</v>
      </c>
      <c r="AF26" s="563">
        <f>'15'!AF26+'16'!AB26</f>
        <v>0</v>
      </c>
      <c r="AG26" s="234">
        <f>'15'!AG26+'16'!AD26</f>
        <v>0</v>
      </c>
    </row>
    <row r="27" spans="1:36" ht="27" customHeight="1">
      <c r="A27" s="715" t="str">
        <f>'15'!A27</f>
        <v>SHAHZORE</v>
      </c>
      <c r="B27" s="234"/>
      <c r="C27" s="348">
        <f>'15'!D27</f>
        <v>0</v>
      </c>
      <c r="D27" s="234">
        <f t="shared" si="9"/>
        <v>0</v>
      </c>
      <c r="F27" s="479" t="str">
        <f>'15'!F27</f>
        <v>SALEEM ORANGI</v>
      </c>
      <c r="G27" s="406">
        <f>'CUSTOMERS REPORT'!Y760</f>
        <v>0</v>
      </c>
      <c r="H27" s="504">
        <f>'CUSTOMERS REPORT'!Z760</f>
        <v>0</v>
      </c>
      <c r="I27" s="406">
        <f>'CUSTOMERS REPORT'!AA760</f>
        <v>0</v>
      </c>
      <c r="J27" s="498">
        <f>'CUSTOMERS REPORT'!AB760</f>
        <v>0</v>
      </c>
      <c r="K27" s="498">
        <f>'CUSTOMERS REPORT'!AC760</f>
        <v>0</v>
      </c>
      <c r="L27" s="509">
        <f>'CUSTOMERS REPORT'!AD760</f>
        <v>0</v>
      </c>
      <c r="M27" s="414">
        <f>'15'!M27+'16'!G27</f>
        <v>0</v>
      </c>
      <c r="N27" s="412">
        <f>'15'!N27+'16'!J27</f>
        <v>0</v>
      </c>
      <c r="P27" s="433"/>
      <c r="Q27" s="435"/>
      <c r="R27" t="s">
        <v>1</v>
      </c>
      <c r="S27" s="399" t="str">
        <f>'15'!S27</f>
        <v>MAKKI 5</v>
      </c>
      <c r="T27" s="446">
        <f>'15'!X27</f>
        <v>0</v>
      </c>
      <c r="U27" s="456"/>
      <c r="V27" s="451">
        <f t="shared" si="0"/>
        <v>0</v>
      </c>
      <c r="W27" s="451"/>
      <c r="X27" s="447">
        <f t="shared" si="1"/>
        <v>0</v>
      </c>
      <c r="Z27" s="375">
        <f>'15'!Z27</f>
        <v>0</v>
      </c>
      <c r="AA27" s="464">
        <f>'15'!AE27</f>
        <v>0</v>
      </c>
      <c r="AB27" s="460"/>
      <c r="AC27" s="462">
        <f t="shared" si="2"/>
        <v>0</v>
      </c>
      <c r="AD27" s="469"/>
      <c r="AE27" s="348">
        <f t="shared" si="3"/>
        <v>0</v>
      </c>
      <c r="AF27" s="563">
        <f>'15'!AF27+'16'!AB27</f>
        <v>0</v>
      </c>
      <c r="AG27" s="234">
        <f>'15'!AG27+'16'!AD27</f>
        <v>0</v>
      </c>
    </row>
    <row r="28" spans="1:36" ht="27" customHeight="1">
      <c r="A28" s="715" t="str">
        <f>'15'!A28</f>
        <v>GENERATOR</v>
      </c>
      <c r="B28" s="234">
        <v>15000</v>
      </c>
      <c r="C28" s="348">
        <f>'15'!D28</f>
        <v>6000</v>
      </c>
      <c r="D28" s="234">
        <f t="shared" si="9"/>
        <v>21000</v>
      </c>
      <c r="F28" s="479" t="str">
        <f>'15'!F28</f>
        <v>AYAZ OUSTA</v>
      </c>
      <c r="G28" s="406">
        <f>'CUSTOMERS REPORT'!Y798</f>
        <v>0</v>
      </c>
      <c r="H28" s="504">
        <f>'CUSTOMERS REPORT'!Z798</f>
        <v>0</v>
      </c>
      <c r="I28" s="406">
        <f>'CUSTOMERS REPORT'!AA798</f>
        <v>0</v>
      </c>
      <c r="J28" s="498">
        <f>'CUSTOMERS REPORT'!AB798</f>
        <v>0</v>
      </c>
      <c r="K28" s="498">
        <f>'CUSTOMERS REPORT'!AC798</f>
        <v>0</v>
      </c>
      <c r="L28" s="509">
        <f>'CUSTOMERS REPORT'!AD798</f>
        <v>0</v>
      </c>
      <c r="M28" s="414">
        <f>'15'!M28+'16'!G28</f>
        <v>0</v>
      </c>
      <c r="N28" s="412">
        <f>'15'!N28+'16'!J28</f>
        <v>0</v>
      </c>
      <c r="P28" s="433"/>
      <c r="Q28" s="438"/>
      <c r="S28" s="399" t="str">
        <f>'15'!S28</f>
        <v>MAKKI 2 PES</v>
      </c>
      <c r="T28" s="446">
        <f>'15'!X28</f>
        <v>0</v>
      </c>
      <c r="U28" s="456"/>
      <c r="V28" s="451">
        <f t="shared" si="0"/>
        <v>0</v>
      </c>
      <c r="W28" s="451"/>
      <c r="X28" s="447">
        <f t="shared" si="1"/>
        <v>0</v>
      </c>
      <c r="Z28" s="375">
        <f>'15'!Z28</f>
        <v>0</v>
      </c>
      <c r="AA28" s="464">
        <f>'15'!AE28</f>
        <v>0</v>
      </c>
      <c r="AB28" s="460"/>
      <c r="AC28" s="462">
        <f t="shared" si="2"/>
        <v>0</v>
      </c>
      <c r="AD28" s="469"/>
      <c r="AE28" s="348">
        <f t="shared" si="3"/>
        <v>0</v>
      </c>
      <c r="AF28" s="563">
        <f>'15'!AF28+'16'!AB28</f>
        <v>0</v>
      </c>
      <c r="AG28" s="234">
        <f>'15'!AG28+'16'!AD28</f>
        <v>0</v>
      </c>
    </row>
    <row r="29" spans="1:36" ht="27" customHeight="1">
      <c r="A29" s="715" t="str">
        <f>'15'!A29</f>
        <v>PATROL FAW</v>
      </c>
      <c r="B29" s="234"/>
      <c r="C29" s="348">
        <f>'15'!D29</f>
        <v>2200</v>
      </c>
      <c r="D29" s="234">
        <f t="shared" si="9"/>
        <v>2200</v>
      </c>
      <c r="F29" s="479" t="str">
        <f>'15'!F29</f>
        <v>AZHAR BADEEN</v>
      </c>
      <c r="G29" s="406">
        <f>'CUSTOMERS REPORT'!Y836</f>
        <v>0</v>
      </c>
      <c r="H29" s="504">
        <f>'CUSTOMERS REPORT'!Z836</f>
        <v>0</v>
      </c>
      <c r="I29" s="406">
        <f>'CUSTOMERS REPORT'!AA836</f>
        <v>0</v>
      </c>
      <c r="J29" s="498">
        <f>'CUSTOMERS REPORT'!AB836</f>
        <v>0</v>
      </c>
      <c r="K29" s="498">
        <f>'CUSTOMERS REPORT'!AC836</f>
        <v>0</v>
      </c>
      <c r="L29" s="509">
        <f>'CUSTOMERS REPORT'!AD836</f>
        <v>0</v>
      </c>
      <c r="M29" s="414">
        <f>'15'!M29+'16'!G29</f>
        <v>0</v>
      </c>
      <c r="N29" s="412">
        <f>'15'!N29+'16'!J29</f>
        <v>0</v>
      </c>
      <c r="P29" s="433"/>
      <c r="Q29" s="441"/>
      <c r="S29" s="399" t="str">
        <f>'15'!S29</f>
        <v xml:space="preserve">PRIME </v>
      </c>
      <c r="T29" s="446">
        <f>'15'!X29</f>
        <v>0</v>
      </c>
      <c r="U29" s="456"/>
      <c r="V29" s="451">
        <f t="shared" si="0"/>
        <v>0</v>
      </c>
      <c r="W29" s="451"/>
      <c r="X29" s="447">
        <f t="shared" si="1"/>
        <v>0</v>
      </c>
      <c r="Z29" s="375">
        <f>'15'!Z29</f>
        <v>0</v>
      </c>
      <c r="AA29" s="464">
        <f>'15'!AE29</f>
        <v>0</v>
      </c>
      <c r="AB29" s="460">
        <f>U36*0.7</f>
        <v>0</v>
      </c>
      <c r="AC29" s="462">
        <f t="shared" si="2"/>
        <v>0</v>
      </c>
      <c r="AD29" s="469"/>
      <c r="AE29" s="348">
        <f t="shared" si="3"/>
        <v>0</v>
      </c>
      <c r="AF29" s="563">
        <f>'15'!AF29+'16'!AB29</f>
        <v>0</v>
      </c>
      <c r="AG29" s="234">
        <f>'15'!AG29+'16'!AD29</f>
        <v>0</v>
      </c>
    </row>
    <row r="30" spans="1:36" ht="27" customHeight="1">
      <c r="A30" s="715" t="str">
        <f>'15'!A30</f>
        <v>FOTON DIESEL</v>
      </c>
      <c r="B30" s="234">
        <v>2300</v>
      </c>
      <c r="C30" s="348">
        <f>'15'!D30</f>
        <v>0</v>
      </c>
      <c r="D30" s="234">
        <f t="shared" si="9"/>
        <v>2300</v>
      </c>
      <c r="F30" s="479" t="str">
        <f>'15'!F30</f>
        <v>FAISAL HUB</v>
      </c>
      <c r="G30" s="406">
        <f>'CUSTOMERS REPORT'!Y874</f>
        <v>0</v>
      </c>
      <c r="H30" s="504">
        <f>'CUSTOMERS REPORT'!Z874</f>
        <v>0</v>
      </c>
      <c r="I30" s="406">
        <f>'CUSTOMERS REPORT'!AA874</f>
        <v>0</v>
      </c>
      <c r="J30" s="498">
        <f>'CUSTOMERS REPORT'!AB874</f>
        <v>0</v>
      </c>
      <c r="K30" s="498">
        <f>'CUSTOMERS REPORT'!AC874</f>
        <v>0</v>
      </c>
      <c r="L30" s="509">
        <f>'CUSTOMERS REPORT'!AD874</f>
        <v>0</v>
      </c>
      <c r="M30" s="414">
        <f>'15'!M30+'16'!G30</f>
        <v>0</v>
      </c>
      <c r="N30" s="412">
        <f>'15'!N30+'16'!J30</f>
        <v>0</v>
      </c>
      <c r="P30" s="433"/>
      <c r="Q30" s="442"/>
      <c r="S30" s="399" t="str">
        <f>'15'!S30</f>
        <v>PRIMR 15</v>
      </c>
      <c r="T30" s="446">
        <f>'15'!X30</f>
        <v>0</v>
      </c>
      <c r="U30" s="456"/>
      <c r="V30" s="451">
        <f t="shared" si="0"/>
        <v>0</v>
      </c>
      <c r="W30" s="451"/>
      <c r="X30" s="447">
        <f t="shared" si="1"/>
        <v>0</v>
      </c>
      <c r="Z30" s="375">
        <f>'15'!Z30</f>
        <v>0</v>
      </c>
      <c r="AA30" s="464">
        <f>'15'!AE30</f>
        <v>0</v>
      </c>
      <c r="AB30" s="460"/>
      <c r="AC30" s="462">
        <f t="shared" si="2"/>
        <v>0</v>
      </c>
      <c r="AD30" s="469"/>
      <c r="AE30" s="348">
        <f t="shared" si="3"/>
        <v>0</v>
      </c>
      <c r="AF30" s="563">
        <f>'15'!AF30+'16'!AB30</f>
        <v>0</v>
      </c>
      <c r="AG30" s="234">
        <f>'15'!AG30+'16'!AD30</f>
        <v>0</v>
      </c>
    </row>
    <row r="31" spans="1:36" ht="27" customHeight="1" thickBot="1">
      <c r="A31" s="715" t="str">
        <f>'15'!A31</f>
        <v>UTILITY BILLS</v>
      </c>
      <c r="B31" s="234">
        <v>44420</v>
      </c>
      <c r="C31" s="348">
        <f>'15'!D31</f>
        <v>0</v>
      </c>
      <c r="D31" s="234">
        <f t="shared" si="9"/>
        <v>44420</v>
      </c>
      <c r="F31" s="479" t="str">
        <f>'15'!F31</f>
        <v>ABDUL RAHMAN</v>
      </c>
      <c r="G31" s="406">
        <f>'CUSTOMERS REPORT'!Y913</f>
        <v>0</v>
      </c>
      <c r="H31" s="504">
        <f>'CUSTOMERS REPORT'!Z913</f>
        <v>0</v>
      </c>
      <c r="I31" s="406">
        <f>'CUSTOMERS REPORT'!AA913</f>
        <v>0</v>
      </c>
      <c r="J31" s="498">
        <f>'CUSTOMERS REPORT'!AB913</f>
        <v>0</v>
      </c>
      <c r="K31" s="498">
        <f>'CUSTOMERS REPORT'!AC913</f>
        <v>0</v>
      </c>
      <c r="L31" s="509">
        <f>'CUSTOMERS REPORT'!AD913</f>
        <v>0</v>
      </c>
      <c r="M31" s="414">
        <f>'15'!M31+'16'!G31</f>
        <v>0</v>
      </c>
      <c r="N31" s="412">
        <f>'15'!N31+'16'!J31</f>
        <v>0</v>
      </c>
      <c r="P31" s="433"/>
      <c r="Q31" s="435"/>
      <c r="S31" s="399" t="str">
        <f>'15'!S31</f>
        <v>KARACHI</v>
      </c>
      <c r="T31" s="446">
        <f>'15'!X31</f>
        <v>0</v>
      </c>
      <c r="U31" s="456"/>
      <c r="V31" s="451">
        <f t="shared" si="0"/>
        <v>0</v>
      </c>
      <c r="W31" s="451"/>
      <c r="X31" s="447">
        <f t="shared" si="1"/>
        <v>0</v>
      </c>
      <c r="Z31" s="375">
        <f>'15'!Z31</f>
        <v>0</v>
      </c>
      <c r="AA31" s="464">
        <f>'15'!AE31</f>
        <v>0</v>
      </c>
      <c r="AB31" s="460"/>
      <c r="AC31" s="462">
        <f t="shared" si="2"/>
        <v>0</v>
      </c>
      <c r="AD31" s="469"/>
      <c r="AE31" s="348">
        <f t="shared" si="3"/>
        <v>0</v>
      </c>
      <c r="AF31" s="563">
        <f>'15'!AF31+'16'!AB31</f>
        <v>0</v>
      </c>
      <c r="AG31" s="234">
        <f>'15'!AG31+'16'!AD31</f>
        <v>0</v>
      </c>
      <c r="AI31" t="s">
        <v>1</v>
      </c>
    </row>
    <row r="32" spans="1:36" ht="27" customHeight="1" thickTop="1" thickBot="1">
      <c r="A32" s="715" t="str">
        <f>'15'!A32</f>
        <v>WOOD</v>
      </c>
      <c r="B32" s="234"/>
      <c r="C32" s="548">
        <f>'15'!D32</f>
        <v>0</v>
      </c>
      <c r="D32" s="234">
        <f t="shared" si="9"/>
        <v>0</v>
      </c>
      <c r="F32" s="479" t="str">
        <f>'15'!F32</f>
        <v>HAJI JAN GIWANI</v>
      </c>
      <c r="G32" s="406">
        <f>'CUSTOMERS REPORT'!Y952</f>
        <v>0</v>
      </c>
      <c r="H32" s="504">
        <f>'CUSTOMERS REPORT'!Z952</f>
        <v>0</v>
      </c>
      <c r="I32" s="406">
        <f>'CUSTOMERS REPORT'!AA952</f>
        <v>0</v>
      </c>
      <c r="J32" s="498">
        <f>'CUSTOMERS REPORT'!AB952</f>
        <v>0</v>
      </c>
      <c r="K32" s="498">
        <f>'CUSTOMERS REPORT'!AC952</f>
        <v>0</v>
      </c>
      <c r="L32" s="509">
        <f>'CUSTOMERS REPORT'!AD952</f>
        <v>0</v>
      </c>
      <c r="M32" s="414">
        <f>'15'!M32+'16'!G32</f>
        <v>0</v>
      </c>
      <c r="N32" s="412">
        <f>'15'!N32+'16'!J32</f>
        <v>0</v>
      </c>
      <c r="P32" s="190" t="s">
        <v>51</v>
      </c>
      <c r="Q32" s="439">
        <f>Q23-Q25-Q26-Q27-Q28-Q29-Q30-Q31</f>
        <v>0</v>
      </c>
      <c r="R32" t="s">
        <v>1</v>
      </c>
      <c r="S32" s="399" t="str">
        <f>'15'!S32</f>
        <v>MARVI</v>
      </c>
      <c r="T32" s="446">
        <f>'15'!X32</f>
        <v>0</v>
      </c>
      <c r="U32" s="456"/>
      <c r="V32" s="451">
        <f t="shared" si="0"/>
        <v>0</v>
      </c>
      <c r="W32" s="451"/>
      <c r="X32" s="447">
        <f t="shared" si="1"/>
        <v>0</v>
      </c>
      <c r="Z32" s="375">
        <f>'15'!Z32</f>
        <v>0</v>
      </c>
      <c r="AA32" s="464">
        <f>'15'!AE32</f>
        <v>0</v>
      </c>
      <c r="AB32" s="460"/>
      <c r="AC32" s="462">
        <f t="shared" si="2"/>
        <v>0</v>
      </c>
      <c r="AD32" s="469"/>
      <c r="AE32" s="348">
        <f t="shared" si="3"/>
        <v>0</v>
      </c>
      <c r="AF32" s="563">
        <f>'15'!AF32+'16'!AB32</f>
        <v>0</v>
      </c>
      <c r="AG32" s="234">
        <f>'15'!AG32+'16'!AD32</f>
        <v>0</v>
      </c>
    </row>
    <row r="33" spans="1:40" ht="27" customHeight="1" thickTop="1" thickBot="1">
      <c r="A33" s="716" t="str">
        <f>'15'!A33</f>
        <v>TOLL</v>
      </c>
      <c r="B33" s="538">
        <v>200</v>
      </c>
      <c r="C33" s="548">
        <f>'15'!D33</f>
        <v>0</v>
      </c>
      <c r="D33" s="234">
        <f t="shared" si="9"/>
        <v>200</v>
      </c>
      <c r="F33" s="479" t="str">
        <f>'15'!F33</f>
        <v>ALI QURESHI HYD</v>
      </c>
      <c r="G33" s="406">
        <f>'CUSTOMERS REPORT'!Y990</f>
        <v>0</v>
      </c>
      <c r="H33" s="504">
        <f>'CUSTOMERS REPORT'!Z990</f>
        <v>0</v>
      </c>
      <c r="I33" s="406">
        <f>'CUSTOMERS REPORT'!AA990</f>
        <v>0</v>
      </c>
      <c r="J33" s="498">
        <f>'CUSTOMERS REPORT'!AB990</f>
        <v>0</v>
      </c>
      <c r="K33" s="498">
        <f>'CUSTOMERS REPORT'!AC990</f>
        <v>0</v>
      </c>
      <c r="L33" s="509">
        <f>'CUSTOMERS REPORT'!AD990</f>
        <v>0</v>
      </c>
      <c r="M33" s="414">
        <f>'15'!M33+'16'!G33</f>
        <v>0</v>
      </c>
      <c r="N33" s="412">
        <f>'15'!N33+'16'!J33</f>
        <v>0</v>
      </c>
      <c r="P33" s="1499" t="s">
        <v>149</v>
      </c>
      <c r="Q33" s="1500"/>
      <c r="S33" s="399" t="str">
        <f>'15'!S33</f>
        <v>TS</v>
      </c>
      <c r="T33" s="446">
        <f>'15'!X33</f>
        <v>0</v>
      </c>
      <c r="U33" s="456"/>
      <c r="V33" s="451">
        <f t="shared" si="0"/>
        <v>0</v>
      </c>
      <c r="W33" s="451"/>
      <c r="X33" s="447">
        <f t="shared" si="1"/>
        <v>0</v>
      </c>
      <c r="Z33" s="375">
        <f>'15'!Z33</f>
        <v>0</v>
      </c>
      <c r="AA33" s="464">
        <f>'15'!AE33</f>
        <v>0</v>
      </c>
      <c r="AB33" s="460">
        <f>'SHAKEEL RUSK'!D23+'SHAKEEL RUSK'!G23</f>
        <v>0</v>
      </c>
      <c r="AC33" s="462">
        <f t="shared" si="2"/>
        <v>0</v>
      </c>
      <c r="AD33" s="469"/>
      <c r="AE33" s="348">
        <f t="shared" si="3"/>
        <v>0</v>
      </c>
      <c r="AF33" s="563">
        <f>'15'!AF33+'16'!AB33</f>
        <v>0</v>
      </c>
      <c r="AG33" s="234">
        <f>'15'!AG33+'16'!AD33</f>
        <v>0</v>
      </c>
    </row>
    <row r="34" spans="1:40" ht="27" customHeight="1" thickTop="1" thickBot="1">
      <c r="A34" s="716" t="str">
        <f>'15'!A34</f>
        <v>FLOUR / SHGER</v>
      </c>
      <c r="B34" s="538"/>
      <c r="C34" s="348">
        <f>'15'!D34</f>
        <v>0</v>
      </c>
      <c r="D34" s="234">
        <f t="shared" si="9"/>
        <v>0</v>
      </c>
      <c r="F34" s="479" t="str">
        <f>'15'!F34</f>
        <v>ALI RAZA KAND KOT</v>
      </c>
      <c r="G34" s="406">
        <f>'CUSTOMERS REPORT'!Y1028</f>
        <v>0</v>
      </c>
      <c r="H34" s="504">
        <f>'CUSTOMERS REPORT'!Z1028</f>
        <v>0</v>
      </c>
      <c r="I34" s="406">
        <f>'CUSTOMERS REPORT'!AA1028</f>
        <v>0</v>
      </c>
      <c r="J34" s="498">
        <f>'CUSTOMERS REPORT'!AB1028</f>
        <v>0</v>
      </c>
      <c r="K34" s="498">
        <f>'CUSTOMERS REPORT'!AC1028</f>
        <v>0</v>
      </c>
      <c r="L34" s="509">
        <f>'CUSTOMERS REPORT'!AD1028</f>
        <v>0</v>
      </c>
      <c r="M34" s="414">
        <f>'15'!M34+'16'!G34</f>
        <v>0</v>
      </c>
      <c r="N34" s="412">
        <f>'15'!N34+'16'!J34</f>
        <v>0</v>
      </c>
      <c r="P34" s="220" t="s">
        <v>150</v>
      </c>
      <c r="Q34" s="223">
        <f>'15'!Q34</f>
        <v>0</v>
      </c>
      <c r="S34" s="399" t="str">
        <f>'15'!S34</f>
        <v>MAXI</v>
      </c>
      <c r="T34" s="446">
        <f>'15'!X34</f>
        <v>0</v>
      </c>
      <c r="U34" s="457"/>
      <c r="V34" s="452">
        <f t="shared" si="0"/>
        <v>0</v>
      </c>
      <c r="W34" s="452"/>
      <c r="X34" s="448">
        <f t="shared" si="1"/>
        <v>0</v>
      </c>
      <c r="Z34" s="375">
        <f>'15'!Z34</f>
        <v>0</v>
      </c>
      <c r="AA34" s="464">
        <f>'15'!AE34</f>
        <v>0</v>
      </c>
      <c r="AB34" s="460"/>
      <c r="AC34" s="462">
        <f t="shared" si="2"/>
        <v>0</v>
      </c>
      <c r="AD34" s="469"/>
      <c r="AE34" s="348">
        <f t="shared" si="3"/>
        <v>0</v>
      </c>
      <c r="AF34" s="563">
        <f>'15'!AF34+'16'!AB34</f>
        <v>0</v>
      </c>
      <c r="AG34" s="234">
        <f>'15'!AG34+'16'!AD34</f>
        <v>0</v>
      </c>
    </row>
    <row r="35" spans="1:40" ht="27" customHeight="1" thickTop="1">
      <c r="A35" s="716" t="str">
        <f>'15'!A35</f>
        <v>OVEN &amp; PP MACHINE</v>
      </c>
      <c r="B35" s="529"/>
      <c r="C35" s="348">
        <f>'15'!D35</f>
        <v>0</v>
      </c>
      <c r="D35" s="529">
        <f t="shared" si="9"/>
        <v>0</v>
      </c>
      <c r="F35" s="479" t="str">
        <f>'15'!F35</f>
        <v>IQBAL MORO</v>
      </c>
      <c r="G35" s="407">
        <f>'CUSTOMERS REPORT'!Y1066</f>
        <v>0</v>
      </c>
      <c r="H35" s="505">
        <f>'CUSTOMERS REPORT'!Z1066</f>
        <v>0</v>
      </c>
      <c r="I35" s="407">
        <f>'CUSTOMERS REPORT'!AA1066</f>
        <v>0</v>
      </c>
      <c r="J35" s="499">
        <f>'CUSTOMERS REPORT'!AB1066</f>
        <v>0</v>
      </c>
      <c r="K35" s="499">
        <f>'CUSTOMERS REPORT'!AC1066</f>
        <v>0</v>
      </c>
      <c r="L35" s="510">
        <f>'CUSTOMERS REPORT'!AD1066</f>
        <v>0</v>
      </c>
      <c r="M35" s="414">
        <f>'15'!M35+'16'!G35</f>
        <v>0</v>
      </c>
      <c r="N35" s="412">
        <f>'15'!N35+'16'!J35</f>
        <v>0</v>
      </c>
      <c r="P35" s="252" t="s">
        <v>151</v>
      </c>
      <c r="Q35" s="443">
        <f>'15'!Q35</f>
        <v>0</v>
      </c>
      <c r="R35" t="s">
        <v>1</v>
      </c>
      <c r="S35" s="399" t="str">
        <f>'15'!S35</f>
        <v>M A WHITE</v>
      </c>
      <c r="T35" s="446">
        <f>'15'!X35</f>
        <v>0</v>
      </c>
      <c r="U35" s="457"/>
      <c r="V35" s="452">
        <f t="shared" si="0"/>
        <v>0</v>
      </c>
      <c r="W35" s="452"/>
      <c r="X35" s="448">
        <f t="shared" si="1"/>
        <v>0</v>
      </c>
      <c r="Z35" s="375">
        <f>'15'!Z35</f>
        <v>0</v>
      </c>
      <c r="AA35" s="464">
        <f>'15'!AE35</f>
        <v>0</v>
      </c>
      <c r="AB35" s="460"/>
      <c r="AC35" s="462">
        <f t="shared" si="2"/>
        <v>0</v>
      </c>
      <c r="AD35" s="469"/>
      <c r="AE35" s="348">
        <f t="shared" si="3"/>
        <v>0</v>
      </c>
      <c r="AF35" s="563">
        <f>'15'!AF35+'16'!AB35</f>
        <v>0</v>
      </c>
      <c r="AG35" s="234">
        <f>'15'!AG35+'16'!AD35</f>
        <v>0</v>
      </c>
    </row>
    <row r="36" spans="1:40" ht="27" customHeight="1">
      <c r="A36" s="716" t="str">
        <f>'15'!A36</f>
        <v>zakat</v>
      </c>
      <c r="B36" s="539"/>
      <c r="C36" s="348">
        <f>'15'!D36</f>
        <v>0</v>
      </c>
      <c r="D36" s="529">
        <f t="shared" si="9"/>
        <v>0</v>
      </c>
      <c r="F36" s="479" t="str">
        <f>'15'!F36</f>
        <v>SARFARAZ T ADAM</v>
      </c>
      <c r="G36" s="407">
        <f>'CUSTOMERS REPORT'!Y1104</f>
        <v>0</v>
      </c>
      <c r="H36" s="505">
        <f>'CUSTOMERS REPORT'!Z1104</f>
        <v>0</v>
      </c>
      <c r="I36" s="407">
        <f>'CUSTOMERS REPORT'!AA1104</f>
        <v>0</v>
      </c>
      <c r="J36" s="499">
        <f>'CUSTOMERS REPORT'!AB1104</f>
        <v>0</v>
      </c>
      <c r="K36" s="499">
        <f>'CUSTOMERS REPORT'!AC1104</f>
        <v>0</v>
      </c>
      <c r="L36" s="510">
        <f>'CUSTOMERS REPORT'!AD1104</f>
        <v>0</v>
      </c>
      <c r="M36" s="414">
        <f>'15'!M36+'16'!G36</f>
        <v>0</v>
      </c>
      <c r="N36" s="412">
        <f>'15'!N36+'16'!J36</f>
        <v>0</v>
      </c>
      <c r="P36" s="372" t="s">
        <v>152</v>
      </c>
      <c r="Q36" s="444">
        <f>J48</f>
        <v>0</v>
      </c>
      <c r="R36" t="s">
        <v>1</v>
      </c>
      <c r="S36" s="399" t="str">
        <f>'15'!S36</f>
        <v>M A ORING</v>
      </c>
      <c r="T36" s="446">
        <f>'15'!X36</f>
        <v>0</v>
      </c>
      <c r="U36" s="456"/>
      <c r="V36" s="451">
        <f t="shared" si="0"/>
        <v>0</v>
      </c>
      <c r="W36" s="452"/>
      <c r="X36" s="448">
        <f t="shared" si="1"/>
        <v>0</v>
      </c>
      <c r="Z36" s="375">
        <f>'15'!Z36</f>
        <v>0</v>
      </c>
      <c r="AA36" s="464">
        <f>'15'!AE36</f>
        <v>0</v>
      </c>
      <c r="AB36" s="460"/>
      <c r="AC36" s="462">
        <f t="shared" si="2"/>
        <v>0</v>
      </c>
      <c r="AD36" s="469"/>
      <c r="AE36" s="348">
        <f t="shared" si="3"/>
        <v>0</v>
      </c>
      <c r="AF36" s="563">
        <f>'15'!AF36+'16'!AB36</f>
        <v>0</v>
      </c>
      <c r="AG36" s="234">
        <f>'15'!AG36+'16'!AD36</f>
        <v>0</v>
      </c>
    </row>
    <row r="37" spans="1:40" ht="27" customHeight="1">
      <c r="A37" s="715" t="str">
        <f>'15'!A37</f>
        <v>javeed manghopir</v>
      </c>
      <c r="B37" s="234"/>
      <c r="C37" s="348">
        <f>'15'!D37</f>
        <v>0</v>
      </c>
      <c r="D37" s="234">
        <f t="shared" si="9"/>
        <v>0</v>
      </c>
      <c r="F37" s="479" t="str">
        <f>'15'!F37</f>
        <v>MUMTAZ K N SHAH</v>
      </c>
      <c r="G37" s="406">
        <f>'CUSTOMERS REPORT'!Y1142</f>
        <v>0</v>
      </c>
      <c r="H37" s="504">
        <f>'CUSTOMERS REPORT'!Z1142</f>
        <v>0</v>
      </c>
      <c r="I37" s="406">
        <f>'CUSTOMERS REPORT'!AA1142</f>
        <v>0</v>
      </c>
      <c r="J37" s="498">
        <f>'CUSTOMERS REPORT'!AB1142</f>
        <v>0</v>
      </c>
      <c r="K37" s="498">
        <f>'CUSTOMERS REPORT'!AC1142</f>
        <v>0</v>
      </c>
      <c r="L37" s="509">
        <f>'CUSTOMERS REPORT'!AD1142</f>
        <v>0</v>
      </c>
      <c r="M37" s="414">
        <f>'15'!M37+'16'!G37</f>
        <v>0</v>
      </c>
      <c r="N37" s="412">
        <f>'15'!N37+'16'!J37</f>
        <v>0</v>
      </c>
      <c r="P37" s="373" t="s">
        <v>153</v>
      </c>
      <c r="Q37" s="445">
        <f>Q34+Q35+Q36</f>
        <v>0</v>
      </c>
      <c r="R37" t="s">
        <v>1</v>
      </c>
      <c r="S37" s="399">
        <f>'15'!S37</f>
        <v>0</v>
      </c>
      <c r="T37" s="446">
        <f>'15'!X37</f>
        <v>0</v>
      </c>
      <c r="U37" s="456"/>
      <c r="V37" s="451">
        <f t="shared" si="0"/>
        <v>0</v>
      </c>
      <c r="W37" s="452"/>
      <c r="X37" s="448">
        <f t="shared" si="1"/>
        <v>0</v>
      </c>
      <c r="Z37" s="375">
        <f>'15'!Z37</f>
        <v>0</v>
      </c>
      <c r="AA37" s="464">
        <f>'15'!AE37</f>
        <v>0</v>
      </c>
      <c r="AB37" s="460"/>
      <c r="AC37" s="462">
        <f t="shared" si="2"/>
        <v>0</v>
      </c>
      <c r="AD37" s="469"/>
      <c r="AE37" s="348">
        <f t="shared" si="3"/>
        <v>0</v>
      </c>
      <c r="AF37" s="563">
        <f>'15'!AF37+'16'!AB37</f>
        <v>0</v>
      </c>
      <c r="AG37" s="234">
        <f>'15'!AG37+'16'!AD37</f>
        <v>0</v>
      </c>
    </row>
    <row r="38" spans="1:40" ht="27" customHeight="1">
      <c r="A38" s="715" t="str">
        <f>'15'!A38</f>
        <v>EXSIS CASH</v>
      </c>
      <c r="B38" s="234"/>
      <c r="C38" s="348">
        <f>'15'!D38</f>
        <v>0</v>
      </c>
      <c r="D38" s="234">
        <f t="shared" si="9"/>
        <v>0</v>
      </c>
      <c r="F38" s="479" t="str">
        <f>'15'!F38</f>
        <v>GHULAM RASOOL QU</v>
      </c>
      <c r="G38" s="408">
        <f>'CUSTOMERS REPORT'!Y1179</f>
        <v>0</v>
      </c>
      <c r="H38" s="506">
        <f>'CUSTOMERS REPORT'!Z1179</f>
        <v>0</v>
      </c>
      <c r="I38" s="408">
        <f>'CUSTOMERS REPORT'!AA1179</f>
        <v>0</v>
      </c>
      <c r="J38" s="500">
        <f>'CUSTOMERS REPORT'!AB1179</f>
        <v>0</v>
      </c>
      <c r="K38" s="500">
        <f>'CUSTOMERS REPORT'!AC1179</f>
        <v>0</v>
      </c>
      <c r="L38" s="511">
        <f>'CUSTOMERS REPORT'!AD1179</f>
        <v>0</v>
      </c>
      <c r="M38" s="414">
        <f>'15'!M38+'16'!G38</f>
        <v>0</v>
      </c>
      <c r="N38" s="412">
        <f>'15'!N38+'16'!J38</f>
        <v>0</v>
      </c>
      <c r="P38" s="373" t="s">
        <v>154</v>
      </c>
      <c r="Q38" s="445">
        <f>D48</f>
        <v>1415250</v>
      </c>
      <c r="S38" s="399">
        <f>'15'!S38</f>
        <v>0</v>
      </c>
      <c r="T38" s="446">
        <f>'15'!X38</f>
        <v>0</v>
      </c>
      <c r="U38" s="456"/>
      <c r="V38" s="451">
        <f t="shared" si="0"/>
        <v>0</v>
      </c>
      <c r="W38" s="452"/>
      <c r="X38" s="448">
        <f t="shared" si="1"/>
        <v>0</v>
      </c>
      <c r="Z38" s="375">
        <f>'15'!Z38</f>
        <v>0</v>
      </c>
      <c r="AA38" s="464">
        <f>'15'!AE38</f>
        <v>0</v>
      </c>
      <c r="AB38" s="460"/>
      <c r="AC38" s="462">
        <f t="shared" si="2"/>
        <v>0</v>
      </c>
      <c r="AD38" s="469"/>
      <c r="AE38" s="348">
        <f t="shared" si="3"/>
        <v>0</v>
      </c>
      <c r="AF38" s="563">
        <f>'15'!AF38+'16'!AB38</f>
        <v>0</v>
      </c>
      <c r="AG38" s="234">
        <f>'15'!AG38+'16'!AD38</f>
        <v>0</v>
      </c>
    </row>
    <row r="39" spans="1:40" ht="27" customHeight="1">
      <c r="A39" s="715" t="str">
        <f>'15'!A39</f>
        <v>SHORT CASH</v>
      </c>
      <c r="B39" s="234">
        <v>1950</v>
      </c>
      <c r="C39" s="348">
        <f>'15'!D39</f>
        <v>0</v>
      </c>
      <c r="D39" s="550">
        <f t="shared" si="9"/>
        <v>1950</v>
      </c>
      <c r="F39" s="479" t="str">
        <f>'15'!F39</f>
        <v>SHAMSHAD UNCLE</v>
      </c>
      <c r="G39" s="406">
        <f>'CUSTOMERS REPORT'!Y1216</f>
        <v>0</v>
      </c>
      <c r="H39" s="504">
        <f>'CUSTOMERS REPORT'!Z1216</f>
        <v>0</v>
      </c>
      <c r="I39" s="406">
        <f>'CUSTOMERS REPORT'!AA1216</f>
        <v>0</v>
      </c>
      <c r="J39" s="498">
        <f>'CUSTOMERS REPORT'!AB1216</f>
        <v>0</v>
      </c>
      <c r="K39" s="498">
        <f>'CUSTOMERS REPORT'!AC1216</f>
        <v>0</v>
      </c>
      <c r="L39" s="509">
        <f>'CUSTOMERS REPORT'!AD1216</f>
        <v>0</v>
      </c>
      <c r="M39" s="414">
        <f>'15'!M39+'16'!G39</f>
        <v>0</v>
      </c>
      <c r="N39" s="412">
        <f>'15'!N39+'16'!J39</f>
        <v>0</v>
      </c>
      <c r="P39" s="373" t="s">
        <v>109</v>
      </c>
      <c r="Q39" s="445">
        <f>'15'!Q39+'16'!Q25+'16'!Q26+'16'!Q27+'16'!Q28+'16'!Q29+'16'!Q30+'16'!Q31</f>
        <v>0</v>
      </c>
      <c r="R39" t="s">
        <v>1</v>
      </c>
      <c r="S39" s="399">
        <f>'15'!S39</f>
        <v>0</v>
      </c>
      <c r="T39" s="446">
        <f>'15'!X39</f>
        <v>0</v>
      </c>
      <c r="U39" s="456"/>
      <c r="V39" s="451">
        <f t="shared" si="0"/>
        <v>0</v>
      </c>
      <c r="W39" s="452"/>
      <c r="X39" s="448">
        <f t="shared" si="1"/>
        <v>0</v>
      </c>
      <c r="Z39" s="375">
        <f>'15'!Z39</f>
        <v>0</v>
      </c>
      <c r="AA39" s="464">
        <f>'15'!AE39</f>
        <v>0</v>
      </c>
      <c r="AB39" s="460"/>
      <c r="AC39" s="462">
        <f t="shared" si="2"/>
        <v>0</v>
      </c>
      <c r="AD39" s="469"/>
      <c r="AE39" s="348">
        <f t="shared" si="3"/>
        <v>0</v>
      </c>
      <c r="AF39" s="563">
        <f>'15'!AF39+'16'!AB39</f>
        <v>0</v>
      </c>
      <c r="AG39" s="234">
        <f>'15'!AG39+'16'!AD39</f>
        <v>0</v>
      </c>
    </row>
    <row r="40" spans="1:40" ht="27" customHeight="1" thickBot="1">
      <c r="A40" s="715" t="str">
        <f>'15'!A40</f>
        <v>ASSETS</v>
      </c>
      <c r="B40" s="234"/>
      <c r="C40" s="348">
        <f>'15'!D40</f>
        <v>0</v>
      </c>
      <c r="D40" s="234">
        <f t="shared" si="9"/>
        <v>0</v>
      </c>
      <c r="F40" s="479" t="str">
        <f>'15'!F40</f>
        <v>IBRAHEEM D.G KHAN</v>
      </c>
      <c r="G40" s="406">
        <f>'CUSTOMERS REPORT'!Y1253</f>
        <v>0</v>
      </c>
      <c r="H40" s="504">
        <f>'CUSTOMERS REPORT'!Z1253</f>
        <v>0</v>
      </c>
      <c r="I40" s="406">
        <f>'CUSTOMERS REPORT'!AA1253</f>
        <v>0</v>
      </c>
      <c r="J40" s="498">
        <f>'CUSTOMERS REPORT'!AB1253</f>
        <v>0</v>
      </c>
      <c r="K40" s="498">
        <f>'CUSTOMERS REPORT'!AC1253</f>
        <v>0</v>
      </c>
      <c r="L40" s="509">
        <f>'CUSTOMERS REPORT'!AD1253</f>
        <v>0</v>
      </c>
      <c r="M40" s="414">
        <f>'15'!M40+'16'!G40</f>
        <v>0</v>
      </c>
      <c r="N40" s="412">
        <f>'15'!N40+'16'!J40</f>
        <v>0</v>
      </c>
      <c r="P40" s="374" t="s">
        <v>155</v>
      </c>
      <c r="Q40" s="445">
        <f>Q48</f>
        <v>-1415250</v>
      </c>
      <c r="S40" s="399">
        <f>'15'!S40</f>
        <v>0</v>
      </c>
      <c r="T40" s="446">
        <f>'15'!X40</f>
        <v>0</v>
      </c>
      <c r="U40" s="456"/>
      <c r="V40" s="451">
        <f t="shared" si="0"/>
        <v>0</v>
      </c>
      <c r="W40" s="452"/>
      <c r="X40" s="448">
        <f t="shared" si="1"/>
        <v>0</v>
      </c>
      <c r="Z40" s="375">
        <f>'15'!Z40</f>
        <v>0</v>
      </c>
      <c r="AA40" s="464">
        <f>'15'!AE40</f>
        <v>0</v>
      </c>
      <c r="AB40" s="460"/>
      <c r="AC40" s="462">
        <f t="shared" si="2"/>
        <v>0</v>
      </c>
      <c r="AD40" s="469"/>
      <c r="AE40" s="348">
        <f t="shared" si="3"/>
        <v>0</v>
      </c>
      <c r="AF40" s="563">
        <f>'15'!AF40+'16'!AB40</f>
        <v>0</v>
      </c>
      <c r="AG40" s="234">
        <f>'15'!AG40+'16'!AD40</f>
        <v>0</v>
      </c>
    </row>
    <row r="41" spans="1:40" ht="27" customHeight="1" thickTop="1" thickBot="1">
      <c r="A41" s="715" t="str">
        <f>'15'!A41</f>
        <v>BIKE.INSTALMINT</v>
      </c>
      <c r="B41" s="234"/>
      <c r="C41" s="348">
        <f>'15'!D41</f>
        <v>0</v>
      </c>
      <c r="D41" s="234">
        <f t="shared" si="9"/>
        <v>0</v>
      </c>
      <c r="E41" t="s">
        <v>1</v>
      </c>
      <c r="F41" s="479" t="str">
        <f>'15'!F41</f>
        <v>PISHAWAR</v>
      </c>
      <c r="G41" s="409">
        <f>'CUSTOMERS REPORT'!Y1290</f>
        <v>0</v>
      </c>
      <c r="H41" s="507">
        <f>'CUSTOMERS REPORT'!Z1290</f>
        <v>0</v>
      </c>
      <c r="I41" s="409">
        <f>'CUSTOMERS REPORT'!AA1290</f>
        <v>0</v>
      </c>
      <c r="J41" s="501">
        <f>'CUSTOMERS REPORT'!AB1290</f>
        <v>0</v>
      </c>
      <c r="K41" s="501">
        <f>'CUSTOMERS REPORT'!AC1290</f>
        <v>0</v>
      </c>
      <c r="L41" s="512">
        <f>'CUSTOMERS REPORT'!AD1290</f>
        <v>0</v>
      </c>
      <c r="M41" s="414">
        <f>'15'!M41+'16'!G41</f>
        <v>0</v>
      </c>
      <c r="N41" s="412">
        <f>'15'!N41+'16'!J41</f>
        <v>0</v>
      </c>
      <c r="P41" s="221" t="s">
        <v>51</v>
      </c>
      <c r="Q41" s="223">
        <f>Q37-Q38-Q39-Q40</f>
        <v>0</v>
      </c>
      <c r="S41" s="399">
        <f>'15'!S41</f>
        <v>0</v>
      </c>
      <c r="T41" s="446">
        <f>'15'!X41</f>
        <v>0</v>
      </c>
      <c r="U41" s="456"/>
      <c r="V41" s="451">
        <f t="shared" si="0"/>
        <v>0</v>
      </c>
      <c r="W41" s="452"/>
      <c r="X41" s="448">
        <f t="shared" si="1"/>
        <v>0</v>
      </c>
      <c r="Z41" s="375">
        <f>'15'!Z41</f>
        <v>0</v>
      </c>
      <c r="AA41" s="464">
        <f>'15'!AE41</f>
        <v>0</v>
      </c>
      <c r="AB41" s="460"/>
      <c r="AC41" s="462">
        <f t="shared" si="2"/>
        <v>0</v>
      </c>
      <c r="AD41" s="469"/>
      <c r="AE41" s="348">
        <f t="shared" si="3"/>
        <v>0</v>
      </c>
      <c r="AF41" s="563">
        <f>'15'!AF41+'16'!AB41</f>
        <v>0</v>
      </c>
      <c r="AG41" s="234">
        <f>'15'!AG41+'16'!AD41</f>
        <v>0</v>
      </c>
    </row>
    <row r="42" spans="1:40" ht="27" customHeight="1" thickTop="1" thickBot="1">
      <c r="A42" s="715" t="str">
        <f>'15'!A42</f>
        <v>B.C</v>
      </c>
      <c r="B42" s="529"/>
      <c r="C42" s="348">
        <f>'15'!D42</f>
        <v>0</v>
      </c>
      <c r="D42" s="529">
        <f t="shared" si="9"/>
        <v>0</v>
      </c>
      <c r="F42" s="479" t="str">
        <f>'15'!F42</f>
        <v>HUZAFA KOTRI</v>
      </c>
      <c r="G42" s="409">
        <f>'CUSTOMERS REPORT'!Y1327</f>
        <v>0</v>
      </c>
      <c r="H42" s="507">
        <f>'CUSTOMERS REPORT'!Z1327</f>
        <v>0</v>
      </c>
      <c r="I42" s="409">
        <f>'CUSTOMERS REPORT'!AA1327</f>
        <v>0</v>
      </c>
      <c r="J42" s="501">
        <f>'CUSTOMERS REPORT'!AB1327</f>
        <v>0</v>
      </c>
      <c r="K42" s="501">
        <f>'CUSTOMERS REPORT'!AC1327</f>
        <v>0</v>
      </c>
      <c r="L42" s="512">
        <f>'CUSTOMERS REPORT'!AD1327</f>
        <v>0</v>
      </c>
      <c r="M42" s="414">
        <f>'15'!M42+'16'!G42</f>
        <v>0</v>
      </c>
      <c r="N42" s="412">
        <f>'15'!N42+'16'!J42</f>
        <v>0</v>
      </c>
      <c r="P42" s="1499" t="s">
        <v>157</v>
      </c>
      <c r="Q42" s="1500"/>
      <c r="S42" s="399">
        <f>'15'!S42</f>
        <v>0</v>
      </c>
      <c r="T42" s="446">
        <f>'15'!X42</f>
        <v>0</v>
      </c>
      <c r="U42" s="458"/>
      <c r="V42" s="453">
        <f t="shared" si="0"/>
        <v>0</v>
      </c>
      <c r="W42" s="454"/>
      <c r="X42" s="449">
        <f t="shared" si="1"/>
        <v>0</v>
      </c>
      <c r="Z42" s="375">
        <f>'15'!Z42</f>
        <v>0</v>
      </c>
      <c r="AA42" s="464">
        <f>'15'!AE42</f>
        <v>0</v>
      </c>
      <c r="AB42" s="461"/>
      <c r="AC42" s="462">
        <f>AA42+AB42</f>
        <v>0</v>
      </c>
      <c r="AD42" s="470"/>
      <c r="AE42" s="348">
        <f t="shared" si="3"/>
        <v>0</v>
      </c>
      <c r="AF42" s="564">
        <f>'15'!AF42+'16'!AB42</f>
        <v>0</v>
      </c>
      <c r="AG42" s="572">
        <f>'15'!AG42+'16'!AD42</f>
        <v>0</v>
      </c>
    </row>
    <row r="43" spans="1:40" ht="27" customHeight="1" thickTop="1" thickBot="1">
      <c r="A43" s="715" t="str">
        <f>'15'!A43</f>
        <v>AQEEL</v>
      </c>
      <c r="B43" s="539"/>
      <c r="C43" s="348">
        <f>'15'!D43</f>
        <v>0</v>
      </c>
      <c r="D43" s="529">
        <f t="shared" si="9"/>
        <v>0</v>
      </c>
      <c r="F43" s="479" t="str">
        <f>'15'!F43</f>
        <v>ZAHID LAHORE</v>
      </c>
      <c r="G43" s="409">
        <f>'CUSTOMERS REPORT'!Y1364</f>
        <v>0</v>
      </c>
      <c r="H43" s="507">
        <f>'CUSTOMERS REPORT'!Z1364</f>
        <v>0</v>
      </c>
      <c r="I43" s="409">
        <f>'CUSTOMERS REPORT'!AA1364</f>
        <v>0</v>
      </c>
      <c r="J43" s="501">
        <f>'CUSTOMERS REPORT'!AB1364</f>
        <v>0</v>
      </c>
      <c r="K43" s="501">
        <f>'CUSTOMERS REPORT'!AC1364</f>
        <v>0</v>
      </c>
      <c r="L43" s="512">
        <f>'CUSTOMERS REPORT'!AD1364</f>
        <v>0</v>
      </c>
      <c r="M43" s="414">
        <f>'15'!M43+'16'!G43</f>
        <v>0</v>
      </c>
      <c r="N43" s="412">
        <f>'15'!N43+'16'!J43</f>
        <v>0</v>
      </c>
      <c r="P43" s="220" t="s">
        <v>124</v>
      </c>
      <c r="Q43" s="223">
        <f>'15'!Q48</f>
        <v>-919690</v>
      </c>
      <c r="R43" t="s">
        <v>1</v>
      </c>
      <c r="S43" s="399">
        <f>'15'!S43</f>
        <v>0</v>
      </c>
      <c r="T43" s="446">
        <f>'15'!X43</f>
        <v>0</v>
      </c>
      <c r="U43" s="358"/>
      <c r="V43" s="453">
        <f t="shared" si="0"/>
        <v>0</v>
      </c>
      <c r="W43" s="403"/>
      <c r="X43" s="449">
        <f t="shared" si="1"/>
        <v>0</v>
      </c>
      <c r="Z43" s="383"/>
      <c r="AA43" s="356">
        <f>SUM(AA8:AA42)</f>
        <v>-818350</v>
      </c>
      <c r="AB43" s="385">
        <f>SUM(AB8:AB42)</f>
        <v>0</v>
      </c>
      <c r="AC43" s="357" t="s">
        <v>74</v>
      </c>
      <c r="AD43" s="387">
        <f>SUM(AD8:AD42)</f>
        <v>415000</v>
      </c>
      <c r="AE43" s="358">
        <f>SUM(AE8:AE42)</f>
        <v>-1233350</v>
      </c>
      <c r="AF43" s="565">
        <f>SUM(AF8:AF42)</f>
        <v>141250</v>
      </c>
      <c r="AG43" s="571">
        <f>SUM(AG8:AG42)</f>
        <v>1374600</v>
      </c>
    </row>
    <row r="44" spans="1:40" ht="27" customHeight="1" thickTop="1">
      <c r="A44" s="715" t="str">
        <f>'15'!A44</f>
        <v>M.YOUSUF</v>
      </c>
      <c r="B44" s="234"/>
      <c r="C44" s="348">
        <f>'15'!D44</f>
        <v>0</v>
      </c>
      <c r="D44" s="234">
        <f t="shared" si="9"/>
        <v>0</v>
      </c>
      <c r="F44" s="479" t="str">
        <f>'15'!F44</f>
        <v>CASH SALE</v>
      </c>
      <c r="G44" s="409">
        <f>'CUSTOMERS REPORT'!Y1401</f>
        <v>0</v>
      </c>
      <c r="H44" s="507">
        <f>'CUSTOMERS REPORT'!Z1401</f>
        <v>0</v>
      </c>
      <c r="I44" s="409">
        <f>'CUSTOMERS REPORT'!AA1401</f>
        <v>0</v>
      </c>
      <c r="J44" s="501">
        <f>'CUSTOMERS REPORT'!AB1401</f>
        <v>0</v>
      </c>
      <c r="K44" s="501">
        <f>'CUSTOMERS REPORT'!AC1401</f>
        <v>0</v>
      </c>
      <c r="L44" s="512">
        <f>'CUSTOMERS REPORT'!AD1401</f>
        <v>0</v>
      </c>
      <c r="M44" s="414">
        <f>'15'!M44+'16'!G44</f>
        <v>0</v>
      </c>
      <c r="N44" s="412">
        <f>'15'!N44+'16'!J44</f>
        <v>0</v>
      </c>
      <c r="P44" s="222" t="s">
        <v>114</v>
      </c>
      <c r="Q44" s="377">
        <f>J46</f>
        <v>0</v>
      </c>
      <c r="S44" s="400"/>
      <c r="T44" s="348"/>
      <c r="U44" s="306"/>
      <c r="V44" s="349"/>
      <c r="W44" s="351"/>
      <c r="X44" s="350"/>
      <c r="Z44" s="375"/>
      <c r="AA44" s="339"/>
      <c r="AB44" s="386">
        <f>'15'!AB45</f>
        <v>141250</v>
      </c>
      <c r="AC44" s="340" t="s">
        <v>126</v>
      </c>
      <c r="AD44" s="388">
        <f>'15'!AD45</f>
        <v>959600</v>
      </c>
      <c r="AE44" s="341"/>
      <c r="AF44" s="561"/>
      <c r="AG44" s="83" t="s">
        <v>1</v>
      </c>
    </row>
    <row r="45" spans="1:40" ht="27" customHeight="1" thickBot="1">
      <c r="A45" s="715" t="str">
        <f>'15'!A45</f>
        <v>SHAKEEL</v>
      </c>
      <c r="B45" s="234"/>
      <c r="C45" s="348">
        <f>'15'!D45</f>
        <v>0</v>
      </c>
      <c r="D45" s="234">
        <f t="shared" si="9"/>
        <v>0</v>
      </c>
      <c r="F45" s="479" t="str">
        <f>'15'!F45</f>
        <v xml:space="preserve">FREE </v>
      </c>
      <c r="G45" s="410">
        <f>'CUSTOMERS REPORT'!Y1437</f>
        <v>0</v>
      </c>
      <c r="H45" s="362">
        <f>'CUSTOMERS REPORT'!Z1437</f>
        <v>0</v>
      </c>
      <c r="I45" s="410">
        <f>'CUSTOMERS REPORT'!AA1437</f>
        <v>0</v>
      </c>
      <c r="J45" s="502">
        <f>'CUSTOMERS REPORT'!AB1437</f>
        <v>0</v>
      </c>
      <c r="K45" s="502">
        <f>'CUSTOMERS REPORT'!AC1437</f>
        <v>0</v>
      </c>
      <c r="L45" s="513">
        <f>'CUSTOMERS REPORT'!AD1437</f>
        <v>0</v>
      </c>
      <c r="M45" s="414">
        <f>'15'!M45+'16'!G45</f>
        <v>0</v>
      </c>
      <c r="N45" s="412">
        <f>'15'!N45+'16'!J45</f>
        <v>0</v>
      </c>
      <c r="P45" s="222" t="s">
        <v>153</v>
      </c>
      <c r="Q45" s="378">
        <f>Q43+Q44</f>
        <v>-919690</v>
      </c>
      <c r="S45" s="401"/>
      <c r="T45" s="352"/>
      <c r="U45" s="307"/>
      <c r="V45" s="353"/>
      <c r="W45" s="354"/>
      <c r="X45" s="355"/>
      <c r="Z45" s="384"/>
      <c r="AA45" s="359"/>
      <c r="AB45" s="390">
        <f>SUM(AB43:AB44)</f>
        <v>141250</v>
      </c>
      <c r="AC45" s="360" t="s">
        <v>74</v>
      </c>
      <c r="AD45" s="389">
        <f>SUM(AD43:AD44)</f>
        <v>1374600</v>
      </c>
      <c r="AE45" s="361"/>
      <c r="AF45" s="562"/>
      <c r="AG45" s="573"/>
    </row>
    <row r="46" spans="1:40" ht="27" customHeight="1" thickTop="1" thickBot="1">
      <c r="A46" s="715" t="str">
        <f>'15'!A46</f>
        <v>ZAHID HUSSAN</v>
      </c>
      <c r="B46" s="234"/>
      <c r="C46" s="348">
        <f>'15'!D46</f>
        <v>0</v>
      </c>
      <c r="D46" s="234">
        <f t="shared" si="9"/>
        <v>0</v>
      </c>
      <c r="F46" s="369"/>
      <c r="G46" s="424">
        <f>SUM(G8:G45)</f>
        <v>0</v>
      </c>
      <c r="H46" s="1497" t="s">
        <v>160</v>
      </c>
      <c r="I46" s="1498"/>
      <c r="J46" s="421">
        <f>SUM(J8:J45)</f>
        <v>0</v>
      </c>
      <c r="K46" s="427">
        <f>SUM(K8:K45)</f>
        <v>0</v>
      </c>
      <c r="L46" s="431">
        <f>SUM(L8:L45)</f>
        <v>0</v>
      </c>
      <c r="M46" s="429">
        <f>SUM(M8:M45)</f>
        <v>0</v>
      </c>
      <c r="N46" s="430">
        <f>SUM(N8:N45)</f>
        <v>0</v>
      </c>
      <c r="P46" s="222" t="s">
        <v>154</v>
      </c>
      <c r="Q46" s="378">
        <f>B48</f>
        <v>495560</v>
      </c>
    </row>
    <row r="47" spans="1:40" ht="27" customHeight="1" thickBot="1">
      <c r="A47" s="715" t="str">
        <f>'15'!A47</f>
        <v xml:space="preserve">INVESTOR </v>
      </c>
      <c r="B47" s="540"/>
      <c r="C47" s="348">
        <f>'15'!D47</f>
        <v>0</v>
      </c>
      <c r="D47" s="542">
        <f t="shared" si="9"/>
        <v>0</v>
      </c>
      <c r="F47" s="370"/>
      <c r="G47" s="425">
        <f>'15'!G48</f>
        <v>0</v>
      </c>
      <c r="H47" s="1512" t="s">
        <v>162</v>
      </c>
      <c r="I47" s="1513"/>
      <c r="J47" s="423">
        <f>'15'!J48</f>
        <v>0</v>
      </c>
      <c r="K47" s="423">
        <f>'15'!K48</f>
        <v>0</v>
      </c>
      <c r="L47" s="343"/>
      <c r="M47" s="344"/>
      <c r="N47" s="345"/>
      <c r="P47" s="375" t="s">
        <v>163</v>
      </c>
      <c r="Q47" s="378">
        <f>Q9+Q10+Q19+Q20+Q21+Q22</f>
        <v>0</v>
      </c>
      <c r="R47" s="19"/>
      <c r="S47" s="1489" t="s">
        <v>92</v>
      </c>
      <c r="T47" s="1516" t="s">
        <v>95</v>
      </c>
      <c r="U47" s="1518"/>
      <c r="V47" s="1518"/>
      <c r="W47" s="1517"/>
      <c r="X47" s="1516" t="s">
        <v>7</v>
      </c>
      <c r="Y47" s="1518"/>
      <c r="Z47" s="1517"/>
      <c r="AA47" s="1516" t="s">
        <v>8</v>
      </c>
      <c r="AB47" s="1517"/>
      <c r="AC47" s="1516" t="s">
        <v>9</v>
      </c>
      <c r="AD47" s="1518"/>
      <c r="AE47" s="1518"/>
      <c r="AF47" s="1518"/>
      <c r="AG47" s="1518"/>
      <c r="AH47" s="1518"/>
      <c r="AI47" s="1518"/>
      <c r="AJ47" s="1405" t="s">
        <v>10</v>
      </c>
      <c r="AK47" s="1406"/>
      <c r="AL47" s="1400" t="s">
        <v>289</v>
      </c>
      <c r="AM47" s="1401"/>
      <c r="AN47" s="842" t="s">
        <v>290</v>
      </c>
    </row>
    <row r="48" spans="1:40" ht="27" customHeight="1" thickTop="1" thickBot="1">
      <c r="A48" s="192" t="s">
        <v>74</v>
      </c>
      <c r="B48" s="544">
        <f>SUM(B22:B47)</f>
        <v>495560</v>
      </c>
      <c r="C48" s="543">
        <f>'15'!D48</f>
        <v>919690</v>
      </c>
      <c r="D48" s="544">
        <f t="shared" si="9"/>
        <v>1415250</v>
      </c>
      <c r="F48" s="371"/>
      <c r="G48" s="426">
        <f>G46+G47</f>
        <v>0</v>
      </c>
      <c r="H48" s="1495" t="s">
        <v>164</v>
      </c>
      <c r="I48" s="1496"/>
      <c r="J48" s="422">
        <f>J46+J47</f>
        <v>0</v>
      </c>
      <c r="K48" s="428">
        <f>K46+K47</f>
        <v>0</v>
      </c>
      <c r="L48" s="346"/>
      <c r="M48" s="347"/>
      <c r="N48" s="622">
        <f>G48-J48</f>
        <v>0</v>
      </c>
      <c r="P48" s="376" t="s">
        <v>155</v>
      </c>
      <c r="Q48" s="379">
        <f>Q45-Q46-Q47</f>
        <v>-1415250</v>
      </c>
      <c r="R48" s="19"/>
      <c r="S48" s="1490"/>
      <c r="T48" s="482" t="s">
        <v>12</v>
      </c>
      <c r="U48" s="482" t="s">
        <v>13</v>
      </c>
      <c r="V48" s="482" t="s">
        <v>14</v>
      </c>
      <c r="W48" s="958" t="s">
        <v>263</v>
      </c>
      <c r="X48" s="482" t="s">
        <v>12</v>
      </c>
      <c r="Y48" s="482" t="s">
        <v>13</v>
      </c>
      <c r="Z48" s="482" t="s">
        <v>282</v>
      </c>
      <c r="AA48" s="482" t="s">
        <v>12</v>
      </c>
      <c r="AB48" s="482" t="s">
        <v>16</v>
      </c>
      <c r="AC48" s="482" t="s">
        <v>17</v>
      </c>
      <c r="AD48" s="482" t="s">
        <v>18</v>
      </c>
      <c r="AE48" s="482" t="s">
        <v>19</v>
      </c>
      <c r="AF48" s="484" t="s">
        <v>96</v>
      </c>
      <c r="AG48" s="484" t="s">
        <v>257</v>
      </c>
      <c r="AH48" s="482" t="s">
        <v>254</v>
      </c>
      <c r="AI48" s="482" t="s">
        <v>20</v>
      </c>
      <c r="AJ48" s="483" t="s">
        <v>14</v>
      </c>
      <c r="AK48" s="482" t="s">
        <v>13</v>
      </c>
      <c r="AL48" s="846" t="s">
        <v>284</v>
      </c>
      <c r="AM48" s="846" t="s">
        <v>288</v>
      </c>
      <c r="AN48" s="966" t="s">
        <v>291</v>
      </c>
    </row>
    <row r="49" spans="1:40" ht="24.95" customHeight="1" thickTop="1" thickBot="1">
      <c r="Q49" s="111">
        <f>Q48+Q41</f>
        <v>-1415250</v>
      </c>
      <c r="R49" s="19"/>
      <c r="S49" s="865" t="s">
        <v>165</v>
      </c>
      <c r="T49" s="866">
        <f>'15'!T55</f>
        <v>0</v>
      </c>
      <c r="U49" s="866">
        <f>'15'!U55</f>
        <v>0</v>
      </c>
      <c r="V49" s="866">
        <f>'15'!V55</f>
        <v>-2</v>
      </c>
      <c r="W49" s="866">
        <f>'15'!W55</f>
        <v>0</v>
      </c>
      <c r="X49" s="866">
        <f>'15'!X55</f>
        <v>0</v>
      </c>
      <c r="Y49" s="866">
        <f>'15'!Y55</f>
        <v>0</v>
      </c>
      <c r="Z49" s="866">
        <f>'15'!Z55</f>
        <v>-2</v>
      </c>
      <c r="AA49" s="866">
        <f>'15'!AA55</f>
        <v>0</v>
      </c>
      <c r="AB49" s="866">
        <f>'15'!AB55</f>
        <v>0</v>
      </c>
      <c r="AC49" s="866">
        <f>'15'!AC55</f>
        <v>824</v>
      </c>
      <c r="AD49" s="866">
        <f>'15'!AD55</f>
        <v>70</v>
      </c>
      <c r="AE49" s="866">
        <f>'15'!AE55</f>
        <v>0</v>
      </c>
      <c r="AF49" s="866">
        <f>'15'!AF55</f>
        <v>542</v>
      </c>
      <c r="AG49" s="866">
        <f>'15'!AG55</f>
        <v>374</v>
      </c>
      <c r="AH49" s="866">
        <f>'15'!AH55</f>
        <v>854</v>
      </c>
      <c r="AI49" s="866">
        <f>'15'!AI55</f>
        <v>631</v>
      </c>
      <c r="AJ49" s="866">
        <f>'15'!AJ55</f>
        <v>0</v>
      </c>
      <c r="AK49" s="866">
        <f>'15'!AK55</f>
        <v>-1</v>
      </c>
      <c r="AL49" s="866" t="e">
        <f>'15'!AL55</f>
        <v>#VALUE!</v>
      </c>
      <c r="AM49" s="866" t="e">
        <f>'15'!AM55</f>
        <v>#VALUE!</v>
      </c>
      <c r="AN49" s="866" t="e">
        <f>'15'!AN55</f>
        <v>#VALUE!</v>
      </c>
    </row>
    <row r="50" spans="1:40" ht="24.95" customHeight="1" thickBot="1">
      <c r="C50" t="s">
        <v>1</v>
      </c>
      <c r="L50" s="417">
        <v>5000</v>
      </c>
      <c r="M50" s="417"/>
      <c r="N50" s="417">
        <f t="shared" ref="N50:N57" si="10">L50*M50</f>
        <v>0</v>
      </c>
      <c r="R50" s="19"/>
      <c r="S50" s="854" t="s">
        <v>166</v>
      </c>
      <c r="T50" s="852"/>
      <c r="U50" s="852"/>
      <c r="V50" s="852"/>
      <c r="W50" s="852"/>
      <c r="X50" s="852"/>
      <c r="Y50" s="852"/>
      <c r="Z50" s="852"/>
      <c r="AA50" s="852"/>
      <c r="AB50" s="852"/>
      <c r="AC50" s="852">
        <v>430</v>
      </c>
      <c r="AD50" s="852">
        <v>152</v>
      </c>
      <c r="AE50" s="852"/>
      <c r="AF50" s="852">
        <v>221</v>
      </c>
      <c r="AG50" s="855">
        <v>273</v>
      </c>
      <c r="AH50" s="852"/>
      <c r="AI50" s="852"/>
      <c r="AJ50" s="848"/>
      <c r="AK50" s="848"/>
      <c r="AL50" s="852"/>
      <c r="AM50" s="849"/>
      <c r="AN50" s="930"/>
    </row>
    <row r="51" spans="1:40" ht="24.95" customHeight="1" thickBot="1">
      <c r="L51" s="417">
        <v>1000</v>
      </c>
      <c r="M51" s="417"/>
      <c r="N51" s="417">
        <f t="shared" si="10"/>
        <v>0</v>
      </c>
      <c r="R51" s="19"/>
      <c r="S51" s="867" t="s">
        <v>91</v>
      </c>
      <c r="T51" s="868"/>
      <c r="U51" s="868"/>
      <c r="V51" s="868"/>
      <c r="W51" s="868"/>
      <c r="X51" s="868"/>
      <c r="Y51" s="868"/>
      <c r="Z51" s="868"/>
      <c r="AA51" s="868"/>
      <c r="AB51" s="868"/>
      <c r="AC51" s="868"/>
      <c r="AD51" s="868"/>
      <c r="AE51" s="868"/>
      <c r="AF51" s="868"/>
      <c r="AG51" s="869">
        <v>1</v>
      </c>
      <c r="AH51" s="868"/>
      <c r="AI51" s="870"/>
      <c r="AJ51" s="868"/>
      <c r="AK51" s="868"/>
      <c r="AL51" s="849"/>
      <c r="AM51" s="849"/>
      <c r="AN51" s="850"/>
    </row>
    <row r="52" spans="1:40" ht="24.95" customHeight="1" thickBot="1">
      <c r="L52" s="417">
        <v>500</v>
      </c>
      <c r="M52" s="417"/>
      <c r="N52" s="417">
        <f t="shared" si="10"/>
        <v>0</v>
      </c>
      <c r="O52" t="s">
        <v>1</v>
      </c>
      <c r="R52" s="19"/>
      <c r="S52" s="856" t="s">
        <v>167</v>
      </c>
      <c r="T52" s="857"/>
      <c r="U52" s="857"/>
      <c r="V52" s="857"/>
      <c r="W52" s="857"/>
      <c r="X52" s="857"/>
      <c r="Y52" s="857"/>
      <c r="Z52" s="857"/>
      <c r="AA52" s="857"/>
      <c r="AB52" s="857"/>
      <c r="AC52" s="857"/>
      <c r="AD52" s="857"/>
      <c r="AE52" s="857"/>
      <c r="AF52" s="857"/>
      <c r="AG52" s="858"/>
      <c r="AH52" s="859"/>
      <c r="AI52" s="860"/>
      <c r="AJ52" s="851"/>
      <c r="AK52" s="851"/>
      <c r="AL52" s="849"/>
      <c r="AM52" s="849"/>
      <c r="AN52" s="850"/>
    </row>
    <row r="53" spans="1:40" ht="24.95" customHeight="1" thickBot="1">
      <c r="L53" s="417">
        <v>100</v>
      </c>
      <c r="M53" s="417"/>
      <c r="N53" s="417">
        <f t="shared" si="10"/>
        <v>0</v>
      </c>
      <c r="R53" s="19"/>
      <c r="S53" s="871" t="s">
        <v>81</v>
      </c>
      <c r="T53" s="866">
        <f t="shared" ref="T53:AN53" si="11">SUM(T49+T50+T52)</f>
        <v>0</v>
      </c>
      <c r="U53" s="866">
        <f t="shared" si="11"/>
        <v>0</v>
      </c>
      <c r="V53" s="866">
        <f t="shared" si="11"/>
        <v>-2</v>
      </c>
      <c r="W53" s="866">
        <f t="shared" si="11"/>
        <v>0</v>
      </c>
      <c r="X53" s="866">
        <f t="shared" si="11"/>
        <v>0</v>
      </c>
      <c r="Y53" s="866">
        <f t="shared" si="11"/>
        <v>0</v>
      </c>
      <c r="Z53" s="866">
        <f t="shared" si="11"/>
        <v>-2</v>
      </c>
      <c r="AA53" s="866">
        <f t="shared" si="11"/>
        <v>0</v>
      </c>
      <c r="AB53" s="866">
        <f t="shared" si="11"/>
        <v>0</v>
      </c>
      <c r="AC53" s="866">
        <f t="shared" si="11"/>
        <v>1254</v>
      </c>
      <c r="AD53" s="866">
        <f t="shared" si="11"/>
        <v>222</v>
      </c>
      <c r="AE53" s="866">
        <f t="shared" si="11"/>
        <v>0</v>
      </c>
      <c r="AF53" s="866">
        <f t="shared" si="11"/>
        <v>763</v>
      </c>
      <c r="AG53" s="866">
        <f t="shared" si="11"/>
        <v>647</v>
      </c>
      <c r="AH53" s="866">
        <f t="shared" si="11"/>
        <v>854</v>
      </c>
      <c r="AI53" s="866">
        <f t="shared" si="11"/>
        <v>631</v>
      </c>
      <c r="AJ53" s="866">
        <f t="shared" si="11"/>
        <v>0</v>
      </c>
      <c r="AK53" s="866">
        <f t="shared" si="11"/>
        <v>-1</v>
      </c>
      <c r="AL53" s="866" t="e">
        <f t="shared" si="11"/>
        <v>#VALUE!</v>
      </c>
      <c r="AM53" s="866" t="e">
        <f t="shared" si="11"/>
        <v>#VALUE!</v>
      </c>
      <c r="AN53" s="872" t="e">
        <f t="shared" si="11"/>
        <v>#VALUE!</v>
      </c>
    </row>
    <row r="54" spans="1:40" ht="24.95" customHeight="1" thickBot="1">
      <c r="L54" s="417">
        <v>50</v>
      </c>
      <c r="M54" s="417"/>
      <c r="N54" s="417">
        <f t="shared" si="10"/>
        <v>0</v>
      </c>
      <c r="R54" s="19"/>
      <c r="S54" s="854" t="s">
        <v>168</v>
      </c>
      <c r="T54" s="852">
        <f>'CUSTOMERS REPORT'!B23+'CUSTOMERS REPORT'!B69+'CUSTOMERS REPORT'!B107+'CUSTOMERS REPORT'!B146+'CUSTOMERS REPORT'!B184+'CUSTOMERS REPORT'!B224+'CUSTOMERS REPORT'!B261+'CUSTOMERS REPORT'!B301+'CUSTOMERS REPORT'!B342+'CUSTOMERS REPORT'!B384+'CUSTOMERS REPORT'!B423+'CUSTOMERS REPORT'!B461+'CUSTOMERS REPORT'!B497+'CUSTOMERS REPORT'!B534+'CUSTOMERS REPORT'!B572+'CUSTOMERS REPORT'!B608+'CUSTOMERS REPORT'!B646+'CUSTOMERS REPORT'!B684+'CUSTOMERS REPORT'!B722+'CUSTOMERS REPORT'!B760+'CUSTOMERS REPORT'!B798+'CUSTOMERS REPORT'!B836+'CUSTOMERS REPORT'!B874+'CUSTOMERS REPORT'!B913+'CUSTOMERS REPORT'!B952+'CUSTOMERS REPORT'!B990+'CUSTOMERS REPORT'!B1028+'CUSTOMERS REPORT'!B1066+'CUSTOMERS REPORT'!B1104+'CUSTOMERS REPORT'!B1142+'CUSTOMERS REPORT'!B1179+'CUSTOMERS REPORT'!B1216+'CUSTOMERS REPORT'!B1253+'CUSTOMERS REPORT'!B1290+'CUSTOMERS REPORT'!B1327+'CUSTOMERS REPORT'!B1364+'CUSTOMERS REPORT'!B1401+'CUSTOMERS REPORT'!B1437</f>
        <v>0</v>
      </c>
      <c r="U54" s="852">
        <f>'CUSTOMERS REPORT'!C23+'CUSTOMERS REPORT'!C69+'CUSTOMERS REPORT'!C107+'CUSTOMERS REPORT'!C146+'CUSTOMERS REPORT'!C184+'CUSTOMERS REPORT'!C224+'CUSTOMERS REPORT'!C261+'CUSTOMERS REPORT'!C301+'CUSTOMERS REPORT'!C342+'CUSTOMERS REPORT'!C384+'CUSTOMERS REPORT'!C423+'CUSTOMERS REPORT'!C461+'CUSTOMERS REPORT'!C497+'CUSTOMERS REPORT'!C534+'CUSTOMERS REPORT'!C572+'CUSTOMERS REPORT'!C608+'CUSTOMERS REPORT'!C646+'CUSTOMERS REPORT'!C684+'CUSTOMERS REPORT'!C722+'CUSTOMERS REPORT'!C760+'CUSTOMERS REPORT'!C798+'CUSTOMERS REPORT'!C836+'CUSTOMERS REPORT'!C874+'CUSTOMERS REPORT'!C913+'CUSTOMERS REPORT'!C952+'CUSTOMERS REPORT'!C990+'CUSTOMERS REPORT'!C1028+'CUSTOMERS REPORT'!C1066+'CUSTOMERS REPORT'!C1104+'CUSTOMERS REPORT'!C1142+'CUSTOMERS REPORT'!C1179+'CUSTOMERS REPORT'!C1216+'CUSTOMERS REPORT'!C1253+'CUSTOMERS REPORT'!C1290+'CUSTOMERS REPORT'!C1327+'CUSTOMERS REPORT'!C1364+'CUSTOMERS REPORT'!C1401+'CUSTOMERS REPORT'!C1437</f>
        <v>0</v>
      </c>
      <c r="V54" s="852">
        <f>'CUSTOMERS REPORT'!D23+'CUSTOMERS REPORT'!D69+'CUSTOMERS REPORT'!D107+'CUSTOMERS REPORT'!D146+'CUSTOMERS REPORT'!D184+'CUSTOMERS REPORT'!D224+'CUSTOMERS REPORT'!D261+'CUSTOMERS REPORT'!D301+'CUSTOMERS REPORT'!D342+'CUSTOMERS REPORT'!D384+'CUSTOMERS REPORT'!D423+'CUSTOMERS REPORT'!D461+'CUSTOMERS REPORT'!D497+'CUSTOMERS REPORT'!D534+'CUSTOMERS REPORT'!D572+'CUSTOMERS REPORT'!D608+'CUSTOMERS REPORT'!D646+'CUSTOMERS REPORT'!D684+'CUSTOMERS REPORT'!D722+'CUSTOMERS REPORT'!D760+'CUSTOMERS REPORT'!D798+'CUSTOMERS REPORT'!D836+'CUSTOMERS REPORT'!D874+'CUSTOMERS REPORT'!D913+'CUSTOMERS REPORT'!D952+'CUSTOMERS REPORT'!D990+'CUSTOMERS REPORT'!D1028+'CUSTOMERS REPORT'!D1066+'CUSTOMERS REPORT'!D1104+'CUSTOMERS REPORT'!D1142+'CUSTOMERS REPORT'!D1179+'CUSTOMERS REPORT'!D1216+'CUSTOMERS REPORT'!D1253+'CUSTOMERS REPORT'!D1290+'CUSTOMERS REPORT'!D1327+'CUSTOMERS REPORT'!D1364+'CUSTOMERS REPORT'!D1401+'CUSTOMERS REPORT'!D1437</f>
        <v>0</v>
      </c>
      <c r="W54" s="852">
        <f>'CUSTOMERS REPORT'!E23+'CUSTOMERS REPORT'!E69+'CUSTOMERS REPORT'!E107+'CUSTOMERS REPORT'!E146+'CUSTOMERS REPORT'!E184+'CUSTOMERS REPORT'!E224+'CUSTOMERS REPORT'!E261+'CUSTOMERS REPORT'!E301+'CUSTOMERS REPORT'!E342+'CUSTOMERS REPORT'!E384+'CUSTOMERS REPORT'!E423+'CUSTOMERS REPORT'!E461+'CUSTOMERS REPORT'!E497+'CUSTOMERS REPORT'!E534+'CUSTOMERS REPORT'!E572+'CUSTOMERS REPORT'!E608+'CUSTOMERS REPORT'!E646+'CUSTOMERS REPORT'!E684+'CUSTOMERS REPORT'!E722+'CUSTOMERS REPORT'!E760+'CUSTOMERS REPORT'!E798+'CUSTOMERS REPORT'!E836+'CUSTOMERS REPORT'!E874+'CUSTOMERS REPORT'!E913+'CUSTOMERS REPORT'!E952+'CUSTOMERS REPORT'!E990+'CUSTOMERS REPORT'!E1028+'CUSTOMERS REPORT'!E1066+'CUSTOMERS REPORT'!E1104+'CUSTOMERS REPORT'!E1142+'CUSTOMERS REPORT'!E1179+'CUSTOMERS REPORT'!E1216+'CUSTOMERS REPORT'!E1253+'CUSTOMERS REPORT'!E1290+'CUSTOMERS REPORT'!E1327+'CUSTOMERS REPORT'!E1364+'CUSTOMERS REPORT'!E1401+'CUSTOMERS REPORT'!E1437</f>
        <v>0</v>
      </c>
      <c r="X54" s="852">
        <f>'CUSTOMERS REPORT'!F23+'CUSTOMERS REPORT'!F69+'CUSTOMERS REPORT'!F107+'CUSTOMERS REPORT'!F146+'CUSTOMERS REPORT'!F184+'CUSTOMERS REPORT'!F224+'CUSTOMERS REPORT'!F261+'CUSTOMERS REPORT'!F301+'CUSTOMERS REPORT'!F342+'CUSTOMERS REPORT'!F384+'CUSTOMERS REPORT'!F423+'CUSTOMERS REPORT'!F461+'CUSTOMERS REPORT'!F497+'CUSTOMERS REPORT'!F534+'CUSTOMERS REPORT'!F572+'CUSTOMERS REPORT'!F608+'CUSTOMERS REPORT'!F646+'CUSTOMERS REPORT'!F684+'CUSTOMERS REPORT'!F722+'CUSTOMERS REPORT'!F760+'CUSTOMERS REPORT'!F798+'CUSTOMERS REPORT'!F836+'CUSTOMERS REPORT'!F874+'CUSTOMERS REPORT'!F913+'CUSTOMERS REPORT'!F952+'CUSTOMERS REPORT'!F990+'CUSTOMERS REPORT'!F1028+'CUSTOMERS REPORT'!F1066+'CUSTOMERS REPORT'!F1104+'CUSTOMERS REPORT'!F1142+'CUSTOMERS REPORT'!F1179+'CUSTOMERS REPORT'!F1216+'CUSTOMERS REPORT'!F1253+'CUSTOMERS REPORT'!F1290+'CUSTOMERS REPORT'!F1327+'CUSTOMERS REPORT'!F1364+'CUSTOMERS REPORT'!F1401+'CUSTOMERS REPORT'!F1437</f>
        <v>0</v>
      </c>
      <c r="Y54" s="852">
        <f>'CUSTOMERS REPORT'!G23+'CUSTOMERS REPORT'!G69+'CUSTOMERS REPORT'!G107+'CUSTOMERS REPORT'!G146+'CUSTOMERS REPORT'!G184+'CUSTOMERS REPORT'!G224+'CUSTOMERS REPORT'!G261+'CUSTOMERS REPORT'!G301+'CUSTOMERS REPORT'!G342+'CUSTOMERS REPORT'!G384+'CUSTOMERS REPORT'!G423+'CUSTOMERS REPORT'!G461+'CUSTOMERS REPORT'!G497+'CUSTOMERS REPORT'!G534+'CUSTOMERS REPORT'!G572+'CUSTOMERS REPORT'!G608+'CUSTOMERS REPORT'!G646+'CUSTOMERS REPORT'!G684+'CUSTOMERS REPORT'!G722+'CUSTOMERS REPORT'!G760+'CUSTOMERS REPORT'!G798+'CUSTOMERS REPORT'!G836+'CUSTOMERS REPORT'!G874+'CUSTOMERS REPORT'!G913+'CUSTOMERS REPORT'!G952+'CUSTOMERS REPORT'!G990+'CUSTOMERS REPORT'!G1028+'CUSTOMERS REPORT'!G1066+'CUSTOMERS REPORT'!G1104+'CUSTOMERS REPORT'!G1142+'CUSTOMERS REPORT'!G1179+'CUSTOMERS REPORT'!G1216+'CUSTOMERS REPORT'!G1253+'CUSTOMERS REPORT'!G1290+'CUSTOMERS REPORT'!G1327+'CUSTOMERS REPORT'!G1364+'CUSTOMERS REPORT'!G1401+'CUSTOMERS REPORT'!G1437</f>
        <v>0</v>
      </c>
      <c r="Z54" s="852">
        <f>'CUSTOMERS REPORT'!H23+'CUSTOMERS REPORT'!H69+'CUSTOMERS REPORT'!H107+'CUSTOMERS REPORT'!H146+'CUSTOMERS REPORT'!H184+'CUSTOMERS REPORT'!H224+'CUSTOMERS REPORT'!H261+'CUSTOMERS REPORT'!H301+'CUSTOMERS REPORT'!H342+'CUSTOMERS REPORT'!H384+'CUSTOMERS REPORT'!H423+'CUSTOMERS REPORT'!H461+'CUSTOMERS REPORT'!H497+'CUSTOMERS REPORT'!H534+'CUSTOMERS REPORT'!H572+'CUSTOMERS REPORT'!H608+'CUSTOMERS REPORT'!H646+'CUSTOMERS REPORT'!H684+'CUSTOMERS REPORT'!H722+'CUSTOMERS REPORT'!H760+'CUSTOMERS REPORT'!H798+'CUSTOMERS REPORT'!H836+'CUSTOMERS REPORT'!H874+'CUSTOMERS REPORT'!H913+'CUSTOMERS REPORT'!H952+'CUSTOMERS REPORT'!H990+'CUSTOMERS REPORT'!H1028+'CUSTOMERS REPORT'!H1066+'CUSTOMERS REPORT'!H1104+'CUSTOMERS REPORT'!H1142+'CUSTOMERS REPORT'!H1179+'CUSTOMERS REPORT'!H1216+'CUSTOMERS REPORT'!H1253+'CUSTOMERS REPORT'!H1290+'CUSTOMERS REPORT'!H1327+'CUSTOMERS REPORT'!H1364+'CUSTOMERS REPORT'!H1401+'CUSTOMERS REPORT'!H1437</f>
        <v>0</v>
      </c>
      <c r="AA54" s="852">
        <f>'CUSTOMERS REPORT'!I23+'CUSTOMERS REPORT'!I69+'CUSTOMERS REPORT'!I107+'CUSTOMERS REPORT'!I146+'CUSTOMERS REPORT'!I184+'CUSTOMERS REPORT'!I224+'CUSTOMERS REPORT'!I261+'CUSTOMERS REPORT'!I301+'CUSTOMERS REPORT'!I342+'CUSTOMERS REPORT'!I384+'CUSTOMERS REPORT'!I423+'CUSTOMERS REPORT'!I461+'CUSTOMERS REPORT'!I497+'CUSTOMERS REPORT'!I534+'CUSTOMERS REPORT'!I572+'CUSTOMERS REPORT'!I608+'CUSTOMERS REPORT'!I646+'CUSTOMERS REPORT'!I684+'CUSTOMERS REPORT'!I722+'CUSTOMERS REPORT'!I760+'CUSTOMERS REPORT'!I798+'CUSTOMERS REPORT'!I836+'CUSTOMERS REPORT'!I874+'CUSTOMERS REPORT'!I913+'CUSTOMERS REPORT'!I952+'CUSTOMERS REPORT'!I990+'CUSTOMERS REPORT'!I1028+'CUSTOMERS REPORT'!I1066+'CUSTOMERS REPORT'!I1104+'CUSTOMERS REPORT'!I1142+'CUSTOMERS REPORT'!I1179+'CUSTOMERS REPORT'!I1216+'CUSTOMERS REPORT'!I1253+'CUSTOMERS REPORT'!I1290+'CUSTOMERS REPORT'!I1327+'CUSTOMERS REPORT'!I1364+'CUSTOMERS REPORT'!I1401+'CUSTOMERS REPORT'!I1437</f>
        <v>0</v>
      </c>
      <c r="AB54" s="852">
        <f>'CUSTOMERS REPORT'!J23+'CUSTOMERS REPORT'!J69+'CUSTOMERS REPORT'!J107+'CUSTOMERS REPORT'!J146+'CUSTOMERS REPORT'!J184+'CUSTOMERS REPORT'!J224+'CUSTOMERS REPORT'!J261+'CUSTOMERS REPORT'!J301+'CUSTOMERS REPORT'!J342+'CUSTOMERS REPORT'!J384+'CUSTOMERS REPORT'!J423+'CUSTOMERS REPORT'!J461+'CUSTOMERS REPORT'!J497+'CUSTOMERS REPORT'!J534+'CUSTOMERS REPORT'!J572+'CUSTOMERS REPORT'!J608+'CUSTOMERS REPORT'!J646+'CUSTOMERS REPORT'!J684+'CUSTOMERS REPORT'!J722+'CUSTOMERS REPORT'!J760+'CUSTOMERS REPORT'!J798+'CUSTOMERS REPORT'!J836+'CUSTOMERS REPORT'!J874+'CUSTOMERS REPORT'!J913+'CUSTOMERS REPORT'!J952+'CUSTOMERS REPORT'!J990+'CUSTOMERS REPORT'!J1028+'CUSTOMERS REPORT'!J1066+'CUSTOMERS REPORT'!J1104+'CUSTOMERS REPORT'!J1142+'CUSTOMERS REPORT'!J1179+'CUSTOMERS REPORT'!J1216+'CUSTOMERS REPORT'!J1253+'CUSTOMERS REPORT'!J1290+'CUSTOMERS REPORT'!J1327+'CUSTOMERS REPORT'!J1364+'CUSTOMERS REPORT'!J1401+'CUSTOMERS REPORT'!J1437</f>
        <v>0</v>
      </c>
      <c r="AC54" s="852">
        <f>'CUSTOMERS REPORT'!K23+'CUSTOMERS REPORT'!K69+'CUSTOMERS REPORT'!K107+'CUSTOMERS REPORT'!K146+'CUSTOMERS REPORT'!K184+'CUSTOMERS REPORT'!K224+'CUSTOMERS REPORT'!K261+'CUSTOMERS REPORT'!K301+'CUSTOMERS REPORT'!K342+'CUSTOMERS REPORT'!K384+'CUSTOMERS REPORT'!K423+'CUSTOMERS REPORT'!K461+'CUSTOMERS REPORT'!K497+'CUSTOMERS REPORT'!K534+'CUSTOMERS REPORT'!K572+'CUSTOMERS REPORT'!K608+'CUSTOMERS REPORT'!K646+'CUSTOMERS REPORT'!K684+'CUSTOMERS REPORT'!K722+'CUSTOMERS REPORT'!K760+'CUSTOMERS REPORT'!K798+'CUSTOMERS REPORT'!K836+'CUSTOMERS REPORT'!K874+'CUSTOMERS REPORT'!K913+'CUSTOMERS REPORT'!K952+'CUSTOMERS REPORT'!K990+'CUSTOMERS REPORT'!K1028+'CUSTOMERS REPORT'!K1066+'CUSTOMERS REPORT'!K1104+'CUSTOMERS REPORT'!K1142+'CUSTOMERS REPORT'!K1179+'CUSTOMERS REPORT'!K1216+'CUSTOMERS REPORT'!K1253+'CUSTOMERS REPORT'!K1290+'CUSTOMERS REPORT'!K1327+'CUSTOMERS REPORT'!K1364+'CUSTOMERS REPORT'!K1401+'CUSTOMERS REPORT'!K1437</f>
        <v>0</v>
      </c>
      <c r="AD54" s="852">
        <f>'CUSTOMERS REPORT'!L23+'CUSTOMERS REPORT'!L69+'CUSTOMERS REPORT'!L107+'CUSTOMERS REPORT'!L146+'CUSTOMERS REPORT'!L184+'CUSTOMERS REPORT'!L224+'CUSTOMERS REPORT'!L261+'CUSTOMERS REPORT'!L301+'CUSTOMERS REPORT'!L342+'CUSTOMERS REPORT'!L384+'CUSTOMERS REPORT'!L423+'CUSTOMERS REPORT'!L461+'CUSTOMERS REPORT'!L497+'CUSTOMERS REPORT'!L534+'CUSTOMERS REPORT'!L572+'CUSTOMERS REPORT'!L608+'CUSTOMERS REPORT'!L646+'CUSTOMERS REPORT'!L684+'CUSTOMERS REPORT'!L722+'CUSTOMERS REPORT'!L760+'CUSTOMERS REPORT'!L798+'CUSTOMERS REPORT'!L836+'CUSTOMERS REPORT'!L874+'CUSTOMERS REPORT'!L913+'CUSTOMERS REPORT'!L952+'CUSTOMERS REPORT'!L990+'CUSTOMERS REPORT'!L1028+'CUSTOMERS REPORT'!L1066+'CUSTOMERS REPORT'!L1104+'CUSTOMERS REPORT'!L1142+'CUSTOMERS REPORT'!L1179+'CUSTOMERS REPORT'!L1216+'CUSTOMERS REPORT'!L1253+'CUSTOMERS REPORT'!L1290+'CUSTOMERS REPORT'!L1327+'CUSTOMERS REPORT'!L1364+'CUSTOMERS REPORT'!L1401+'CUSTOMERS REPORT'!L1437</f>
        <v>0</v>
      </c>
      <c r="AE54" s="852">
        <f>'CUSTOMERS REPORT'!M23+'CUSTOMERS REPORT'!M69+'CUSTOMERS REPORT'!M107+'CUSTOMERS REPORT'!M146+'CUSTOMERS REPORT'!M184+'CUSTOMERS REPORT'!M224+'CUSTOMERS REPORT'!M261+'CUSTOMERS REPORT'!M301+'CUSTOMERS REPORT'!M342+'CUSTOMERS REPORT'!M384+'CUSTOMERS REPORT'!M423+'CUSTOMERS REPORT'!M461+'CUSTOMERS REPORT'!M497+'CUSTOMERS REPORT'!M534+'CUSTOMERS REPORT'!M572+'CUSTOMERS REPORT'!M608+'CUSTOMERS REPORT'!M646+'CUSTOMERS REPORT'!M684+'CUSTOMERS REPORT'!M722+'CUSTOMERS REPORT'!M760+'CUSTOMERS REPORT'!M798+'CUSTOMERS REPORT'!M836+'CUSTOMERS REPORT'!M874+'CUSTOMERS REPORT'!M913+'CUSTOMERS REPORT'!M952+'CUSTOMERS REPORT'!M990+'CUSTOMERS REPORT'!M1028+'CUSTOMERS REPORT'!M1066+'CUSTOMERS REPORT'!M1104+'CUSTOMERS REPORT'!M1142+'CUSTOMERS REPORT'!M1179+'CUSTOMERS REPORT'!M1216+'CUSTOMERS REPORT'!M1253+'CUSTOMERS REPORT'!M1290+'CUSTOMERS REPORT'!M1327+'CUSTOMERS REPORT'!M1364+'CUSTOMERS REPORT'!M1401+'CUSTOMERS REPORT'!M1437</f>
        <v>0</v>
      </c>
      <c r="AF54" s="852">
        <f>'CUSTOMERS REPORT'!N23+'CUSTOMERS REPORT'!N69+'CUSTOMERS REPORT'!N107+'CUSTOMERS REPORT'!N146+'CUSTOMERS REPORT'!N184+'CUSTOMERS REPORT'!N224+'CUSTOMERS REPORT'!N261+'CUSTOMERS REPORT'!N301+'CUSTOMERS REPORT'!N342+'CUSTOMERS REPORT'!N384+'CUSTOMERS REPORT'!N423+'CUSTOMERS REPORT'!N461+'CUSTOMERS REPORT'!N497+'CUSTOMERS REPORT'!N534+'CUSTOMERS REPORT'!N572+'CUSTOMERS REPORT'!N608+'CUSTOMERS REPORT'!N646+'CUSTOMERS REPORT'!N684+'CUSTOMERS REPORT'!N722+'CUSTOMERS REPORT'!N760+'CUSTOMERS REPORT'!N798+'CUSTOMERS REPORT'!N836+'CUSTOMERS REPORT'!N874+'CUSTOMERS REPORT'!N913+'CUSTOMERS REPORT'!N952+'CUSTOMERS REPORT'!N990+'CUSTOMERS REPORT'!N1028+'CUSTOMERS REPORT'!N1066+'CUSTOMERS REPORT'!N1104+'CUSTOMERS REPORT'!N1142+'CUSTOMERS REPORT'!N1179+'CUSTOMERS REPORT'!N1216+'CUSTOMERS REPORT'!N1253+'CUSTOMERS REPORT'!N1290+'CUSTOMERS REPORT'!N1327+'CUSTOMERS REPORT'!N1364+'CUSTOMERS REPORT'!N1401+'CUSTOMERS REPORT'!N1437</f>
        <v>0</v>
      </c>
      <c r="AG54" s="852">
        <f>'CUSTOMERS REPORT'!O23+'CUSTOMERS REPORT'!O69+'CUSTOMERS REPORT'!O107+'CUSTOMERS REPORT'!O146+'CUSTOMERS REPORT'!O184+'CUSTOMERS REPORT'!O224+'CUSTOMERS REPORT'!O261+'CUSTOMERS REPORT'!O301+'CUSTOMERS REPORT'!O342+'CUSTOMERS REPORT'!O384+'CUSTOMERS REPORT'!O423+'CUSTOMERS REPORT'!O461+'CUSTOMERS REPORT'!O497+'CUSTOMERS REPORT'!O534+'CUSTOMERS REPORT'!O572+'CUSTOMERS REPORT'!O608+'CUSTOMERS REPORT'!O646+'CUSTOMERS REPORT'!O684+'CUSTOMERS REPORT'!O722+'CUSTOMERS REPORT'!O760+'CUSTOMERS REPORT'!O798+'CUSTOMERS REPORT'!O836+'CUSTOMERS REPORT'!O874+'CUSTOMERS REPORT'!O913+'CUSTOMERS REPORT'!O952+'CUSTOMERS REPORT'!O990+'CUSTOMERS REPORT'!O1028+'CUSTOMERS REPORT'!O1066+'CUSTOMERS REPORT'!O1104+'CUSTOMERS REPORT'!O1142+'CUSTOMERS REPORT'!O1179+'CUSTOMERS REPORT'!O1216+'CUSTOMERS REPORT'!O1253+'CUSTOMERS REPORT'!O1290+'CUSTOMERS REPORT'!O1327+'CUSTOMERS REPORT'!O1364+'CUSTOMERS REPORT'!O1401+'CUSTOMERS REPORT'!O1437</f>
        <v>0</v>
      </c>
      <c r="AH54" s="852">
        <f>'CUSTOMERS REPORT'!P23+'CUSTOMERS REPORT'!P69+'CUSTOMERS REPORT'!P107+'CUSTOMERS REPORT'!P146+'CUSTOMERS REPORT'!P184+'CUSTOMERS REPORT'!P224+'CUSTOMERS REPORT'!P261+'CUSTOMERS REPORT'!P301+'CUSTOMERS REPORT'!P342+'CUSTOMERS REPORT'!P384+'CUSTOMERS REPORT'!P423+'CUSTOMERS REPORT'!P461+'CUSTOMERS REPORT'!P497+'CUSTOMERS REPORT'!P534+'CUSTOMERS REPORT'!P572+'CUSTOMERS REPORT'!P608+'CUSTOMERS REPORT'!P646+'CUSTOMERS REPORT'!P684+'CUSTOMERS REPORT'!P722+'CUSTOMERS REPORT'!P760+'CUSTOMERS REPORT'!P798+'CUSTOMERS REPORT'!P836+'CUSTOMERS REPORT'!P874+'CUSTOMERS REPORT'!P913+'CUSTOMERS REPORT'!P952+'CUSTOMERS REPORT'!P990+'CUSTOMERS REPORT'!P1028+'CUSTOMERS REPORT'!P1066+'CUSTOMERS REPORT'!P1104+'CUSTOMERS REPORT'!P1142+'CUSTOMERS REPORT'!P1179+'CUSTOMERS REPORT'!P1216+'CUSTOMERS REPORT'!P1253+'CUSTOMERS REPORT'!P1290+'CUSTOMERS REPORT'!P1327+'CUSTOMERS REPORT'!P1364+'CUSTOMERS REPORT'!P1401+'CUSTOMERS REPORT'!P1437</f>
        <v>0</v>
      </c>
      <c r="AI54" s="852">
        <f>'CUSTOMERS REPORT'!Q23+'CUSTOMERS REPORT'!Q69+'CUSTOMERS REPORT'!Q107+'CUSTOMERS REPORT'!Q146+'CUSTOMERS REPORT'!Q184+'CUSTOMERS REPORT'!Q224+'CUSTOMERS REPORT'!Q261+'CUSTOMERS REPORT'!Q301+'CUSTOMERS REPORT'!Q342+'CUSTOMERS REPORT'!Q384+'CUSTOMERS REPORT'!Q423+'CUSTOMERS REPORT'!Q461+'CUSTOMERS REPORT'!Q497+'CUSTOMERS REPORT'!Q534+'CUSTOMERS REPORT'!Q572+'CUSTOMERS REPORT'!Q608+'CUSTOMERS REPORT'!Q646+'CUSTOMERS REPORT'!Q684+'CUSTOMERS REPORT'!Q722+'CUSTOMERS REPORT'!Q760+'CUSTOMERS REPORT'!Q798+'CUSTOMERS REPORT'!Q836+'CUSTOMERS REPORT'!Q874+'CUSTOMERS REPORT'!Q913+'CUSTOMERS REPORT'!Q952+'CUSTOMERS REPORT'!Q990+'CUSTOMERS REPORT'!Q1028+'CUSTOMERS REPORT'!Q1066+'CUSTOMERS REPORT'!Q1104+'CUSTOMERS REPORT'!Q1142+'CUSTOMERS REPORT'!Q1179+'CUSTOMERS REPORT'!Q1216+'CUSTOMERS REPORT'!Q1253+'CUSTOMERS REPORT'!Q1290+'CUSTOMERS REPORT'!Q1327+'CUSTOMERS REPORT'!Q1364+'CUSTOMERS REPORT'!Q1401+'CUSTOMERS REPORT'!Q1437</f>
        <v>0</v>
      </c>
      <c r="AJ54" s="852">
        <f>'CUSTOMERS REPORT'!R23+'CUSTOMERS REPORT'!R69+'CUSTOMERS REPORT'!R107+'CUSTOMERS REPORT'!R146+'CUSTOMERS REPORT'!R184+'CUSTOMERS REPORT'!R224+'CUSTOMERS REPORT'!R261+'CUSTOMERS REPORT'!R301+'CUSTOMERS REPORT'!R342+'CUSTOMERS REPORT'!R384+'CUSTOMERS REPORT'!R423+'CUSTOMERS REPORT'!R461+'CUSTOMERS REPORT'!R497+'CUSTOMERS REPORT'!R534+'CUSTOMERS REPORT'!R572+'CUSTOMERS REPORT'!R608+'CUSTOMERS REPORT'!R646+'CUSTOMERS REPORT'!R684+'CUSTOMERS REPORT'!R722+'CUSTOMERS REPORT'!R760+'CUSTOMERS REPORT'!R798+'CUSTOMERS REPORT'!R836+'CUSTOMERS REPORT'!R874+'CUSTOMERS REPORT'!R913+'CUSTOMERS REPORT'!R952+'CUSTOMERS REPORT'!R990+'CUSTOMERS REPORT'!R1028+'CUSTOMERS REPORT'!R1066+'CUSTOMERS REPORT'!R1104+'CUSTOMERS REPORT'!R1142+'CUSTOMERS REPORT'!R1179+'CUSTOMERS REPORT'!R1216+'CUSTOMERS REPORT'!R1253+'CUSTOMERS REPORT'!R1290+'CUSTOMERS REPORT'!R1327+'CUSTOMERS REPORT'!R1364+'CUSTOMERS REPORT'!R1401+'CUSTOMERS REPORT'!R1437</f>
        <v>0</v>
      </c>
      <c r="AK54" s="852">
        <f>'CUSTOMERS REPORT'!S23+'CUSTOMERS REPORT'!S69+'CUSTOMERS REPORT'!S107+'CUSTOMERS REPORT'!S146+'CUSTOMERS REPORT'!S184+'CUSTOMERS REPORT'!S224+'CUSTOMERS REPORT'!S261+'CUSTOMERS REPORT'!S301+'CUSTOMERS REPORT'!S342+'CUSTOMERS REPORT'!S384+'CUSTOMERS REPORT'!S423+'CUSTOMERS REPORT'!S461+'CUSTOMERS REPORT'!S497+'CUSTOMERS REPORT'!S534+'CUSTOMERS REPORT'!S572+'CUSTOMERS REPORT'!S608+'CUSTOMERS REPORT'!S646+'CUSTOMERS REPORT'!S684+'CUSTOMERS REPORT'!S722+'CUSTOMERS REPORT'!S760+'CUSTOMERS REPORT'!S798+'CUSTOMERS REPORT'!S836+'CUSTOMERS REPORT'!S874+'CUSTOMERS REPORT'!S913+'CUSTOMERS REPORT'!S952+'CUSTOMERS REPORT'!S990+'CUSTOMERS REPORT'!S1028+'CUSTOMERS REPORT'!S1066+'CUSTOMERS REPORT'!S1104+'CUSTOMERS REPORT'!S1142+'CUSTOMERS REPORT'!S1179+'CUSTOMERS REPORT'!S1216+'CUSTOMERS REPORT'!S1253+'CUSTOMERS REPORT'!S1290+'CUSTOMERS REPORT'!S1327+'CUSTOMERS REPORT'!S1364+'CUSTOMERS REPORT'!S1401+'CUSTOMERS REPORT'!S1437</f>
        <v>0</v>
      </c>
      <c r="AL54" s="852">
        <f>'CUSTOMERS REPORT'!T23+'CUSTOMERS REPORT'!T69+'CUSTOMERS REPORT'!T107+'CUSTOMERS REPORT'!T146+'CUSTOMERS REPORT'!T184+'CUSTOMERS REPORT'!T224+'CUSTOMERS REPORT'!T261+'CUSTOMERS REPORT'!T301+'CUSTOMERS REPORT'!T342+'CUSTOMERS REPORT'!T384+'CUSTOMERS REPORT'!T423+'CUSTOMERS REPORT'!T461+'CUSTOMERS REPORT'!T497+'CUSTOMERS REPORT'!T534+'CUSTOMERS REPORT'!T572+'CUSTOMERS REPORT'!T608+'CUSTOMERS REPORT'!T646+'CUSTOMERS REPORT'!T684+'CUSTOMERS REPORT'!T722+'CUSTOMERS REPORT'!T760+'CUSTOMERS REPORT'!T798+'CUSTOMERS REPORT'!T836+'CUSTOMERS REPORT'!T874+'CUSTOMERS REPORT'!T913+'CUSTOMERS REPORT'!T952+'CUSTOMERS REPORT'!T990+'CUSTOMERS REPORT'!T1028+'CUSTOMERS REPORT'!T1066+'CUSTOMERS REPORT'!T1104+'CUSTOMERS REPORT'!T1142</f>
        <v>0</v>
      </c>
      <c r="AM54" s="852">
        <f>'CUSTOMERS REPORT'!U23+'CUSTOMERS REPORT'!U69+'CUSTOMERS REPORT'!U107+'CUSTOMERS REPORT'!U146+'CUSTOMERS REPORT'!U184+'CUSTOMERS REPORT'!U224+'CUSTOMERS REPORT'!U261+'CUSTOMERS REPORT'!U301+'CUSTOMERS REPORT'!U342+'CUSTOMERS REPORT'!U384+'CUSTOMERS REPORT'!U423+'CUSTOMERS REPORT'!U461+'CUSTOMERS REPORT'!U497+'CUSTOMERS REPORT'!U534+'CUSTOMERS REPORT'!U572+'CUSTOMERS REPORT'!U608+'CUSTOMERS REPORT'!U646+'CUSTOMERS REPORT'!U684+'CUSTOMERS REPORT'!U722+'CUSTOMERS REPORT'!U760+'CUSTOMERS REPORT'!U798+'CUSTOMERS REPORT'!U836+'CUSTOMERS REPORT'!U874+'CUSTOMERS REPORT'!U913+'CUSTOMERS REPORT'!U952+'CUSTOMERS REPORT'!U990+'CUSTOMERS REPORT'!U1028+'CUSTOMERS REPORT'!U1066+'CUSTOMERS REPORT'!U1104+'CUSTOMERS REPORT'!U1142</f>
        <v>0</v>
      </c>
      <c r="AN54" s="852">
        <f>'CUSTOMERS REPORT'!V23+'CUSTOMERS REPORT'!V69+'CUSTOMERS REPORT'!V107+'CUSTOMERS REPORT'!V146+'CUSTOMERS REPORT'!V184+'CUSTOMERS REPORT'!V224+'CUSTOMERS REPORT'!V261+'CUSTOMERS REPORT'!V301+'CUSTOMERS REPORT'!V342+'CUSTOMERS REPORT'!V384+'CUSTOMERS REPORT'!V423+'CUSTOMERS REPORT'!V461+'CUSTOMERS REPORT'!V497+'CUSTOMERS REPORT'!V534+'CUSTOMERS REPORT'!V572+'CUSTOMERS REPORT'!V608+'CUSTOMERS REPORT'!V646+'CUSTOMERS REPORT'!V684+'CUSTOMERS REPORT'!V722+'CUSTOMERS REPORT'!V760+'CUSTOMERS REPORT'!V798+'CUSTOMERS REPORT'!V836+'CUSTOMERS REPORT'!V874+'CUSTOMERS REPORT'!V913+'CUSTOMERS REPORT'!V952+'CUSTOMERS REPORT'!V990+'CUSTOMERS REPORT'!V1028+'CUSTOMERS REPORT'!V1066+'CUSTOMERS REPORT'!V1104+'CUSTOMERS REPORT'!V1142</f>
        <v>0</v>
      </c>
    </row>
    <row r="55" spans="1:40" ht="24.95" customHeight="1" thickBot="1">
      <c r="L55" s="417">
        <v>20</v>
      </c>
      <c r="M55" s="417"/>
      <c r="N55" s="417">
        <f t="shared" si="10"/>
        <v>0</v>
      </c>
      <c r="R55" s="123">
        <f>'15'!R57</f>
        <v>26</v>
      </c>
      <c r="S55" s="865" t="s">
        <v>169</v>
      </c>
      <c r="T55" s="866">
        <f t="shared" ref="T55:AN55" si="12">T53-T54-T51</f>
        <v>0</v>
      </c>
      <c r="U55" s="866">
        <f t="shared" si="12"/>
        <v>0</v>
      </c>
      <c r="V55" s="866">
        <f t="shared" si="12"/>
        <v>-2</v>
      </c>
      <c r="W55" s="866">
        <f t="shared" si="12"/>
        <v>0</v>
      </c>
      <c r="X55" s="866">
        <f t="shared" si="12"/>
        <v>0</v>
      </c>
      <c r="Y55" s="866">
        <f t="shared" si="12"/>
        <v>0</v>
      </c>
      <c r="Z55" s="866">
        <f t="shared" si="12"/>
        <v>-2</v>
      </c>
      <c r="AA55" s="866">
        <f t="shared" si="12"/>
        <v>0</v>
      </c>
      <c r="AB55" s="866">
        <f t="shared" si="12"/>
        <v>0</v>
      </c>
      <c r="AC55" s="866">
        <f t="shared" si="12"/>
        <v>1254</v>
      </c>
      <c r="AD55" s="866">
        <f t="shared" si="12"/>
        <v>222</v>
      </c>
      <c r="AE55" s="866">
        <f t="shared" si="12"/>
        <v>0</v>
      </c>
      <c r="AF55" s="866">
        <f>AF53-AF54-AF51</f>
        <v>763</v>
      </c>
      <c r="AG55" s="866">
        <f t="shared" si="12"/>
        <v>646</v>
      </c>
      <c r="AH55" s="866">
        <f t="shared" si="12"/>
        <v>854</v>
      </c>
      <c r="AI55" s="866">
        <f t="shared" si="12"/>
        <v>631</v>
      </c>
      <c r="AJ55" s="866">
        <f t="shared" si="12"/>
        <v>0</v>
      </c>
      <c r="AK55" s="866">
        <f t="shared" si="12"/>
        <v>-1</v>
      </c>
      <c r="AL55" s="866" t="e">
        <f t="shared" si="12"/>
        <v>#VALUE!</v>
      </c>
      <c r="AM55" s="866" t="e">
        <f t="shared" si="12"/>
        <v>#VALUE!</v>
      </c>
      <c r="AN55" s="872" t="e">
        <f t="shared" si="12"/>
        <v>#VALUE!</v>
      </c>
    </row>
    <row r="56" spans="1:40" ht="28.5" thickBot="1">
      <c r="A56" s="114"/>
      <c r="B56" s="120"/>
      <c r="C56" s="115"/>
      <c r="L56" s="417">
        <v>10</v>
      </c>
      <c r="M56" s="417"/>
      <c r="N56" s="417">
        <f t="shared" si="10"/>
        <v>0</v>
      </c>
      <c r="R56" s="123">
        <f>T56+U56+V56+W56+X56+Y56+Z56+AA56+AB56+AC56+AD56+AE56+AF56+AG56+AH56+AI56+AJ56+AK56+AL56+AM56+AN56</f>
        <v>13</v>
      </c>
      <c r="S56" s="874" t="s">
        <v>170</v>
      </c>
      <c r="T56" s="875"/>
      <c r="U56" s="875"/>
      <c r="V56" s="875"/>
      <c r="W56" s="875"/>
      <c r="X56" s="875"/>
      <c r="Y56" s="875"/>
      <c r="Z56" s="876"/>
      <c r="AA56" s="875"/>
      <c r="AB56" s="875"/>
      <c r="AC56" s="875">
        <v>5</v>
      </c>
      <c r="AD56" s="875">
        <v>2</v>
      </c>
      <c r="AE56" s="875"/>
      <c r="AF56" s="875">
        <v>3</v>
      </c>
      <c r="AG56" s="875">
        <v>3</v>
      </c>
      <c r="AH56" s="875"/>
      <c r="AI56" s="875"/>
      <c r="AJ56" s="877"/>
      <c r="AK56" s="877"/>
      <c r="AL56" s="875"/>
      <c r="AM56" s="52"/>
      <c r="AN56" s="928"/>
    </row>
    <row r="57" spans="1:40" ht="27" customHeight="1" thickBot="1">
      <c r="A57" s="114"/>
      <c r="B57" s="131"/>
      <c r="C57" s="115"/>
      <c r="D57" s="115"/>
      <c r="E57" s="19"/>
      <c r="F57" s="19"/>
      <c r="G57" s="19"/>
      <c r="H57" s="19"/>
      <c r="I57" s="19"/>
      <c r="J57" s="19"/>
      <c r="K57" s="19"/>
      <c r="L57" s="418">
        <v>1</v>
      </c>
      <c r="M57" s="418"/>
      <c r="N57" s="417">
        <f t="shared" si="10"/>
        <v>0</v>
      </c>
      <c r="O57" s="19"/>
      <c r="R57" s="736">
        <f>SUM(R55:R56)</f>
        <v>39</v>
      </c>
      <c r="S57" s="882" t="s">
        <v>23</v>
      </c>
      <c r="T57" s="883" t="e">
        <f t="shared" ref="T57:AI57" si="13">T50/T56</f>
        <v>#DIV/0!</v>
      </c>
      <c r="U57" s="883" t="e">
        <f t="shared" si="13"/>
        <v>#DIV/0!</v>
      </c>
      <c r="V57" s="883" t="e">
        <f t="shared" si="13"/>
        <v>#DIV/0!</v>
      </c>
      <c r="W57" s="883" t="e">
        <f t="shared" si="13"/>
        <v>#DIV/0!</v>
      </c>
      <c r="X57" s="883" t="e">
        <f t="shared" si="13"/>
        <v>#DIV/0!</v>
      </c>
      <c r="Y57" s="883" t="e">
        <f t="shared" si="13"/>
        <v>#DIV/0!</v>
      </c>
      <c r="Z57" s="883" t="e">
        <f t="shared" si="13"/>
        <v>#DIV/0!</v>
      </c>
      <c r="AA57" s="883" t="e">
        <f t="shared" si="13"/>
        <v>#DIV/0!</v>
      </c>
      <c r="AB57" s="883" t="e">
        <f t="shared" si="13"/>
        <v>#DIV/0!</v>
      </c>
      <c r="AC57" s="883">
        <f t="shared" si="13"/>
        <v>86</v>
      </c>
      <c r="AD57" s="883">
        <f t="shared" si="13"/>
        <v>76</v>
      </c>
      <c r="AE57" s="883" t="e">
        <f t="shared" si="13"/>
        <v>#DIV/0!</v>
      </c>
      <c r="AF57" s="883">
        <f t="shared" si="13"/>
        <v>73.666666666666671</v>
      </c>
      <c r="AG57" s="883">
        <f t="shared" si="13"/>
        <v>91</v>
      </c>
      <c r="AH57" s="883" t="e">
        <f t="shared" si="13"/>
        <v>#DIV/0!</v>
      </c>
      <c r="AI57" s="883" t="e">
        <f t="shared" si="13"/>
        <v>#DIV/0!</v>
      </c>
      <c r="AJ57" s="883" t="e">
        <f>AJ50/AJ56</f>
        <v>#DIV/0!</v>
      </c>
      <c r="AK57" s="883" t="e">
        <f>AK50/AK56</f>
        <v>#DIV/0!</v>
      </c>
      <c r="AL57" s="883" t="e">
        <f t="shared" ref="AL57:AN57" si="14">AL50/AL56</f>
        <v>#DIV/0!</v>
      </c>
      <c r="AM57" s="883" t="e">
        <f t="shared" si="14"/>
        <v>#DIV/0!</v>
      </c>
      <c r="AN57" s="884" t="e">
        <f t="shared" si="14"/>
        <v>#DIV/0!</v>
      </c>
    </row>
    <row r="58" spans="1:40" ht="27" customHeight="1" thickBot="1">
      <c r="A58" s="114"/>
      <c r="B58" s="131"/>
      <c r="C58" s="115"/>
      <c r="D58" s="115" t="s">
        <v>1</v>
      </c>
      <c r="L58" s="1501" t="s">
        <v>171</v>
      </c>
      <c r="M58" s="1501"/>
      <c r="N58" s="419">
        <f>SUM(N50:N57)</f>
        <v>0</v>
      </c>
      <c r="Q58" s="2"/>
      <c r="R58" s="19"/>
      <c r="S58" s="878" t="s">
        <v>172</v>
      </c>
      <c r="T58" s="879">
        <f>T54</f>
        <v>0</v>
      </c>
      <c r="U58" s="879">
        <f t="shared" ref="U58:AI58" si="15">U54</f>
        <v>0</v>
      </c>
      <c r="V58" s="879">
        <f t="shared" si="15"/>
        <v>0</v>
      </c>
      <c r="W58" s="879">
        <f t="shared" si="15"/>
        <v>0</v>
      </c>
      <c r="X58" s="879">
        <f t="shared" si="15"/>
        <v>0</v>
      </c>
      <c r="Y58" s="879">
        <f t="shared" si="15"/>
        <v>0</v>
      </c>
      <c r="Z58" s="879">
        <f t="shared" si="15"/>
        <v>0</v>
      </c>
      <c r="AA58" s="879">
        <f t="shared" si="15"/>
        <v>0</v>
      </c>
      <c r="AB58" s="879">
        <f t="shared" si="15"/>
        <v>0</v>
      </c>
      <c r="AC58" s="879">
        <f t="shared" si="15"/>
        <v>0</v>
      </c>
      <c r="AD58" s="879">
        <f t="shared" si="15"/>
        <v>0</v>
      </c>
      <c r="AE58" s="879">
        <f t="shared" si="15"/>
        <v>0</v>
      </c>
      <c r="AF58" s="879">
        <f t="shared" si="15"/>
        <v>0</v>
      </c>
      <c r="AG58" s="879">
        <f t="shared" si="15"/>
        <v>0</v>
      </c>
      <c r="AH58" s="879">
        <f t="shared" si="15"/>
        <v>0</v>
      </c>
      <c r="AI58" s="879">
        <f t="shared" si="15"/>
        <v>0</v>
      </c>
      <c r="AJ58" s="879">
        <f>AJ54</f>
        <v>0</v>
      </c>
      <c r="AK58" s="879">
        <f>AK54</f>
        <v>0</v>
      </c>
      <c r="AL58" s="880"/>
      <c r="AM58" s="880"/>
      <c r="AN58" s="881"/>
    </row>
    <row r="59" spans="1:40" ht="27" customHeight="1">
      <c r="A59" s="114"/>
      <c r="B59" s="132"/>
      <c r="C59" s="115"/>
      <c r="D59" s="115" t="s">
        <v>1</v>
      </c>
      <c r="K59" t="s">
        <v>1</v>
      </c>
      <c r="L59" s="1486" t="s">
        <v>173</v>
      </c>
      <c r="M59" s="1486"/>
      <c r="N59" s="420">
        <f>N58-Q48</f>
        <v>1415250</v>
      </c>
      <c r="Q59" s="1227"/>
      <c r="R59" s="19"/>
      <c r="S59" s="114"/>
      <c r="T59" s="121"/>
      <c r="U59" s="121" t="s">
        <v>1</v>
      </c>
      <c r="V59" s="121"/>
      <c r="W59" s="121"/>
      <c r="X59" s="121"/>
      <c r="Y59" s="121"/>
      <c r="Z59" s="122"/>
      <c r="AA59" s="121"/>
      <c r="AB59" s="121"/>
      <c r="AC59" s="121"/>
      <c r="AD59" s="121"/>
      <c r="AE59" s="121"/>
      <c r="AF59" s="121"/>
      <c r="AG59" s="121"/>
      <c r="AH59" s="119"/>
      <c r="AI59" s="119"/>
      <c r="AJ59" t="s">
        <v>1</v>
      </c>
    </row>
    <row r="60" spans="1:40" ht="26.25">
      <c r="A60" s="114"/>
      <c r="B60" s="132"/>
      <c r="C60" s="115"/>
      <c r="D60" s="115"/>
      <c r="P60" s="19"/>
      <c r="Q60" s="1227"/>
      <c r="R60" s="19"/>
      <c r="S60" s="19"/>
      <c r="T60" s="739" t="s">
        <v>1</v>
      </c>
      <c r="U60" s="739" t="s">
        <v>1</v>
      </c>
      <c r="V60" s="739"/>
      <c r="W60" s="739"/>
      <c r="X60" s="739"/>
      <c r="Y60" s="739"/>
      <c r="Z60" s="739"/>
      <c r="AA60" s="739"/>
      <c r="AB60" s="739"/>
    </row>
    <row r="61" spans="1:40" ht="26.25">
      <c r="A61" s="114"/>
      <c r="B61" s="132"/>
      <c r="C61" s="115"/>
      <c r="D61" s="116"/>
      <c r="M61" t="s">
        <v>1</v>
      </c>
      <c r="P61" s="185"/>
      <c r="Q61" s="1228"/>
      <c r="R61" s="19" t="s">
        <v>1</v>
      </c>
      <c r="S61" s="19"/>
      <c r="T61" s="739"/>
      <c r="U61" s="739" t="s">
        <v>1</v>
      </c>
      <c r="V61" s="739"/>
      <c r="W61" s="739"/>
      <c r="X61" s="739"/>
      <c r="Y61" s="739"/>
      <c r="Z61" s="739"/>
      <c r="AA61" s="739"/>
      <c r="AB61" s="739"/>
    </row>
    <row r="62" spans="1:40" ht="20.25">
      <c r="C62" s="116"/>
      <c r="P62" s="19"/>
      <c r="Q62" s="19"/>
      <c r="R62" s="19"/>
      <c r="S62" s="19"/>
      <c r="T62" s="739"/>
      <c r="U62" s="739"/>
      <c r="V62" s="739"/>
      <c r="W62" s="739"/>
      <c r="X62" s="739"/>
      <c r="Y62" s="739"/>
      <c r="Z62" s="739"/>
      <c r="AA62" s="739"/>
      <c r="AB62" s="739"/>
    </row>
    <row r="63" spans="1:40">
      <c r="E63" s="19"/>
      <c r="Q63" s="2"/>
      <c r="U63" t="s">
        <v>1</v>
      </c>
    </row>
    <row r="64" spans="1:40">
      <c r="E64" s="19"/>
      <c r="J64" t="s">
        <v>3</v>
      </c>
      <c r="X64" t="s">
        <v>1</v>
      </c>
    </row>
    <row r="65" spans="3:5" ht="21">
      <c r="C65" s="251"/>
      <c r="E65" s="19"/>
    </row>
    <row r="66" spans="3:5">
      <c r="E66" s="49"/>
    </row>
    <row r="67" spans="3:5" ht="23.25">
      <c r="E67" s="113"/>
    </row>
  </sheetData>
  <mergeCells count="21">
    <mergeCell ref="L59:M59"/>
    <mergeCell ref="T47:W47"/>
    <mergeCell ref="X47:Z47"/>
    <mergeCell ref="S47:S48"/>
    <mergeCell ref="AJ47:AK47"/>
    <mergeCell ref="AL47:AM47"/>
    <mergeCell ref="AI7:AJ7"/>
    <mergeCell ref="AI20:AJ20"/>
    <mergeCell ref="L58:M58"/>
    <mergeCell ref="A6:Q6"/>
    <mergeCell ref="S6:AE6"/>
    <mergeCell ref="A7:B7"/>
    <mergeCell ref="P7:Q7"/>
    <mergeCell ref="H48:I48"/>
    <mergeCell ref="P24:Q24"/>
    <mergeCell ref="P33:Q33"/>
    <mergeCell ref="P42:Q42"/>
    <mergeCell ref="H46:I46"/>
    <mergeCell ref="H47:I47"/>
    <mergeCell ref="AA47:AB47"/>
    <mergeCell ref="AC47:AI47"/>
  </mergeCells>
  <conditionalFormatting sqref="M48:N48">
    <cfRule type="duplicateValues" dxfId="328" priority="29"/>
    <cfRule type="duplicateValues" dxfId="327" priority="30"/>
    <cfRule type="duplicateValues" dxfId="326" priority="31"/>
    <cfRule type="duplicateValues" dxfId="325" priority="32"/>
  </conditionalFormatting>
  <conditionalFormatting sqref="L48 N48">
    <cfRule type="cellIs" dxfId="324" priority="28" operator="equal">
      <formula>66890</formula>
    </cfRule>
  </conditionalFormatting>
  <conditionalFormatting sqref="N48">
    <cfRule type="cellIs" dxfId="323" priority="27" operator="lessThan">
      <formula>1</formula>
    </cfRule>
  </conditionalFormatting>
  <conditionalFormatting sqref="T57">
    <cfRule type="cellIs" dxfId="322" priority="16" operator="lessThan">
      <formula>63</formula>
    </cfRule>
  </conditionalFormatting>
  <conditionalFormatting sqref="U57">
    <cfRule type="cellIs" dxfId="321" priority="14" operator="lessThan">
      <formula>63</formula>
    </cfRule>
    <cfRule type="cellIs" dxfId="320" priority="15" operator="lessThan">
      <formula>63</formula>
    </cfRule>
  </conditionalFormatting>
  <conditionalFormatting sqref="W57">
    <cfRule type="cellIs" dxfId="319" priority="13" operator="lessThan">
      <formula>140</formula>
    </cfRule>
  </conditionalFormatting>
  <conditionalFormatting sqref="X57">
    <cfRule type="cellIs" dxfId="318" priority="12" operator="lessThan">
      <formula>125</formula>
    </cfRule>
  </conditionalFormatting>
  <conditionalFormatting sqref="Y57">
    <cfRule type="cellIs" dxfId="317" priority="11" operator="lessThan">
      <formula>150</formula>
    </cfRule>
  </conditionalFormatting>
  <conditionalFormatting sqref="Z57">
    <cfRule type="cellIs" dxfId="316" priority="10" operator="lessThan">
      <formula>590</formula>
    </cfRule>
  </conditionalFormatting>
  <conditionalFormatting sqref="AA57">
    <cfRule type="cellIs" dxfId="315" priority="9" operator="lessThan">
      <formula>704</formula>
    </cfRule>
  </conditionalFormatting>
  <conditionalFormatting sqref="AC57">
    <cfRule type="cellIs" dxfId="314" priority="8" operator="lessThan">
      <formula>52</formula>
    </cfRule>
  </conditionalFormatting>
  <conditionalFormatting sqref="AD57">
    <cfRule type="cellIs" dxfId="313" priority="7" operator="lessThan">
      <formula>52</formula>
    </cfRule>
  </conditionalFormatting>
  <conditionalFormatting sqref="AH57">
    <cfRule type="cellIs" dxfId="312" priority="6" operator="lessThan">
      <formula>63</formula>
    </cfRule>
  </conditionalFormatting>
  <conditionalFormatting sqref="AI57">
    <cfRule type="cellIs" dxfId="311" priority="5" operator="lessThan">
      <formula>63</formula>
    </cfRule>
  </conditionalFormatting>
  <conditionalFormatting sqref="AK57">
    <cfRule type="cellIs" dxfId="310" priority="4" operator="lessThan">
      <formula>270</formula>
    </cfRule>
  </conditionalFormatting>
  <conditionalFormatting sqref="AJ57">
    <cfRule type="cellIs" dxfId="309" priority="3" operator="lessThan">
      <formula>270</formula>
    </cfRule>
  </conditionalFormatting>
  <conditionalFormatting sqref="AL57:AN57">
    <cfRule type="cellIs" dxfId="308" priority="1" operator="lessThan">
      <formula>270</formula>
    </cfRule>
  </conditionalFormatting>
  <printOptions horizontalCentered="1" verticalCentered="1"/>
  <pageMargins left="0" right="0.5" top="0" bottom="0" header="0" footer="0"/>
  <pageSetup paperSize="5" scale="45" orientation="landscape" cellComments="asDisplayed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AN67"/>
  <sheetViews>
    <sheetView topLeftCell="U33" zoomScale="90" zoomScaleNormal="90" workbookViewId="0">
      <selection activeCell="AE44" sqref="AE44"/>
    </sheetView>
  </sheetViews>
  <sheetFormatPr defaultRowHeight="15"/>
  <cols>
    <col min="1" max="1" width="32.7109375" bestFit="1" customWidth="1"/>
    <col min="2" max="2" width="17.7109375" customWidth="1"/>
    <col min="3" max="4" width="20.7109375" customWidth="1"/>
    <col min="5" max="5" width="4.7109375" customWidth="1"/>
    <col min="6" max="6" width="29.140625" bestFit="1" customWidth="1"/>
    <col min="7" max="7" width="17.7109375" customWidth="1"/>
    <col min="8" max="9" width="19.140625" bestFit="1" customWidth="1"/>
    <col min="10" max="11" width="17.7109375" customWidth="1"/>
    <col min="12" max="12" width="19.140625" bestFit="1" customWidth="1"/>
    <col min="13" max="14" width="18.7109375" customWidth="1"/>
    <col min="15" max="15" width="7.7109375" customWidth="1"/>
    <col min="16" max="16" width="28.7109375" customWidth="1"/>
    <col min="17" max="17" width="20.7109375" customWidth="1"/>
    <col min="18" max="18" width="11.5703125" bestFit="1" customWidth="1"/>
    <col min="19" max="19" width="32.7109375" customWidth="1"/>
    <col min="20" max="20" width="20.28515625" bestFit="1" customWidth="1"/>
    <col min="21" max="21" width="17.7109375" customWidth="1"/>
    <col min="22" max="22" width="20.28515625" bestFit="1" customWidth="1"/>
    <col min="23" max="23" width="17.7109375" customWidth="1"/>
    <col min="24" max="24" width="20.28515625" bestFit="1" customWidth="1"/>
    <col min="25" max="25" width="14.7109375" customWidth="1"/>
    <col min="26" max="26" width="23.7109375" bestFit="1" customWidth="1"/>
    <col min="27" max="27" width="20.140625" bestFit="1" customWidth="1"/>
    <col min="28" max="28" width="17.7109375" customWidth="1"/>
    <col min="29" max="29" width="20.140625" bestFit="1" customWidth="1"/>
    <col min="30" max="30" width="17.7109375" customWidth="1"/>
    <col min="31" max="31" width="20.140625" bestFit="1" customWidth="1"/>
    <col min="32" max="33" width="20.7109375" customWidth="1"/>
    <col min="34" max="37" width="17.7109375" customWidth="1"/>
    <col min="38" max="38" width="13" hidden="1" customWidth="1"/>
    <col min="39" max="39" width="0" hidden="1" customWidth="1"/>
    <col min="40" max="40" width="13.5703125" hidden="1" customWidth="1"/>
  </cols>
  <sheetData>
    <row r="1" spans="1:36">
      <c r="E1" s="5"/>
    </row>
    <row r="2" spans="1:36">
      <c r="E2" s="5"/>
    </row>
    <row r="3" spans="1:36" ht="15.75" thickBot="1">
      <c r="C3" t="s">
        <v>1</v>
      </c>
      <c r="E3" s="5" t="s">
        <v>1</v>
      </c>
      <c r="F3" t="s">
        <v>1</v>
      </c>
      <c r="N3" t="s">
        <v>1</v>
      </c>
      <c r="S3" t="s">
        <v>1</v>
      </c>
      <c r="U3" t="s">
        <v>1</v>
      </c>
    </row>
    <row r="4" spans="1:36" ht="21.75" thickTop="1">
      <c r="B4" t="s">
        <v>1</v>
      </c>
      <c r="D4" t="s">
        <v>1</v>
      </c>
      <c r="E4" t="s">
        <v>1</v>
      </c>
      <c r="P4" s="617" t="s">
        <v>108</v>
      </c>
      <c r="Q4" s="618">
        <f>'16'!Q4+'17'!Q9+'17'!Q18+'17'!Q19+'17'!Q20+'17'!Q21+'17'!Q22</f>
        <v>0</v>
      </c>
    </row>
    <row r="5" spans="1:36" ht="21.75" thickBot="1">
      <c r="P5" s="619" t="s">
        <v>109</v>
      </c>
      <c r="Q5" s="620">
        <f>'16'!Q5+'17'!Q25+'17'!Q26+'17'!Q27+'17'!Q28+'17'!Q29+'17'!Q30+'17'!Q31</f>
        <v>0</v>
      </c>
    </row>
    <row r="6" spans="1:36" ht="48" thickTop="1" thickBot="1">
      <c r="A6" s="1502">
        <f>'Main Page'!E33</f>
        <v>44882</v>
      </c>
      <c r="B6" s="1507"/>
      <c r="C6" s="1507"/>
      <c r="D6" s="1507"/>
      <c r="E6" s="1507"/>
      <c r="F6" s="1507"/>
      <c r="G6" s="1507"/>
      <c r="H6" s="1507"/>
      <c r="I6" s="1507"/>
      <c r="J6" s="1507"/>
      <c r="K6" s="1507"/>
      <c r="L6" s="1507"/>
      <c r="M6" s="1507"/>
      <c r="N6" s="1507"/>
      <c r="O6" s="1507"/>
      <c r="P6" s="1507"/>
      <c r="Q6" s="1515"/>
      <c r="R6" t="s">
        <v>1</v>
      </c>
      <c r="S6" s="1502">
        <f>A6</f>
        <v>44882</v>
      </c>
      <c r="T6" s="1503"/>
      <c r="U6" s="1503"/>
      <c r="V6" s="1503"/>
      <c r="W6" s="1503"/>
      <c r="X6" s="1503"/>
      <c r="Y6" s="1503"/>
      <c r="Z6" s="1503"/>
      <c r="AA6" s="1503"/>
      <c r="AB6" s="1503"/>
      <c r="AC6" s="1503"/>
      <c r="AD6" s="1503"/>
      <c r="AE6" s="1504"/>
    </row>
    <row r="7" spans="1:36" ht="39.950000000000003" customHeight="1" thickTop="1" thickBot="1">
      <c r="A7" s="1505" t="s">
        <v>110</v>
      </c>
      <c r="B7" s="1506"/>
      <c r="C7" s="367" t="s">
        <v>97</v>
      </c>
      <c r="D7" s="368" t="s">
        <v>74</v>
      </c>
      <c r="F7" s="363" t="s">
        <v>111</v>
      </c>
      <c r="G7" s="364" t="s">
        <v>112</v>
      </c>
      <c r="H7" s="365" t="s">
        <v>113</v>
      </c>
      <c r="I7" s="365" t="s">
        <v>26</v>
      </c>
      <c r="J7" s="365" t="s">
        <v>114</v>
      </c>
      <c r="K7" s="366" t="s">
        <v>115</v>
      </c>
      <c r="L7" s="365" t="s">
        <v>116</v>
      </c>
      <c r="M7" s="365" t="s">
        <v>117</v>
      </c>
      <c r="N7" s="365" t="s">
        <v>118</v>
      </c>
      <c r="P7" s="1510" t="s">
        <v>69</v>
      </c>
      <c r="Q7" s="1511"/>
      <c r="S7" s="380" t="s">
        <v>58</v>
      </c>
      <c r="T7" s="380" t="s">
        <v>59</v>
      </c>
      <c r="U7" s="380" t="s">
        <v>119</v>
      </c>
      <c r="V7" s="380" t="s">
        <v>74</v>
      </c>
      <c r="W7" s="380" t="s">
        <v>120</v>
      </c>
      <c r="X7" s="380" t="s">
        <v>59</v>
      </c>
      <c r="Z7" s="367" t="s">
        <v>121</v>
      </c>
      <c r="AA7" s="367" t="s">
        <v>97</v>
      </c>
      <c r="AB7" s="415" t="s">
        <v>122</v>
      </c>
      <c r="AC7" s="416" t="s">
        <v>90</v>
      </c>
      <c r="AD7" s="367" t="s">
        <v>56</v>
      </c>
      <c r="AE7" s="381" t="s">
        <v>100</v>
      </c>
      <c r="AF7" s="560" t="s">
        <v>122</v>
      </c>
      <c r="AG7" s="570" t="s">
        <v>56</v>
      </c>
      <c r="AI7" s="1487" t="s">
        <v>123</v>
      </c>
      <c r="AJ7" s="1488"/>
    </row>
    <row r="8" spans="1:36" ht="27" customHeight="1" thickTop="1" thickBot="1">
      <c r="A8" s="717" t="s">
        <v>466</v>
      </c>
      <c r="B8" s="233">
        <v>354400</v>
      </c>
      <c r="C8" s="463"/>
      <c r="D8" s="233"/>
      <c r="F8" s="478" t="str">
        <f>'16'!F8</f>
        <v>ISHAQ ANSARI</v>
      </c>
      <c r="G8" s="405">
        <f>'CUSTOMERS REPORT'!Y24</f>
        <v>0</v>
      </c>
      <c r="H8" s="503">
        <f>'CUSTOMERS REPORT'!Z24</f>
        <v>0</v>
      </c>
      <c r="I8" s="405">
        <f>'CUSTOMERS REPORT'!AA24</f>
        <v>0</v>
      </c>
      <c r="J8" s="497">
        <f>'CUSTOMERS REPORT'!AB24</f>
        <v>0</v>
      </c>
      <c r="K8" s="497">
        <f>'CUSTOMERS REPORT'!AC24</f>
        <v>0</v>
      </c>
      <c r="L8" s="508">
        <f>'CUSTOMERS REPORT'!AD24</f>
        <v>0</v>
      </c>
      <c r="M8" s="413">
        <f>'16'!M8+'17'!G8</f>
        <v>0</v>
      </c>
      <c r="N8" s="411">
        <f>'16'!N8+'17'!J8</f>
        <v>0</v>
      </c>
      <c r="P8" s="191" t="s">
        <v>124</v>
      </c>
      <c r="Q8" s="223">
        <f>'16'!Q32</f>
        <v>0</v>
      </c>
      <c r="S8" s="399" t="str">
        <f>'16'!S8</f>
        <v>FLOUR</v>
      </c>
      <c r="T8" s="446">
        <f>'16'!X8</f>
        <v>-78</v>
      </c>
      <c r="U8" s="455">
        <v>100</v>
      </c>
      <c r="V8" s="450">
        <f t="shared" ref="V8:V43" si="0">SUM(T8:U8)</f>
        <v>22</v>
      </c>
      <c r="W8" s="450">
        <v>26</v>
      </c>
      <c r="X8" s="446">
        <f t="shared" ref="X8:X43" si="1">V8-W8</f>
        <v>-4</v>
      </c>
      <c r="Z8" s="382" t="str">
        <f>'16'!Z8</f>
        <v>GHAZI</v>
      </c>
      <c r="AA8" s="464">
        <f>'16'!AE8</f>
        <v>-200000</v>
      </c>
      <c r="AB8" s="459"/>
      <c r="AC8" s="233">
        <f t="shared" ref="AC8:AC41" si="2">AA8+AB8</f>
        <v>-200000</v>
      </c>
      <c r="AD8" s="468">
        <v>100000</v>
      </c>
      <c r="AE8" s="463">
        <f t="shared" ref="AE8:AE42" si="3">AC8-AD8</f>
        <v>-300000</v>
      </c>
      <c r="AF8" s="563">
        <f>'16'!AF8:AF9+'17'!AB8</f>
        <v>0</v>
      </c>
      <c r="AG8" s="233">
        <f>'16'!AG8+'17'!AD8</f>
        <v>300000</v>
      </c>
      <c r="AI8" s="391" t="s">
        <v>126</v>
      </c>
      <c r="AJ8" s="392">
        <f>'16'!AJ10</f>
        <v>38300</v>
      </c>
    </row>
    <row r="9" spans="1:36" ht="27" customHeight="1" thickTop="1">
      <c r="A9" s="718" t="s">
        <v>465</v>
      </c>
      <c r="B9" s="526">
        <v>100000</v>
      </c>
      <c r="C9" s="348"/>
      <c r="D9" s="550"/>
      <c r="F9" s="479" t="str">
        <f>'16'!F9</f>
        <v>MAKKI BAKERY</v>
      </c>
      <c r="G9" s="406">
        <f>'CUSTOMERS REPORT'!Y70</f>
        <v>0</v>
      </c>
      <c r="H9" s="504">
        <f>'CUSTOMERS REPORT'!Z70</f>
        <v>0</v>
      </c>
      <c r="I9" s="406">
        <f>'CUSTOMERS REPORT'!AA70</f>
        <v>0</v>
      </c>
      <c r="J9" s="498">
        <f>'CUSTOMERS REPORT'!AB70</f>
        <v>0</v>
      </c>
      <c r="K9" s="498">
        <f>'CUSTOMERS REPORT'!AC70</f>
        <v>0</v>
      </c>
      <c r="L9" s="509">
        <f>'CUSTOMERS REPORT'!AD70</f>
        <v>0</v>
      </c>
      <c r="M9" s="414">
        <f>'16'!M9+'17'!G9</f>
        <v>0</v>
      </c>
      <c r="N9" s="412">
        <f>'16'!N9+'17'!J9</f>
        <v>0</v>
      </c>
      <c r="P9" s="432"/>
      <c r="Q9" s="436"/>
      <c r="S9" s="399" t="str">
        <f>'16'!S9</f>
        <v>SUGAR</v>
      </c>
      <c r="T9" s="446">
        <f>'16'!X9</f>
        <v>-1365</v>
      </c>
      <c r="U9" s="456">
        <v>1500</v>
      </c>
      <c r="V9" s="451">
        <f t="shared" si="0"/>
        <v>135</v>
      </c>
      <c r="W9" s="451">
        <v>455</v>
      </c>
      <c r="X9" s="447">
        <f t="shared" si="1"/>
        <v>-320</v>
      </c>
      <c r="Z9" s="375" t="str">
        <f>'16'!Z9</f>
        <v>SOHNI</v>
      </c>
      <c r="AA9" s="464">
        <f>'16'!AE9</f>
        <v>-200000</v>
      </c>
      <c r="AB9" s="460">
        <v>370000</v>
      </c>
      <c r="AC9" s="462">
        <f t="shared" si="2"/>
        <v>170000</v>
      </c>
      <c r="AD9" s="469"/>
      <c r="AE9" s="348">
        <f t="shared" si="3"/>
        <v>170000</v>
      </c>
      <c r="AF9" s="563">
        <f>'16'!AF9:AF10+'17'!AB9</f>
        <v>370000</v>
      </c>
      <c r="AG9" s="234">
        <f>'16'!AG9+'17'!AD9</f>
        <v>200000</v>
      </c>
      <c r="AH9">
        <v>2612589</v>
      </c>
      <c r="AI9" s="393" t="s">
        <v>128</v>
      </c>
      <c r="AJ9" s="394">
        <f>B26</f>
        <v>64500</v>
      </c>
    </row>
    <row r="10" spans="1:36" ht="27" customHeight="1">
      <c r="A10" s="718" t="s">
        <v>475</v>
      </c>
      <c r="B10" s="526">
        <v>260250</v>
      </c>
      <c r="C10" s="348"/>
      <c r="D10" s="550"/>
      <c r="F10" s="479" t="str">
        <f>'16'!F10</f>
        <v>ABID HUSSAIN</v>
      </c>
      <c r="G10" s="406">
        <f>'CUSTOMERS REPORT'!Y108</f>
        <v>0</v>
      </c>
      <c r="H10" s="504">
        <f>'CUSTOMERS REPORT'!Z108</f>
        <v>0</v>
      </c>
      <c r="I10" s="406">
        <f>'CUSTOMERS REPORT'!AA108</f>
        <v>0</v>
      </c>
      <c r="J10" s="498">
        <f>'CUSTOMERS REPORT'!AB108</f>
        <v>0</v>
      </c>
      <c r="K10" s="498">
        <f>'CUSTOMERS REPORT'!AC108</f>
        <v>0</v>
      </c>
      <c r="L10" s="509">
        <f>'CUSTOMERS REPORT'!AD108</f>
        <v>0</v>
      </c>
      <c r="M10" s="414">
        <f>'16'!M10+'17'!G10</f>
        <v>0</v>
      </c>
      <c r="N10" s="412">
        <f>'16'!N10+'17'!J10</f>
        <v>0</v>
      </c>
      <c r="P10" s="434"/>
      <c r="Q10" s="1033"/>
      <c r="S10" s="399" t="str">
        <f>'16'!S10</f>
        <v>GHEE</v>
      </c>
      <c r="T10" s="446">
        <f>'16'!X10</f>
        <v>-19</v>
      </c>
      <c r="U10" s="456"/>
      <c r="V10" s="451">
        <f t="shared" ref="V10:V17" si="4">SUM(T10:U10)</f>
        <v>-19</v>
      </c>
      <c r="W10" s="451">
        <v>6</v>
      </c>
      <c r="X10" s="447">
        <f t="shared" ref="X10:X17" si="5">V10-W10</f>
        <v>-25</v>
      </c>
      <c r="Z10" s="375" t="str">
        <f>'16'!Z10</f>
        <v>HUSSAINI</v>
      </c>
      <c r="AA10" s="464">
        <f>'16'!AE10</f>
        <v>-156100</v>
      </c>
      <c r="AB10" s="460"/>
      <c r="AC10" s="462">
        <f t="shared" ref="AC10:AC20" si="6">AA10+AB10</f>
        <v>-156100</v>
      </c>
      <c r="AD10" s="469"/>
      <c r="AE10" s="348">
        <f t="shared" ref="AE10:AE20" si="7">AC10-AD10</f>
        <v>-156100</v>
      </c>
      <c r="AF10" s="563">
        <f>'16'!AF10:AF11+'17'!AB10</f>
        <v>0</v>
      </c>
      <c r="AG10" s="234">
        <f>'16'!AG10+'17'!AD10</f>
        <v>156100</v>
      </c>
      <c r="AH10">
        <v>2601289</v>
      </c>
      <c r="AI10" s="1034"/>
      <c r="AJ10" s="1035"/>
    </row>
    <row r="11" spans="1:36" ht="27" customHeight="1">
      <c r="A11" s="718" t="s">
        <v>484</v>
      </c>
      <c r="B11" s="526">
        <v>15000</v>
      </c>
      <c r="C11" s="348"/>
      <c r="D11" s="550"/>
      <c r="F11" s="479" t="str">
        <f>'16'!F11</f>
        <v>SHAHID 5 #</v>
      </c>
      <c r="G11" s="406">
        <f>'CUSTOMERS REPORT'!Y147</f>
        <v>0</v>
      </c>
      <c r="H11" s="504">
        <f>'CUSTOMERS REPORT'!Z147</f>
        <v>0</v>
      </c>
      <c r="I11" s="406">
        <f>'CUSTOMERS REPORT'!AA147</f>
        <v>0</v>
      </c>
      <c r="J11" s="498">
        <f>'CUSTOMERS REPORT'!AB147</f>
        <v>0</v>
      </c>
      <c r="K11" s="498">
        <f>'CUSTOMERS REPORT'!AC147</f>
        <v>0</v>
      </c>
      <c r="L11" s="509">
        <f>'CUSTOMERS REPORT'!AD147</f>
        <v>0</v>
      </c>
      <c r="M11" s="414">
        <f>'16'!M11+'17'!G11</f>
        <v>0</v>
      </c>
      <c r="N11" s="412">
        <f>'16'!N11+'17'!J11</f>
        <v>0</v>
      </c>
      <c r="P11" s="434"/>
      <c r="Q11" s="1033"/>
      <c r="S11" s="399" t="str">
        <f>'16'!S11</f>
        <v>YEAST</v>
      </c>
      <c r="T11" s="446">
        <f>'16'!X11</f>
        <v>-39</v>
      </c>
      <c r="U11" s="456"/>
      <c r="V11" s="451">
        <f t="shared" si="4"/>
        <v>-39</v>
      </c>
      <c r="W11" s="451">
        <v>14</v>
      </c>
      <c r="X11" s="447">
        <f t="shared" si="5"/>
        <v>-53</v>
      </c>
      <c r="Z11" s="375" t="str">
        <f>'16'!Z11</f>
        <v>IMRAN ALAM</v>
      </c>
      <c r="AA11" s="464">
        <f>'16'!AE11</f>
        <v>-145000</v>
      </c>
      <c r="AB11" s="460"/>
      <c r="AC11" s="462">
        <f t="shared" si="6"/>
        <v>-145000</v>
      </c>
      <c r="AD11" s="469"/>
      <c r="AE11" s="348">
        <f t="shared" si="7"/>
        <v>-145000</v>
      </c>
      <c r="AF11" s="563">
        <f>'16'!AF11:AF12+'17'!AB11</f>
        <v>0</v>
      </c>
      <c r="AG11" s="234">
        <f>'16'!AG11+'17'!AD11</f>
        <v>145000</v>
      </c>
      <c r="AH11">
        <f>AH9-AH10</f>
        <v>11300</v>
      </c>
      <c r="AI11" s="1034"/>
      <c r="AJ11" s="1035"/>
    </row>
    <row r="12" spans="1:36" ht="27" customHeight="1">
      <c r="A12" s="718" t="s">
        <v>485</v>
      </c>
      <c r="B12" s="526">
        <v>100000</v>
      </c>
      <c r="C12" s="348"/>
      <c r="D12" s="550"/>
      <c r="F12" s="479" t="str">
        <f>'16'!F12</f>
        <v>ZULFIQAR</v>
      </c>
      <c r="G12" s="406">
        <f>'CUSTOMERS REPORT'!Y185</f>
        <v>0</v>
      </c>
      <c r="H12" s="504">
        <f>'CUSTOMERS REPORT'!Z185</f>
        <v>0</v>
      </c>
      <c r="I12" s="406">
        <f>'CUSTOMERS REPORT'!AA185</f>
        <v>0</v>
      </c>
      <c r="J12" s="498">
        <f>'CUSTOMERS REPORT'!AB185</f>
        <v>0</v>
      </c>
      <c r="K12" s="498">
        <f>'CUSTOMERS REPORT'!AC185</f>
        <v>0</v>
      </c>
      <c r="L12" s="509">
        <f>'CUSTOMERS REPORT'!AD185</f>
        <v>0</v>
      </c>
      <c r="M12" s="414">
        <f>'16'!M12+'17'!G12</f>
        <v>0</v>
      </c>
      <c r="N12" s="412">
        <f>'16'!N12+'17'!J12</f>
        <v>0</v>
      </c>
      <c r="P12" s="434"/>
      <c r="Q12" s="1033"/>
      <c r="S12" s="399" t="str">
        <f>'16'!S12</f>
        <v xml:space="preserve">EKKA </v>
      </c>
      <c r="T12" s="446">
        <f>'16'!X12</f>
        <v>0</v>
      </c>
      <c r="U12" s="456"/>
      <c r="V12" s="451">
        <f t="shared" si="4"/>
        <v>0</v>
      </c>
      <c r="W12" s="451"/>
      <c r="X12" s="447">
        <f t="shared" si="5"/>
        <v>0</v>
      </c>
      <c r="Z12" s="375" t="str">
        <f>'16'!Z12</f>
        <v>ZAHEER</v>
      </c>
      <c r="AA12" s="464">
        <f>'16'!AE12</f>
        <v>0</v>
      </c>
      <c r="AB12" s="460"/>
      <c r="AC12" s="462">
        <f t="shared" si="6"/>
        <v>0</v>
      </c>
      <c r="AD12" s="469"/>
      <c r="AE12" s="348">
        <f t="shared" si="7"/>
        <v>0</v>
      </c>
      <c r="AF12" s="563">
        <f>'16'!AF12:AF13+'17'!AB12</f>
        <v>0</v>
      </c>
      <c r="AG12" s="234">
        <f>'16'!AG12+'17'!AD12</f>
        <v>0</v>
      </c>
      <c r="AI12" s="1034"/>
      <c r="AJ12" s="1035"/>
    </row>
    <row r="13" spans="1:36" ht="27" customHeight="1">
      <c r="A13" s="718"/>
      <c r="B13" s="526"/>
      <c r="C13" s="348"/>
      <c r="D13" s="550"/>
      <c r="F13" s="479" t="str">
        <f>'16'!F13</f>
        <v>QASIM ORANGI</v>
      </c>
      <c r="G13" s="406">
        <f>'CUSTOMERS REPORT'!Y225</f>
        <v>0</v>
      </c>
      <c r="H13" s="504">
        <f>'CUSTOMERS REPORT'!Z225</f>
        <v>0</v>
      </c>
      <c r="I13" s="406">
        <f>'CUSTOMERS REPORT'!AA225</f>
        <v>0</v>
      </c>
      <c r="J13" s="498">
        <f>'CUSTOMERS REPORT'!AB225</f>
        <v>0</v>
      </c>
      <c r="K13" s="498">
        <f>'CUSTOMERS REPORT'!AC225</f>
        <v>0</v>
      </c>
      <c r="L13" s="509">
        <f>'CUSTOMERS REPORT'!AD225</f>
        <v>0</v>
      </c>
      <c r="M13" s="414">
        <f>'16'!M13+'17'!G13</f>
        <v>0</v>
      </c>
      <c r="N13" s="412">
        <f>'16'!N13+'17'!J13</f>
        <v>0</v>
      </c>
      <c r="P13" s="434"/>
      <c r="Q13" s="1033"/>
      <c r="S13" s="399" t="str">
        <f>'16'!S13</f>
        <v>VANILLA</v>
      </c>
      <c r="T13" s="446">
        <f>'16'!X13</f>
        <v>0</v>
      </c>
      <c r="U13" s="456"/>
      <c r="V13" s="451">
        <f t="shared" si="4"/>
        <v>0</v>
      </c>
      <c r="W13" s="451"/>
      <c r="X13" s="447">
        <f t="shared" si="5"/>
        <v>0</v>
      </c>
      <c r="Z13" s="375" t="str">
        <f>'16'!Z13</f>
        <v>FAISAL</v>
      </c>
      <c r="AA13" s="464">
        <f>'16'!AE13</f>
        <v>-100000</v>
      </c>
      <c r="AB13" s="460"/>
      <c r="AC13" s="462">
        <f t="shared" si="6"/>
        <v>-100000</v>
      </c>
      <c r="AD13" s="469"/>
      <c r="AE13" s="348">
        <f t="shared" si="7"/>
        <v>-100000</v>
      </c>
      <c r="AF13" s="563">
        <f>'16'!AF13:AF14+'17'!AB13</f>
        <v>0</v>
      </c>
      <c r="AG13" s="234">
        <f>'16'!AG13+'17'!AD13</f>
        <v>100000</v>
      </c>
      <c r="AI13" s="1034"/>
      <c r="AJ13" s="1035"/>
    </row>
    <row r="14" spans="1:36" ht="27" customHeight="1">
      <c r="A14" s="718"/>
      <c r="B14" s="526"/>
      <c r="C14" s="348"/>
      <c r="D14" s="550"/>
      <c r="F14" s="479" t="str">
        <f>'16'!F14</f>
        <v>BADSHAH KHAN HYD</v>
      </c>
      <c r="G14" s="406">
        <f>'CUSTOMERS REPORT'!Y262</f>
        <v>0</v>
      </c>
      <c r="H14" s="504">
        <f>'CUSTOMERS REPORT'!Z262</f>
        <v>0</v>
      </c>
      <c r="I14" s="406">
        <f>'CUSTOMERS REPORT'!AA262</f>
        <v>0</v>
      </c>
      <c r="J14" s="498">
        <f>'CUSTOMERS REPORT'!AB262</f>
        <v>0</v>
      </c>
      <c r="K14" s="498">
        <f>'CUSTOMERS REPORT'!AC262</f>
        <v>0</v>
      </c>
      <c r="L14" s="509">
        <f>'CUSTOMERS REPORT'!AD262</f>
        <v>0</v>
      </c>
      <c r="M14" s="414">
        <f>'16'!M14+'17'!G14</f>
        <v>0</v>
      </c>
      <c r="N14" s="412">
        <f>'16'!N14+'17'!J14</f>
        <v>0</v>
      </c>
      <c r="P14" s="434"/>
      <c r="Q14" s="1033"/>
      <c r="S14" s="399" t="str">
        <f>'16'!S14</f>
        <v>COLOUR</v>
      </c>
      <c r="T14" s="446">
        <f>'16'!X14</f>
        <v>25</v>
      </c>
      <c r="U14" s="456"/>
      <c r="V14" s="451">
        <f t="shared" si="4"/>
        <v>25</v>
      </c>
      <c r="W14" s="451"/>
      <c r="X14" s="447">
        <f t="shared" si="5"/>
        <v>25</v>
      </c>
      <c r="Z14" s="375" t="str">
        <f>'16'!Z14</f>
        <v>RANA EKKA</v>
      </c>
      <c r="AA14" s="464">
        <f>'16'!AE14</f>
        <v>0</v>
      </c>
      <c r="AB14" s="460"/>
      <c r="AC14" s="462">
        <f t="shared" si="6"/>
        <v>0</v>
      </c>
      <c r="AD14" s="469"/>
      <c r="AE14" s="348">
        <f t="shared" si="7"/>
        <v>0</v>
      </c>
      <c r="AF14" s="563">
        <f>'16'!AF14:AF15+'17'!AB14</f>
        <v>0</v>
      </c>
      <c r="AG14" s="234">
        <f>'16'!AG14+'17'!AD14</f>
        <v>0</v>
      </c>
      <c r="AI14" s="1034"/>
      <c r="AJ14" s="1035"/>
    </row>
    <row r="15" spans="1:36" ht="27" customHeight="1">
      <c r="A15" s="718" t="s">
        <v>2</v>
      </c>
      <c r="B15" s="526"/>
      <c r="C15" s="348"/>
      <c r="D15" s="550"/>
      <c r="F15" s="479" t="str">
        <f>'16'!F15</f>
        <v>SHAMOON</v>
      </c>
      <c r="G15" s="406">
        <f>'CUSTOMERS REPORT'!Y302</f>
        <v>0</v>
      </c>
      <c r="H15" s="504">
        <f>'CUSTOMERS REPORT'!Z302</f>
        <v>0</v>
      </c>
      <c r="I15" s="406">
        <f>'CUSTOMERS REPORT'!AA302</f>
        <v>0</v>
      </c>
      <c r="J15" s="498">
        <f>'CUSTOMERS REPORT'!AB302</f>
        <v>0</v>
      </c>
      <c r="K15" s="498">
        <f>'CUSTOMERS REPORT'!AC302</f>
        <v>0</v>
      </c>
      <c r="L15" s="509">
        <f>'CUSTOMERS REPORT'!AD302</f>
        <v>0</v>
      </c>
      <c r="M15" s="414">
        <f>'16'!M15+'17'!G15</f>
        <v>0</v>
      </c>
      <c r="N15" s="412">
        <f>'16'!N15+'17'!J15</f>
        <v>0</v>
      </c>
      <c r="P15" s="434"/>
      <c r="Q15" s="1033"/>
      <c r="S15" s="399" t="str">
        <f>'16'!S15</f>
        <v>TILL</v>
      </c>
      <c r="T15" s="446">
        <f>'16'!X15</f>
        <v>0</v>
      </c>
      <c r="U15" s="456"/>
      <c r="V15" s="451">
        <f t="shared" si="4"/>
        <v>0</v>
      </c>
      <c r="W15" s="451"/>
      <c r="X15" s="447">
        <f t="shared" si="5"/>
        <v>0</v>
      </c>
      <c r="Z15" s="375" t="str">
        <f>'16'!Z15</f>
        <v>sheeba</v>
      </c>
      <c r="AA15" s="464">
        <f>'16'!AE15</f>
        <v>-150000</v>
      </c>
      <c r="AB15" s="460"/>
      <c r="AC15" s="462">
        <f t="shared" si="6"/>
        <v>-150000</v>
      </c>
      <c r="AD15" s="469">
        <v>260250</v>
      </c>
      <c r="AE15" s="348">
        <f t="shared" si="7"/>
        <v>-410250</v>
      </c>
      <c r="AF15" s="563">
        <f>'16'!AF15:AF16+'17'!AB15</f>
        <v>0</v>
      </c>
      <c r="AG15" s="234">
        <f>'16'!AG15+'17'!AD15</f>
        <v>410250</v>
      </c>
      <c r="AI15" s="1034"/>
      <c r="AJ15" s="1035"/>
    </row>
    <row r="16" spans="1:36" ht="27" customHeight="1">
      <c r="A16" s="718"/>
      <c r="B16" s="526"/>
      <c r="C16" s="348"/>
      <c r="D16" s="550"/>
      <c r="F16" s="479" t="str">
        <f>'16'!F16</f>
        <v>MATEEN</v>
      </c>
      <c r="G16" s="406">
        <f>'CUSTOMERS REPORT'!Y343</f>
        <v>0</v>
      </c>
      <c r="H16" s="504">
        <f>'CUSTOMERS REPORT'!Z343</f>
        <v>0</v>
      </c>
      <c r="I16" s="406">
        <f>'CUSTOMERS REPORT'!AA343</f>
        <v>0</v>
      </c>
      <c r="J16" s="498">
        <f>'CUSTOMERS REPORT'!AB343</f>
        <v>0</v>
      </c>
      <c r="K16" s="498">
        <f>'CUSTOMERS REPORT'!AC343</f>
        <v>0</v>
      </c>
      <c r="L16" s="509">
        <f>'CUSTOMERS REPORT'!AD343</f>
        <v>0</v>
      </c>
      <c r="M16" s="414">
        <f>'16'!M16+'17'!G16</f>
        <v>0</v>
      </c>
      <c r="N16" s="412">
        <f>'16'!N16+'17'!J16</f>
        <v>0</v>
      </c>
      <c r="P16" s="434"/>
      <c r="Q16" s="1033"/>
      <c r="S16" s="399" t="str">
        <f>'16'!S16</f>
        <v>ILLAICHI</v>
      </c>
      <c r="T16" s="446">
        <f>'16'!X16</f>
        <v>0</v>
      </c>
      <c r="U16" s="456"/>
      <c r="V16" s="451">
        <f t="shared" si="4"/>
        <v>0</v>
      </c>
      <c r="W16" s="451"/>
      <c r="X16" s="447">
        <f t="shared" si="5"/>
        <v>0</v>
      </c>
      <c r="Z16" s="375" t="str">
        <f>'16'!Z16</f>
        <v>COTTON</v>
      </c>
      <c r="AA16" s="464">
        <f>'16'!AE16</f>
        <v>0</v>
      </c>
      <c r="AB16" s="460">
        <v>26400</v>
      </c>
      <c r="AC16" s="462">
        <f t="shared" si="6"/>
        <v>26400</v>
      </c>
      <c r="AD16" s="469">
        <v>15000</v>
      </c>
      <c r="AE16" s="348">
        <f t="shared" si="7"/>
        <v>11400</v>
      </c>
      <c r="AF16" s="563">
        <f>'16'!AF16:AF17+'17'!AB16</f>
        <v>26400</v>
      </c>
      <c r="AG16" s="234">
        <f>'16'!AG16+'17'!AD16</f>
        <v>15000</v>
      </c>
      <c r="AI16" s="1034"/>
      <c r="AJ16" s="1035"/>
    </row>
    <row r="17" spans="1:36" ht="27" customHeight="1">
      <c r="A17" s="718"/>
      <c r="B17" s="526"/>
      <c r="C17" s="348"/>
      <c r="D17" s="550"/>
      <c r="F17" s="479" t="str">
        <f>'16'!F17</f>
        <v>AMJAD ORANGI</v>
      </c>
      <c r="G17" s="406">
        <f>'CUSTOMERS REPORT'!Y385</f>
        <v>0</v>
      </c>
      <c r="H17" s="504">
        <f>'CUSTOMERS REPORT'!Z385</f>
        <v>0</v>
      </c>
      <c r="I17" s="406">
        <f>'CUSTOMERS REPORT'!AA385</f>
        <v>0</v>
      </c>
      <c r="J17" s="498">
        <f>'CUSTOMERS REPORT'!AB385</f>
        <v>0</v>
      </c>
      <c r="K17" s="498">
        <f>'CUSTOMERS REPORT'!AC385</f>
        <v>0</v>
      </c>
      <c r="L17" s="509">
        <f>'CUSTOMERS REPORT'!AD385</f>
        <v>0</v>
      </c>
      <c r="M17" s="414">
        <f>'16'!M17+'17'!G17</f>
        <v>0</v>
      </c>
      <c r="N17" s="412">
        <f>'16'!N17+'17'!J17</f>
        <v>0</v>
      </c>
      <c r="P17" s="434"/>
      <c r="Q17" s="1033"/>
      <c r="S17" s="399" t="str">
        <f>'16'!S17</f>
        <v>S-THELLI</v>
      </c>
      <c r="T17" s="446">
        <f>'16'!X17</f>
        <v>0</v>
      </c>
      <c r="U17" s="456"/>
      <c r="V17" s="451">
        <f t="shared" si="4"/>
        <v>0</v>
      </c>
      <c r="W17" s="451"/>
      <c r="X17" s="447">
        <f t="shared" si="5"/>
        <v>0</v>
      </c>
      <c r="Z17" s="375" t="str">
        <f>'16'!Z17</f>
        <v>SHAHID UP</v>
      </c>
      <c r="AA17" s="464">
        <f>'16'!AE17</f>
        <v>21250</v>
      </c>
      <c r="AB17" s="460"/>
      <c r="AC17" s="462">
        <f t="shared" si="6"/>
        <v>21250</v>
      </c>
      <c r="AD17" s="469"/>
      <c r="AE17" s="348">
        <f t="shared" si="7"/>
        <v>21250</v>
      </c>
      <c r="AF17" s="563">
        <f>'16'!AF17:AF18+'17'!AB17</f>
        <v>21250</v>
      </c>
      <c r="AG17" s="234">
        <f>'16'!AG17+'17'!AD17</f>
        <v>0</v>
      </c>
      <c r="AI17" s="1034"/>
      <c r="AJ17" s="1035"/>
    </row>
    <row r="18" spans="1:36" ht="27" customHeight="1" thickBot="1">
      <c r="A18" s="718"/>
      <c r="B18" s="528"/>
      <c r="C18" s="350"/>
      <c r="D18" s="550"/>
      <c r="F18" s="479" t="str">
        <f>'16'!F18</f>
        <v>HAFIZ DRIVER</v>
      </c>
      <c r="G18" s="406">
        <f>'CUSTOMERS REPORT'!Y424</f>
        <v>0</v>
      </c>
      <c r="H18" s="504">
        <f>'CUSTOMERS REPORT'!Z424</f>
        <v>0</v>
      </c>
      <c r="I18" s="406">
        <f>'CUSTOMERS REPORT'!AA424</f>
        <v>0</v>
      </c>
      <c r="J18" s="498">
        <f>'CUSTOMERS REPORT'!AB424</f>
        <v>0</v>
      </c>
      <c r="K18" s="498">
        <f>'CUSTOMERS REPORT'!AC424</f>
        <v>0</v>
      </c>
      <c r="L18" s="509">
        <f>'CUSTOMERS REPORT'!AD424</f>
        <v>0</v>
      </c>
      <c r="M18" s="414">
        <f>'16'!M18+'17'!G18</f>
        <v>0</v>
      </c>
      <c r="N18" s="412">
        <f>'16'!N18+'17'!J18</f>
        <v>0</v>
      </c>
      <c r="P18" s="433"/>
      <c r="Q18" s="437"/>
      <c r="S18" s="399" t="str">
        <f>'16'!S18</f>
        <v>P-THELLI</v>
      </c>
      <c r="T18" s="446">
        <f>'16'!X18</f>
        <v>0</v>
      </c>
      <c r="U18" s="456"/>
      <c r="V18" s="451">
        <f t="shared" si="0"/>
        <v>0</v>
      </c>
      <c r="W18" s="451"/>
      <c r="X18" s="447">
        <f t="shared" si="1"/>
        <v>0</v>
      </c>
      <c r="Z18" s="375" t="str">
        <f>'16'!Z18</f>
        <v>SALT</v>
      </c>
      <c r="AA18" s="464">
        <f>'16'!AE18</f>
        <v>0</v>
      </c>
      <c r="AB18" s="460"/>
      <c r="AC18" s="462">
        <f t="shared" si="6"/>
        <v>0</v>
      </c>
      <c r="AD18" s="469"/>
      <c r="AE18" s="348">
        <f t="shared" si="7"/>
        <v>0</v>
      </c>
      <c r="AF18" s="563">
        <f>'16'!AF18:AF19+'17'!AB18</f>
        <v>1500</v>
      </c>
      <c r="AG18" s="234">
        <f>'16'!AG18+'17'!AD18</f>
        <v>1500</v>
      </c>
      <c r="AI18" s="395" t="s">
        <v>74</v>
      </c>
      <c r="AJ18" s="396">
        <f>AJ8+AJ9</f>
        <v>102800</v>
      </c>
    </row>
    <row r="19" spans="1:36" ht="27" customHeight="1" thickTop="1" thickBot="1">
      <c r="A19" s="718"/>
      <c r="B19" s="529"/>
      <c r="C19" s="350"/>
      <c r="D19" s="550"/>
      <c r="F19" s="479" t="str">
        <f>'16'!F19</f>
        <v>GHULAM QUETTA</v>
      </c>
      <c r="G19" s="406">
        <f>'CUSTOMERS REPORT'!Y462</f>
        <v>0</v>
      </c>
      <c r="H19" s="504">
        <f>'CUSTOMERS REPORT'!Z462</f>
        <v>0</v>
      </c>
      <c r="I19" s="406">
        <f>'CUSTOMERS REPORT'!AA462</f>
        <v>0</v>
      </c>
      <c r="J19" s="498">
        <f>'CUSTOMERS REPORT'!AB462</f>
        <v>0</v>
      </c>
      <c r="K19" s="498">
        <f>'CUSTOMERS REPORT'!AC462</f>
        <v>0</v>
      </c>
      <c r="L19" s="509">
        <f>'CUSTOMERS REPORT'!AD462</f>
        <v>0</v>
      </c>
      <c r="M19" s="414">
        <f>'16'!M19+'17'!G19</f>
        <v>0</v>
      </c>
      <c r="N19" s="412">
        <f>'16'!N19+'17'!J19</f>
        <v>0</v>
      </c>
      <c r="P19" s="433"/>
      <c r="Q19" s="437"/>
      <c r="S19" s="399" t="str">
        <f>'16'!S19</f>
        <v>RUBBER</v>
      </c>
      <c r="T19" s="446">
        <f>'16'!X19</f>
        <v>0</v>
      </c>
      <c r="U19" s="456"/>
      <c r="V19" s="451">
        <f t="shared" si="0"/>
        <v>0</v>
      </c>
      <c r="W19" s="451"/>
      <c r="X19" s="447">
        <f t="shared" si="1"/>
        <v>0</v>
      </c>
      <c r="Z19" s="375" t="str">
        <f>'16'!Z19</f>
        <v>NAVEED</v>
      </c>
      <c r="AA19" s="464">
        <f>'16'!AE19</f>
        <v>0</v>
      </c>
      <c r="AB19" s="460"/>
      <c r="AC19" s="462">
        <f t="shared" si="6"/>
        <v>0</v>
      </c>
      <c r="AD19" s="469"/>
      <c r="AE19" s="348">
        <f t="shared" si="7"/>
        <v>0</v>
      </c>
      <c r="AF19" s="563">
        <f>'16'!AF19:AF20+'17'!AB19</f>
        <v>0</v>
      </c>
      <c r="AG19" s="234">
        <f>'16'!AG19+'17'!AD19</f>
        <v>0</v>
      </c>
    </row>
    <row r="20" spans="1:36" ht="27" customHeight="1" thickTop="1" thickBot="1">
      <c r="A20" s="719"/>
      <c r="B20" s="529"/>
      <c r="C20" s="350"/>
      <c r="D20" s="550"/>
      <c r="F20" s="479" t="str">
        <f>'16'!F20</f>
        <v>HUSSAN GWADAR</v>
      </c>
      <c r="G20" s="406">
        <f>'CUSTOMERS REPORT'!Y498</f>
        <v>0</v>
      </c>
      <c r="H20" s="504">
        <f>'CUSTOMERS REPORT'!Z498</f>
        <v>0</v>
      </c>
      <c r="I20" s="406">
        <f>'CUSTOMERS REPORT'!AA498</f>
        <v>0</v>
      </c>
      <c r="J20" s="498">
        <f>'CUSTOMERS REPORT'!AB498</f>
        <v>0</v>
      </c>
      <c r="K20" s="498">
        <f>'CUSTOMERS REPORT'!AC498</f>
        <v>0</v>
      </c>
      <c r="L20" s="509">
        <f>'CUSTOMERS REPORT'!AD498</f>
        <v>0</v>
      </c>
      <c r="M20" s="414">
        <f>'16'!M20+'17'!G20</f>
        <v>0</v>
      </c>
      <c r="N20" s="412">
        <f>'16'!N20+'17'!J20</f>
        <v>0</v>
      </c>
      <c r="P20" s="433"/>
      <c r="Q20" s="437"/>
      <c r="S20" s="399" t="str">
        <f>'16'!S20</f>
        <v>SALT</v>
      </c>
      <c r="T20" s="446">
        <f>'16'!X20</f>
        <v>250</v>
      </c>
      <c r="U20" s="456"/>
      <c r="V20" s="451">
        <f t="shared" si="0"/>
        <v>250</v>
      </c>
      <c r="W20" s="451"/>
      <c r="X20" s="447">
        <f t="shared" si="1"/>
        <v>250</v>
      </c>
      <c r="Z20" s="375" t="str">
        <f>'16'!Z20</f>
        <v>YOUSUF BHAI</v>
      </c>
      <c r="AA20" s="464">
        <f>'16'!AE20</f>
        <v>118500</v>
      </c>
      <c r="AB20" s="460">
        <v>123600</v>
      </c>
      <c r="AC20" s="462">
        <f t="shared" si="6"/>
        <v>242100</v>
      </c>
      <c r="AD20" s="469">
        <v>354400</v>
      </c>
      <c r="AE20" s="348">
        <f t="shared" si="7"/>
        <v>-112300</v>
      </c>
      <c r="AF20" s="563">
        <f>'16'!AF20:AF21+'17'!AB20</f>
        <v>242100</v>
      </c>
      <c r="AG20" s="234">
        <f>'16'!AG20+'17'!AD20</f>
        <v>354400</v>
      </c>
      <c r="AI20" s="1487" t="s">
        <v>132</v>
      </c>
      <c r="AJ20" s="1488"/>
    </row>
    <row r="21" spans="1:36" ht="27" customHeight="1" thickTop="1" thickBot="1">
      <c r="A21" s="720"/>
      <c r="B21" s="530"/>
      <c r="C21" s="531"/>
      <c r="D21" s="553"/>
      <c r="F21" s="479" t="str">
        <f>'16'!F21</f>
        <v>AQASH S KOT</v>
      </c>
      <c r="G21" s="406">
        <f>'CUSTOMERS REPORT'!Y535</f>
        <v>0</v>
      </c>
      <c r="H21" s="504">
        <f>'CUSTOMERS REPORT'!Z535</f>
        <v>0</v>
      </c>
      <c r="I21" s="406">
        <f>'CUSTOMERS REPORT'!AA535</f>
        <v>0</v>
      </c>
      <c r="J21" s="498">
        <f>'CUSTOMERS REPORT'!AB535</f>
        <v>0</v>
      </c>
      <c r="K21" s="498">
        <f>'CUSTOMERS REPORT'!AC535</f>
        <v>0</v>
      </c>
      <c r="L21" s="509">
        <f>'CUSTOMERS REPORT'!AD535</f>
        <v>0</v>
      </c>
      <c r="M21" s="414">
        <f>'16'!M21+'17'!G21</f>
        <v>0</v>
      </c>
      <c r="N21" s="412">
        <f>'16'!N21+'17'!J21</f>
        <v>0</v>
      </c>
      <c r="P21" s="433"/>
      <c r="Q21" s="435"/>
      <c r="S21" s="399" t="str">
        <f>'16'!S21</f>
        <v>TAPE</v>
      </c>
      <c r="T21" s="446">
        <f>'16'!X21</f>
        <v>0</v>
      </c>
      <c r="U21" s="456"/>
      <c r="V21" s="451">
        <f t="shared" si="0"/>
        <v>0</v>
      </c>
      <c r="W21" s="451"/>
      <c r="X21" s="447">
        <f t="shared" si="1"/>
        <v>0</v>
      </c>
      <c r="Z21" s="375" t="str">
        <f>'16'!Z21</f>
        <v>SULEMAN  PRINT</v>
      </c>
      <c r="AA21" s="464">
        <f>'16'!AE21</f>
        <v>-312000</v>
      </c>
      <c r="AB21" s="460"/>
      <c r="AC21" s="462">
        <f t="shared" si="2"/>
        <v>-312000</v>
      </c>
      <c r="AD21" s="469"/>
      <c r="AE21" s="348">
        <f t="shared" si="3"/>
        <v>-312000</v>
      </c>
      <c r="AF21" s="563">
        <f>'16'!AF21:AF22+'17'!AB21</f>
        <v>0</v>
      </c>
      <c r="AG21" s="234">
        <f>'16'!AG21+'17'!AD21</f>
        <v>312000</v>
      </c>
      <c r="AI21" s="391" t="s">
        <v>126</v>
      </c>
      <c r="AJ21" s="392">
        <f>'16'!AJ23</f>
        <v>70200</v>
      </c>
    </row>
    <row r="22" spans="1:36" ht="27" customHeight="1" thickTop="1" thickBot="1">
      <c r="A22" s="486" t="s">
        <v>74</v>
      </c>
      <c r="B22" s="533">
        <f>SUM(B8:B21)</f>
        <v>829650</v>
      </c>
      <c r="C22" s="534">
        <f>'16'!D22</f>
        <v>1281520</v>
      </c>
      <c r="D22" s="535">
        <f t="shared" ref="D22" si="8">B22+C22</f>
        <v>2111170</v>
      </c>
      <c r="F22" s="479" t="str">
        <f>'16'!F22</f>
        <v>SALEEM T JAM</v>
      </c>
      <c r="G22" s="406">
        <f>'CUSTOMERS REPORT'!Y573</f>
        <v>0</v>
      </c>
      <c r="H22" s="504">
        <f>'CUSTOMERS REPORT'!Z573</f>
        <v>0</v>
      </c>
      <c r="I22" s="406">
        <f>'CUSTOMERS REPORT'!AA573</f>
        <v>0</v>
      </c>
      <c r="J22" s="498">
        <f>'CUSTOMERS REPORT'!AB573</f>
        <v>0</v>
      </c>
      <c r="K22" s="498">
        <f>'CUSTOMERS REPORT'!AC573</f>
        <v>0</v>
      </c>
      <c r="L22" s="509">
        <f>'CUSTOMERS REPORT'!AD573</f>
        <v>0</v>
      </c>
      <c r="M22" s="414">
        <f>'16'!M22+'17'!G22</f>
        <v>0</v>
      </c>
      <c r="N22" s="412">
        <f>'16'!N22+'17'!J22</f>
        <v>0</v>
      </c>
      <c r="P22" s="433"/>
      <c r="Q22" s="438"/>
      <c r="S22" s="399" t="str">
        <f>'16'!S22</f>
        <v>COTTON</v>
      </c>
      <c r="T22" s="446">
        <f>'16'!X22</f>
        <v>0</v>
      </c>
      <c r="U22" s="456">
        <v>220</v>
      </c>
      <c r="V22" s="451">
        <f t="shared" si="0"/>
        <v>220</v>
      </c>
      <c r="W22" s="451"/>
      <c r="X22" s="447">
        <f t="shared" si="1"/>
        <v>220</v>
      </c>
      <c r="Z22" s="375" t="str">
        <f>'16'!Z22</f>
        <v>IRFAN VANILA</v>
      </c>
      <c r="AA22" s="464">
        <f>'16'!AE22</f>
        <v>-110000</v>
      </c>
      <c r="AB22" s="460"/>
      <c r="AC22" s="462">
        <f t="shared" si="2"/>
        <v>-110000</v>
      </c>
      <c r="AD22" s="469"/>
      <c r="AE22" s="348">
        <f t="shared" si="3"/>
        <v>-110000</v>
      </c>
      <c r="AF22" s="563">
        <f>'16'!AF22:AF23+'17'!AB22</f>
        <v>0</v>
      </c>
      <c r="AG22" s="234">
        <f>'16'!AG22+'17'!AD22</f>
        <v>110000</v>
      </c>
      <c r="AI22" s="393">
        <f>R56</f>
        <v>13</v>
      </c>
      <c r="AJ22" s="394">
        <f>R56*1800</f>
        <v>23400</v>
      </c>
    </row>
    <row r="23" spans="1:36" ht="27" customHeight="1" thickTop="1" thickBot="1">
      <c r="A23" s="715" t="str">
        <f>'16'!A23</f>
        <v>OFFICE FOOD</v>
      </c>
      <c r="B23" s="462">
        <v>310</v>
      </c>
      <c r="C23" s="536">
        <f>'16'!D23</f>
        <v>1360</v>
      </c>
      <c r="D23" s="537">
        <f t="shared" ref="D23:D48" si="9">B23+C23</f>
        <v>1670</v>
      </c>
      <c r="F23" s="479" t="str">
        <f>'16'!F23</f>
        <v>JAMSHAD BADEEN</v>
      </c>
      <c r="G23" s="406">
        <f>'CUSTOMERS REPORT'!Y609</f>
        <v>0</v>
      </c>
      <c r="H23" s="504">
        <f>'CUSTOMERS REPORT'!Z609</f>
        <v>0</v>
      </c>
      <c r="I23" s="406">
        <f>'CUSTOMERS REPORT'!AA609</f>
        <v>0</v>
      </c>
      <c r="J23" s="498">
        <f>'CUSTOMERS REPORT'!AB609</f>
        <v>0</v>
      </c>
      <c r="K23" s="498">
        <f>'CUSTOMERS REPORT'!AC609</f>
        <v>0</v>
      </c>
      <c r="L23" s="509">
        <f>'CUSTOMERS REPORT'!AD609</f>
        <v>0</v>
      </c>
      <c r="M23" s="414">
        <f>'16'!M23+'17'!G23</f>
        <v>0</v>
      </c>
      <c r="N23" s="412">
        <f>'16'!N23+'17'!J23</f>
        <v>0</v>
      </c>
      <c r="P23" s="190" t="s">
        <v>48</v>
      </c>
      <c r="Q23" s="439">
        <f>SUM(Q8:Q22)</f>
        <v>0</v>
      </c>
      <c r="S23" s="399" t="str">
        <f>'16'!S23</f>
        <v>WHITE 6</v>
      </c>
      <c r="T23" s="446">
        <f>'16'!X23</f>
        <v>0</v>
      </c>
      <c r="U23" s="456"/>
      <c r="V23" s="451">
        <f t="shared" si="0"/>
        <v>0</v>
      </c>
      <c r="W23" s="451"/>
      <c r="X23" s="447">
        <f t="shared" si="1"/>
        <v>0</v>
      </c>
      <c r="Z23" s="375" t="str">
        <f>'16'!Z23</f>
        <v>IRANI GHEE</v>
      </c>
      <c r="AA23" s="464">
        <f>'16'!AE23</f>
        <v>0</v>
      </c>
      <c r="AB23" s="460"/>
      <c r="AC23" s="462">
        <f t="shared" si="2"/>
        <v>0</v>
      </c>
      <c r="AD23" s="469"/>
      <c r="AE23" s="348">
        <f t="shared" si="3"/>
        <v>0</v>
      </c>
      <c r="AF23" s="563">
        <f>'16'!AF23:AF24+'17'!AB23</f>
        <v>0</v>
      </c>
      <c r="AG23" s="234">
        <f>'16'!AG23+'17'!AD23</f>
        <v>0</v>
      </c>
      <c r="AI23" s="395" t="s">
        <v>74</v>
      </c>
      <c r="AJ23" s="396">
        <f>AJ21+AJ22</f>
        <v>93600</v>
      </c>
    </row>
    <row r="24" spans="1:36" ht="27" customHeight="1" thickTop="1" thickBot="1">
      <c r="A24" s="715" t="str">
        <f>'16'!A24</f>
        <v>LABOUR FOOD EXP</v>
      </c>
      <c r="B24" s="234">
        <v>6000</v>
      </c>
      <c r="C24" s="348">
        <f>'16'!D24</f>
        <v>6000</v>
      </c>
      <c r="D24" s="234">
        <f t="shared" si="9"/>
        <v>12000</v>
      </c>
      <c r="F24" s="479" t="str">
        <f>'16'!F24</f>
        <v>SARFAZ MP</v>
      </c>
      <c r="G24" s="406">
        <f>'CUSTOMERS REPORT'!Y647</f>
        <v>0</v>
      </c>
      <c r="H24" s="504">
        <f>'CUSTOMERS REPORT'!Z647</f>
        <v>0</v>
      </c>
      <c r="I24" s="406">
        <f>'CUSTOMERS REPORT'!AA647</f>
        <v>0</v>
      </c>
      <c r="J24" s="498">
        <f>'CUSTOMERS REPORT'!AB647</f>
        <v>0</v>
      </c>
      <c r="K24" s="498">
        <f>'CUSTOMERS REPORT'!AC647</f>
        <v>0</v>
      </c>
      <c r="L24" s="509">
        <f>'CUSTOMERS REPORT'!AD647</f>
        <v>0</v>
      </c>
      <c r="M24" s="414">
        <f>'16'!M24+'17'!G24</f>
        <v>0</v>
      </c>
      <c r="N24" s="412">
        <f>'16'!N24+'17'!J24</f>
        <v>0</v>
      </c>
      <c r="P24" s="1514" t="s">
        <v>137</v>
      </c>
      <c r="Q24" s="1514"/>
      <c r="R24" t="s">
        <v>1</v>
      </c>
      <c r="S24" s="399" t="str">
        <f>'16'!S24</f>
        <v>ORANGE</v>
      </c>
      <c r="T24" s="446">
        <f>'16'!X24</f>
        <v>0</v>
      </c>
      <c r="U24" s="456"/>
      <c r="V24" s="451">
        <f t="shared" si="0"/>
        <v>0</v>
      </c>
      <c r="W24" s="451"/>
      <c r="X24" s="447">
        <f t="shared" si="1"/>
        <v>0</v>
      </c>
      <c r="Z24" s="375">
        <f>'16'!Z24</f>
        <v>0</v>
      </c>
      <c r="AA24" s="464">
        <f>'16'!AE24</f>
        <v>0</v>
      </c>
      <c r="AB24" s="745"/>
      <c r="AC24" s="462">
        <f t="shared" si="2"/>
        <v>0</v>
      </c>
      <c r="AD24" s="469"/>
      <c r="AE24" s="348">
        <f t="shared" si="3"/>
        <v>0</v>
      </c>
      <c r="AF24" s="563">
        <f>'16'!AF24:AF25+'17'!AB24</f>
        <v>0</v>
      </c>
      <c r="AG24" s="234">
        <f>'16'!AG24+'17'!AD24</f>
        <v>0</v>
      </c>
    </row>
    <row r="25" spans="1:36" ht="27" customHeight="1" thickTop="1" thickBot="1">
      <c r="A25" s="715" t="str">
        <f>'16'!A25</f>
        <v>OFFICE SALARY</v>
      </c>
      <c r="B25" s="234">
        <f>ATTENDANCE!AI28</f>
        <v>8000</v>
      </c>
      <c r="C25" s="348">
        <f>'16'!D25</f>
        <v>16000</v>
      </c>
      <c r="D25" s="234">
        <f t="shared" si="9"/>
        <v>24000</v>
      </c>
      <c r="F25" s="479" t="str">
        <f>'16'!F25</f>
        <v>AFZAL MATLI</v>
      </c>
      <c r="G25" s="406">
        <f>'CUSTOMERS REPORT'!Y685</f>
        <v>0</v>
      </c>
      <c r="H25" s="504">
        <f>'CUSTOMERS REPORT'!Z685</f>
        <v>0</v>
      </c>
      <c r="I25" s="406">
        <f>'CUSTOMERS REPORT'!AA685</f>
        <v>0</v>
      </c>
      <c r="J25" s="498">
        <f>'CUSTOMERS REPORT'!AB685</f>
        <v>0</v>
      </c>
      <c r="K25" s="498">
        <f>'CUSTOMERS REPORT'!AC685</f>
        <v>0</v>
      </c>
      <c r="L25" s="509">
        <f>'CUSTOMERS REPORT'!AD685</f>
        <v>0</v>
      </c>
      <c r="M25" s="414">
        <f>'16'!M25+'17'!G25</f>
        <v>0</v>
      </c>
      <c r="N25" s="412">
        <f>'16'!N25+'17'!J25</f>
        <v>0</v>
      </c>
      <c r="P25" s="434"/>
      <c r="Q25" s="440"/>
      <c r="S25" s="399" t="str">
        <f>'16'!S25</f>
        <v>MAKKI 7</v>
      </c>
      <c r="T25" s="446">
        <f>'16'!X25</f>
        <v>0</v>
      </c>
      <c r="U25" s="746"/>
      <c r="V25" s="451">
        <f t="shared" si="0"/>
        <v>0</v>
      </c>
      <c r="W25" s="451"/>
      <c r="X25" s="447">
        <f t="shared" si="1"/>
        <v>0</v>
      </c>
      <c r="Z25" s="375">
        <f>'16'!Z25</f>
        <v>0</v>
      </c>
      <c r="AA25" s="464">
        <f>'16'!AE25</f>
        <v>0</v>
      </c>
      <c r="AB25" s="460"/>
      <c r="AC25" s="462">
        <f t="shared" si="2"/>
        <v>0</v>
      </c>
      <c r="AD25" s="469"/>
      <c r="AE25" s="348">
        <f t="shared" si="3"/>
        <v>0</v>
      </c>
      <c r="AF25" s="563">
        <f>'16'!AF25:AF26+'17'!AB25</f>
        <v>0</v>
      </c>
      <c r="AG25" s="234">
        <f>'16'!AG25+'17'!AD25</f>
        <v>0</v>
      </c>
      <c r="AI25" s="397" t="s">
        <v>59</v>
      </c>
      <c r="AJ25" s="398">
        <f>AJ23-AJ18</f>
        <v>-9200</v>
      </c>
    </row>
    <row r="26" spans="1:36" ht="27" customHeight="1" thickTop="1">
      <c r="A26" s="715" t="str">
        <f>'16'!A26</f>
        <v>LABOUR SALARY</v>
      </c>
      <c r="B26" s="234">
        <f>SUM('SALERY SHEET'!AJ97:AK97)</f>
        <v>64500</v>
      </c>
      <c r="C26" s="348">
        <f>'16'!D26</f>
        <v>38300</v>
      </c>
      <c r="D26" s="234">
        <f t="shared" si="9"/>
        <v>102800</v>
      </c>
      <c r="F26" s="479" t="str">
        <f>'16'!F26</f>
        <v xml:space="preserve">ABDUL RASHEED </v>
      </c>
      <c r="G26" s="406">
        <f>'CUSTOMERS REPORT'!Y723</f>
        <v>0</v>
      </c>
      <c r="H26" s="504">
        <f>'CUSTOMERS REPORT'!Z723</f>
        <v>0</v>
      </c>
      <c r="I26" s="406">
        <f>'CUSTOMERS REPORT'!AA723</f>
        <v>0</v>
      </c>
      <c r="J26" s="498">
        <f>'CUSTOMERS REPORT'!AB723</f>
        <v>0</v>
      </c>
      <c r="K26" s="498">
        <f>'CUSTOMERS REPORT'!AC723</f>
        <v>0</v>
      </c>
      <c r="L26" s="509">
        <f>'CUSTOMERS REPORT'!AD723</f>
        <v>0</v>
      </c>
      <c r="M26" s="414">
        <f>'16'!M26+'17'!G26</f>
        <v>0</v>
      </c>
      <c r="N26" s="412">
        <f>'16'!N26+'17'!J26</f>
        <v>0</v>
      </c>
      <c r="P26" s="433"/>
      <c r="Q26" s="438"/>
      <c r="R26" t="s">
        <v>1</v>
      </c>
      <c r="S26" s="399" t="str">
        <f>'16'!S26</f>
        <v>BLUE 125 GM</v>
      </c>
      <c r="T26" s="446">
        <f>'16'!X26</f>
        <v>0</v>
      </c>
      <c r="U26" s="456"/>
      <c r="V26" s="451">
        <f t="shared" si="0"/>
        <v>0</v>
      </c>
      <c r="W26" s="451"/>
      <c r="X26" s="447">
        <f t="shared" si="1"/>
        <v>0</v>
      </c>
      <c r="Z26" s="375">
        <f>'16'!Z26</f>
        <v>0</v>
      </c>
      <c r="AA26" s="464">
        <f>'16'!AE26</f>
        <v>0</v>
      </c>
      <c r="AB26" s="460"/>
      <c r="AC26" s="462">
        <f t="shared" si="2"/>
        <v>0</v>
      </c>
      <c r="AD26" s="469"/>
      <c r="AE26" s="348">
        <f t="shared" si="3"/>
        <v>0</v>
      </c>
      <c r="AF26" s="563">
        <f>'16'!AF26:AF27+'17'!AB26</f>
        <v>0</v>
      </c>
      <c r="AG26" s="234">
        <f>'16'!AG26+'17'!AD26</f>
        <v>0</v>
      </c>
    </row>
    <row r="27" spans="1:36" ht="27" customHeight="1">
      <c r="A27" s="715" t="str">
        <f>'16'!A27</f>
        <v>SHAHZORE</v>
      </c>
      <c r="B27" s="234"/>
      <c r="C27" s="348">
        <f>'16'!D27</f>
        <v>0</v>
      </c>
      <c r="D27" s="234">
        <f t="shared" si="9"/>
        <v>0</v>
      </c>
      <c r="F27" s="479" t="str">
        <f>'16'!F27</f>
        <v>SALEEM ORANGI</v>
      </c>
      <c r="G27" s="406">
        <f>'CUSTOMERS REPORT'!Y761</f>
        <v>0</v>
      </c>
      <c r="H27" s="504">
        <f>'CUSTOMERS REPORT'!Z761</f>
        <v>0</v>
      </c>
      <c r="I27" s="406">
        <f>'CUSTOMERS REPORT'!AA761</f>
        <v>0</v>
      </c>
      <c r="J27" s="498">
        <f>'CUSTOMERS REPORT'!AB761</f>
        <v>0</v>
      </c>
      <c r="K27" s="498">
        <f>'CUSTOMERS REPORT'!AC761</f>
        <v>0</v>
      </c>
      <c r="L27" s="509">
        <f>'CUSTOMERS REPORT'!AD761</f>
        <v>0</v>
      </c>
      <c r="M27" s="414">
        <f>'16'!M27+'17'!G27</f>
        <v>0</v>
      </c>
      <c r="N27" s="412">
        <f>'16'!N27+'17'!J27</f>
        <v>0</v>
      </c>
      <c r="P27" s="433"/>
      <c r="Q27" s="435"/>
      <c r="R27" t="s">
        <v>1</v>
      </c>
      <c r="S27" s="399" t="str">
        <f>'16'!S27</f>
        <v>MAKKI 5</v>
      </c>
      <c r="T27" s="446">
        <f>'16'!X27</f>
        <v>0</v>
      </c>
      <c r="U27" s="456"/>
      <c r="V27" s="451">
        <f t="shared" si="0"/>
        <v>0</v>
      </c>
      <c r="W27" s="451"/>
      <c r="X27" s="447">
        <f t="shared" si="1"/>
        <v>0</v>
      </c>
      <c r="Z27" s="375">
        <f>'16'!Z27</f>
        <v>0</v>
      </c>
      <c r="AA27" s="464">
        <f>'16'!AE27</f>
        <v>0</v>
      </c>
      <c r="AB27" s="460"/>
      <c r="AC27" s="462">
        <f t="shared" si="2"/>
        <v>0</v>
      </c>
      <c r="AD27" s="469"/>
      <c r="AE27" s="348">
        <f t="shared" si="3"/>
        <v>0</v>
      </c>
      <c r="AF27" s="563">
        <f>'16'!AF27:AF28+'17'!AB27</f>
        <v>0</v>
      </c>
      <c r="AG27" s="234">
        <f>'16'!AG27+'17'!AD27</f>
        <v>0</v>
      </c>
    </row>
    <row r="28" spans="1:36" ht="27" customHeight="1">
      <c r="A28" s="715" t="str">
        <f>'16'!A28</f>
        <v>GENERATOR</v>
      </c>
      <c r="B28" s="234">
        <v>7700</v>
      </c>
      <c r="C28" s="348">
        <f>'16'!D28</f>
        <v>21000</v>
      </c>
      <c r="D28" s="234">
        <f t="shared" si="9"/>
        <v>28700</v>
      </c>
      <c r="F28" s="479" t="str">
        <f>'16'!F28</f>
        <v>AYAZ OUSTA</v>
      </c>
      <c r="G28" s="406">
        <f>'CUSTOMERS REPORT'!Y799</f>
        <v>0</v>
      </c>
      <c r="H28" s="504">
        <f>'CUSTOMERS REPORT'!Z799</f>
        <v>0</v>
      </c>
      <c r="I28" s="406">
        <f>'CUSTOMERS REPORT'!AA799</f>
        <v>0</v>
      </c>
      <c r="J28" s="498">
        <f>'CUSTOMERS REPORT'!AB799</f>
        <v>0</v>
      </c>
      <c r="K28" s="498">
        <f>'CUSTOMERS REPORT'!AC799</f>
        <v>0</v>
      </c>
      <c r="L28" s="509">
        <f>'CUSTOMERS REPORT'!AD799</f>
        <v>0</v>
      </c>
      <c r="M28" s="414">
        <f>'16'!M28+'17'!G28</f>
        <v>0</v>
      </c>
      <c r="N28" s="412">
        <f>'16'!N28+'17'!J28</f>
        <v>0</v>
      </c>
      <c r="P28" s="433"/>
      <c r="Q28" s="438"/>
      <c r="S28" s="399" t="str">
        <f>'16'!S28</f>
        <v>MAKKI 2 PES</v>
      </c>
      <c r="T28" s="446">
        <f>'16'!X28</f>
        <v>0</v>
      </c>
      <c r="U28" s="456"/>
      <c r="V28" s="451">
        <f t="shared" si="0"/>
        <v>0</v>
      </c>
      <c r="W28" s="451"/>
      <c r="X28" s="447">
        <f t="shared" si="1"/>
        <v>0</v>
      </c>
      <c r="Z28" s="375">
        <f>'16'!Z28</f>
        <v>0</v>
      </c>
      <c r="AA28" s="464">
        <f>'16'!AE28</f>
        <v>0</v>
      </c>
      <c r="AB28" s="460"/>
      <c r="AC28" s="462">
        <f t="shared" si="2"/>
        <v>0</v>
      </c>
      <c r="AD28" s="469"/>
      <c r="AE28" s="348">
        <f t="shared" si="3"/>
        <v>0</v>
      </c>
      <c r="AF28" s="563">
        <f>'16'!AF28:AF29+'17'!AB28</f>
        <v>0</v>
      </c>
      <c r="AG28" s="234">
        <f>'16'!AG28+'17'!AD28</f>
        <v>0</v>
      </c>
    </row>
    <row r="29" spans="1:36" ht="27" customHeight="1">
      <c r="A29" s="715" t="str">
        <f>'16'!A29</f>
        <v>PATROL FAW</v>
      </c>
      <c r="B29" s="234">
        <v>16150</v>
      </c>
      <c r="C29" s="348">
        <f>'16'!D29</f>
        <v>2200</v>
      </c>
      <c r="D29" s="234">
        <f t="shared" si="9"/>
        <v>18350</v>
      </c>
      <c r="F29" s="479" t="str">
        <f>'16'!F29</f>
        <v>AZHAR BADEEN</v>
      </c>
      <c r="G29" s="406">
        <f>'CUSTOMERS REPORT'!Y837</f>
        <v>0</v>
      </c>
      <c r="H29" s="504">
        <f>'CUSTOMERS REPORT'!Z837</f>
        <v>0</v>
      </c>
      <c r="I29" s="406">
        <f>'CUSTOMERS REPORT'!AA837</f>
        <v>0</v>
      </c>
      <c r="J29" s="498">
        <f>'CUSTOMERS REPORT'!AB837</f>
        <v>0</v>
      </c>
      <c r="K29" s="498">
        <f>'CUSTOMERS REPORT'!AC837</f>
        <v>0</v>
      </c>
      <c r="L29" s="509">
        <f>'CUSTOMERS REPORT'!AD837</f>
        <v>0</v>
      </c>
      <c r="M29" s="414">
        <f>'16'!M29+'17'!G29</f>
        <v>0</v>
      </c>
      <c r="N29" s="412">
        <f>'16'!N29+'17'!J29</f>
        <v>0</v>
      </c>
      <c r="P29" s="433"/>
      <c r="Q29" s="441"/>
      <c r="S29" s="399" t="str">
        <f>'16'!S29</f>
        <v xml:space="preserve">PRIME </v>
      </c>
      <c r="T29" s="446">
        <f>'16'!X29</f>
        <v>0</v>
      </c>
      <c r="U29" s="456"/>
      <c r="V29" s="451">
        <f t="shared" si="0"/>
        <v>0</v>
      </c>
      <c r="W29" s="451"/>
      <c r="X29" s="447">
        <f t="shared" si="1"/>
        <v>0</v>
      </c>
      <c r="Z29" s="375">
        <f>'16'!Z29</f>
        <v>0</v>
      </c>
      <c r="AA29" s="464">
        <f>'16'!AE29</f>
        <v>0</v>
      </c>
      <c r="AB29" s="460"/>
      <c r="AC29" s="462">
        <f t="shared" si="2"/>
        <v>0</v>
      </c>
      <c r="AD29" s="469"/>
      <c r="AE29" s="348">
        <f t="shared" si="3"/>
        <v>0</v>
      </c>
      <c r="AF29" s="563">
        <f>'16'!AF29:AF30+'17'!AB29</f>
        <v>0</v>
      </c>
      <c r="AG29" s="234">
        <f>'16'!AG29+'17'!AD29</f>
        <v>0</v>
      </c>
    </row>
    <row r="30" spans="1:36" ht="27" customHeight="1">
      <c r="A30" s="715" t="str">
        <f>'16'!A30</f>
        <v>FOTON DIESEL</v>
      </c>
      <c r="B30" s="234"/>
      <c r="C30" s="348">
        <f>'16'!D30</f>
        <v>2300</v>
      </c>
      <c r="D30" s="234">
        <f t="shared" si="9"/>
        <v>2300</v>
      </c>
      <c r="F30" s="479" t="str">
        <f>'16'!F30</f>
        <v>FAISAL HUB</v>
      </c>
      <c r="G30" s="406">
        <f>'CUSTOMERS REPORT'!Y875</f>
        <v>0</v>
      </c>
      <c r="H30" s="504">
        <f>'CUSTOMERS REPORT'!Z875</f>
        <v>0</v>
      </c>
      <c r="I30" s="406">
        <f>'CUSTOMERS REPORT'!AA875</f>
        <v>0</v>
      </c>
      <c r="J30" s="498">
        <f>'CUSTOMERS REPORT'!AB875</f>
        <v>0</v>
      </c>
      <c r="K30" s="498">
        <f>'CUSTOMERS REPORT'!AC875</f>
        <v>0</v>
      </c>
      <c r="L30" s="509">
        <f>'CUSTOMERS REPORT'!AD875</f>
        <v>0</v>
      </c>
      <c r="M30" s="414">
        <f>'16'!M30+'17'!G30</f>
        <v>0</v>
      </c>
      <c r="N30" s="412">
        <f>'16'!N30+'17'!J30</f>
        <v>0</v>
      </c>
      <c r="P30" s="433"/>
      <c r="Q30" s="442"/>
      <c r="S30" s="399" t="str">
        <f>'16'!S30</f>
        <v>PRIMR 15</v>
      </c>
      <c r="T30" s="446">
        <f>'16'!X30</f>
        <v>0</v>
      </c>
      <c r="U30" s="456"/>
      <c r="V30" s="451">
        <f t="shared" si="0"/>
        <v>0</v>
      </c>
      <c r="W30" s="451"/>
      <c r="X30" s="447">
        <f t="shared" si="1"/>
        <v>0</v>
      </c>
      <c r="Z30" s="375">
        <f>'16'!Z30</f>
        <v>0</v>
      </c>
      <c r="AA30" s="464">
        <f>'16'!AE30</f>
        <v>0</v>
      </c>
      <c r="AB30" s="460"/>
      <c r="AC30" s="462">
        <f t="shared" si="2"/>
        <v>0</v>
      </c>
      <c r="AD30" s="469"/>
      <c r="AE30" s="348">
        <f t="shared" si="3"/>
        <v>0</v>
      </c>
      <c r="AF30" s="563">
        <f>'16'!AF30:AF31+'17'!AB30</f>
        <v>0</v>
      </c>
      <c r="AG30" s="234">
        <f>'16'!AG30+'17'!AD30</f>
        <v>0</v>
      </c>
    </row>
    <row r="31" spans="1:36" ht="27" customHeight="1" thickBot="1">
      <c r="A31" s="715" t="str">
        <f>'16'!A31</f>
        <v>UTILITY BILLS</v>
      </c>
      <c r="B31" s="234"/>
      <c r="C31" s="348">
        <f>'16'!D31</f>
        <v>44420</v>
      </c>
      <c r="D31" s="234">
        <f t="shared" si="9"/>
        <v>44420</v>
      </c>
      <c r="F31" s="479" t="str">
        <f>'16'!F31</f>
        <v>ABDUL RAHMAN</v>
      </c>
      <c r="G31" s="406">
        <f>'CUSTOMERS REPORT'!Y914</f>
        <v>0</v>
      </c>
      <c r="H31" s="504">
        <f>'CUSTOMERS REPORT'!Z914</f>
        <v>0</v>
      </c>
      <c r="I31" s="406">
        <f>'CUSTOMERS REPORT'!AA914</f>
        <v>0</v>
      </c>
      <c r="J31" s="498">
        <f>'CUSTOMERS REPORT'!AB914</f>
        <v>0</v>
      </c>
      <c r="K31" s="498">
        <f>'CUSTOMERS REPORT'!AC914</f>
        <v>0</v>
      </c>
      <c r="L31" s="509">
        <f>'CUSTOMERS REPORT'!AD914</f>
        <v>0</v>
      </c>
      <c r="M31" s="414">
        <f>'16'!M31+'17'!G31</f>
        <v>0</v>
      </c>
      <c r="N31" s="412">
        <f>'16'!N31+'17'!J31</f>
        <v>0</v>
      </c>
      <c r="P31" s="433"/>
      <c r="Q31" s="435"/>
      <c r="S31" s="399" t="str">
        <f>'16'!S31</f>
        <v>KARACHI</v>
      </c>
      <c r="T31" s="446">
        <f>'16'!X31</f>
        <v>0</v>
      </c>
      <c r="U31" s="456"/>
      <c r="V31" s="451">
        <f t="shared" si="0"/>
        <v>0</v>
      </c>
      <c r="W31" s="451"/>
      <c r="X31" s="447">
        <f t="shared" si="1"/>
        <v>0</v>
      </c>
      <c r="Z31" s="375">
        <f>'16'!Z31</f>
        <v>0</v>
      </c>
      <c r="AA31" s="464">
        <f>'16'!AE31</f>
        <v>0</v>
      </c>
      <c r="AB31" s="460"/>
      <c r="AC31" s="462">
        <f t="shared" si="2"/>
        <v>0</v>
      </c>
      <c r="AD31" s="469"/>
      <c r="AE31" s="348">
        <f t="shared" si="3"/>
        <v>0</v>
      </c>
      <c r="AF31" s="563">
        <f>'16'!AF31:AF32+'17'!AB31</f>
        <v>0</v>
      </c>
      <c r="AG31" s="234">
        <f>'16'!AG31+'17'!AD31</f>
        <v>0</v>
      </c>
      <c r="AI31" t="s">
        <v>1</v>
      </c>
    </row>
    <row r="32" spans="1:36" ht="27" customHeight="1" thickTop="1" thickBot="1">
      <c r="A32" s="715" t="str">
        <f>'16'!A32</f>
        <v>WOOD</v>
      </c>
      <c r="B32" s="234"/>
      <c r="C32" s="348">
        <f>'16'!D32</f>
        <v>0</v>
      </c>
      <c r="D32" s="234">
        <f t="shared" si="9"/>
        <v>0</v>
      </c>
      <c r="F32" s="479" t="str">
        <f>'16'!F32</f>
        <v>HAJI JAN GIWANI</v>
      </c>
      <c r="G32" s="406">
        <f>'CUSTOMERS REPORT'!Y953</f>
        <v>0</v>
      </c>
      <c r="H32" s="504">
        <f>'CUSTOMERS REPORT'!Z953</f>
        <v>0</v>
      </c>
      <c r="I32" s="406">
        <f>'CUSTOMERS REPORT'!AA953</f>
        <v>0</v>
      </c>
      <c r="J32" s="498">
        <f>'CUSTOMERS REPORT'!AB953</f>
        <v>0</v>
      </c>
      <c r="K32" s="498">
        <f>'CUSTOMERS REPORT'!AC953</f>
        <v>0</v>
      </c>
      <c r="L32" s="509">
        <f>'CUSTOMERS REPORT'!AD953</f>
        <v>0</v>
      </c>
      <c r="M32" s="414">
        <f>'16'!M32+'17'!G32</f>
        <v>0</v>
      </c>
      <c r="N32" s="412">
        <f>'16'!N32+'17'!J32</f>
        <v>0</v>
      </c>
      <c r="P32" s="190" t="s">
        <v>51</v>
      </c>
      <c r="Q32" s="439">
        <f>Q23-Q25-Q26-Q27-Q28-Q29-Q30-Q31</f>
        <v>0</v>
      </c>
      <c r="R32" t="s">
        <v>1</v>
      </c>
      <c r="S32" s="399" t="str">
        <f>'16'!S32</f>
        <v>MARVI</v>
      </c>
      <c r="T32" s="446">
        <f>'16'!X32</f>
        <v>0</v>
      </c>
      <c r="U32" s="456"/>
      <c r="V32" s="451">
        <f t="shared" si="0"/>
        <v>0</v>
      </c>
      <c r="W32" s="451"/>
      <c r="X32" s="447">
        <f t="shared" si="1"/>
        <v>0</v>
      </c>
      <c r="Z32" s="375">
        <f>'16'!Z32</f>
        <v>0</v>
      </c>
      <c r="AA32" s="464">
        <f>'16'!AE32</f>
        <v>0</v>
      </c>
      <c r="AB32" s="460"/>
      <c r="AC32" s="462">
        <f t="shared" si="2"/>
        <v>0</v>
      </c>
      <c r="AD32" s="469"/>
      <c r="AE32" s="348">
        <f t="shared" si="3"/>
        <v>0</v>
      </c>
      <c r="AF32" s="563">
        <f>'16'!AF32:AF33+'17'!AB32</f>
        <v>0</v>
      </c>
      <c r="AG32" s="234">
        <f>'16'!AG32+'17'!AD32</f>
        <v>0</v>
      </c>
    </row>
    <row r="33" spans="1:40" ht="27" customHeight="1" thickTop="1" thickBot="1">
      <c r="A33" s="716" t="str">
        <f>'16'!A33</f>
        <v>TOLL</v>
      </c>
      <c r="B33" s="538"/>
      <c r="C33" s="548">
        <f>'16'!D33</f>
        <v>200</v>
      </c>
      <c r="D33" s="234">
        <f t="shared" si="9"/>
        <v>200</v>
      </c>
      <c r="F33" s="479" t="str">
        <f>'16'!F33</f>
        <v>ALI QURESHI HYD</v>
      </c>
      <c r="G33" s="406">
        <f>'CUSTOMERS REPORT'!Y991</f>
        <v>0</v>
      </c>
      <c r="H33" s="504">
        <f>'CUSTOMERS REPORT'!Z991</f>
        <v>0</v>
      </c>
      <c r="I33" s="406">
        <f>'CUSTOMERS REPORT'!AA991</f>
        <v>0</v>
      </c>
      <c r="J33" s="498">
        <f>'CUSTOMERS REPORT'!AB991</f>
        <v>0</v>
      </c>
      <c r="K33" s="498">
        <f>'CUSTOMERS REPORT'!AC991</f>
        <v>0</v>
      </c>
      <c r="L33" s="509">
        <f>'CUSTOMERS REPORT'!AD991</f>
        <v>0</v>
      </c>
      <c r="M33" s="414">
        <f>'16'!M33+'17'!G33</f>
        <v>0</v>
      </c>
      <c r="N33" s="412">
        <f>'16'!N33+'17'!J33</f>
        <v>0</v>
      </c>
      <c r="P33" s="1499" t="s">
        <v>149</v>
      </c>
      <c r="Q33" s="1500"/>
      <c r="S33" s="399" t="str">
        <f>'16'!S33</f>
        <v>TS</v>
      </c>
      <c r="T33" s="446">
        <f>'16'!X33</f>
        <v>0</v>
      </c>
      <c r="U33" s="456"/>
      <c r="V33" s="451">
        <f t="shared" si="0"/>
        <v>0</v>
      </c>
      <c r="W33" s="451"/>
      <c r="X33" s="447">
        <f t="shared" si="1"/>
        <v>0</v>
      </c>
      <c r="Z33" s="375">
        <f>'16'!Z33</f>
        <v>0</v>
      </c>
      <c r="AA33" s="464">
        <f>'16'!AE33</f>
        <v>0</v>
      </c>
      <c r="AB33" s="460"/>
      <c r="AC33" s="462">
        <f t="shared" si="2"/>
        <v>0</v>
      </c>
      <c r="AD33" s="469"/>
      <c r="AE33" s="348">
        <f t="shared" si="3"/>
        <v>0</v>
      </c>
      <c r="AF33" s="563">
        <f>'16'!AF33:AF34+'17'!AB33</f>
        <v>0</v>
      </c>
      <c r="AG33" s="234">
        <f>'16'!AG33+'17'!AD33</f>
        <v>0</v>
      </c>
    </row>
    <row r="34" spans="1:40" ht="27" customHeight="1" thickTop="1" thickBot="1">
      <c r="A34" s="716" t="str">
        <f>'16'!A34</f>
        <v>FLOUR / SHGER</v>
      </c>
      <c r="B34" s="538">
        <f>120+500</f>
        <v>620</v>
      </c>
      <c r="C34" s="348">
        <f>'16'!D34</f>
        <v>0</v>
      </c>
      <c r="D34" s="234">
        <f t="shared" si="9"/>
        <v>620</v>
      </c>
      <c r="F34" s="479" t="str">
        <f>'16'!F34</f>
        <v>ALI RAZA KAND KOT</v>
      </c>
      <c r="G34" s="406">
        <f>'CUSTOMERS REPORT'!Y1029</f>
        <v>0</v>
      </c>
      <c r="H34" s="504">
        <f>'CUSTOMERS REPORT'!Z1029</f>
        <v>0</v>
      </c>
      <c r="I34" s="406">
        <f>'CUSTOMERS REPORT'!AA1029</f>
        <v>0</v>
      </c>
      <c r="J34" s="498">
        <f>'CUSTOMERS REPORT'!AB1029</f>
        <v>0</v>
      </c>
      <c r="K34" s="498">
        <f>'CUSTOMERS REPORT'!AC1029</f>
        <v>0</v>
      </c>
      <c r="L34" s="509">
        <f>'CUSTOMERS REPORT'!AD1029</f>
        <v>0</v>
      </c>
      <c r="M34" s="414">
        <f>'16'!M34+'17'!G34</f>
        <v>0</v>
      </c>
      <c r="N34" s="412">
        <f>'16'!N34+'17'!J34</f>
        <v>0</v>
      </c>
      <c r="P34" s="220" t="s">
        <v>150</v>
      </c>
      <c r="Q34" s="223">
        <f>'16'!Q34</f>
        <v>0</v>
      </c>
      <c r="S34" s="399" t="str">
        <f>'16'!S34</f>
        <v>MAXI</v>
      </c>
      <c r="T34" s="446">
        <f>'16'!X34</f>
        <v>0</v>
      </c>
      <c r="U34" s="457"/>
      <c r="V34" s="452">
        <f t="shared" si="0"/>
        <v>0</v>
      </c>
      <c r="W34" s="452"/>
      <c r="X34" s="448">
        <f t="shared" si="1"/>
        <v>0</v>
      </c>
      <c r="Z34" s="375">
        <f>'16'!Z34</f>
        <v>0</v>
      </c>
      <c r="AA34" s="464">
        <f>'16'!AE34</f>
        <v>0</v>
      </c>
      <c r="AB34" s="460"/>
      <c r="AC34" s="462">
        <f t="shared" si="2"/>
        <v>0</v>
      </c>
      <c r="AD34" s="469"/>
      <c r="AE34" s="348">
        <f t="shared" si="3"/>
        <v>0</v>
      </c>
      <c r="AF34" s="563">
        <f>'16'!AF34:AF35+'17'!AB34</f>
        <v>0</v>
      </c>
      <c r="AG34" s="234">
        <f>'16'!AG34+'17'!AD34</f>
        <v>0</v>
      </c>
    </row>
    <row r="35" spans="1:40" ht="27" customHeight="1" thickTop="1">
      <c r="A35" s="716" t="str">
        <f>'16'!A35</f>
        <v>OVEN &amp; PP MACHINE</v>
      </c>
      <c r="B35" s="529"/>
      <c r="C35" s="348">
        <f>'16'!D35</f>
        <v>0</v>
      </c>
      <c r="D35" s="529">
        <f t="shared" si="9"/>
        <v>0</v>
      </c>
      <c r="F35" s="479" t="str">
        <f>'16'!F35</f>
        <v>IQBAL MORO</v>
      </c>
      <c r="G35" s="407">
        <f>'CUSTOMERS REPORT'!Y1067</f>
        <v>0</v>
      </c>
      <c r="H35" s="505">
        <f>'CUSTOMERS REPORT'!Z1067</f>
        <v>0</v>
      </c>
      <c r="I35" s="407">
        <f>'CUSTOMERS REPORT'!AA1067</f>
        <v>0</v>
      </c>
      <c r="J35" s="499">
        <f>'CUSTOMERS REPORT'!AB1067</f>
        <v>0</v>
      </c>
      <c r="K35" s="499">
        <f>'CUSTOMERS REPORT'!AC1067</f>
        <v>0</v>
      </c>
      <c r="L35" s="510">
        <f>'CUSTOMERS REPORT'!AD1067</f>
        <v>0</v>
      </c>
      <c r="M35" s="414">
        <f>'16'!M35+'17'!G35</f>
        <v>0</v>
      </c>
      <c r="N35" s="412">
        <f>'16'!N35+'17'!J35</f>
        <v>0</v>
      </c>
      <c r="P35" s="252" t="s">
        <v>151</v>
      </c>
      <c r="Q35" s="443">
        <f>'16'!Q35</f>
        <v>0</v>
      </c>
      <c r="R35" t="s">
        <v>1</v>
      </c>
      <c r="S35" s="399" t="str">
        <f>'16'!S35</f>
        <v>M A WHITE</v>
      </c>
      <c r="T35" s="446">
        <f>'16'!X35</f>
        <v>0</v>
      </c>
      <c r="U35" s="457"/>
      <c r="V35" s="452">
        <f t="shared" si="0"/>
        <v>0</v>
      </c>
      <c r="W35" s="452"/>
      <c r="X35" s="448">
        <f t="shared" si="1"/>
        <v>0</v>
      </c>
      <c r="Z35" s="375">
        <f>'16'!Z35</f>
        <v>0</v>
      </c>
      <c r="AA35" s="464">
        <f>'16'!AE35</f>
        <v>0</v>
      </c>
      <c r="AB35" s="460"/>
      <c r="AC35" s="462">
        <f t="shared" si="2"/>
        <v>0</v>
      </c>
      <c r="AD35" s="469"/>
      <c r="AE35" s="348">
        <f t="shared" si="3"/>
        <v>0</v>
      </c>
      <c r="AF35" s="563">
        <f>'16'!AF35:AF36+'17'!AB35</f>
        <v>0</v>
      </c>
      <c r="AG35" s="234">
        <f>'16'!AG35+'17'!AD35</f>
        <v>0</v>
      </c>
    </row>
    <row r="36" spans="1:40" ht="27" customHeight="1">
      <c r="A36" s="716" t="str">
        <f>'16'!A36</f>
        <v>zakat</v>
      </c>
      <c r="B36" s="539"/>
      <c r="C36" s="348">
        <f>'16'!D36</f>
        <v>0</v>
      </c>
      <c r="D36" s="529">
        <f t="shared" si="9"/>
        <v>0</v>
      </c>
      <c r="F36" s="479" t="str">
        <f>'16'!F36</f>
        <v>SARFARAZ T ADAM</v>
      </c>
      <c r="G36" s="407">
        <f>'CUSTOMERS REPORT'!Y1105</f>
        <v>0</v>
      </c>
      <c r="H36" s="505">
        <f>'CUSTOMERS REPORT'!Z1105</f>
        <v>0</v>
      </c>
      <c r="I36" s="407">
        <f>'CUSTOMERS REPORT'!AA1105</f>
        <v>0</v>
      </c>
      <c r="J36" s="499">
        <f>'CUSTOMERS REPORT'!AB1105</f>
        <v>0</v>
      </c>
      <c r="K36" s="499">
        <f>'CUSTOMERS REPORT'!AC1105</f>
        <v>0</v>
      </c>
      <c r="L36" s="510">
        <f>'CUSTOMERS REPORT'!AD1105</f>
        <v>0</v>
      </c>
      <c r="M36" s="414">
        <f>'16'!M36+'17'!G36</f>
        <v>0</v>
      </c>
      <c r="N36" s="412">
        <f>'16'!N36+'17'!J36</f>
        <v>0</v>
      </c>
      <c r="P36" s="372" t="s">
        <v>152</v>
      </c>
      <c r="Q36" s="444">
        <f>J48</f>
        <v>0</v>
      </c>
      <c r="R36" t="s">
        <v>1</v>
      </c>
      <c r="S36" s="399" t="str">
        <f>'16'!S36</f>
        <v>M A ORING</v>
      </c>
      <c r="T36" s="446">
        <f>'16'!X36</f>
        <v>0</v>
      </c>
      <c r="U36" s="456"/>
      <c r="V36" s="451">
        <f t="shared" si="0"/>
        <v>0</v>
      </c>
      <c r="W36" s="452"/>
      <c r="X36" s="448">
        <f t="shared" si="1"/>
        <v>0</v>
      </c>
      <c r="Z36" s="375">
        <f>'16'!Z36</f>
        <v>0</v>
      </c>
      <c r="AA36" s="464">
        <f>'16'!AE36</f>
        <v>0</v>
      </c>
      <c r="AB36" s="460"/>
      <c r="AC36" s="462">
        <f t="shared" si="2"/>
        <v>0</v>
      </c>
      <c r="AD36" s="469"/>
      <c r="AE36" s="348">
        <f t="shared" si="3"/>
        <v>0</v>
      </c>
      <c r="AF36" s="563">
        <f>'16'!AF36:AF37+'17'!AB36</f>
        <v>0</v>
      </c>
      <c r="AG36" s="234">
        <f>'16'!AG36+'17'!AD36</f>
        <v>0</v>
      </c>
    </row>
    <row r="37" spans="1:40" ht="27" customHeight="1">
      <c r="A37" s="716" t="str">
        <f>'16'!A37</f>
        <v>javeed manghopir</v>
      </c>
      <c r="B37" s="234"/>
      <c r="C37" s="348">
        <f>'16'!D37</f>
        <v>0</v>
      </c>
      <c r="D37" s="234">
        <f t="shared" si="9"/>
        <v>0</v>
      </c>
      <c r="F37" s="479" t="str">
        <f>'16'!F37</f>
        <v>MUMTAZ K N SHAH</v>
      </c>
      <c r="G37" s="406">
        <f>'CUSTOMERS REPORT'!Y1143</f>
        <v>0</v>
      </c>
      <c r="H37" s="504">
        <f>'CUSTOMERS REPORT'!Z1143</f>
        <v>0</v>
      </c>
      <c r="I37" s="406">
        <f>'CUSTOMERS REPORT'!AA1143</f>
        <v>0</v>
      </c>
      <c r="J37" s="498">
        <f>'CUSTOMERS REPORT'!AB1143</f>
        <v>0</v>
      </c>
      <c r="K37" s="498">
        <f>'CUSTOMERS REPORT'!AC1143</f>
        <v>0</v>
      </c>
      <c r="L37" s="509">
        <f>'CUSTOMERS REPORT'!AD1143</f>
        <v>0</v>
      </c>
      <c r="M37" s="414">
        <f>'16'!M37+'17'!G37</f>
        <v>0</v>
      </c>
      <c r="N37" s="412">
        <f>'16'!N37+'17'!J37</f>
        <v>0</v>
      </c>
      <c r="P37" s="373" t="s">
        <v>153</v>
      </c>
      <c r="Q37" s="445">
        <f>Q34+Q35+Q36</f>
        <v>0</v>
      </c>
      <c r="R37" t="s">
        <v>1</v>
      </c>
      <c r="S37" s="400">
        <f>'16'!S37</f>
        <v>0</v>
      </c>
      <c r="T37" s="446">
        <f>'16'!X37</f>
        <v>0</v>
      </c>
      <c r="U37" s="456"/>
      <c r="V37" s="451">
        <f t="shared" si="0"/>
        <v>0</v>
      </c>
      <c r="W37" s="452"/>
      <c r="X37" s="448">
        <f t="shared" si="1"/>
        <v>0</v>
      </c>
      <c r="Z37" s="375">
        <f>'16'!Z37</f>
        <v>0</v>
      </c>
      <c r="AA37" s="464">
        <f>'16'!AE37</f>
        <v>0</v>
      </c>
      <c r="AB37" s="460"/>
      <c r="AC37" s="462">
        <f t="shared" si="2"/>
        <v>0</v>
      </c>
      <c r="AD37" s="469"/>
      <c r="AE37" s="348">
        <f t="shared" si="3"/>
        <v>0</v>
      </c>
      <c r="AF37" s="563">
        <f>'16'!AF37:AF38+'17'!AB37</f>
        <v>0</v>
      </c>
      <c r="AG37" s="234">
        <f>'16'!AG37+'17'!AD37</f>
        <v>0</v>
      </c>
    </row>
    <row r="38" spans="1:40" ht="27" customHeight="1">
      <c r="A38" s="715" t="str">
        <f>'16'!A38</f>
        <v>EXSIS CASH</v>
      </c>
      <c r="B38" s="234"/>
      <c r="C38" s="348">
        <f>'16'!D38</f>
        <v>0</v>
      </c>
      <c r="D38" s="234">
        <f t="shared" si="9"/>
        <v>0</v>
      </c>
      <c r="F38" s="479" t="str">
        <f>'16'!F38</f>
        <v>GHULAM RASOOL QU</v>
      </c>
      <c r="G38" s="408">
        <f>'CUSTOMERS REPORT'!Y1180</f>
        <v>0</v>
      </c>
      <c r="H38" s="506">
        <f>'CUSTOMERS REPORT'!Z1180</f>
        <v>0</v>
      </c>
      <c r="I38" s="408">
        <f>'CUSTOMERS REPORT'!AA1180</f>
        <v>0</v>
      </c>
      <c r="J38" s="500">
        <f>'CUSTOMERS REPORT'!AB1180</f>
        <v>0</v>
      </c>
      <c r="K38" s="500">
        <f>'CUSTOMERS REPORT'!AC1180</f>
        <v>0</v>
      </c>
      <c r="L38" s="511">
        <f>'CUSTOMERS REPORT'!AD1180</f>
        <v>0</v>
      </c>
      <c r="M38" s="414">
        <f>'16'!M38+'17'!G38</f>
        <v>0</v>
      </c>
      <c r="N38" s="412">
        <f>'16'!N38+'17'!J38</f>
        <v>0</v>
      </c>
      <c r="P38" s="373" t="s">
        <v>154</v>
      </c>
      <c r="Q38" s="445">
        <f>D48</f>
        <v>2368180</v>
      </c>
      <c r="S38" s="400">
        <f>'16'!S38</f>
        <v>0</v>
      </c>
      <c r="T38" s="446">
        <f>'16'!X38</f>
        <v>0</v>
      </c>
      <c r="U38" s="456"/>
      <c r="V38" s="451">
        <f t="shared" si="0"/>
        <v>0</v>
      </c>
      <c r="W38" s="452"/>
      <c r="X38" s="448">
        <f t="shared" si="1"/>
        <v>0</v>
      </c>
      <c r="Z38" s="375">
        <f>'16'!Z38</f>
        <v>0</v>
      </c>
      <c r="AA38" s="464">
        <f>'16'!AE38</f>
        <v>0</v>
      </c>
      <c r="AB38" s="460"/>
      <c r="AC38" s="462">
        <f t="shared" si="2"/>
        <v>0</v>
      </c>
      <c r="AD38" s="469"/>
      <c r="AE38" s="348">
        <f t="shared" si="3"/>
        <v>0</v>
      </c>
      <c r="AF38" s="563">
        <f>'16'!AF38:AF39+'17'!AB38</f>
        <v>0</v>
      </c>
      <c r="AG38" s="234">
        <f>'16'!AG38+'17'!AD38</f>
        <v>0</v>
      </c>
    </row>
    <row r="39" spans="1:40" ht="27" customHeight="1">
      <c r="A39" s="715" t="str">
        <f>'16'!A39</f>
        <v>SHORT CASH</v>
      </c>
      <c r="B39" s="234"/>
      <c r="C39" s="348">
        <f>'16'!D39</f>
        <v>1950</v>
      </c>
      <c r="D39" s="550">
        <f t="shared" si="9"/>
        <v>1950</v>
      </c>
      <c r="F39" s="479" t="str">
        <f>'16'!F39</f>
        <v>SHAMSHAD UNCLE</v>
      </c>
      <c r="G39" s="406">
        <f>'CUSTOMERS REPORT'!Y1217</f>
        <v>0</v>
      </c>
      <c r="H39" s="504">
        <f>'CUSTOMERS REPORT'!Z1217</f>
        <v>0</v>
      </c>
      <c r="I39" s="406">
        <f>'CUSTOMERS REPORT'!AA1217</f>
        <v>0</v>
      </c>
      <c r="J39" s="498">
        <f>'CUSTOMERS REPORT'!AB1217</f>
        <v>0</v>
      </c>
      <c r="K39" s="498">
        <f>'CUSTOMERS REPORT'!AC1217</f>
        <v>0</v>
      </c>
      <c r="L39" s="509">
        <f>'CUSTOMERS REPORT'!AD1217</f>
        <v>0</v>
      </c>
      <c r="M39" s="414">
        <f>'16'!M39+'17'!G39</f>
        <v>0</v>
      </c>
      <c r="N39" s="412">
        <f>'16'!N39+'17'!J39</f>
        <v>0</v>
      </c>
      <c r="P39" s="373" t="s">
        <v>109</v>
      </c>
      <c r="Q39" s="445">
        <f>'16'!Q39+'17'!Q25+'17'!Q26+'17'!Q27+'17'!Q28+'17'!Q29+'17'!Q30+'17'!Q31</f>
        <v>0</v>
      </c>
      <c r="R39" t="s">
        <v>1</v>
      </c>
      <c r="S39" s="400">
        <f>'16'!S39</f>
        <v>0</v>
      </c>
      <c r="T39" s="446">
        <f>'16'!X39</f>
        <v>0</v>
      </c>
      <c r="U39" s="456"/>
      <c r="V39" s="451">
        <f t="shared" si="0"/>
        <v>0</v>
      </c>
      <c r="W39" s="452"/>
      <c r="X39" s="448">
        <f t="shared" si="1"/>
        <v>0</v>
      </c>
      <c r="Z39" s="375">
        <f>'16'!Z39</f>
        <v>0</v>
      </c>
      <c r="AA39" s="464">
        <f>'16'!AE39</f>
        <v>0</v>
      </c>
      <c r="AB39" s="460"/>
      <c r="AC39" s="462">
        <f t="shared" si="2"/>
        <v>0</v>
      </c>
      <c r="AD39" s="469"/>
      <c r="AE39" s="348">
        <f t="shared" si="3"/>
        <v>0</v>
      </c>
      <c r="AF39" s="563">
        <f>'16'!AF39:AF40+'17'!AB39</f>
        <v>0</v>
      </c>
      <c r="AG39" s="234">
        <f>'16'!AG39+'17'!AD39</f>
        <v>0</v>
      </c>
    </row>
    <row r="40" spans="1:40" ht="27" customHeight="1" thickBot="1">
      <c r="A40" s="715" t="str">
        <f>'16'!A40</f>
        <v>ASSETS</v>
      </c>
      <c r="B40" s="234"/>
      <c r="C40" s="348">
        <f>'16'!D40</f>
        <v>0</v>
      </c>
      <c r="D40" s="234">
        <f t="shared" si="9"/>
        <v>0</v>
      </c>
      <c r="F40" s="479" t="str">
        <f>'16'!F40</f>
        <v>IBRAHEEM D.G KHAN</v>
      </c>
      <c r="G40" s="406">
        <f>'CUSTOMERS REPORT'!Y1254</f>
        <v>0</v>
      </c>
      <c r="H40" s="504">
        <f>'CUSTOMERS REPORT'!Z1254</f>
        <v>0</v>
      </c>
      <c r="I40" s="406">
        <f>'CUSTOMERS REPORT'!AA1254</f>
        <v>0</v>
      </c>
      <c r="J40" s="498">
        <f>'CUSTOMERS REPORT'!AB1254</f>
        <v>0</v>
      </c>
      <c r="K40" s="498">
        <f>'CUSTOMERS REPORT'!AC1254</f>
        <v>0</v>
      </c>
      <c r="L40" s="509">
        <f>'CUSTOMERS REPORT'!AD1254</f>
        <v>0</v>
      </c>
      <c r="M40" s="414">
        <f>'16'!M40+'17'!G40</f>
        <v>0</v>
      </c>
      <c r="N40" s="412">
        <f>'16'!N40+'17'!J40</f>
        <v>0</v>
      </c>
      <c r="P40" s="374" t="s">
        <v>155</v>
      </c>
      <c r="Q40" s="445">
        <f>Q48</f>
        <v>-2368180</v>
      </c>
      <c r="S40" s="400">
        <f>'16'!S40</f>
        <v>0</v>
      </c>
      <c r="T40" s="446">
        <f>'16'!X40</f>
        <v>0</v>
      </c>
      <c r="U40" s="456"/>
      <c r="V40" s="451">
        <f t="shared" si="0"/>
        <v>0</v>
      </c>
      <c r="W40" s="452"/>
      <c r="X40" s="448">
        <f t="shared" si="1"/>
        <v>0</v>
      </c>
      <c r="Z40" s="375">
        <f>'16'!Z40</f>
        <v>0</v>
      </c>
      <c r="AA40" s="464">
        <f>'16'!AE40</f>
        <v>0</v>
      </c>
      <c r="AB40" s="460"/>
      <c r="AC40" s="462">
        <f t="shared" si="2"/>
        <v>0</v>
      </c>
      <c r="AD40" s="469"/>
      <c r="AE40" s="348">
        <f t="shared" si="3"/>
        <v>0</v>
      </c>
      <c r="AF40" s="563">
        <f>'16'!AF40:AF41+'17'!AB40</f>
        <v>0</v>
      </c>
      <c r="AG40" s="234">
        <f>'16'!AG40+'17'!AD40</f>
        <v>0</v>
      </c>
    </row>
    <row r="41" spans="1:40" ht="27" customHeight="1" thickTop="1" thickBot="1">
      <c r="A41" s="715" t="str">
        <f>'16'!A41</f>
        <v>BIKE.INSTALMINT</v>
      </c>
      <c r="B41" s="234"/>
      <c r="C41" s="348">
        <f>'16'!D41</f>
        <v>0</v>
      </c>
      <c r="D41" s="234">
        <f t="shared" si="9"/>
        <v>0</v>
      </c>
      <c r="E41" t="s">
        <v>1</v>
      </c>
      <c r="F41" s="479" t="str">
        <f>'16'!F41</f>
        <v>PISHAWAR</v>
      </c>
      <c r="G41" s="409">
        <f>'CUSTOMERS REPORT'!Y1291</f>
        <v>0</v>
      </c>
      <c r="H41" s="507">
        <f>'CUSTOMERS REPORT'!Z1291</f>
        <v>0</v>
      </c>
      <c r="I41" s="409">
        <f>'CUSTOMERS REPORT'!AA1291</f>
        <v>0</v>
      </c>
      <c r="J41" s="501">
        <f>'CUSTOMERS REPORT'!AB1291</f>
        <v>0</v>
      </c>
      <c r="K41" s="501">
        <f>'CUSTOMERS REPORT'!AC1291</f>
        <v>0</v>
      </c>
      <c r="L41" s="512">
        <f>'CUSTOMERS REPORT'!AD1291</f>
        <v>0</v>
      </c>
      <c r="M41" s="414">
        <f>'16'!M41+'17'!G41</f>
        <v>0</v>
      </c>
      <c r="N41" s="412">
        <f>'16'!N41+'17'!J41</f>
        <v>0</v>
      </c>
      <c r="P41" s="221" t="s">
        <v>51</v>
      </c>
      <c r="Q41" s="223">
        <f>Q37-Q38-Q39-Q40</f>
        <v>0</v>
      </c>
      <c r="S41" s="400">
        <f>'16'!S41</f>
        <v>0</v>
      </c>
      <c r="T41" s="446">
        <f>'16'!X41</f>
        <v>0</v>
      </c>
      <c r="U41" s="456"/>
      <c r="V41" s="451">
        <f t="shared" si="0"/>
        <v>0</v>
      </c>
      <c r="W41" s="452"/>
      <c r="X41" s="448">
        <f t="shared" si="1"/>
        <v>0</v>
      </c>
      <c r="Z41" s="375">
        <f>'16'!Z41</f>
        <v>0</v>
      </c>
      <c r="AA41" s="464">
        <f>'16'!AE41</f>
        <v>0</v>
      </c>
      <c r="AB41" s="460"/>
      <c r="AC41" s="462">
        <f t="shared" si="2"/>
        <v>0</v>
      </c>
      <c r="AD41" s="469"/>
      <c r="AE41" s="348">
        <f t="shared" si="3"/>
        <v>0</v>
      </c>
      <c r="AF41" s="563">
        <f>'16'!AF41:AF42+'17'!AB41</f>
        <v>0</v>
      </c>
      <c r="AG41" s="234">
        <f>'16'!AG41+'17'!AD41</f>
        <v>0</v>
      </c>
    </row>
    <row r="42" spans="1:40" ht="27" customHeight="1" thickTop="1" thickBot="1">
      <c r="A42" s="715" t="str">
        <f>'16'!A42</f>
        <v>B.C</v>
      </c>
      <c r="B42" s="529"/>
      <c r="C42" s="348">
        <f>'16'!D42</f>
        <v>0</v>
      </c>
      <c r="D42" s="529">
        <f t="shared" si="9"/>
        <v>0</v>
      </c>
      <c r="F42" s="479" t="str">
        <f>'16'!F42</f>
        <v>HUZAFA KOTRI</v>
      </c>
      <c r="G42" s="409">
        <f>'CUSTOMERS REPORT'!Y1328</f>
        <v>0</v>
      </c>
      <c r="H42" s="507">
        <f>'CUSTOMERS REPORT'!Z1328</f>
        <v>0</v>
      </c>
      <c r="I42" s="409">
        <f>'CUSTOMERS REPORT'!AA1328</f>
        <v>0</v>
      </c>
      <c r="J42" s="501">
        <f>'CUSTOMERS REPORT'!AB1328</f>
        <v>0</v>
      </c>
      <c r="K42" s="501">
        <f>'CUSTOMERS REPORT'!AC1328</f>
        <v>0</v>
      </c>
      <c r="L42" s="512">
        <f>'CUSTOMERS REPORT'!AD1328</f>
        <v>0</v>
      </c>
      <c r="M42" s="414">
        <f>'16'!M42+'17'!G42</f>
        <v>0</v>
      </c>
      <c r="N42" s="412">
        <f>'16'!N42+'17'!J42</f>
        <v>0</v>
      </c>
      <c r="P42" s="1499" t="s">
        <v>157</v>
      </c>
      <c r="Q42" s="1500"/>
      <c r="S42" s="400">
        <f>'16'!S42</f>
        <v>0</v>
      </c>
      <c r="T42" s="446">
        <f>'16'!X42</f>
        <v>0</v>
      </c>
      <c r="U42" s="458"/>
      <c r="V42" s="453">
        <f t="shared" si="0"/>
        <v>0</v>
      </c>
      <c r="W42" s="454"/>
      <c r="X42" s="449">
        <f t="shared" si="1"/>
        <v>0</v>
      </c>
      <c r="Z42" s="375">
        <f>'16'!Z42</f>
        <v>0</v>
      </c>
      <c r="AA42" s="464">
        <f>'16'!AE42</f>
        <v>0</v>
      </c>
      <c r="AB42" s="461"/>
      <c r="AC42" s="462">
        <f>AA42+AB42</f>
        <v>0</v>
      </c>
      <c r="AD42" s="470"/>
      <c r="AE42" s="348">
        <f t="shared" si="3"/>
        <v>0</v>
      </c>
      <c r="AF42" s="564">
        <f>'16'!AF42:AF43+'17'!AB42</f>
        <v>0</v>
      </c>
      <c r="AG42" s="572">
        <f>'16'!AG42+'17'!AD42</f>
        <v>0</v>
      </c>
    </row>
    <row r="43" spans="1:40" ht="27" customHeight="1" thickTop="1" thickBot="1">
      <c r="A43" s="715" t="str">
        <f>'16'!A43</f>
        <v>AQEEL</v>
      </c>
      <c r="B43" s="539"/>
      <c r="C43" s="348">
        <f>'16'!D43</f>
        <v>0</v>
      </c>
      <c r="D43" s="529">
        <f t="shared" si="9"/>
        <v>0</v>
      </c>
      <c r="F43" s="479" t="str">
        <f>'16'!F43</f>
        <v>ZAHID LAHORE</v>
      </c>
      <c r="G43" s="409">
        <f>'CUSTOMERS REPORT'!Y1365</f>
        <v>0</v>
      </c>
      <c r="H43" s="507">
        <f>'CUSTOMERS REPORT'!Z1365</f>
        <v>0</v>
      </c>
      <c r="I43" s="409">
        <f>'CUSTOMERS REPORT'!AA1365</f>
        <v>0</v>
      </c>
      <c r="J43" s="501">
        <f>'CUSTOMERS REPORT'!AB1365</f>
        <v>0</v>
      </c>
      <c r="K43" s="501">
        <f>'CUSTOMERS REPORT'!AC1365</f>
        <v>0</v>
      </c>
      <c r="L43" s="512">
        <f>'CUSTOMERS REPORT'!AD1365</f>
        <v>0</v>
      </c>
      <c r="M43" s="414">
        <f>'16'!M43+'17'!G43</f>
        <v>0</v>
      </c>
      <c r="N43" s="412">
        <f>'16'!N43+'17'!J43</f>
        <v>0</v>
      </c>
      <c r="P43" s="220" t="s">
        <v>124</v>
      </c>
      <c r="Q43" s="223">
        <f>'16'!Q48</f>
        <v>-1415250</v>
      </c>
      <c r="R43" t="s">
        <v>1</v>
      </c>
      <c r="S43" s="400">
        <f>'16'!S43</f>
        <v>0</v>
      </c>
      <c r="T43" s="446">
        <f>'16'!X43</f>
        <v>0</v>
      </c>
      <c r="U43" s="358"/>
      <c r="V43" s="453">
        <f t="shared" si="0"/>
        <v>0</v>
      </c>
      <c r="W43" s="403"/>
      <c r="X43" s="449">
        <f t="shared" si="1"/>
        <v>0</v>
      </c>
      <c r="Z43" s="383"/>
      <c r="AA43" s="356">
        <f>SUM(AA8:AA42)</f>
        <v>-1233350</v>
      </c>
      <c r="AB43" s="385">
        <f>SUM(AB8:AB42)</f>
        <v>520000</v>
      </c>
      <c r="AC43" s="357" t="s">
        <v>74</v>
      </c>
      <c r="AD43" s="387">
        <f>SUM(AD8:AD42)</f>
        <v>729650</v>
      </c>
      <c r="AE43" s="358">
        <f>SUM(AE8:AE42)</f>
        <v>-1443000</v>
      </c>
      <c r="AF43" s="565">
        <f>SUM(AF8:AF42)</f>
        <v>661250</v>
      </c>
      <c r="AG43" s="571">
        <f>SUM(AG8:AG42)</f>
        <v>2104250</v>
      </c>
    </row>
    <row r="44" spans="1:40" ht="27" customHeight="1" thickTop="1">
      <c r="A44" s="715" t="str">
        <f>'16'!A44</f>
        <v>M.YOUSUF</v>
      </c>
      <c r="B44" s="234">
        <v>20000</v>
      </c>
      <c r="C44" s="348">
        <f>'16'!D44</f>
        <v>0</v>
      </c>
      <c r="D44" s="234">
        <f t="shared" si="9"/>
        <v>20000</v>
      </c>
      <c r="F44" s="479" t="str">
        <f>'16'!F44</f>
        <v>CASH SALE</v>
      </c>
      <c r="G44" s="409">
        <f>'CUSTOMERS REPORT'!Y1402</f>
        <v>0</v>
      </c>
      <c r="H44" s="507">
        <f>'CUSTOMERS REPORT'!Z1402</f>
        <v>0</v>
      </c>
      <c r="I44" s="409">
        <f>'CUSTOMERS REPORT'!AA1402</f>
        <v>0</v>
      </c>
      <c r="J44" s="501">
        <f>'CUSTOMERS REPORT'!AB1402</f>
        <v>0</v>
      </c>
      <c r="K44" s="501">
        <f>'CUSTOMERS REPORT'!AC1402</f>
        <v>0</v>
      </c>
      <c r="L44" s="512">
        <f>'CUSTOMERS REPORT'!AD1402</f>
        <v>0</v>
      </c>
      <c r="M44" s="414">
        <f>'16'!M44+'17'!G44</f>
        <v>0</v>
      </c>
      <c r="N44" s="412">
        <f>'16'!N44+'17'!J44</f>
        <v>0</v>
      </c>
      <c r="P44" s="222" t="s">
        <v>114</v>
      </c>
      <c r="Q44" s="377">
        <f>J46</f>
        <v>0</v>
      </c>
      <c r="S44" s="400"/>
      <c r="T44" s="348"/>
      <c r="U44" s="306"/>
      <c r="V44" s="349"/>
      <c r="W44" s="351"/>
      <c r="X44" s="350"/>
      <c r="Z44" s="375"/>
      <c r="AA44" s="339"/>
      <c r="AB44" s="386">
        <f>'16'!AB45</f>
        <v>141250</v>
      </c>
      <c r="AC44" s="340" t="s">
        <v>126</v>
      </c>
      <c r="AD44" s="388">
        <f>'16'!AD45</f>
        <v>1374600</v>
      </c>
      <c r="AE44" s="341"/>
      <c r="AF44" s="561"/>
      <c r="AG44" s="83" t="s">
        <v>1</v>
      </c>
    </row>
    <row r="45" spans="1:40" ht="27" customHeight="1" thickBot="1">
      <c r="A45" s="715" t="str">
        <f>'16'!A45</f>
        <v>SHAKEEL</v>
      </c>
      <c r="B45" s="234"/>
      <c r="C45" s="348">
        <f>'16'!D45</f>
        <v>0</v>
      </c>
      <c r="D45" s="234">
        <f t="shared" si="9"/>
        <v>0</v>
      </c>
      <c r="F45" s="479" t="str">
        <f>'16'!F45</f>
        <v xml:space="preserve">FREE </v>
      </c>
      <c r="G45" s="410">
        <f>'CUSTOMERS REPORT'!Y1438</f>
        <v>0</v>
      </c>
      <c r="H45" s="362">
        <f>'CUSTOMERS REPORT'!Z1438</f>
        <v>0</v>
      </c>
      <c r="I45" s="410">
        <f>'CUSTOMERS REPORT'!AA1438</f>
        <v>0</v>
      </c>
      <c r="J45" s="502">
        <f>'CUSTOMERS REPORT'!AB1438</f>
        <v>0</v>
      </c>
      <c r="K45" s="502">
        <f>'CUSTOMERS REPORT'!AC1438</f>
        <v>0</v>
      </c>
      <c r="L45" s="513">
        <f>'CUSTOMERS REPORT'!AD1438</f>
        <v>0</v>
      </c>
      <c r="M45" s="414">
        <f>'16'!M45+'17'!G45</f>
        <v>0</v>
      </c>
      <c r="N45" s="412">
        <f>'16'!N45+'17'!J45</f>
        <v>0</v>
      </c>
      <c r="P45" s="222" t="s">
        <v>153</v>
      </c>
      <c r="Q45" s="378">
        <f>Q43+Q44</f>
        <v>-1415250</v>
      </c>
      <c r="S45" s="401"/>
      <c r="T45" s="352"/>
      <c r="U45" s="307"/>
      <c r="V45" s="353"/>
      <c r="W45" s="354"/>
      <c r="X45" s="355"/>
      <c r="Z45" s="384"/>
      <c r="AA45" s="359"/>
      <c r="AB45" s="390">
        <f>SUM(AB43:AB44)</f>
        <v>661250</v>
      </c>
      <c r="AC45" s="360" t="s">
        <v>74</v>
      </c>
      <c r="AD45" s="389">
        <f>SUM(AD43:AD44)</f>
        <v>2104250</v>
      </c>
      <c r="AE45" s="361"/>
      <c r="AF45" s="562"/>
      <c r="AG45" s="573"/>
    </row>
    <row r="46" spans="1:40" ht="27" customHeight="1" thickTop="1" thickBot="1">
      <c r="A46" s="715" t="str">
        <f>'16'!A46</f>
        <v>ZAHID HUSSAN</v>
      </c>
      <c r="B46" s="234"/>
      <c r="C46" s="348">
        <f>'16'!D46</f>
        <v>0</v>
      </c>
      <c r="D46" s="234">
        <f t="shared" si="9"/>
        <v>0</v>
      </c>
      <c r="F46" s="369"/>
      <c r="G46" s="424">
        <f>SUM(G8:G45)</f>
        <v>0</v>
      </c>
      <c r="H46" s="1497" t="s">
        <v>160</v>
      </c>
      <c r="I46" s="1498"/>
      <c r="J46" s="421">
        <f>SUM(J8:J45)</f>
        <v>0</v>
      </c>
      <c r="K46" s="427">
        <f>SUM(K8:K45)</f>
        <v>0</v>
      </c>
      <c r="L46" s="431">
        <f>SUM(L8:L45)</f>
        <v>0</v>
      </c>
      <c r="M46" s="429">
        <f>SUM(M8:M45)</f>
        <v>0</v>
      </c>
      <c r="N46" s="430">
        <f>SUM(N8:N45)</f>
        <v>0</v>
      </c>
      <c r="P46" s="222" t="s">
        <v>154</v>
      </c>
      <c r="Q46" s="378">
        <f>B48</f>
        <v>952930</v>
      </c>
    </row>
    <row r="47" spans="1:40" ht="27" customHeight="1" thickBot="1">
      <c r="A47" s="715" t="str">
        <f>'16'!A47</f>
        <v xml:space="preserve">INVESTOR </v>
      </c>
      <c r="B47" s="540"/>
      <c r="C47" s="348">
        <f>'16'!D47</f>
        <v>0</v>
      </c>
      <c r="D47" s="542">
        <f t="shared" si="9"/>
        <v>0</v>
      </c>
      <c r="F47" s="370"/>
      <c r="G47" s="425">
        <f>'16'!G48</f>
        <v>0</v>
      </c>
      <c r="H47" s="1512" t="s">
        <v>162</v>
      </c>
      <c r="I47" s="1513"/>
      <c r="J47" s="423">
        <f>'16'!J48</f>
        <v>0</v>
      </c>
      <c r="K47" s="423">
        <f>'16'!K48</f>
        <v>0</v>
      </c>
      <c r="L47" s="343"/>
      <c r="M47" s="344"/>
      <c r="N47" s="345"/>
      <c r="P47" s="375" t="s">
        <v>163</v>
      </c>
      <c r="Q47" s="378">
        <f>Q9+Q18+Q19+Q20+Q21+Q22</f>
        <v>0</v>
      </c>
      <c r="R47" s="19"/>
      <c r="S47" s="1489" t="s">
        <v>92</v>
      </c>
      <c r="T47" s="1516" t="s">
        <v>95</v>
      </c>
      <c r="U47" s="1518"/>
      <c r="V47" s="1518"/>
      <c r="W47" s="1517"/>
      <c r="X47" s="1516" t="s">
        <v>7</v>
      </c>
      <c r="Y47" s="1518"/>
      <c r="Z47" s="1517"/>
      <c r="AA47" s="1516" t="s">
        <v>8</v>
      </c>
      <c r="AB47" s="1517"/>
      <c r="AC47" s="1516" t="s">
        <v>9</v>
      </c>
      <c r="AD47" s="1518"/>
      <c r="AE47" s="1518"/>
      <c r="AF47" s="1518"/>
      <c r="AG47" s="1518"/>
      <c r="AH47" s="1518"/>
      <c r="AI47" s="1518"/>
      <c r="AJ47" s="1405" t="s">
        <v>10</v>
      </c>
      <c r="AK47" s="1406"/>
      <c r="AL47" s="1400" t="s">
        <v>289</v>
      </c>
      <c r="AM47" s="1401"/>
      <c r="AN47" s="842" t="s">
        <v>290</v>
      </c>
    </row>
    <row r="48" spans="1:40" ht="27" customHeight="1" thickTop="1" thickBot="1">
      <c r="A48" s="192" t="s">
        <v>74</v>
      </c>
      <c r="B48" s="544">
        <f>SUM(B22:B47)</f>
        <v>952930</v>
      </c>
      <c r="C48" s="543">
        <f>'16'!D48</f>
        <v>1415250</v>
      </c>
      <c r="D48" s="544">
        <f t="shared" si="9"/>
        <v>2368180</v>
      </c>
      <c r="F48" s="371"/>
      <c r="G48" s="426">
        <f>G46+G47</f>
        <v>0</v>
      </c>
      <c r="H48" s="1495" t="s">
        <v>164</v>
      </c>
      <c r="I48" s="1496"/>
      <c r="J48" s="422">
        <f>J46+J47</f>
        <v>0</v>
      </c>
      <c r="K48" s="428">
        <f>K46+K47</f>
        <v>0</v>
      </c>
      <c r="L48" s="346"/>
      <c r="M48" s="347"/>
      <c r="N48" s="622">
        <f>G48-J48</f>
        <v>0</v>
      </c>
      <c r="P48" s="376" t="s">
        <v>155</v>
      </c>
      <c r="Q48" s="379">
        <f>Q45-Q46-Q47</f>
        <v>-2368180</v>
      </c>
      <c r="R48" s="19"/>
      <c r="S48" s="1490"/>
      <c r="T48" s="482" t="s">
        <v>12</v>
      </c>
      <c r="U48" s="482" t="s">
        <v>13</v>
      </c>
      <c r="V48" s="482" t="s">
        <v>14</v>
      </c>
      <c r="W48" s="958" t="s">
        <v>263</v>
      </c>
      <c r="X48" s="482" t="s">
        <v>12</v>
      </c>
      <c r="Y48" s="482" t="s">
        <v>13</v>
      </c>
      <c r="Z48" s="482" t="s">
        <v>282</v>
      </c>
      <c r="AA48" s="482" t="s">
        <v>12</v>
      </c>
      <c r="AB48" s="482" t="s">
        <v>16</v>
      </c>
      <c r="AC48" s="482" t="s">
        <v>17</v>
      </c>
      <c r="AD48" s="482" t="s">
        <v>18</v>
      </c>
      <c r="AE48" s="482" t="s">
        <v>19</v>
      </c>
      <c r="AF48" s="484" t="s">
        <v>96</v>
      </c>
      <c r="AG48" s="484" t="s">
        <v>257</v>
      </c>
      <c r="AH48" s="482" t="s">
        <v>254</v>
      </c>
      <c r="AI48" s="482" t="s">
        <v>20</v>
      </c>
      <c r="AJ48" s="483" t="s">
        <v>14</v>
      </c>
      <c r="AK48" s="482" t="s">
        <v>13</v>
      </c>
      <c r="AL48" s="846" t="s">
        <v>284</v>
      </c>
      <c r="AM48" s="846" t="s">
        <v>288</v>
      </c>
      <c r="AN48" s="966" t="s">
        <v>291</v>
      </c>
    </row>
    <row r="49" spans="1:40" ht="24.95" customHeight="1" thickTop="1" thickBot="1">
      <c r="R49" s="19"/>
      <c r="S49" s="865" t="s">
        <v>165</v>
      </c>
      <c r="T49" s="866">
        <f>'16'!T55</f>
        <v>0</v>
      </c>
      <c r="U49" s="866">
        <f>'16'!U55</f>
        <v>0</v>
      </c>
      <c r="V49" s="866">
        <f>'16'!V55</f>
        <v>-2</v>
      </c>
      <c r="W49" s="866">
        <f>'16'!W55</f>
        <v>0</v>
      </c>
      <c r="X49" s="866">
        <f>'16'!X55</f>
        <v>0</v>
      </c>
      <c r="Y49" s="866">
        <f>'16'!Y55</f>
        <v>0</v>
      </c>
      <c r="Z49" s="866">
        <f>'16'!Z55</f>
        <v>-2</v>
      </c>
      <c r="AA49" s="866">
        <f>'16'!AA55</f>
        <v>0</v>
      </c>
      <c r="AB49" s="866">
        <f>'16'!AB55</f>
        <v>0</v>
      </c>
      <c r="AC49" s="866">
        <f>'16'!AC55</f>
        <v>1254</v>
      </c>
      <c r="AD49" s="866">
        <f>'16'!AD55</f>
        <v>222</v>
      </c>
      <c r="AE49" s="866">
        <f>'16'!AE55</f>
        <v>0</v>
      </c>
      <c r="AF49" s="866">
        <f>'16'!AF55</f>
        <v>763</v>
      </c>
      <c r="AG49" s="866">
        <f>'16'!AG55</f>
        <v>646</v>
      </c>
      <c r="AH49" s="866">
        <f>'16'!AH55</f>
        <v>854</v>
      </c>
      <c r="AI49" s="866">
        <f>'16'!AI55</f>
        <v>631</v>
      </c>
      <c r="AJ49" s="866">
        <f>'16'!AJ55</f>
        <v>0</v>
      </c>
      <c r="AK49" s="866">
        <f>'16'!AK55</f>
        <v>-1</v>
      </c>
      <c r="AL49" s="866" t="e">
        <f>'16'!AL55</f>
        <v>#VALUE!</v>
      </c>
      <c r="AM49" s="866" t="e">
        <f>'16'!AM55</f>
        <v>#VALUE!</v>
      </c>
      <c r="AN49" s="866" t="e">
        <f>'16'!AN55</f>
        <v>#VALUE!</v>
      </c>
    </row>
    <row r="50" spans="1:40" ht="24.95" customHeight="1" thickBot="1">
      <c r="C50" t="s">
        <v>1</v>
      </c>
      <c r="L50" s="417">
        <v>5000</v>
      </c>
      <c r="M50" s="417"/>
      <c r="N50" s="417">
        <f t="shared" ref="N50:N57" si="10">L50*M50</f>
        <v>0</v>
      </c>
      <c r="R50" s="19"/>
      <c r="S50" s="854" t="s">
        <v>166</v>
      </c>
      <c r="T50" s="852"/>
      <c r="U50" s="852"/>
      <c r="V50" s="852"/>
      <c r="W50" s="852"/>
      <c r="X50" s="852"/>
      <c r="Y50" s="852"/>
      <c r="Z50" s="852"/>
      <c r="AA50" s="852"/>
      <c r="AB50" s="852"/>
      <c r="AC50" s="852">
        <v>430</v>
      </c>
      <c r="AD50" s="852"/>
      <c r="AE50" s="852"/>
      <c r="AF50" s="852">
        <v>375</v>
      </c>
      <c r="AG50" s="855">
        <v>186</v>
      </c>
      <c r="AH50" s="852">
        <v>285</v>
      </c>
      <c r="AI50" s="852"/>
      <c r="AJ50" s="848"/>
      <c r="AK50" s="848"/>
      <c r="AL50" s="849"/>
      <c r="AM50" s="849"/>
      <c r="AN50" s="930"/>
    </row>
    <row r="51" spans="1:40" ht="24.95" customHeight="1" thickBot="1">
      <c r="L51" s="417">
        <v>1000</v>
      </c>
      <c r="M51" s="417"/>
      <c r="N51" s="417">
        <f t="shared" si="10"/>
        <v>0</v>
      </c>
      <c r="R51" s="19"/>
      <c r="S51" s="867" t="s">
        <v>91</v>
      </c>
      <c r="T51" s="868"/>
      <c r="U51" s="868"/>
      <c r="V51" s="868"/>
      <c r="W51" s="868"/>
      <c r="X51" s="868"/>
      <c r="Y51" s="868"/>
      <c r="Z51" s="868"/>
      <c r="AA51" s="868">
        <v>12</v>
      </c>
      <c r="AB51" s="868"/>
      <c r="AC51" s="868"/>
      <c r="AD51" s="868"/>
      <c r="AE51" s="868"/>
      <c r="AF51" s="868"/>
      <c r="AG51" s="869">
        <v>1</v>
      </c>
      <c r="AH51" s="868"/>
      <c r="AI51" s="870"/>
      <c r="AJ51" s="868"/>
      <c r="AK51" s="868"/>
      <c r="AL51" s="849"/>
      <c r="AM51" s="849"/>
      <c r="AN51" s="850"/>
    </row>
    <row r="52" spans="1:40" ht="24.95" customHeight="1" thickBot="1">
      <c r="L52" s="417">
        <v>500</v>
      </c>
      <c r="M52" s="417"/>
      <c r="N52" s="417">
        <f t="shared" si="10"/>
        <v>0</v>
      </c>
      <c r="O52" t="s">
        <v>1</v>
      </c>
      <c r="R52" s="19"/>
      <c r="S52" s="856" t="s">
        <v>167</v>
      </c>
      <c r="T52" s="857"/>
      <c r="U52" s="857"/>
      <c r="V52" s="857"/>
      <c r="W52" s="857"/>
      <c r="X52" s="857"/>
      <c r="Y52" s="857"/>
      <c r="Z52" s="857"/>
      <c r="AA52" s="857"/>
      <c r="AB52" s="857"/>
      <c r="AC52" s="857"/>
      <c r="AD52" s="857"/>
      <c r="AE52" s="857"/>
      <c r="AF52" s="857"/>
      <c r="AG52" s="858"/>
      <c r="AH52" s="859"/>
      <c r="AI52" s="860"/>
      <c r="AJ52" s="851"/>
      <c r="AK52" s="851"/>
      <c r="AL52" s="849"/>
      <c r="AM52" s="849"/>
      <c r="AN52" s="850"/>
    </row>
    <row r="53" spans="1:40" ht="24.95" customHeight="1" thickBot="1">
      <c r="L53" s="417">
        <v>100</v>
      </c>
      <c r="M53" s="417"/>
      <c r="N53" s="417">
        <f t="shared" si="10"/>
        <v>0</v>
      </c>
      <c r="R53" s="19"/>
      <c r="S53" s="871" t="s">
        <v>81</v>
      </c>
      <c r="T53" s="866">
        <f t="shared" ref="T53:AN53" si="11">SUM(T49+T50+T52)</f>
        <v>0</v>
      </c>
      <c r="U53" s="866">
        <f t="shared" si="11"/>
        <v>0</v>
      </c>
      <c r="V53" s="866">
        <f t="shared" si="11"/>
        <v>-2</v>
      </c>
      <c r="W53" s="866">
        <f t="shared" si="11"/>
        <v>0</v>
      </c>
      <c r="X53" s="866">
        <f t="shared" si="11"/>
        <v>0</v>
      </c>
      <c r="Y53" s="866">
        <f t="shared" si="11"/>
        <v>0</v>
      </c>
      <c r="Z53" s="866">
        <f t="shared" si="11"/>
        <v>-2</v>
      </c>
      <c r="AA53" s="866">
        <f t="shared" si="11"/>
        <v>0</v>
      </c>
      <c r="AB53" s="866">
        <f t="shared" si="11"/>
        <v>0</v>
      </c>
      <c r="AC53" s="866">
        <f t="shared" si="11"/>
        <v>1684</v>
      </c>
      <c r="AD53" s="866">
        <f t="shared" si="11"/>
        <v>222</v>
      </c>
      <c r="AE53" s="866">
        <f t="shared" si="11"/>
        <v>0</v>
      </c>
      <c r="AF53" s="866">
        <f t="shared" si="11"/>
        <v>1138</v>
      </c>
      <c r="AG53" s="866">
        <f t="shared" si="11"/>
        <v>832</v>
      </c>
      <c r="AH53" s="866">
        <f t="shared" si="11"/>
        <v>1139</v>
      </c>
      <c r="AI53" s="866">
        <f t="shared" si="11"/>
        <v>631</v>
      </c>
      <c r="AJ53" s="866">
        <f t="shared" si="11"/>
        <v>0</v>
      </c>
      <c r="AK53" s="866">
        <f t="shared" si="11"/>
        <v>-1</v>
      </c>
      <c r="AL53" s="866" t="e">
        <f t="shared" si="11"/>
        <v>#VALUE!</v>
      </c>
      <c r="AM53" s="866" t="e">
        <f t="shared" si="11"/>
        <v>#VALUE!</v>
      </c>
      <c r="AN53" s="872" t="e">
        <f t="shared" si="11"/>
        <v>#VALUE!</v>
      </c>
    </row>
    <row r="54" spans="1:40" ht="24.95" customHeight="1" thickBot="1">
      <c r="L54" s="417">
        <v>50</v>
      </c>
      <c r="M54" s="417"/>
      <c r="N54" s="417">
        <f t="shared" si="10"/>
        <v>0</v>
      </c>
      <c r="R54" s="19"/>
      <c r="S54" s="854" t="s">
        <v>168</v>
      </c>
      <c r="T54" s="852">
        <f>'CUSTOMERS REPORT'!B24+'CUSTOMERS REPORT'!B70+'CUSTOMERS REPORT'!B108+'CUSTOMERS REPORT'!B147+'CUSTOMERS REPORT'!B185+'CUSTOMERS REPORT'!B225+'CUSTOMERS REPORT'!B262+'CUSTOMERS REPORT'!B302+'CUSTOMERS REPORT'!B343+'CUSTOMERS REPORT'!B385+'CUSTOMERS REPORT'!B424+'CUSTOMERS REPORT'!B462+'CUSTOMERS REPORT'!B498+'CUSTOMERS REPORT'!B535+'CUSTOMERS REPORT'!B573+'CUSTOMERS REPORT'!B609+'CUSTOMERS REPORT'!B647+'CUSTOMERS REPORT'!B685+'CUSTOMERS REPORT'!B723+'CUSTOMERS REPORT'!B761+'CUSTOMERS REPORT'!B799+'CUSTOMERS REPORT'!B837+'CUSTOMERS REPORT'!B875+'CUSTOMERS REPORT'!B914+'CUSTOMERS REPORT'!B953+'CUSTOMERS REPORT'!B991+'CUSTOMERS REPORT'!B1029+'CUSTOMERS REPORT'!B1067+'CUSTOMERS REPORT'!B1105+'CUSTOMERS REPORT'!B1143+'CUSTOMERS REPORT'!B1180+'CUSTOMERS REPORT'!B1217+'CUSTOMERS REPORT'!B1254+'CUSTOMERS REPORT'!B1291+'CUSTOMERS REPORT'!B1328+'CUSTOMERS REPORT'!B1365+'CUSTOMERS REPORT'!B1402+'CUSTOMERS REPORT'!B1438</f>
        <v>0</v>
      </c>
      <c r="U54" s="852">
        <f>'CUSTOMERS REPORT'!C24+'CUSTOMERS REPORT'!C70+'CUSTOMERS REPORT'!C108+'CUSTOMERS REPORT'!C147+'CUSTOMERS REPORT'!C185+'CUSTOMERS REPORT'!C225+'CUSTOMERS REPORT'!C262+'CUSTOMERS REPORT'!C302+'CUSTOMERS REPORT'!C343+'CUSTOMERS REPORT'!C385+'CUSTOMERS REPORT'!C424+'CUSTOMERS REPORT'!C462+'CUSTOMERS REPORT'!C498+'CUSTOMERS REPORT'!C535+'CUSTOMERS REPORT'!C573+'CUSTOMERS REPORT'!C609+'CUSTOMERS REPORT'!C647+'CUSTOMERS REPORT'!C685+'CUSTOMERS REPORT'!C723+'CUSTOMERS REPORT'!C761+'CUSTOMERS REPORT'!C799+'CUSTOMERS REPORT'!C837+'CUSTOMERS REPORT'!C875+'CUSTOMERS REPORT'!C914+'CUSTOMERS REPORT'!C953+'CUSTOMERS REPORT'!C991+'CUSTOMERS REPORT'!C1029+'CUSTOMERS REPORT'!C1067+'CUSTOMERS REPORT'!C1105+'CUSTOMERS REPORT'!C1143+'CUSTOMERS REPORT'!C1180+'CUSTOMERS REPORT'!C1217+'CUSTOMERS REPORT'!C1254+'CUSTOMERS REPORT'!C1291+'CUSTOMERS REPORT'!C1328+'CUSTOMERS REPORT'!C1365+'CUSTOMERS REPORT'!C1402+'CUSTOMERS REPORT'!C1438</f>
        <v>0</v>
      </c>
      <c r="V54" s="852">
        <f>'CUSTOMERS REPORT'!D24+'CUSTOMERS REPORT'!D70+'CUSTOMERS REPORT'!D108+'CUSTOMERS REPORT'!D147+'CUSTOMERS REPORT'!D185+'CUSTOMERS REPORT'!D225+'CUSTOMERS REPORT'!D262+'CUSTOMERS REPORT'!D302+'CUSTOMERS REPORT'!D343+'CUSTOMERS REPORT'!D385+'CUSTOMERS REPORT'!D424+'CUSTOMERS REPORT'!D462+'CUSTOMERS REPORT'!D498+'CUSTOMERS REPORT'!D535+'CUSTOMERS REPORT'!D573+'CUSTOMERS REPORT'!D609+'CUSTOMERS REPORT'!D647+'CUSTOMERS REPORT'!D685+'CUSTOMERS REPORT'!D723+'CUSTOMERS REPORT'!D761+'CUSTOMERS REPORT'!D799+'CUSTOMERS REPORT'!D837+'CUSTOMERS REPORT'!D875+'CUSTOMERS REPORT'!D914+'CUSTOMERS REPORT'!D953+'CUSTOMERS REPORT'!D991+'CUSTOMERS REPORT'!D1029+'CUSTOMERS REPORT'!D1067+'CUSTOMERS REPORT'!D1105+'CUSTOMERS REPORT'!D1143+'CUSTOMERS REPORT'!D1180+'CUSTOMERS REPORT'!D1217+'CUSTOMERS REPORT'!D1254+'CUSTOMERS REPORT'!D1291+'CUSTOMERS REPORT'!D1328+'CUSTOMERS REPORT'!D1365+'CUSTOMERS REPORT'!D1402+'CUSTOMERS REPORT'!D1438</f>
        <v>0</v>
      </c>
      <c r="W54" s="852">
        <f>'CUSTOMERS REPORT'!E24+'CUSTOMERS REPORT'!E70+'CUSTOMERS REPORT'!E108+'CUSTOMERS REPORT'!E147+'CUSTOMERS REPORT'!E185+'CUSTOMERS REPORT'!E225+'CUSTOMERS REPORT'!E262+'CUSTOMERS REPORT'!E302+'CUSTOMERS REPORT'!E343+'CUSTOMERS REPORT'!E385+'CUSTOMERS REPORT'!E424+'CUSTOMERS REPORT'!E462+'CUSTOMERS REPORT'!E498+'CUSTOMERS REPORT'!E535+'CUSTOMERS REPORT'!E573+'CUSTOMERS REPORT'!E609+'CUSTOMERS REPORT'!E647+'CUSTOMERS REPORT'!E685+'CUSTOMERS REPORT'!E723+'CUSTOMERS REPORT'!E761+'CUSTOMERS REPORT'!E799+'CUSTOMERS REPORT'!E837+'CUSTOMERS REPORT'!E875+'CUSTOMERS REPORT'!E914+'CUSTOMERS REPORT'!E953+'CUSTOMERS REPORT'!E991+'CUSTOMERS REPORT'!E1029+'CUSTOMERS REPORT'!E1067+'CUSTOMERS REPORT'!E1105+'CUSTOMERS REPORT'!E1143+'CUSTOMERS REPORT'!E1180+'CUSTOMERS REPORT'!E1217+'CUSTOMERS REPORT'!E1254+'CUSTOMERS REPORT'!E1291+'CUSTOMERS REPORT'!E1328+'CUSTOMERS REPORT'!E1365+'CUSTOMERS REPORT'!E1402+'CUSTOMERS REPORT'!E1438</f>
        <v>0</v>
      </c>
      <c r="X54" s="852">
        <f>'CUSTOMERS REPORT'!F24+'CUSTOMERS REPORT'!F70+'CUSTOMERS REPORT'!F108+'CUSTOMERS REPORT'!F147+'CUSTOMERS REPORT'!F185+'CUSTOMERS REPORT'!F225+'CUSTOMERS REPORT'!F262+'CUSTOMERS REPORT'!F302+'CUSTOMERS REPORT'!F343+'CUSTOMERS REPORT'!F385+'CUSTOMERS REPORT'!F424+'CUSTOMERS REPORT'!F462+'CUSTOMERS REPORT'!F498+'CUSTOMERS REPORT'!F535+'CUSTOMERS REPORT'!F573+'CUSTOMERS REPORT'!F609+'CUSTOMERS REPORT'!F647+'CUSTOMERS REPORT'!F685+'CUSTOMERS REPORT'!F723+'CUSTOMERS REPORT'!F761+'CUSTOMERS REPORT'!F799+'CUSTOMERS REPORT'!F837+'CUSTOMERS REPORT'!F875+'CUSTOMERS REPORT'!F914+'CUSTOMERS REPORT'!F953+'CUSTOMERS REPORT'!F991+'CUSTOMERS REPORT'!F1029+'CUSTOMERS REPORT'!F1067+'CUSTOMERS REPORT'!F1105+'CUSTOMERS REPORT'!F1143+'CUSTOMERS REPORT'!F1180+'CUSTOMERS REPORT'!F1217+'CUSTOMERS REPORT'!F1254+'CUSTOMERS REPORT'!F1291+'CUSTOMERS REPORT'!F1328+'CUSTOMERS REPORT'!F1365+'CUSTOMERS REPORT'!F1402+'CUSTOMERS REPORT'!F1438</f>
        <v>0</v>
      </c>
      <c r="Y54" s="852">
        <f>'CUSTOMERS REPORT'!G24+'CUSTOMERS REPORT'!G70+'CUSTOMERS REPORT'!G108+'CUSTOMERS REPORT'!G147+'CUSTOMERS REPORT'!G185+'CUSTOMERS REPORT'!G225+'CUSTOMERS REPORT'!G262+'CUSTOMERS REPORT'!G302+'CUSTOMERS REPORT'!G343+'CUSTOMERS REPORT'!G385+'CUSTOMERS REPORT'!G424+'CUSTOMERS REPORT'!G462+'CUSTOMERS REPORT'!G498+'CUSTOMERS REPORT'!G535+'CUSTOMERS REPORT'!G573+'CUSTOMERS REPORT'!G609+'CUSTOMERS REPORT'!G647+'CUSTOMERS REPORT'!G685+'CUSTOMERS REPORT'!G723+'CUSTOMERS REPORT'!G761+'CUSTOMERS REPORT'!G799+'CUSTOMERS REPORT'!G837+'CUSTOMERS REPORT'!G875+'CUSTOMERS REPORT'!G914+'CUSTOMERS REPORT'!G953+'CUSTOMERS REPORT'!G991+'CUSTOMERS REPORT'!G1029+'CUSTOMERS REPORT'!G1067+'CUSTOMERS REPORT'!G1105+'CUSTOMERS REPORT'!G1143+'CUSTOMERS REPORT'!G1180+'CUSTOMERS REPORT'!G1217+'CUSTOMERS REPORT'!G1254+'CUSTOMERS REPORT'!G1291+'CUSTOMERS REPORT'!G1328+'CUSTOMERS REPORT'!G1365+'CUSTOMERS REPORT'!G1402+'CUSTOMERS REPORT'!G1438</f>
        <v>0</v>
      </c>
      <c r="Z54" s="852">
        <f>'CUSTOMERS REPORT'!H24+'CUSTOMERS REPORT'!H70+'CUSTOMERS REPORT'!H108+'CUSTOMERS REPORT'!H147+'CUSTOMERS REPORT'!H185+'CUSTOMERS REPORT'!H225+'CUSTOMERS REPORT'!H262+'CUSTOMERS REPORT'!H302+'CUSTOMERS REPORT'!H343+'CUSTOMERS REPORT'!H385+'CUSTOMERS REPORT'!H424+'CUSTOMERS REPORT'!H462+'CUSTOMERS REPORT'!H498+'CUSTOMERS REPORT'!H535+'CUSTOMERS REPORT'!H573+'CUSTOMERS REPORT'!H609+'CUSTOMERS REPORT'!H647+'CUSTOMERS REPORT'!H685+'CUSTOMERS REPORT'!H723+'CUSTOMERS REPORT'!H761+'CUSTOMERS REPORT'!H799+'CUSTOMERS REPORT'!H837+'CUSTOMERS REPORT'!H875+'CUSTOMERS REPORT'!H914+'CUSTOMERS REPORT'!H953+'CUSTOMERS REPORT'!H991+'CUSTOMERS REPORT'!H1029+'CUSTOMERS REPORT'!H1067+'CUSTOMERS REPORT'!H1105+'CUSTOMERS REPORT'!H1143+'CUSTOMERS REPORT'!H1180+'CUSTOMERS REPORT'!H1217+'CUSTOMERS REPORT'!H1254+'CUSTOMERS REPORT'!H1291+'CUSTOMERS REPORT'!H1328+'CUSTOMERS REPORT'!H1365+'CUSTOMERS REPORT'!H1402+'CUSTOMERS REPORT'!H1438</f>
        <v>0</v>
      </c>
      <c r="AA54" s="852">
        <f>'CUSTOMERS REPORT'!I24+'CUSTOMERS REPORT'!I70+'CUSTOMERS REPORT'!I108+'CUSTOMERS REPORT'!I147+'CUSTOMERS REPORT'!I185+'CUSTOMERS REPORT'!I225+'CUSTOMERS REPORT'!I262+'CUSTOMERS REPORT'!I302+'CUSTOMERS REPORT'!I343+'CUSTOMERS REPORT'!I385+'CUSTOMERS REPORT'!I424+'CUSTOMERS REPORT'!I462+'CUSTOMERS REPORT'!I498+'CUSTOMERS REPORT'!I535+'CUSTOMERS REPORT'!I573+'CUSTOMERS REPORT'!I609+'CUSTOMERS REPORT'!I647+'CUSTOMERS REPORT'!I685+'CUSTOMERS REPORT'!I723+'CUSTOMERS REPORT'!I761+'CUSTOMERS REPORT'!I799+'CUSTOMERS REPORT'!I837+'CUSTOMERS REPORT'!I875+'CUSTOMERS REPORT'!I914+'CUSTOMERS REPORT'!I953+'CUSTOMERS REPORT'!I991+'CUSTOMERS REPORT'!I1029+'CUSTOMERS REPORT'!I1067+'CUSTOMERS REPORT'!I1105+'CUSTOMERS REPORT'!I1143+'CUSTOMERS REPORT'!I1180+'CUSTOMERS REPORT'!I1217+'CUSTOMERS REPORT'!I1254+'CUSTOMERS REPORT'!I1291+'CUSTOMERS REPORT'!I1328+'CUSTOMERS REPORT'!I1365+'CUSTOMERS REPORT'!I1402+'CUSTOMERS REPORT'!I1438</f>
        <v>0</v>
      </c>
      <c r="AB54" s="852">
        <f>'CUSTOMERS REPORT'!J24+'CUSTOMERS REPORT'!J70+'CUSTOMERS REPORT'!J108+'CUSTOMERS REPORT'!J147+'CUSTOMERS REPORT'!J185+'CUSTOMERS REPORT'!J225+'CUSTOMERS REPORT'!J262+'CUSTOMERS REPORT'!J302+'CUSTOMERS REPORT'!J343+'CUSTOMERS REPORT'!J385+'CUSTOMERS REPORT'!J424+'CUSTOMERS REPORT'!J462+'CUSTOMERS REPORT'!J498+'CUSTOMERS REPORT'!J535+'CUSTOMERS REPORT'!J573+'CUSTOMERS REPORT'!J609+'CUSTOMERS REPORT'!J647+'CUSTOMERS REPORT'!J685+'CUSTOMERS REPORT'!J723+'CUSTOMERS REPORT'!J761+'CUSTOMERS REPORT'!J799+'CUSTOMERS REPORT'!J837+'CUSTOMERS REPORT'!J875+'CUSTOMERS REPORT'!J914+'CUSTOMERS REPORT'!J953+'CUSTOMERS REPORT'!J991+'CUSTOMERS REPORT'!J1029+'CUSTOMERS REPORT'!J1067+'CUSTOMERS REPORT'!J1105+'CUSTOMERS REPORT'!J1143+'CUSTOMERS REPORT'!J1180+'CUSTOMERS REPORT'!J1217+'CUSTOMERS REPORT'!J1254+'CUSTOMERS REPORT'!J1291+'CUSTOMERS REPORT'!J1328+'CUSTOMERS REPORT'!J1365+'CUSTOMERS REPORT'!J1402+'CUSTOMERS REPORT'!J1438</f>
        <v>0</v>
      </c>
      <c r="AC54" s="852">
        <f>'CUSTOMERS REPORT'!K24+'CUSTOMERS REPORT'!K70+'CUSTOMERS REPORT'!K108+'CUSTOMERS REPORT'!K147+'CUSTOMERS REPORT'!K185+'CUSTOMERS REPORT'!K225+'CUSTOMERS REPORT'!K262+'CUSTOMERS REPORT'!K302+'CUSTOMERS REPORT'!K343+'CUSTOMERS REPORT'!K385+'CUSTOMERS REPORT'!K424+'CUSTOMERS REPORT'!K462+'CUSTOMERS REPORT'!K498+'CUSTOMERS REPORT'!K535+'CUSTOMERS REPORT'!K573+'CUSTOMERS REPORT'!K609+'CUSTOMERS REPORT'!K647+'CUSTOMERS REPORT'!K685+'CUSTOMERS REPORT'!K723+'CUSTOMERS REPORT'!K761+'CUSTOMERS REPORT'!K799+'CUSTOMERS REPORT'!K837+'CUSTOMERS REPORT'!K875+'CUSTOMERS REPORT'!K914+'CUSTOMERS REPORT'!K953+'CUSTOMERS REPORT'!K991+'CUSTOMERS REPORT'!K1029+'CUSTOMERS REPORT'!K1067+'CUSTOMERS REPORT'!K1105+'CUSTOMERS REPORT'!K1143+'CUSTOMERS REPORT'!K1180+'CUSTOMERS REPORT'!K1217+'CUSTOMERS REPORT'!K1254+'CUSTOMERS REPORT'!K1291+'CUSTOMERS REPORT'!K1328+'CUSTOMERS REPORT'!K1365+'CUSTOMERS REPORT'!K1402+'CUSTOMERS REPORT'!K1438</f>
        <v>0</v>
      </c>
      <c r="AD54" s="852">
        <f>'CUSTOMERS REPORT'!L24+'CUSTOMERS REPORT'!L70+'CUSTOMERS REPORT'!L108+'CUSTOMERS REPORT'!L147+'CUSTOMERS REPORT'!L185+'CUSTOMERS REPORT'!L225+'CUSTOMERS REPORT'!L262+'CUSTOMERS REPORT'!L302+'CUSTOMERS REPORT'!L343+'CUSTOMERS REPORT'!L385+'CUSTOMERS REPORT'!L424+'CUSTOMERS REPORT'!L462+'CUSTOMERS REPORT'!L498+'CUSTOMERS REPORT'!L535+'CUSTOMERS REPORT'!L573+'CUSTOMERS REPORT'!L609+'CUSTOMERS REPORT'!L647+'CUSTOMERS REPORT'!L685+'CUSTOMERS REPORT'!L723+'CUSTOMERS REPORT'!L761+'CUSTOMERS REPORT'!L799+'CUSTOMERS REPORT'!L837+'CUSTOMERS REPORT'!L875+'CUSTOMERS REPORT'!L914+'CUSTOMERS REPORT'!L953+'CUSTOMERS REPORT'!L991+'CUSTOMERS REPORT'!L1029+'CUSTOMERS REPORT'!L1067+'CUSTOMERS REPORT'!L1105+'CUSTOMERS REPORT'!L1143+'CUSTOMERS REPORT'!L1180+'CUSTOMERS REPORT'!L1217+'CUSTOMERS REPORT'!L1254+'CUSTOMERS REPORT'!L1291+'CUSTOMERS REPORT'!L1328+'CUSTOMERS REPORT'!L1365+'CUSTOMERS REPORT'!L1402+'CUSTOMERS REPORT'!L1438</f>
        <v>0</v>
      </c>
      <c r="AE54" s="852">
        <f>'CUSTOMERS REPORT'!M24+'CUSTOMERS REPORT'!M70+'CUSTOMERS REPORT'!M108+'CUSTOMERS REPORT'!M147+'CUSTOMERS REPORT'!M185+'CUSTOMERS REPORT'!M225+'CUSTOMERS REPORT'!M262+'CUSTOMERS REPORT'!M302+'CUSTOMERS REPORT'!M343+'CUSTOMERS REPORT'!M385+'CUSTOMERS REPORT'!M424+'CUSTOMERS REPORT'!M462+'CUSTOMERS REPORT'!M498+'CUSTOMERS REPORT'!M535+'CUSTOMERS REPORT'!M573+'CUSTOMERS REPORT'!M609+'CUSTOMERS REPORT'!M647+'CUSTOMERS REPORT'!M685+'CUSTOMERS REPORT'!M723+'CUSTOMERS REPORT'!M761+'CUSTOMERS REPORT'!M799+'CUSTOMERS REPORT'!M837+'CUSTOMERS REPORT'!M875+'CUSTOMERS REPORT'!M914+'CUSTOMERS REPORT'!M953+'CUSTOMERS REPORT'!M991+'CUSTOMERS REPORT'!M1029+'CUSTOMERS REPORT'!M1067+'CUSTOMERS REPORT'!M1105+'CUSTOMERS REPORT'!M1143+'CUSTOMERS REPORT'!M1180+'CUSTOMERS REPORT'!M1217+'CUSTOMERS REPORT'!M1254+'CUSTOMERS REPORT'!M1291+'CUSTOMERS REPORT'!M1328+'CUSTOMERS REPORT'!M1365+'CUSTOMERS REPORT'!M1402+'CUSTOMERS REPORT'!M1438</f>
        <v>0</v>
      </c>
      <c r="AF54" s="852">
        <f>'CUSTOMERS REPORT'!N24+'CUSTOMERS REPORT'!N70+'CUSTOMERS REPORT'!N108+'CUSTOMERS REPORT'!N147+'CUSTOMERS REPORT'!N185+'CUSTOMERS REPORT'!N225+'CUSTOMERS REPORT'!N262+'CUSTOMERS REPORT'!N302+'CUSTOMERS REPORT'!N343+'CUSTOMERS REPORT'!N385+'CUSTOMERS REPORT'!N424+'CUSTOMERS REPORT'!N462+'CUSTOMERS REPORT'!N498+'CUSTOMERS REPORT'!N535+'CUSTOMERS REPORT'!N573+'CUSTOMERS REPORT'!N609+'CUSTOMERS REPORT'!N647+'CUSTOMERS REPORT'!N685+'CUSTOMERS REPORT'!N723+'CUSTOMERS REPORT'!N761+'CUSTOMERS REPORT'!N799+'CUSTOMERS REPORT'!N837+'CUSTOMERS REPORT'!N875+'CUSTOMERS REPORT'!N914+'CUSTOMERS REPORT'!N953+'CUSTOMERS REPORT'!N991+'CUSTOMERS REPORT'!N1029+'CUSTOMERS REPORT'!N1067+'CUSTOMERS REPORT'!N1105+'CUSTOMERS REPORT'!N1143+'CUSTOMERS REPORT'!N1180+'CUSTOMERS REPORT'!N1217+'CUSTOMERS REPORT'!N1254+'CUSTOMERS REPORT'!N1291+'CUSTOMERS REPORT'!N1328+'CUSTOMERS REPORT'!N1365+'CUSTOMERS REPORT'!N1402+'CUSTOMERS REPORT'!N1438</f>
        <v>0</v>
      </c>
      <c r="AG54" s="852">
        <f>'CUSTOMERS REPORT'!O24+'CUSTOMERS REPORT'!O70+'CUSTOMERS REPORT'!O108+'CUSTOMERS REPORT'!O147+'CUSTOMERS REPORT'!O185+'CUSTOMERS REPORT'!O225+'CUSTOMERS REPORT'!O262+'CUSTOMERS REPORT'!O302+'CUSTOMERS REPORT'!O343+'CUSTOMERS REPORT'!O385+'CUSTOMERS REPORT'!O424+'CUSTOMERS REPORT'!O462+'CUSTOMERS REPORT'!O498+'CUSTOMERS REPORT'!O535+'CUSTOMERS REPORT'!O573+'CUSTOMERS REPORT'!O609+'CUSTOMERS REPORT'!O647+'CUSTOMERS REPORT'!O685+'CUSTOMERS REPORT'!O723+'CUSTOMERS REPORT'!O761+'CUSTOMERS REPORT'!O799+'CUSTOMERS REPORT'!O837+'CUSTOMERS REPORT'!O875+'CUSTOMERS REPORT'!O914+'CUSTOMERS REPORT'!O953+'CUSTOMERS REPORT'!O991+'CUSTOMERS REPORT'!O1029+'CUSTOMERS REPORT'!O1067+'CUSTOMERS REPORT'!O1105+'CUSTOMERS REPORT'!O1143+'CUSTOMERS REPORT'!O1180+'CUSTOMERS REPORT'!O1217+'CUSTOMERS REPORT'!O1254+'CUSTOMERS REPORT'!O1291+'CUSTOMERS REPORT'!O1328+'CUSTOMERS REPORT'!O1365+'CUSTOMERS REPORT'!O1402+'CUSTOMERS REPORT'!O1438</f>
        <v>0</v>
      </c>
      <c r="AH54" s="852">
        <f>'CUSTOMERS REPORT'!P24+'CUSTOMERS REPORT'!P70+'CUSTOMERS REPORT'!P108+'CUSTOMERS REPORT'!P147+'CUSTOMERS REPORT'!P185+'CUSTOMERS REPORT'!P225+'CUSTOMERS REPORT'!P262+'CUSTOMERS REPORT'!P302+'CUSTOMERS REPORT'!P343+'CUSTOMERS REPORT'!P385+'CUSTOMERS REPORT'!P424+'CUSTOMERS REPORT'!P462+'CUSTOMERS REPORT'!P498+'CUSTOMERS REPORT'!P535+'CUSTOMERS REPORT'!P573+'CUSTOMERS REPORT'!P609+'CUSTOMERS REPORT'!P647+'CUSTOMERS REPORT'!P685+'CUSTOMERS REPORT'!P723+'CUSTOMERS REPORT'!P761+'CUSTOMERS REPORT'!P799+'CUSTOMERS REPORT'!P837+'CUSTOMERS REPORT'!P875+'CUSTOMERS REPORT'!P914+'CUSTOMERS REPORT'!P953+'CUSTOMERS REPORT'!P991+'CUSTOMERS REPORT'!P1029+'CUSTOMERS REPORT'!P1067+'CUSTOMERS REPORT'!P1105+'CUSTOMERS REPORT'!P1143+'CUSTOMERS REPORT'!P1180+'CUSTOMERS REPORT'!P1217+'CUSTOMERS REPORT'!P1254+'CUSTOMERS REPORT'!P1291+'CUSTOMERS REPORT'!P1328+'CUSTOMERS REPORT'!P1365+'CUSTOMERS REPORT'!P1402+'CUSTOMERS REPORT'!P1438</f>
        <v>0</v>
      </c>
      <c r="AI54" s="852">
        <f>'CUSTOMERS REPORT'!Q24+'CUSTOMERS REPORT'!Q70+'CUSTOMERS REPORT'!Q108+'CUSTOMERS REPORT'!Q147+'CUSTOMERS REPORT'!Q185+'CUSTOMERS REPORT'!Q225+'CUSTOMERS REPORT'!Q262+'CUSTOMERS REPORT'!Q302+'CUSTOMERS REPORT'!Q343+'CUSTOMERS REPORT'!Q385+'CUSTOMERS REPORT'!Q424+'CUSTOMERS REPORT'!Q462+'CUSTOMERS REPORT'!Q498+'CUSTOMERS REPORT'!Q535+'CUSTOMERS REPORT'!Q573+'CUSTOMERS REPORT'!Q609+'CUSTOMERS REPORT'!Q647+'CUSTOMERS REPORT'!Q685+'CUSTOMERS REPORT'!Q723+'CUSTOMERS REPORT'!Q761+'CUSTOMERS REPORT'!Q799+'CUSTOMERS REPORT'!Q837+'CUSTOMERS REPORT'!Q875+'CUSTOMERS REPORT'!Q914+'CUSTOMERS REPORT'!Q953+'CUSTOMERS REPORT'!Q991+'CUSTOMERS REPORT'!Q1029+'CUSTOMERS REPORT'!Q1067+'CUSTOMERS REPORT'!Q1105+'CUSTOMERS REPORT'!Q1143+'CUSTOMERS REPORT'!Q1180+'CUSTOMERS REPORT'!Q1217+'CUSTOMERS REPORT'!Q1254+'CUSTOMERS REPORT'!Q1291+'CUSTOMERS REPORT'!Q1328+'CUSTOMERS REPORT'!Q1365+'CUSTOMERS REPORT'!Q1402+'CUSTOMERS REPORT'!Q1438</f>
        <v>0</v>
      </c>
      <c r="AJ54" s="852">
        <f>'CUSTOMERS REPORT'!R24+'CUSTOMERS REPORT'!R70+'CUSTOMERS REPORT'!R108+'CUSTOMERS REPORT'!R147+'CUSTOMERS REPORT'!R185+'CUSTOMERS REPORT'!R225+'CUSTOMERS REPORT'!R262+'CUSTOMERS REPORT'!R302+'CUSTOMERS REPORT'!R343+'CUSTOMERS REPORT'!R385+'CUSTOMERS REPORT'!R424+'CUSTOMERS REPORT'!R462+'CUSTOMERS REPORT'!R498+'CUSTOMERS REPORT'!R535+'CUSTOMERS REPORT'!R573+'CUSTOMERS REPORT'!R609+'CUSTOMERS REPORT'!R647+'CUSTOMERS REPORT'!R685+'CUSTOMERS REPORT'!R723+'CUSTOMERS REPORT'!R761+'CUSTOMERS REPORT'!R799+'CUSTOMERS REPORT'!R837+'CUSTOMERS REPORT'!R875+'CUSTOMERS REPORT'!R914+'CUSTOMERS REPORT'!R953+'CUSTOMERS REPORT'!R991+'CUSTOMERS REPORT'!R1029+'CUSTOMERS REPORT'!R1067+'CUSTOMERS REPORT'!R1105+'CUSTOMERS REPORT'!R1143+'CUSTOMERS REPORT'!R1180+'CUSTOMERS REPORT'!R1217+'CUSTOMERS REPORT'!R1254+'CUSTOMERS REPORT'!R1291+'CUSTOMERS REPORT'!R1328+'CUSTOMERS REPORT'!R1365+'CUSTOMERS REPORT'!R1402+'CUSTOMERS REPORT'!R1438</f>
        <v>0</v>
      </c>
      <c r="AK54" s="852">
        <f>'CUSTOMERS REPORT'!S24+'CUSTOMERS REPORT'!S70+'CUSTOMERS REPORT'!S108+'CUSTOMERS REPORT'!S147+'CUSTOMERS REPORT'!S185+'CUSTOMERS REPORT'!S225+'CUSTOMERS REPORT'!S262+'CUSTOMERS REPORT'!S302+'CUSTOMERS REPORT'!S343+'CUSTOMERS REPORT'!S385+'CUSTOMERS REPORT'!S424+'CUSTOMERS REPORT'!S462+'CUSTOMERS REPORT'!S498+'CUSTOMERS REPORT'!S535+'CUSTOMERS REPORT'!S573+'CUSTOMERS REPORT'!S609+'CUSTOMERS REPORT'!S647+'CUSTOMERS REPORT'!S685+'CUSTOMERS REPORT'!S723+'CUSTOMERS REPORT'!S761+'CUSTOMERS REPORT'!S799+'CUSTOMERS REPORT'!S837+'CUSTOMERS REPORT'!S875+'CUSTOMERS REPORT'!S914+'CUSTOMERS REPORT'!S953+'CUSTOMERS REPORT'!S991+'CUSTOMERS REPORT'!S1029+'CUSTOMERS REPORT'!S1067+'CUSTOMERS REPORT'!S1105+'CUSTOMERS REPORT'!S1143+'CUSTOMERS REPORT'!S1180+'CUSTOMERS REPORT'!S1217+'CUSTOMERS REPORT'!S1254+'CUSTOMERS REPORT'!S1291+'CUSTOMERS REPORT'!S1328+'CUSTOMERS REPORT'!S1365+'CUSTOMERS REPORT'!S1402+'CUSTOMERS REPORT'!S1438</f>
        <v>0</v>
      </c>
      <c r="AL54" s="852">
        <f>'CUSTOMERS REPORT'!T24+'CUSTOMERS REPORT'!T70+'CUSTOMERS REPORT'!T108+'CUSTOMERS REPORT'!T147+'CUSTOMERS REPORT'!T185+'CUSTOMERS REPORT'!T225+'CUSTOMERS REPORT'!T262+'CUSTOMERS REPORT'!T302+'CUSTOMERS REPORT'!T343+'CUSTOMERS REPORT'!T385+'CUSTOMERS REPORT'!T424+'CUSTOMERS REPORT'!T462+'CUSTOMERS REPORT'!T498+'CUSTOMERS REPORT'!T535+'CUSTOMERS REPORT'!T573+'CUSTOMERS REPORT'!T609+'CUSTOMERS REPORT'!T647+'CUSTOMERS REPORT'!T685+'CUSTOMERS REPORT'!T723+'CUSTOMERS REPORT'!T761+'CUSTOMERS REPORT'!T799+'CUSTOMERS REPORT'!T837+'CUSTOMERS REPORT'!T875+'CUSTOMERS REPORT'!T914+'CUSTOMERS REPORT'!T953+'CUSTOMERS REPORT'!T991+'CUSTOMERS REPORT'!T1029+'CUSTOMERS REPORT'!T1067+'CUSTOMERS REPORT'!T1105+'CUSTOMERS REPORT'!T1143</f>
        <v>0</v>
      </c>
      <c r="AM54" s="852">
        <f>'CUSTOMERS REPORT'!U24+'CUSTOMERS REPORT'!U70+'CUSTOMERS REPORT'!U108+'CUSTOMERS REPORT'!U147+'CUSTOMERS REPORT'!U185+'CUSTOMERS REPORT'!U225+'CUSTOMERS REPORT'!U262+'CUSTOMERS REPORT'!U302+'CUSTOMERS REPORT'!U343+'CUSTOMERS REPORT'!U385+'CUSTOMERS REPORT'!U424+'CUSTOMERS REPORT'!U462+'CUSTOMERS REPORT'!U498+'CUSTOMERS REPORT'!U535+'CUSTOMERS REPORT'!U573+'CUSTOMERS REPORT'!U609+'CUSTOMERS REPORT'!U647+'CUSTOMERS REPORT'!U685+'CUSTOMERS REPORT'!U723+'CUSTOMERS REPORT'!U761+'CUSTOMERS REPORT'!U799+'CUSTOMERS REPORT'!U837+'CUSTOMERS REPORT'!U875+'CUSTOMERS REPORT'!U914+'CUSTOMERS REPORT'!U953+'CUSTOMERS REPORT'!U991+'CUSTOMERS REPORT'!U1029+'CUSTOMERS REPORT'!U1067+'CUSTOMERS REPORT'!U1105+'CUSTOMERS REPORT'!U1143</f>
        <v>0</v>
      </c>
      <c r="AN54" s="852">
        <f>'CUSTOMERS REPORT'!V24+'CUSTOMERS REPORT'!V70+'CUSTOMERS REPORT'!V108+'CUSTOMERS REPORT'!V147+'CUSTOMERS REPORT'!V185+'CUSTOMERS REPORT'!V225+'CUSTOMERS REPORT'!V262+'CUSTOMERS REPORT'!V302+'CUSTOMERS REPORT'!V343+'CUSTOMERS REPORT'!V385+'CUSTOMERS REPORT'!V424+'CUSTOMERS REPORT'!V462+'CUSTOMERS REPORT'!V498+'CUSTOMERS REPORT'!V535+'CUSTOMERS REPORT'!V573+'CUSTOMERS REPORT'!V609+'CUSTOMERS REPORT'!V647+'CUSTOMERS REPORT'!V685+'CUSTOMERS REPORT'!V723+'CUSTOMERS REPORT'!V761+'CUSTOMERS REPORT'!V799+'CUSTOMERS REPORT'!V837+'CUSTOMERS REPORT'!V875+'CUSTOMERS REPORT'!V914+'CUSTOMERS REPORT'!V953+'CUSTOMERS REPORT'!V991+'CUSTOMERS REPORT'!V1029+'CUSTOMERS REPORT'!V1067+'CUSTOMERS REPORT'!V1105+'CUSTOMERS REPORT'!V1143</f>
        <v>0</v>
      </c>
    </row>
    <row r="55" spans="1:40" ht="24.95" customHeight="1" thickBot="1">
      <c r="L55" s="417">
        <v>20</v>
      </c>
      <c r="M55" s="417"/>
      <c r="N55" s="417">
        <f t="shared" si="10"/>
        <v>0</v>
      </c>
      <c r="R55" s="123">
        <f>'16'!R57</f>
        <v>39</v>
      </c>
      <c r="S55" s="865" t="s">
        <v>169</v>
      </c>
      <c r="T55" s="866">
        <f t="shared" ref="T55:AN55" si="12">T53-T54-T51</f>
        <v>0</v>
      </c>
      <c r="U55" s="866">
        <f t="shared" si="12"/>
        <v>0</v>
      </c>
      <c r="V55" s="866">
        <f t="shared" si="12"/>
        <v>-2</v>
      </c>
      <c r="W55" s="866">
        <f t="shared" si="12"/>
        <v>0</v>
      </c>
      <c r="X55" s="866">
        <f t="shared" si="12"/>
        <v>0</v>
      </c>
      <c r="Y55" s="866">
        <f t="shared" si="12"/>
        <v>0</v>
      </c>
      <c r="Z55" s="866">
        <f t="shared" si="12"/>
        <v>-2</v>
      </c>
      <c r="AA55" s="866">
        <f t="shared" si="12"/>
        <v>-12</v>
      </c>
      <c r="AB55" s="866">
        <f t="shared" si="12"/>
        <v>0</v>
      </c>
      <c r="AC55" s="866">
        <f t="shared" si="12"/>
        <v>1684</v>
      </c>
      <c r="AD55" s="866">
        <f t="shared" si="12"/>
        <v>222</v>
      </c>
      <c r="AE55" s="866">
        <f t="shared" si="12"/>
        <v>0</v>
      </c>
      <c r="AF55" s="866">
        <f>AF53-AF54-AF51</f>
        <v>1138</v>
      </c>
      <c r="AG55" s="866">
        <f t="shared" si="12"/>
        <v>831</v>
      </c>
      <c r="AH55" s="866">
        <f t="shared" si="12"/>
        <v>1139</v>
      </c>
      <c r="AI55" s="866">
        <f t="shared" si="12"/>
        <v>631</v>
      </c>
      <c r="AJ55" s="866">
        <f t="shared" si="12"/>
        <v>0</v>
      </c>
      <c r="AK55" s="866">
        <f t="shared" si="12"/>
        <v>-1</v>
      </c>
      <c r="AL55" s="866" t="e">
        <f t="shared" si="12"/>
        <v>#VALUE!</v>
      </c>
      <c r="AM55" s="866" t="e">
        <f t="shared" si="12"/>
        <v>#VALUE!</v>
      </c>
      <c r="AN55" s="872" t="e">
        <f t="shared" si="12"/>
        <v>#VALUE!</v>
      </c>
    </row>
    <row r="56" spans="1:40" ht="28.5" thickBot="1">
      <c r="A56" s="114"/>
      <c r="B56" s="120"/>
      <c r="C56" s="115"/>
      <c r="L56" s="417">
        <v>10</v>
      </c>
      <c r="M56" s="417"/>
      <c r="N56" s="417">
        <f t="shared" si="10"/>
        <v>0</v>
      </c>
      <c r="R56" s="123">
        <f>T56+U56+V56+W56+X56+Y56+Z56+AA56+AB56+AC56+AD56+AE56+AF56+AG56+AH56+AI56+AJ56+AK56+AL56+AM56+AN56</f>
        <v>13</v>
      </c>
      <c r="S56" s="874" t="s">
        <v>170</v>
      </c>
      <c r="T56" s="875"/>
      <c r="U56" s="875"/>
      <c r="V56" s="875"/>
      <c r="W56" s="875"/>
      <c r="X56" s="875"/>
      <c r="Y56" s="875"/>
      <c r="Z56" s="876"/>
      <c r="AA56" s="875"/>
      <c r="AB56" s="875"/>
      <c r="AC56" s="875">
        <v>5</v>
      </c>
      <c r="AD56" s="875"/>
      <c r="AE56" s="875"/>
      <c r="AF56" s="875">
        <v>5</v>
      </c>
      <c r="AG56" s="875">
        <v>2</v>
      </c>
      <c r="AH56" s="875">
        <v>1</v>
      </c>
      <c r="AI56" s="875"/>
      <c r="AJ56" s="877"/>
      <c r="AK56" s="877"/>
      <c r="AL56" s="52"/>
      <c r="AM56" s="52"/>
      <c r="AN56" s="928"/>
    </row>
    <row r="57" spans="1:40" ht="27" customHeight="1" thickBot="1">
      <c r="A57" s="114"/>
      <c r="B57" s="131"/>
      <c r="C57" s="115"/>
      <c r="D57" s="115"/>
      <c r="E57" s="19"/>
      <c r="F57" s="19"/>
      <c r="G57" s="19"/>
      <c r="H57" s="19"/>
      <c r="I57" s="19"/>
      <c r="J57" s="19"/>
      <c r="K57" s="19"/>
      <c r="L57" s="418">
        <v>1</v>
      </c>
      <c r="M57" s="418"/>
      <c r="N57" s="417">
        <f t="shared" si="10"/>
        <v>0</v>
      </c>
      <c r="O57" s="19"/>
      <c r="R57" s="123">
        <f>SUM(R55:R56)</f>
        <v>52</v>
      </c>
      <c r="S57" s="882" t="s">
        <v>23</v>
      </c>
      <c r="T57" s="883" t="e">
        <f t="shared" ref="T57:AI57" si="13">T50/T56</f>
        <v>#DIV/0!</v>
      </c>
      <c r="U57" s="883" t="e">
        <f t="shared" si="13"/>
        <v>#DIV/0!</v>
      </c>
      <c r="V57" s="883" t="e">
        <f t="shared" si="13"/>
        <v>#DIV/0!</v>
      </c>
      <c r="W57" s="883" t="e">
        <f t="shared" si="13"/>
        <v>#DIV/0!</v>
      </c>
      <c r="X57" s="883" t="e">
        <f t="shared" si="13"/>
        <v>#DIV/0!</v>
      </c>
      <c r="Y57" s="883" t="e">
        <f t="shared" si="13"/>
        <v>#DIV/0!</v>
      </c>
      <c r="Z57" s="883" t="e">
        <f t="shared" si="13"/>
        <v>#DIV/0!</v>
      </c>
      <c r="AA57" s="883" t="e">
        <f t="shared" si="13"/>
        <v>#DIV/0!</v>
      </c>
      <c r="AB57" s="883" t="e">
        <f t="shared" si="13"/>
        <v>#DIV/0!</v>
      </c>
      <c r="AC57" s="883">
        <f t="shared" si="13"/>
        <v>86</v>
      </c>
      <c r="AD57" s="883" t="e">
        <f t="shared" si="13"/>
        <v>#DIV/0!</v>
      </c>
      <c r="AE57" s="883" t="e">
        <f t="shared" si="13"/>
        <v>#DIV/0!</v>
      </c>
      <c r="AF57" s="883">
        <f t="shared" si="13"/>
        <v>75</v>
      </c>
      <c r="AG57" s="883">
        <f t="shared" si="13"/>
        <v>93</v>
      </c>
      <c r="AH57" s="883">
        <f t="shared" si="13"/>
        <v>285</v>
      </c>
      <c r="AI57" s="883" t="e">
        <f t="shared" si="13"/>
        <v>#DIV/0!</v>
      </c>
      <c r="AJ57" s="883" t="e">
        <f>AJ50/AJ56</f>
        <v>#DIV/0!</v>
      </c>
      <c r="AK57" s="883" t="e">
        <f>AK50/AK56</f>
        <v>#DIV/0!</v>
      </c>
      <c r="AL57" s="883" t="e">
        <f t="shared" ref="AL57:AN57" si="14">AL50/AL56</f>
        <v>#DIV/0!</v>
      </c>
      <c r="AM57" s="883" t="e">
        <f t="shared" si="14"/>
        <v>#DIV/0!</v>
      </c>
      <c r="AN57" s="884" t="e">
        <f t="shared" si="14"/>
        <v>#DIV/0!</v>
      </c>
    </row>
    <row r="58" spans="1:40" ht="27" customHeight="1" thickBot="1">
      <c r="A58" s="114"/>
      <c r="B58" s="131"/>
      <c r="C58" s="115"/>
      <c r="D58" s="115" t="s">
        <v>1</v>
      </c>
      <c r="L58" s="1501" t="s">
        <v>171</v>
      </c>
      <c r="M58" s="1501"/>
      <c r="N58" s="419">
        <f>SUM(N50:N57)</f>
        <v>0</v>
      </c>
      <c r="R58" s="19"/>
      <c r="S58" s="878" t="s">
        <v>172</v>
      </c>
      <c r="T58" s="879">
        <f>T54</f>
        <v>0</v>
      </c>
      <c r="U58" s="879">
        <f t="shared" ref="U58:AI58" si="15">U54</f>
        <v>0</v>
      </c>
      <c r="V58" s="879">
        <f t="shared" si="15"/>
        <v>0</v>
      </c>
      <c r="W58" s="879">
        <f t="shared" si="15"/>
        <v>0</v>
      </c>
      <c r="X58" s="879">
        <f t="shared" si="15"/>
        <v>0</v>
      </c>
      <c r="Y58" s="879">
        <f t="shared" si="15"/>
        <v>0</v>
      </c>
      <c r="Z58" s="879">
        <f t="shared" si="15"/>
        <v>0</v>
      </c>
      <c r="AA58" s="879">
        <f t="shared" si="15"/>
        <v>0</v>
      </c>
      <c r="AB58" s="879">
        <f t="shared" si="15"/>
        <v>0</v>
      </c>
      <c r="AC58" s="879">
        <f t="shared" si="15"/>
        <v>0</v>
      </c>
      <c r="AD58" s="879">
        <f t="shared" si="15"/>
        <v>0</v>
      </c>
      <c r="AE58" s="879">
        <f t="shared" si="15"/>
        <v>0</v>
      </c>
      <c r="AF58" s="879">
        <f t="shared" si="15"/>
        <v>0</v>
      </c>
      <c r="AG58" s="879">
        <f t="shared" si="15"/>
        <v>0</v>
      </c>
      <c r="AH58" s="879">
        <f t="shared" si="15"/>
        <v>0</v>
      </c>
      <c r="AI58" s="879">
        <f t="shared" si="15"/>
        <v>0</v>
      </c>
      <c r="AJ58" s="879">
        <f>AJ54</f>
        <v>0</v>
      </c>
      <c r="AK58" s="879">
        <f>AK54</f>
        <v>0</v>
      </c>
      <c r="AL58" s="880"/>
      <c r="AM58" s="880"/>
      <c r="AN58" s="881"/>
    </row>
    <row r="59" spans="1:40" ht="27" customHeight="1">
      <c r="A59" s="114"/>
      <c r="B59" s="132"/>
      <c r="C59" s="115"/>
      <c r="D59" s="115" t="s">
        <v>1</v>
      </c>
      <c r="K59" t="s">
        <v>1</v>
      </c>
      <c r="L59" s="1486" t="s">
        <v>173</v>
      </c>
      <c r="M59" s="1486"/>
      <c r="N59" s="420">
        <f>N58-Q48</f>
        <v>2368180</v>
      </c>
      <c r="R59" s="19"/>
      <c r="S59" s="114"/>
      <c r="T59" s="121"/>
      <c r="U59" s="121"/>
      <c r="V59" s="121"/>
      <c r="W59" s="121"/>
      <c r="X59" s="121"/>
      <c r="Y59" s="121"/>
      <c r="Z59" s="122"/>
      <c r="AA59" s="121"/>
      <c r="AB59" s="121"/>
      <c r="AC59" s="121"/>
      <c r="AD59" s="121"/>
      <c r="AE59" s="121"/>
      <c r="AF59" s="121"/>
      <c r="AG59" s="121"/>
      <c r="AH59" s="119"/>
      <c r="AI59" s="119"/>
    </row>
    <row r="60" spans="1:40" ht="23.25">
      <c r="A60" s="114"/>
      <c r="B60" s="132"/>
      <c r="C60" s="115"/>
      <c r="D60" s="115"/>
      <c r="P60" s="19"/>
      <c r="Q60" s="19"/>
      <c r="R60" s="19"/>
      <c r="S60" s="19"/>
      <c r="U60" t="s">
        <v>1</v>
      </c>
    </row>
    <row r="61" spans="1:40" ht="23.25">
      <c r="A61" s="114"/>
      <c r="B61" s="132"/>
      <c r="C61" s="115"/>
      <c r="D61" s="116"/>
      <c r="M61" t="s">
        <v>1</v>
      </c>
      <c r="P61" s="185"/>
      <c r="Q61" s="186"/>
      <c r="R61" s="19"/>
      <c r="S61" s="19"/>
    </row>
    <row r="62" spans="1:40" ht="20.25">
      <c r="C62" s="116"/>
      <c r="P62" s="19"/>
      <c r="Q62" s="19"/>
      <c r="R62" s="19"/>
      <c r="S62" s="19"/>
    </row>
    <row r="63" spans="1:40">
      <c r="E63" s="19"/>
    </row>
    <row r="64" spans="1:40">
      <c r="E64" s="19"/>
      <c r="J64" t="s">
        <v>3</v>
      </c>
    </row>
    <row r="65" spans="3:5" ht="21">
      <c r="C65" s="251"/>
      <c r="E65" s="19"/>
    </row>
    <row r="66" spans="3:5">
      <c r="E66" s="49"/>
    </row>
    <row r="67" spans="3:5" ht="23.25">
      <c r="E67" s="113"/>
    </row>
  </sheetData>
  <mergeCells count="21">
    <mergeCell ref="L59:M59"/>
    <mergeCell ref="T47:W47"/>
    <mergeCell ref="X47:Z47"/>
    <mergeCell ref="S47:S48"/>
    <mergeCell ref="AJ47:AK47"/>
    <mergeCell ref="AL47:AM47"/>
    <mergeCell ref="AI7:AJ7"/>
    <mergeCell ref="AI20:AJ20"/>
    <mergeCell ref="L58:M58"/>
    <mergeCell ref="A6:Q6"/>
    <mergeCell ref="S6:AE6"/>
    <mergeCell ref="A7:B7"/>
    <mergeCell ref="P7:Q7"/>
    <mergeCell ref="H48:I48"/>
    <mergeCell ref="P24:Q24"/>
    <mergeCell ref="P33:Q33"/>
    <mergeCell ref="P42:Q42"/>
    <mergeCell ref="H46:I46"/>
    <mergeCell ref="H47:I47"/>
    <mergeCell ref="AA47:AB47"/>
    <mergeCell ref="AC47:AI47"/>
  </mergeCells>
  <conditionalFormatting sqref="M48:N48">
    <cfRule type="duplicateValues" dxfId="307" priority="29"/>
    <cfRule type="duplicateValues" dxfId="306" priority="30"/>
    <cfRule type="duplicateValues" dxfId="305" priority="31"/>
    <cfRule type="duplicateValues" dxfId="304" priority="32"/>
  </conditionalFormatting>
  <conditionalFormatting sqref="L48 N48">
    <cfRule type="cellIs" dxfId="303" priority="28" operator="equal">
      <formula>66890</formula>
    </cfRule>
  </conditionalFormatting>
  <conditionalFormatting sqref="N48">
    <cfRule type="cellIs" dxfId="302" priority="27" operator="lessThan">
      <formula>1</formula>
    </cfRule>
  </conditionalFormatting>
  <conditionalFormatting sqref="T57">
    <cfRule type="cellIs" dxfId="301" priority="16" operator="lessThan">
      <formula>63</formula>
    </cfRule>
  </conditionalFormatting>
  <conditionalFormatting sqref="U57">
    <cfRule type="cellIs" dxfId="300" priority="14" operator="lessThan">
      <formula>63</formula>
    </cfRule>
    <cfRule type="cellIs" dxfId="299" priority="15" operator="lessThan">
      <formula>63</formula>
    </cfRule>
  </conditionalFormatting>
  <conditionalFormatting sqref="W57">
    <cfRule type="cellIs" dxfId="298" priority="13" operator="lessThan">
      <formula>140</formula>
    </cfRule>
  </conditionalFormatting>
  <conditionalFormatting sqref="X57">
    <cfRule type="cellIs" dxfId="297" priority="12" operator="lessThan">
      <formula>125</formula>
    </cfRule>
  </conditionalFormatting>
  <conditionalFormatting sqref="Y57">
    <cfRule type="cellIs" dxfId="296" priority="11" operator="lessThan">
      <formula>150</formula>
    </cfRule>
  </conditionalFormatting>
  <conditionalFormatting sqref="Z57">
    <cfRule type="cellIs" dxfId="295" priority="10" operator="lessThan">
      <formula>590</formula>
    </cfRule>
  </conditionalFormatting>
  <conditionalFormatting sqref="AA57">
    <cfRule type="cellIs" dxfId="294" priority="9" operator="lessThan">
      <formula>704</formula>
    </cfRule>
  </conditionalFormatting>
  <conditionalFormatting sqref="AC57">
    <cfRule type="cellIs" dxfId="293" priority="8" operator="lessThan">
      <formula>52</formula>
    </cfRule>
  </conditionalFormatting>
  <conditionalFormatting sqref="AD57">
    <cfRule type="cellIs" dxfId="292" priority="7" operator="lessThan">
      <formula>52</formula>
    </cfRule>
  </conditionalFormatting>
  <conditionalFormatting sqref="AH57">
    <cfRule type="cellIs" dxfId="291" priority="6" operator="lessThan">
      <formula>63</formula>
    </cfRule>
  </conditionalFormatting>
  <conditionalFormatting sqref="AI57">
    <cfRule type="cellIs" dxfId="290" priority="5" operator="lessThan">
      <formula>63</formula>
    </cfRule>
  </conditionalFormatting>
  <conditionalFormatting sqref="AK57">
    <cfRule type="cellIs" dxfId="289" priority="4" operator="lessThan">
      <formula>270</formula>
    </cfRule>
  </conditionalFormatting>
  <conditionalFormatting sqref="AJ57">
    <cfRule type="cellIs" dxfId="288" priority="3" operator="lessThan">
      <formula>270</formula>
    </cfRule>
  </conditionalFormatting>
  <conditionalFormatting sqref="AL57:AN57">
    <cfRule type="cellIs" dxfId="287" priority="1" operator="lessThan">
      <formula>270</formula>
    </cfRule>
  </conditionalFormatting>
  <printOptions horizontalCentered="1" verticalCentered="1"/>
  <pageMargins left="0" right="0.5" top="0" bottom="0" header="0" footer="0"/>
  <pageSetup paperSize="5" scale="45" orientation="landscape" cellComments="asDisplayed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N67"/>
  <sheetViews>
    <sheetView zoomScale="90" zoomScaleNormal="90" workbookViewId="0">
      <selection activeCell="M1" sqref="M1"/>
    </sheetView>
  </sheetViews>
  <sheetFormatPr defaultRowHeight="15"/>
  <cols>
    <col min="1" max="1" width="32.7109375" bestFit="1" customWidth="1"/>
    <col min="2" max="2" width="17.7109375" customWidth="1"/>
    <col min="3" max="4" width="20.7109375" customWidth="1"/>
    <col min="5" max="5" width="4.7109375" customWidth="1"/>
    <col min="6" max="6" width="35.85546875" bestFit="1" customWidth="1"/>
    <col min="7" max="7" width="17.7109375" customWidth="1"/>
    <col min="8" max="9" width="19.140625" bestFit="1" customWidth="1"/>
    <col min="10" max="11" width="17.7109375" customWidth="1"/>
    <col min="12" max="12" width="19.140625" bestFit="1" customWidth="1"/>
    <col min="13" max="14" width="18.7109375" customWidth="1"/>
    <col min="15" max="15" width="7.7109375" customWidth="1"/>
    <col min="16" max="16" width="28.7109375" customWidth="1"/>
    <col min="17" max="17" width="20.7109375" customWidth="1"/>
    <col min="18" max="18" width="7.28515625" customWidth="1"/>
    <col min="19" max="19" width="32.7109375" customWidth="1"/>
    <col min="20" max="20" width="20.28515625" bestFit="1" customWidth="1"/>
    <col min="21" max="21" width="17.7109375" customWidth="1"/>
    <col min="22" max="22" width="20.28515625" bestFit="1" customWidth="1"/>
    <col min="23" max="23" width="17.7109375" customWidth="1"/>
    <col min="24" max="24" width="20.28515625" bestFit="1" customWidth="1"/>
    <col min="25" max="25" width="14.7109375" customWidth="1"/>
    <col min="26" max="26" width="23.7109375" bestFit="1" customWidth="1"/>
    <col min="27" max="27" width="20.140625" bestFit="1" customWidth="1"/>
    <col min="28" max="28" width="17.7109375" customWidth="1"/>
    <col min="29" max="29" width="20.140625" bestFit="1" customWidth="1"/>
    <col min="30" max="30" width="17.7109375" customWidth="1"/>
    <col min="31" max="31" width="22.28515625" bestFit="1" customWidth="1"/>
    <col min="32" max="33" width="20.7109375" customWidth="1"/>
    <col min="34" max="37" width="17.7109375" customWidth="1"/>
    <col min="38" max="39" width="0" hidden="1" customWidth="1"/>
    <col min="40" max="40" width="12.7109375" hidden="1" customWidth="1"/>
  </cols>
  <sheetData>
    <row r="1" spans="1:36">
      <c r="E1" s="5"/>
    </row>
    <row r="2" spans="1:36">
      <c r="E2" s="5"/>
    </row>
    <row r="3" spans="1:36" ht="15.75" thickBot="1">
      <c r="C3" t="s">
        <v>1</v>
      </c>
      <c r="E3" s="5" t="s">
        <v>1</v>
      </c>
      <c r="F3" t="s">
        <v>1</v>
      </c>
      <c r="L3" t="s">
        <v>1</v>
      </c>
      <c r="N3" t="s">
        <v>1</v>
      </c>
      <c r="S3" t="s">
        <v>1</v>
      </c>
      <c r="U3" t="s">
        <v>1</v>
      </c>
    </row>
    <row r="4" spans="1:36" ht="21.75" thickTop="1">
      <c r="B4" t="s">
        <v>1</v>
      </c>
      <c r="D4" t="s">
        <v>1</v>
      </c>
      <c r="E4" t="s">
        <v>1</v>
      </c>
      <c r="P4" s="617" t="s">
        <v>108</v>
      </c>
      <c r="Q4" s="618">
        <f>'17'!Q4+'18'!Q9+'18'!Q10+'18'!Q19+'18'!Q20+'18'!Q21+'18'!Q22</f>
        <v>0</v>
      </c>
    </row>
    <row r="5" spans="1:36" ht="21.75" thickBot="1">
      <c r="P5" s="619" t="s">
        <v>109</v>
      </c>
      <c r="Q5" s="620">
        <f>'17'!Q5+'18'!Q25+'18'!Q26+'18'!Q27+'18'!Q28+'18'!Q29+'18'!Q30+'18'!Q31</f>
        <v>0</v>
      </c>
    </row>
    <row r="6" spans="1:36" ht="48" thickTop="1" thickBot="1">
      <c r="A6" s="1502">
        <f>'Main Page'!E34</f>
        <v>44883</v>
      </c>
      <c r="B6" s="1507"/>
      <c r="C6" s="1507"/>
      <c r="D6" s="1507"/>
      <c r="E6" s="1507"/>
      <c r="F6" s="1507"/>
      <c r="G6" s="1507"/>
      <c r="H6" s="1507"/>
      <c r="I6" s="1507"/>
      <c r="J6" s="1507"/>
      <c r="K6" s="1507"/>
      <c r="L6" s="1507"/>
      <c r="M6" s="1507"/>
      <c r="N6" s="1507"/>
      <c r="O6" s="1507"/>
      <c r="P6" s="1507"/>
      <c r="Q6" s="1515"/>
      <c r="R6" t="s">
        <v>1</v>
      </c>
      <c r="S6" s="1502">
        <f>A6</f>
        <v>44883</v>
      </c>
      <c r="T6" s="1503"/>
      <c r="U6" s="1503"/>
      <c r="V6" s="1503"/>
      <c r="W6" s="1503"/>
      <c r="X6" s="1503"/>
      <c r="Y6" s="1503"/>
      <c r="Z6" s="1503"/>
      <c r="AA6" s="1503"/>
      <c r="AB6" s="1503"/>
      <c r="AC6" s="1503"/>
      <c r="AD6" s="1503"/>
      <c r="AE6" s="1504"/>
    </row>
    <row r="7" spans="1:36" ht="39.950000000000003" customHeight="1" thickTop="1" thickBot="1">
      <c r="A7" s="1505" t="s">
        <v>110</v>
      </c>
      <c r="B7" s="1506"/>
      <c r="C7" s="367" t="s">
        <v>97</v>
      </c>
      <c r="D7" s="368" t="s">
        <v>74</v>
      </c>
      <c r="F7" s="363" t="s">
        <v>111</v>
      </c>
      <c r="G7" s="364" t="s">
        <v>112</v>
      </c>
      <c r="H7" s="365" t="s">
        <v>113</v>
      </c>
      <c r="I7" s="365" t="s">
        <v>26</v>
      </c>
      <c r="J7" s="365" t="s">
        <v>114</v>
      </c>
      <c r="K7" s="366" t="s">
        <v>115</v>
      </c>
      <c r="L7" s="365" t="s">
        <v>116</v>
      </c>
      <c r="M7" s="365" t="s">
        <v>117</v>
      </c>
      <c r="N7" s="365" t="s">
        <v>118</v>
      </c>
      <c r="P7" s="1510" t="s">
        <v>69</v>
      </c>
      <c r="Q7" s="1511"/>
      <c r="S7" s="380" t="s">
        <v>58</v>
      </c>
      <c r="T7" s="380" t="s">
        <v>59</v>
      </c>
      <c r="U7" s="380" t="s">
        <v>119</v>
      </c>
      <c r="V7" s="380" t="s">
        <v>74</v>
      </c>
      <c r="W7" s="380" t="s">
        <v>120</v>
      </c>
      <c r="X7" s="380" t="s">
        <v>59</v>
      </c>
      <c r="Z7" s="367" t="s">
        <v>121</v>
      </c>
      <c r="AA7" s="367" t="s">
        <v>97</v>
      </c>
      <c r="AB7" s="415" t="s">
        <v>122</v>
      </c>
      <c r="AC7" s="416" t="s">
        <v>90</v>
      </c>
      <c r="AD7" s="367" t="s">
        <v>56</v>
      </c>
      <c r="AE7" s="381" t="s">
        <v>100</v>
      </c>
      <c r="AF7" s="560" t="s">
        <v>122</v>
      </c>
      <c r="AG7" s="570" t="s">
        <v>56</v>
      </c>
      <c r="AI7" s="1487" t="s">
        <v>123</v>
      </c>
      <c r="AJ7" s="1488"/>
    </row>
    <row r="8" spans="1:36" ht="27" customHeight="1" thickTop="1" thickBot="1">
      <c r="A8" s="717"/>
      <c r="B8" s="233"/>
      <c r="C8" s="463"/>
      <c r="D8" s="233"/>
      <c r="F8" s="478" t="str">
        <f>'17'!F8</f>
        <v>ISHAQ ANSARI</v>
      </c>
      <c r="G8" s="405">
        <f>'CUSTOMERS REPORT'!Y25</f>
        <v>0</v>
      </c>
      <c r="H8" s="503">
        <f>'CUSTOMERS REPORT'!Z25</f>
        <v>0</v>
      </c>
      <c r="I8" s="405">
        <f>'CUSTOMERS REPORT'!AA25</f>
        <v>0</v>
      </c>
      <c r="J8" s="497">
        <f>'CUSTOMERS REPORT'!AB25</f>
        <v>0</v>
      </c>
      <c r="K8" s="497">
        <f>'CUSTOMERS REPORT'!AC25</f>
        <v>0</v>
      </c>
      <c r="L8" s="508">
        <f>'CUSTOMERS REPORT'!AD25</f>
        <v>0</v>
      </c>
      <c r="M8" s="413">
        <f>'17'!M8+'18'!G8</f>
        <v>0</v>
      </c>
      <c r="N8" s="411">
        <f>'17'!N8+'18'!J8</f>
        <v>0</v>
      </c>
      <c r="P8" s="191" t="s">
        <v>124</v>
      </c>
      <c r="Q8" s="223">
        <f>'17'!Q32</f>
        <v>0</v>
      </c>
      <c r="S8" s="399" t="str">
        <f>'17'!S8</f>
        <v>FLOUR</v>
      </c>
      <c r="T8" s="446">
        <f>'17'!X8</f>
        <v>-4</v>
      </c>
      <c r="U8" s="455"/>
      <c r="V8" s="450">
        <f t="shared" ref="V8:V43" si="0">SUM(T8:U8)</f>
        <v>-4</v>
      </c>
      <c r="W8" s="450"/>
      <c r="X8" s="446">
        <f t="shared" ref="X8:X43" si="1">V8-W8</f>
        <v>-4</v>
      </c>
      <c r="Z8" s="382" t="str">
        <f>'17'!Z8</f>
        <v>GHAZI</v>
      </c>
      <c r="AA8" s="464">
        <f>'17'!AE8</f>
        <v>-300000</v>
      </c>
      <c r="AB8" s="459"/>
      <c r="AC8" s="233">
        <f t="shared" ref="AC8:AC41" si="2">AA8+AB8</f>
        <v>-300000</v>
      </c>
      <c r="AD8" s="468"/>
      <c r="AE8" s="463">
        <f t="shared" ref="AE8:AE42" si="3">AC8-AD8</f>
        <v>-300000</v>
      </c>
      <c r="AF8" s="563">
        <f>'17'!AF8+'18'!AB8</f>
        <v>0</v>
      </c>
      <c r="AG8" s="233">
        <f>'17'!AG8+'18'!AD8</f>
        <v>300000</v>
      </c>
      <c r="AI8" s="391" t="s">
        <v>126</v>
      </c>
      <c r="AJ8" s="392">
        <f>'17'!AJ18</f>
        <v>102800</v>
      </c>
    </row>
    <row r="9" spans="1:36" ht="27" customHeight="1" thickTop="1">
      <c r="A9" s="718"/>
      <c r="B9" s="526"/>
      <c r="C9" s="348"/>
      <c r="D9" s="550"/>
      <c r="F9" s="479" t="str">
        <f>'17'!F9</f>
        <v>MAKKI BAKERY</v>
      </c>
      <c r="G9" s="406">
        <f>'CUSTOMERS REPORT'!Y71</f>
        <v>0</v>
      </c>
      <c r="H9" s="504">
        <f>'CUSTOMERS REPORT'!Z71</f>
        <v>0</v>
      </c>
      <c r="I9" s="406">
        <f>'CUSTOMERS REPORT'!AA71</f>
        <v>0</v>
      </c>
      <c r="J9" s="498">
        <f>'CUSTOMERS REPORT'!AB71</f>
        <v>0</v>
      </c>
      <c r="K9" s="498">
        <f>'CUSTOMERS REPORT'!AC71</f>
        <v>0</v>
      </c>
      <c r="L9" s="509">
        <f>'CUSTOMERS REPORT'!AD71</f>
        <v>0</v>
      </c>
      <c r="M9" s="414">
        <f>'17'!M9+'18'!G9</f>
        <v>0</v>
      </c>
      <c r="N9" s="412">
        <f>'17'!N9+'18'!J9</f>
        <v>0</v>
      </c>
      <c r="P9" s="432"/>
      <c r="Q9" s="436"/>
      <c r="S9" s="399" t="str">
        <f>'17'!S9</f>
        <v>SUGAR</v>
      </c>
      <c r="T9" s="446">
        <f>'17'!X9</f>
        <v>-320</v>
      </c>
      <c r="U9" s="456"/>
      <c r="V9" s="451">
        <f t="shared" si="0"/>
        <v>-320</v>
      </c>
      <c r="W9" s="451"/>
      <c r="X9" s="447">
        <f t="shared" si="1"/>
        <v>-320</v>
      </c>
      <c r="Z9" s="375" t="str">
        <f>'17'!Z9</f>
        <v>SOHNI</v>
      </c>
      <c r="AA9" s="464">
        <f>'17'!AE9</f>
        <v>170000</v>
      </c>
      <c r="AB9" s="460"/>
      <c r="AC9" s="462">
        <f t="shared" si="2"/>
        <v>170000</v>
      </c>
      <c r="AD9" s="469"/>
      <c r="AE9" s="348">
        <f t="shared" si="3"/>
        <v>170000</v>
      </c>
      <c r="AF9" s="563">
        <f>'17'!AF9+'18'!AB9</f>
        <v>370000</v>
      </c>
      <c r="AG9" s="234">
        <f>'17'!AG9+'18'!AD9</f>
        <v>200000</v>
      </c>
      <c r="AI9" s="393" t="s">
        <v>128</v>
      </c>
      <c r="AJ9" s="394">
        <f>B26</f>
        <v>0</v>
      </c>
    </row>
    <row r="10" spans="1:36" ht="27" customHeight="1" thickBot="1">
      <c r="A10" s="718"/>
      <c r="B10" s="528"/>
      <c r="C10" s="350"/>
      <c r="D10" s="550"/>
      <c r="F10" s="479" t="str">
        <f>'17'!F10</f>
        <v>ABID HUSSAIN</v>
      </c>
      <c r="G10" s="406">
        <f>'CUSTOMERS REPORT'!Y109</f>
        <v>0</v>
      </c>
      <c r="H10" s="504">
        <f>'CUSTOMERS REPORT'!Z109</f>
        <v>0</v>
      </c>
      <c r="I10" s="406">
        <f>'CUSTOMERS REPORT'!AA109</f>
        <v>0</v>
      </c>
      <c r="J10" s="498">
        <f>'CUSTOMERS REPORT'!AB109</f>
        <v>0</v>
      </c>
      <c r="K10" s="498">
        <f>'CUSTOMERS REPORT'!AC109</f>
        <v>0</v>
      </c>
      <c r="L10" s="509">
        <f>'CUSTOMERS REPORT'!AD109</f>
        <v>0</v>
      </c>
      <c r="M10" s="414">
        <f>'17'!M10+'18'!G10</f>
        <v>0</v>
      </c>
      <c r="N10" s="412">
        <f>'17'!N10+'18'!J10</f>
        <v>0</v>
      </c>
      <c r="P10" s="433"/>
      <c r="Q10" s="437"/>
      <c r="S10" s="399" t="str">
        <f>'17'!S10</f>
        <v>GHEE</v>
      </c>
      <c r="T10" s="446">
        <f>'17'!X10</f>
        <v>-25</v>
      </c>
      <c r="U10" s="456"/>
      <c r="V10" s="451">
        <f t="shared" si="0"/>
        <v>-25</v>
      </c>
      <c r="W10" s="451"/>
      <c r="X10" s="447">
        <f t="shared" si="1"/>
        <v>-25</v>
      </c>
      <c r="Z10" s="375" t="str">
        <f>'17'!Z10</f>
        <v>HUSSAINI</v>
      </c>
      <c r="AA10" s="464">
        <f>'17'!AE10</f>
        <v>-156100</v>
      </c>
      <c r="AB10" s="460"/>
      <c r="AC10" s="462">
        <f t="shared" ref="AC10:AC21" si="4">AA10+AB10</f>
        <v>-156100</v>
      </c>
      <c r="AD10" s="469"/>
      <c r="AE10" s="348">
        <f t="shared" ref="AE10:AE21" si="5">AC10-AD10</f>
        <v>-156100</v>
      </c>
      <c r="AF10" s="563">
        <f>'17'!AF10+'18'!AB10</f>
        <v>0</v>
      </c>
      <c r="AG10" s="234">
        <f>'17'!AG10+'18'!AD10</f>
        <v>156100</v>
      </c>
      <c r="AI10" s="395" t="s">
        <v>74</v>
      </c>
      <c r="AJ10" s="396">
        <f>AJ8+AJ9</f>
        <v>102800</v>
      </c>
    </row>
    <row r="11" spans="1:36" ht="27" customHeight="1" thickTop="1">
      <c r="A11" s="718"/>
      <c r="B11" s="528"/>
      <c r="C11" s="350"/>
      <c r="D11" s="550"/>
      <c r="F11" s="479" t="str">
        <f>'17'!F11</f>
        <v>SHAHID 5 #</v>
      </c>
      <c r="G11" s="406">
        <f>'CUSTOMERS REPORT'!Y148</f>
        <v>0</v>
      </c>
      <c r="H11" s="504">
        <f>'CUSTOMERS REPORT'!Z148</f>
        <v>0</v>
      </c>
      <c r="I11" s="406">
        <f>'CUSTOMERS REPORT'!AA148</f>
        <v>0</v>
      </c>
      <c r="J11" s="498">
        <f>'CUSTOMERS REPORT'!AB148</f>
        <v>0</v>
      </c>
      <c r="K11" s="498">
        <f>'CUSTOMERS REPORT'!AC148</f>
        <v>0</v>
      </c>
      <c r="L11" s="509">
        <f>'CUSTOMERS REPORT'!AD148</f>
        <v>0</v>
      </c>
      <c r="M11" s="414">
        <f>'17'!M11+'18'!G11</f>
        <v>0</v>
      </c>
      <c r="N11" s="412">
        <f>'17'!N11+'18'!J11</f>
        <v>0</v>
      </c>
      <c r="P11" s="433"/>
      <c r="Q11" s="437"/>
      <c r="S11" s="399" t="str">
        <f>'17'!S11</f>
        <v>YEAST</v>
      </c>
      <c r="T11" s="446">
        <f>'17'!X11</f>
        <v>-53</v>
      </c>
      <c r="U11" s="456"/>
      <c r="V11" s="451">
        <f t="shared" ref="V11:V18" si="6">SUM(T11:U11)</f>
        <v>-53</v>
      </c>
      <c r="W11" s="451"/>
      <c r="X11" s="447">
        <f t="shared" ref="X11:X18" si="7">V11-W11</f>
        <v>-53</v>
      </c>
      <c r="Z11" s="375" t="str">
        <f>'17'!Z11</f>
        <v>IMRAN ALAM</v>
      </c>
      <c r="AA11" s="464">
        <f>'17'!AE11</f>
        <v>-145000</v>
      </c>
      <c r="AB11" s="460"/>
      <c r="AC11" s="462">
        <f t="shared" si="4"/>
        <v>-145000</v>
      </c>
      <c r="AD11" s="469"/>
      <c r="AE11" s="348">
        <f t="shared" si="5"/>
        <v>-145000</v>
      </c>
      <c r="AF11" s="563">
        <f>'17'!AF11+'18'!AB11</f>
        <v>0</v>
      </c>
      <c r="AG11" s="234">
        <f>'17'!AG11+'18'!AD11</f>
        <v>145000</v>
      </c>
      <c r="AI11" s="1031"/>
      <c r="AJ11" s="1032"/>
    </row>
    <row r="12" spans="1:36" ht="27" customHeight="1">
      <c r="A12" s="718"/>
      <c r="B12" s="528"/>
      <c r="C12" s="350"/>
      <c r="D12" s="550"/>
      <c r="F12" s="479" t="str">
        <f>'17'!F12</f>
        <v>ZULFIQAR</v>
      </c>
      <c r="G12" s="406">
        <f>'CUSTOMERS REPORT'!Y186</f>
        <v>0</v>
      </c>
      <c r="H12" s="504">
        <f>'CUSTOMERS REPORT'!Z186</f>
        <v>0</v>
      </c>
      <c r="I12" s="406">
        <f>'CUSTOMERS REPORT'!AA186</f>
        <v>0</v>
      </c>
      <c r="J12" s="498">
        <f>'CUSTOMERS REPORT'!AB186</f>
        <v>0</v>
      </c>
      <c r="K12" s="498">
        <f>'CUSTOMERS REPORT'!AC186</f>
        <v>0</v>
      </c>
      <c r="L12" s="509">
        <f>'CUSTOMERS REPORT'!AD186</f>
        <v>0</v>
      </c>
      <c r="M12" s="414">
        <f>'17'!M12+'18'!G12</f>
        <v>0</v>
      </c>
      <c r="N12" s="412">
        <f>'17'!N12+'18'!J12</f>
        <v>0</v>
      </c>
      <c r="P12" s="433"/>
      <c r="Q12" s="437"/>
      <c r="S12" s="399" t="str">
        <f>'17'!S12</f>
        <v xml:space="preserve">EKKA </v>
      </c>
      <c r="T12" s="446">
        <f>'17'!X12</f>
        <v>0</v>
      </c>
      <c r="U12" s="456"/>
      <c r="V12" s="451">
        <f t="shared" si="6"/>
        <v>0</v>
      </c>
      <c r="W12" s="451"/>
      <c r="X12" s="447">
        <f t="shared" si="7"/>
        <v>0</v>
      </c>
      <c r="Z12" s="375" t="str">
        <f>'17'!Z12</f>
        <v>ZAHEER</v>
      </c>
      <c r="AA12" s="464">
        <f>'17'!AE12</f>
        <v>0</v>
      </c>
      <c r="AB12" s="460"/>
      <c r="AC12" s="462">
        <f t="shared" si="4"/>
        <v>0</v>
      </c>
      <c r="AD12" s="469"/>
      <c r="AE12" s="348">
        <f t="shared" si="5"/>
        <v>0</v>
      </c>
      <c r="AF12" s="563">
        <f>'17'!AF12+'18'!AB12</f>
        <v>0</v>
      </c>
      <c r="AG12" s="234">
        <f>'17'!AG12+'18'!AD12</f>
        <v>0</v>
      </c>
      <c r="AI12" s="1031"/>
      <c r="AJ12" s="1032"/>
    </row>
    <row r="13" spans="1:36" ht="27" customHeight="1">
      <c r="A13" s="718"/>
      <c r="B13" s="528"/>
      <c r="C13" s="350"/>
      <c r="D13" s="550"/>
      <c r="F13" s="479" t="str">
        <f>'17'!F13</f>
        <v>QASIM ORANGI</v>
      </c>
      <c r="G13" s="406">
        <f>'CUSTOMERS REPORT'!Y226</f>
        <v>0</v>
      </c>
      <c r="H13" s="504">
        <f>'CUSTOMERS REPORT'!Z226</f>
        <v>0</v>
      </c>
      <c r="I13" s="406">
        <f>'CUSTOMERS REPORT'!AA226</f>
        <v>0</v>
      </c>
      <c r="J13" s="498">
        <f>'CUSTOMERS REPORT'!AB226</f>
        <v>0</v>
      </c>
      <c r="K13" s="498">
        <f>'CUSTOMERS REPORT'!AC226</f>
        <v>0</v>
      </c>
      <c r="L13" s="509">
        <f>'CUSTOMERS REPORT'!AD226</f>
        <v>0</v>
      </c>
      <c r="M13" s="414">
        <f>'17'!M13+'18'!G13</f>
        <v>0</v>
      </c>
      <c r="N13" s="412">
        <f>'17'!N13+'18'!J13</f>
        <v>0</v>
      </c>
      <c r="P13" s="433"/>
      <c r="Q13" s="437"/>
      <c r="S13" s="399" t="str">
        <f>'17'!S13</f>
        <v>VANILLA</v>
      </c>
      <c r="T13" s="446">
        <f>'17'!X13</f>
        <v>0</v>
      </c>
      <c r="U13" s="456"/>
      <c r="V13" s="451">
        <f t="shared" si="6"/>
        <v>0</v>
      </c>
      <c r="W13" s="451"/>
      <c r="X13" s="447">
        <f t="shared" si="7"/>
        <v>0</v>
      </c>
      <c r="Z13" s="375" t="str">
        <f>'17'!Z13</f>
        <v>FAISAL</v>
      </c>
      <c r="AA13" s="464">
        <f>'17'!AE13</f>
        <v>-100000</v>
      </c>
      <c r="AB13" s="460"/>
      <c r="AC13" s="462">
        <f t="shared" si="4"/>
        <v>-100000</v>
      </c>
      <c r="AD13" s="469"/>
      <c r="AE13" s="348">
        <f t="shared" si="5"/>
        <v>-100000</v>
      </c>
      <c r="AF13" s="563">
        <f>'17'!AF13+'18'!AB13</f>
        <v>0</v>
      </c>
      <c r="AG13" s="234">
        <f>'17'!AG13+'18'!AD13</f>
        <v>100000</v>
      </c>
      <c r="AI13" s="1031"/>
      <c r="AJ13" s="1032"/>
    </row>
    <row r="14" spans="1:36" ht="27" customHeight="1">
      <c r="A14" s="718"/>
      <c r="B14" s="528"/>
      <c r="C14" s="350"/>
      <c r="D14" s="550"/>
      <c r="F14" s="479" t="str">
        <f>'17'!F14</f>
        <v>BADSHAH KHAN HYD</v>
      </c>
      <c r="G14" s="406">
        <f>'CUSTOMERS REPORT'!Y263</f>
        <v>0</v>
      </c>
      <c r="H14" s="504">
        <f>'CUSTOMERS REPORT'!Z263</f>
        <v>0</v>
      </c>
      <c r="I14" s="406">
        <f>'CUSTOMERS REPORT'!AA263</f>
        <v>0</v>
      </c>
      <c r="J14" s="498">
        <f>'CUSTOMERS REPORT'!AB263</f>
        <v>0</v>
      </c>
      <c r="K14" s="498">
        <f>'CUSTOMERS REPORT'!AC263</f>
        <v>0</v>
      </c>
      <c r="L14" s="509">
        <f>'CUSTOMERS REPORT'!AD263</f>
        <v>0</v>
      </c>
      <c r="M14" s="414">
        <f>'17'!M14+'18'!G14</f>
        <v>0</v>
      </c>
      <c r="N14" s="412">
        <f>'17'!N14+'18'!J14</f>
        <v>0</v>
      </c>
      <c r="P14" s="433"/>
      <c r="Q14" s="437"/>
      <c r="S14" s="399" t="str">
        <f>'17'!S14</f>
        <v>COLOUR</v>
      </c>
      <c r="T14" s="446">
        <f>'17'!X14</f>
        <v>25</v>
      </c>
      <c r="U14" s="456"/>
      <c r="V14" s="451">
        <f t="shared" si="6"/>
        <v>25</v>
      </c>
      <c r="W14" s="451"/>
      <c r="X14" s="447">
        <f t="shared" si="7"/>
        <v>25</v>
      </c>
      <c r="Z14" s="375" t="str">
        <f>'17'!Z14</f>
        <v>RANA EKKA</v>
      </c>
      <c r="AA14" s="464">
        <f>'17'!AE14</f>
        <v>0</v>
      </c>
      <c r="AB14" s="460"/>
      <c r="AC14" s="462">
        <f t="shared" si="4"/>
        <v>0</v>
      </c>
      <c r="AD14" s="469"/>
      <c r="AE14" s="348">
        <f t="shared" si="5"/>
        <v>0</v>
      </c>
      <c r="AF14" s="563">
        <f>'17'!AF14+'18'!AB14</f>
        <v>0</v>
      </c>
      <c r="AG14" s="234">
        <f>'17'!AG14+'18'!AD14</f>
        <v>0</v>
      </c>
      <c r="AI14" s="1031"/>
      <c r="AJ14" s="1032"/>
    </row>
    <row r="15" spans="1:36" ht="27" customHeight="1">
      <c r="A15" s="718"/>
      <c r="B15" s="528"/>
      <c r="C15" s="350"/>
      <c r="D15" s="550"/>
      <c r="F15" s="479" t="str">
        <f>'17'!F15</f>
        <v>SHAMOON</v>
      </c>
      <c r="G15" s="406">
        <f>'CUSTOMERS REPORT'!Y303</f>
        <v>0</v>
      </c>
      <c r="H15" s="504">
        <f>'CUSTOMERS REPORT'!Z303</f>
        <v>0</v>
      </c>
      <c r="I15" s="406">
        <f>'CUSTOMERS REPORT'!AA303</f>
        <v>0</v>
      </c>
      <c r="J15" s="498">
        <f>'CUSTOMERS REPORT'!AB303</f>
        <v>0</v>
      </c>
      <c r="K15" s="498">
        <f>'CUSTOMERS REPORT'!AC303</f>
        <v>0</v>
      </c>
      <c r="L15" s="509">
        <f>'CUSTOMERS REPORT'!AD303</f>
        <v>0</v>
      </c>
      <c r="M15" s="414">
        <f>'17'!M15+'18'!G15</f>
        <v>0</v>
      </c>
      <c r="N15" s="412">
        <f>'17'!N15+'18'!J15</f>
        <v>0</v>
      </c>
      <c r="P15" s="433"/>
      <c r="Q15" s="437"/>
      <c r="S15" s="399" t="str">
        <f>'17'!S15</f>
        <v>TILL</v>
      </c>
      <c r="T15" s="446">
        <f>'17'!X15</f>
        <v>0</v>
      </c>
      <c r="U15" s="456"/>
      <c r="V15" s="451">
        <f t="shared" si="6"/>
        <v>0</v>
      </c>
      <c r="W15" s="451"/>
      <c r="X15" s="447">
        <f t="shared" si="7"/>
        <v>0</v>
      </c>
      <c r="Z15" s="375" t="str">
        <f>'17'!Z15</f>
        <v>sheeba</v>
      </c>
      <c r="AA15" s="464">
        <f>'17'!AE15</f>
        <v>-410250</v>
      </c>
      <c r="AB15" s="460"/>
      <c r="AC15" s="462">
        <f t="shared" si="4"/>
        <v>-410250</v>
      </c>
      <c r="AD15" s="469"/>
      <c r="AE15" s="348">
        <f t="shared" si="5"/>
        <v>-410250</v>
      </c>
      <c r="AF15" s="563">
        <f>'17'!AF15+'18'!AB15</f>
        <v>0</v>
      </c>
      <c r="AG15" s="234">
        <f>'17'!AG15+'18'!AD15</f>
        <v>410250</v>
      </c>
      <c r="AI15" s="1031"/>
      <c r="AJ15" s="1032"/>
    </row>
    <row r="16" spans="1:36" ht="27" customHeight="1">
      <c r="A16" s="718"/>
      <c r="B16" s="528"/>
      <c r="C16" s="350"/>
      <c r="D16" s="550"/>
      <c r="F16" s="479" t="str">
        <f>'17'!F16</f>
        <v>MATEEN</v>
      </c>
      <c r="G16" s="406">
        <f>'CUSTOMERS REPORT'!Y344</f>
        <v>0</v>
      </c>
      <c r="H16" s="504">
        <f>'CUSTOMERS REPORT'!Z344</f>
        <v>0</v>
      </c>
      <c r="I16" s="406">
        <f>'CUSTOMERS REPORT'!AA344</f>
        <v>0</v>
      </c>
      <c r="J16" s="498">
        <f>'CUSTOMERS REPORT'!AB344</f>
        <v>0</v>
      </c>
      <c r="K16" s="498">
        <f>'CUSTOMERS REPORT'!AC344</f>
        <v>0</v>
      </c>
      <c r="L16" s="509">
        <f>'CUSTOMERS REPORT'!AD344</f>
        <v>0</v>
      </c>
      <c r="M16" s="414">
        <f>'17'!M16+'18'!G16</f>
        <v>0</v>
      </c>
      <c r="N16" s="412">
        <f>'17'!N16+'18'!J16</f>
        <v>0</v>
      </c>
      <c r="P16" s="433"/>
      <c r="Q16" s="437"/>
      <c r="S16" s="399" t="str">
        <f>'17'!S16</f>
        <v>ILLAICHI</v>
      </c>
      <c r="T16" s="446">
        <f>'17'!X16</f>
        <v>0</v>
      </c>
      <c r="U16" s="456"/>
      <c r="V16" s="451">
        <f t="shared" si="6"/>
        <v>0</v>
      </c>
      <c r="W16" s="451"/>
      <c r="X16" s="447">
        <f t="shared" si="7"/>
        <v>0</v>
      </c>
      <c r="Z16" s="375" t="str">
        <f>'17'!Z16</f>
        <v>COTTON</v>
      </c>
      <c r="AA16" s="464">
        <f>'17'!AE16</f>
        <v>11400</v>
      </c>
      <c r="AB16" s="460"/>
      <c r="AC16" s="462">
        <f t="shared" si="4"/>
        <v>11400</v>
      </c>
      <c r="AD16" s="469"/>
      <c r="AE16" s="348">
        <f t="shared" si="5"/>
        <v>11400</v>
      </c>
      <c r="AF16" s="563">
        <f>'17'!AF16+'18'!AB16</f>
        <v>26400</v>
      </c>
      <c r="AG16" s="234">
        <f>'17'!AG16+'18'!AD16</f>
        <v>15000</v>
      </c>
      <c r="AI16" s="1031"/>
      <c r="AJ16" s="1032"/>
    </row>
    <row r="17" spans="1:36" ht="27" customHeight="1">
      <c r="A17" s="718"/>
      <c r="B17" s="528"/>
      <c r="C17" s="350"/>
      <c r="D17" s="550"/>
      <c r="F17" s="479" t="str">
        <f>'17'!F17</f>
        <v>AMJAD ORANGI</v>
      </c>
      <c r="G17" s="406">
        <f>'CUSTOMERS REPORT'!Y386</f>
        <v>0</v>
      </c>
      <c r="H17" s="504">
        <f>'CUSTOMERS REPORT'!Z386</f>
        <v>0</v>
      </c>
      <c r="I17" s="406">
        <f>'CUSTOMERS REPORT'!AA386</f>
        <v>0</v>
      </c>
      <c r="J17" s="498">
        <f>'CUSTOMERS REPORT'!AB386</f>
        <v>0</v>
      </c>
      <c r="K17" s="498">
        <f>'CUSTOMERS REPORT'!AC386</f>
        <v>0</v>
      </c>
      <c r="L17" s="509">
        <f>'CUSTOMERS REPORT'!AD386</f>
        <v>0</v>
      </c>
      <c r="M17" s="414">
        <f>'17'!M17+'18'!G17</f>
        <v>0</v>
      </c>
      <c r="N17" s="412">
        <f>'17'!N17+'18'!J17</f>
        <v>0</v>
      </c>
      <c r="P17" s="433"/>
      <c r="Q17" s="437"/>
      <c r="S17" s="399" t="str">
        <f>'17'!S17</f>
        <v>S-THELLI</v>
      </c>
      <c r="T17" s="446">
        <f>'17'!X17</f>
        <v>0</v>
      </c>
      <c r="U17" s="456"/>
      <c r="V17" s="451">
        <f t="shared" si="6"/>
        <v>0</v>
      </c>
      <c r="W17" s="451"/>
      <c r="X17" s="447">
        <f t="shared" si="7"/>
        <v>0</v>
      </c>
      <c r="Z17" s="375" t="str">
        <f>'17'!Z17</f>
        <v>SHAHID UP</v>
      </c>
      <c r="AA17" s="464">
        <f>'17'!AE17</f>
        <v>21250</v>
      </c>
      <c r="AB17" s="460"/>
      <c r="AC17" s="462">
        <f t="shared" si="4"/>
        <v>21250</v>
      </c>
      <c r="AD17" s="469"/>
      <c r="AE17" s="348">
        <f t="shared" si="5"/>
        <v>21250</v>
      </c>
      <c r="AF17" s="563">
        <f>'17'!AF17+'18'!AB17</f>
        <v>21250</v>
      </c>
      <c r="AG17" s="234">
        <f>'17'!AG17+'18'!AD17</f>
        <v>0</v>
      </c>
      <c r="AI17" s="1031"/>
      <c r="AJ17" s="1032"/>
    </row>
    <row r="18" spans="1:36" ht="27" customHeight="1">
      <c r="A18" s="718"/>
      <c r="B18" s="528"/>
      <c r="C18" s="350"/>
      <c r="D18" s="550"/>
      <c r="F18" s="479" t="str">
        <f>'17'!F18</f>
        <v>HAFIZ DRIVER</v>
      </c>
      <c r="G18" s="406">
        <f>'CUSTOMERS REPORT'!Y425</f>
        <v>0</v>
      </c>
      <c r="H18" s="504">
        <f>'CUSTOMERS REPORT'!Z425</f>
        <v>0</v>
      </c>
      <c r="I18" s="406">
        <f>'CUSTOMERS REPORT'!AA425</f>
        <v>0</v>
      </c>
      <c r="J18" s="498">
        <f>'CUSTOMERS REPORT'!AB425</f>
        <v>0</v>
      </c>
      <c r="K18" s="498">
        <f>'CUSTOMERS REPORT'!AC425</f>
        <v>0</v>
      </c>
      <c r="L18" s="509">
        <f>'CUSTOMERS REPORT'!AD425</f>
        <v>0</v>
      </c>
      <c r="M18" s="414">
        <f>'17'!M18+'18'!G18</f>
        <v>0</v>
      </c>
      <c r="N18" s="412">
        <f>'17'!N18+'18'!J18</f>
        <v>0</v>
      </c>
      <c r="P18" s="433"/>
      <c r="Q18" s="437"/>
      <c r="S18" s="399" t="str">
        <f>'17'!S18</f>
        <v>P-THELLI</v>
      </c>
      <c r="T18" s="446">
        <f>'17'!X18</f>
        <v>0</v>
      </c>
      <c r="U18" s="456"/>
      <c r="V18" s="451">
        <f t="shared" si="6"/>
        <v>0</v>
      </c>
      <c r="W18" s="451"/>
      <c r="X18" s="447">
        <f t="shared" si="7"/>
        <v>0</v>
      </c>
      <c r="Z18" s="375" t="str">
        <f>'17'!Z18</f>
        <v>SALT</v>
      </c>
      <c r="AA18" s="464">
        <f>'17'!AE18</f>
        <v>0</v>
      </c>
      <c r="AB18" s="460"/>
      <c r="AC18" s="462">
        <f t="shared" si="4"/>
        <v>0</v>
      </c>
      <c r="AD18" s="469"/>
      <c r="AE18" s="348">
        <f t="shared" si="5"/>
        <v>0</v>
      </c>
      <c r="AF18" s="563">
        <f>'17'!AF18+'18'!AB18</f>
        <v>1500</v>
      </c>
      <c r="AG18" s="234">
        <f>'17'!AG18+'18'!AD18</f>
        <v>1500</v>
      </c>
      <c r="AI18" s="1031"/>
      <c r="AJ18" s="1032"/>
    </row>
    <row r="19" spans="1:36" ht="27" customHeight="1" thickBot="1">
      <c r="A19" s="719"/>
      <c r="B19" s="529"/>
      <c r="C19" s="350"/>
      <c r="D19" s="550"/>
      <c r="F19" s="479" t="str">
        <f>'17'!F19</f>
        <v>GHULAM QUETTA</v>
      </c>
      <c r="G19" s="406">
        <f>'CUSTOMERS REPORT'!Y463</f>
        <v>0</v>
      </c>
      <c r="H19" s="504">
        <f>'CUSTOMERS REPORT'!Z463</f>
        <v>0</v>
      </c>
      <c r="I19" s="406">
        <f>'CUSTOMERS REPORT'!AA463</f>
        <v>0</v>
      </c>
      <c r="J19" s="498">
        <f>'CUSTOMERS REPORT'!AB463</f>
        <v>0</v>
      </c>
      <c r="K19" s="498">
        <f>'CUSTOMERS REPORT'!AC463</f>
        <v>0</v>
      </c>
      <c r="L19" s="509">
        <f>'CUSTOMERS REPORT'!AD463</f>
        <v>0</v>
      </c>
      <c r="M19" s="414">
        <f>'17'!M19+'18'!G19</f>
        <v>0</v>
      </c>
      <c r="N19" s="412">
        <f>'17'!N19+'18'!J19</f>
        <v>0</v>
      </c>
      <c r="P19" s="433"/>
      <c r="Q19" s="437"/>
      <c r="S19" s="399" t="str">
        <f>'17'!S19</f>
        <v>RUBBER</v>
      </c>
      <c r="T19" s="446">
        <f>'17'!X19</f>
        <v>0</v>
      </c>
      <c r="U19" s="456"/>
      <c r="V19" s="451">
        <f t="shared" si="0"/>
        <v>0</v>
      </c>
      <c r="W19" s="451"/>
      <c r="X19" s="447">
        <f t="shared" si="1"/>
        <v>0</v>
      </c>
      <c r="Z19" s="375" t="str">
        <f>'17'!Z19</f>
        <v>NAVEED</v>
      </c>
      <c r="AA19" s="464">
        <f>'17'!AE19</f>
        <v>0</v>
      </c>
      <c r="AB19" s="460"/>
      <c r="AC19" s="462">
        <f t="shared" si="4"/>
        <v>0</v>
      </c>
      <c r="AD19" s="469"/>
      <c r="AE19" s="348">
        <f t="shared" si="5"/>
        <v>0</v>
      </c>
      <c r="AF19" s="563">
        <f>'17'!AF19+'18'!AB19</f>
        <v>0</v>
      </c>
      <c r="AG19" s="234">
        <f>'17'!AG19+'18'!AD19</f>
        <v>0</v>
      </c>
    </row>
    <row r="20" spans="1:36" ht="27" customHeight="1" thickTop="1" thickBot="1">
      <c r="A20" s="719"/>
      <c r="B20" s="529"/>
      <c r="C20" s="350"/>
      <c r="D20" s="550"/>
      <c r="F20" s="479" t="str">
        <f>'17'!F20</f>
        <v>HUSSAN GWADAR</v>
      </c>
      <c r="G20" s="406">
        <f>'CUSTOMERS REPORT'!Y499</f>
        <v>0</v>
      </c>
      <c r="H20" s="504">
        <f>'CUSTOMERS REPORT'!Z499</f>
        <v>0</v>
      </c>
      <c r="I20" s="406">
        <f>'CUSTOMERS REPORT'!AA499</f>
        <v>0</v>
      </c>
      <c r="J20" s="498">
        <f>'CUSTOMERS REPORT'!AB499</f>
        <v>0</v>
      </c>
      <c r="K20" s="498">
        <f>'CUSTOMERS REPORT'!AC499</f>
        <v>0</v>
      </c>
      <c r="L20" s="509">
        <f>'CUSTOMERS REPORT'!AD499</f>
        <v>0</v>
      </c>
      <c r="M20" s="414">
        <f>'17'!M20+'18'!G20</f>
        <v>0</v>
      </c>
      <c r="N20" s="412">
        <f>'17'!N20+'18'!J20</f>
        <v>0</v>
      </c>
      <c r="P20" s="433"/>
      <c r="Q20" s="437"/>
      <c r="S20" s="399" t="str">
        <f>'17'!S20</f>
        <v>SALT</v>
      </c>
      <c r="T20" s="446">
        <f>'17'!X20</f>
        <v>250</v>
      </c>
      <c r="U20" s="456"/>
      <c r="V20" s="451">
        <f t="shared" si="0"/>
        <v>250</v>
      </c>
      <c r="W20" s="451"/>
      <c r="X20" s="447">
        <f t="shared" si="1"/>
        <v>250</v>
      </c>
      <c r="Z20" s="375" t="str">
        <f>'17'!Z20</f>
        <v>YOUSUF BHAI</v>
      </c>
      <c r="AA20" s="464">
        <f>'17'!AE20</f>
        <v>-112300</v>
      </c>
      <c r="AB20" s="460"/>
      <c r="AC20" s="462">
        <f t="shared" si="4"/>
        <v>-112300</v>
      </c>
      <c r="AD20" s="469"/>
      <c r="AE20" s="348">
        <f t="shared" si="5"/>
        <v>-112300</v>
      </c>
      <c r="AF20" s="563">
        <f>'17'!AF20+'18'!AB20</f>
        <v>242100</v>
      </c>
      <c r="AG20" s="234">
        <f>'17'!AG20+'18'!AD20</f>
        <v>354400</v>
      </c>
      <c r="AI20" s="1487" t="s">
        <v>132</v>
      </c>
      <c r="AJ20" s="1488"/>
    </row>
    <row r="21" spans="1:36" ht="27" customHeight="1" thickTop="1" thickBot="1">
      <c r="A21" s="720"/>
      <c r="B21" s="530"/>
      <c r="C21" s="531"/>
      <c r="D21" s="553"/>
      <c r="F21" s="479" t="str">
        <f>'17'!F21</f>
        <v>AQASH S KOT</v>
      </c>
      <c r="G21" s="406">
        <f>'CUSTOMERS REPORT'!Y536</f>
        <v>0</v>
      </c>
      <c r="H21" s="504">
        <f>'CUSTOMERS REPORT'!Z536</f>
        <v>0</v>
      </c>
      <c r="I21" s="406">
        <f>'CUSTOMERS REPORT'!AA536</f>
        <v>0</v>
      </c>
      <c r="J21" s="498">
        <f>'CUSTOMERS REPORT'!AB536</f>
        <v>0</v>
      </c>
      <c r="K21" s="498">
        <f>'CUSTOMERS REPORT'!AC536</f>
        <v>0</v>
      </c>
      <c r="L21" s="509">
        <f>'CUSTOMERS REPORT'!AD536</f>
        <v>0</v>
      </c>
      <c r="M21" s="414">
        <f>'17'!M21+'18'!G21</f>
        <v>0</v>
      </c>
      <c r="N21" s="412">
        <f>'17'!N21+'18'!J21</f>
        <v>0</v>
      </c>
      <c r="P21" s="433"/>
      <c r="Q21" s="435"/>
      <c r="S21" s="399" t="str">
        <f>'17'!S21</f>
        <v>TAPE</v>
      </c>
      <c r="T21" s="446">
        <f>'17'!X21</f>
        <v>0</v>
      </c>
      <c r="U21" s="456"/>
      <c r="V21" s="451">
        <f t="shared" si="0"/>
        <v>0</v>
      </c>
      <c r="W21" s="451"/>
      <c r="X21" s="447">
        <f t="shared" si="1"/>
        <v>0</v>
      </c>
      <c r="Z21" s="375" t="str">
        <f>'17'!Z21</f>
        <v>SULEMAN  PRINT</v>
      </c>
      <c r="AA21" s="464">
        <f>'17'!AE21</f>
        <v>-312000</v>
      </c>
      <c r="AB21" s="460"/>
      <c r="AC21" s="462">
        <f t="shared" si="4"/>
        <v>-312000</v>
      </c>
      <c r="AD21" s="469"/>
      <c r="AE21" s="348">
        <f t="shared" si="5"/>
        <v>-312000</v>
      </c>
      <c r="AF21" s="563">
        <f>'17'!AF21+'18'!AB21</f>
        <v>0</v>
      </c>
      <c r="AG21" s="234">
        <f>'17'!AG21+'18'!AD21</f>
        <v>312000</v>
      </c>
      <c r="AI21" s="391" t="s">
        <v>126</v>
      </c>
      <c r="AJ21" s="392">
        <f>'17'!AJ23</f>
        <v>93600</v>
      </c>
    </row>
    <row r="22" spans="1:36" ht="27" customHeight="1" thickTop="1" thickBot="1">
      <c r="A22" s="486" t="s">
        <v>74</v>
      </c>
      <c r="B22" s="533">
        <f>SUM(B8:B21)</f>
        <v>0</v>
      </c>
      <c r="C22" s="534">
        <f>'17'!D22</f>
        <v>2111170</v>
      </c>
      <c r="D22" s="535">
        <f t="shared" ref="D22" si="8">B22+C22</f>
        <v>2111170</v>
      </c>
      <c r="F22" s="479" t="str">
        <f>'17'!F22</f>
        <v>SALEEM T JAM</v>
      </c>
      <c r="G22" s="406">
        <f>'CUSTOMERS REPORT'!Y574</f>
        <v>0</v>
      </c>
      <c r="H22" s="504">
        <f>'CUSTOMERS REPORT'!Z574</f>
        <v>0</v>
      </c>
      <c r="I22" s="406">
        <f>'CUSTOMERS REPORT'!AA574</f>
        <v>0</v>
      </c>
      <c r="J22" s="498">
        <f>'CUSTOMERS REPORT'!AB574</f>
        <v>0</v>
      </c>
      <c r="K22" s="498">
        <f>'CUSTOMERS REPORT'!AC574</f>
        <v>0</v>
      </c>
      <c r="L22" s="509">
        <f>'CUSTOMERS REPORT'!AD574</f>
        <v>0</v>
      </c>
      <c r="M22" s="414">
        <f>'17'!M22+'18'!G22</f>
        <v>0</v>
      </c>
      <c r="N22" s="412">
        <f>'17'!N22+'18'!J22</f>
        <v>0</v>
      </c>
      <c r="P22" s="433"/>
      <c r="Q22" s="438"/>
      <c r="S22" s="399" t="str">
        <f>'17'!S22</f>
        <v>COTTON</v>
      </c>
      <c r="T22" s="446">
        <f>'17'!X22</f>
        <v>220</v>
      </c>
      <c r="U22" s="456"/>
      <c r="V22" s="451">
        <f t="shared" si="0"/>
        <v>220</v>
      </c>
      <c r="W22" s="451"/>
      <c r="X22" s="447">
        <f t="shared" si="1"/>
        <v>220</v>
      </c>
      <c r="Z22" s="375" t="str">
        <f>'17'!Z22</f>
        <v>IRFAN VANILA</v>
      </c>
      <c r="AA22" s="464">
        <f>'17'!AE22</f>
        <v>-110000</v>
      </c>
      <c r="AB22" s="460"/>
      <c r="AC22" s="462">
        <f t="shared" si="2"/>
        <v>-110000</v>
      </c>
      <c r="AD22" s="469"/>
      <c r="AE22" s="348">
        <f t="shared" si="3"/>
        <v>-110000</v>
      </c>
      <c r="AF22" s="563">
        <f>'17'!AF22+'18'!AB22</f>
        <v>0</v>
      </c>
      <c r="AG22" s="234">
        <f>'17'!AG22+'18'!AD22</f>
        <v>110000</v>
      </c>
      <c r="AI22" s="393">
        <f>R56</f>
        <v>0</v>
      </c>
      <c r="AJ22" s="394">
        <f>R56*1800</f>
        <v>0</v>
      </c>
    </row>
    <row r="23" spans="1:36" ht="27" customHeight="1" thickTop="1" thickBot="1">
      <c r="A23" s="715" t="str">
        <f>'17'!A23</f>
        <v>OFFICE FOOD</v>
      </c>
      <c r="B23" s="462"/>
      <c r="C23" s="536">
        <f>'17'!D23</f>
        <v>1670</v>
      </c>
      <c r="D23" s="537">
        <f t="shared" ref="D23:D48" si="9">B23+C23</f>
        <v>1670</v>
      </c>
      <c r="F23" s="479" t="str">
        <f>'17'!F23</f>
        <v>JAMSHAD BADEEN</v>
      </c>
      <c r="G23" s="406">
        <f>'CUSTOMERS REPORT'!Y610</f>
        <v>0</v>
      </c>
      <c r="H23" s="504">
        <f>'CUSTOMERS REPORT'!Z610</f>
        <v>0</v>
      </c>
      <c r="I23" s="406">
        <f>'CUSTOMERS REPORT'!AA610</f>
        <v>0</v>
      </c>
      <c r="J23" s="498">
        <f>'CUSTOMERS REPORT'!AB610</f>
        <v>0</v>
      </c>
      <c r="K23" s="498">
        <f>'CUSTOMERS REPORT'!AC610</f>
        <v>0</v>
      </c>
      <c r="L23" s="509">
        <f>'CUSTOMERS REPORT'!AD610</f>
        <v>0</v>
      </c>
      <c r="M23" s="414">
        <f>'17'!M23+'18'!G23</f>
        <v>0</v>
      </c>
      <c r="N23" s="412">
        <f>'17'!N23+'18'!J23</f>
        <v>0</v>
      </c>
      <c r="P23" s="190" t="s">
        <v>48</v>
      </c>
      <c r="Q23" s="439">
        <f>SUM(Q8:Q22)</f>
        <v>0</v>
      </c>
      <c r="S23" s="399" t="str">
        <f>'17'!S23</f>
        <v>WHITE 6</v>
      </c>
      <c r="T23" s="446">
        <f>'17'!X23</f>
        <v>0</v>
      </c>
      <c r="U23" s="456"/>
      <c r="V23" s="451">
        <f t="shared" si="0"/>
        <v>0</v>
      </c>
      <c r="W23" s="451"/>
      <c r="X23" s="447">
        <f t="shared" si="1"/>
        <v>0</v>
      </c>
      <c r="Z23" s="375" t="str">
        <f>'17'!Z23</f>
        <v>IRANI GHEE</v>
      </c>
      <c r="AA23" s="464">
        <f>'17'!AE23</f>
        <v>0</v>
      </c>
      <c r="AB23" s="460"/>
      <c r="AC23" s="462">
        <f t="shared" si="2"/>
        <v>0</v>
      </c>
      <c r="AD23" s="469"/>
      <c r="AE23" s="348">
        <f t="shared" si="3"/>
        <v>0</v>
      </c>
      <c r="AF23" s="563">
        <f>'17'!AF23+'18'!AB23</f>
        <v>0</v>
      </c>
      <c r="AG23" s="234">
        <f>'17'!AG23+'18'!AD23</f>
        <v>0</v>
      </c>
      <c r="AI23" s="395" t="s">
        <v>74</v>
      </c>
      <c r="AJ23" s="396">
        <f>AJ21+AJ22</f>
        <v>93600</v>
      </c>
    </row>
    <row r="24" spans="1:36" ht="27" customHeight="1" thickTop="1" thickBot="1">
      <c r="A24" s="715" t="str">
        <f>'17'!A24</f>
        <v>LABOUR FOOD EXP</v>
      </c>
      <c r="B24" s="234"/>
      <c r="C24" s="348">
        <f>'17'!D24</f>
        <v>12000</v>
      </c>
      <c r="D24" s="234">
        <f t="shared" si="9"/>
        <v>12000</v>
      </c>
      <c r="F24" s="479" t="str">
        <f>'17'!F24</f>
        <v>SARFAZ MP</v>
      </c>
      <c r="G24" s="406">
        <f>'CUSTOMERS REPORT'!Y648</f>
        <v>0</v>
      </c>
      <c r="H24" s="504">
        <f>'CUSTOMERS REPORT'!Z648</f>
        <v>0</v>
      </c>
      <c r="I24" s="406">
        <f>'CUSTOMERS REPORT'!AA648</f>
        <v>0</v>
      </c>
      <c r="J24" s="498">
        <f>'CUSTOMERS REPORT'!AB648</f>
        <v>0</v>
      </c>
      <c r="K24" s="498">
        <f>'CUSTOMERS REPORT'!AC648</f>
        <v>0</v>
      </c>
      <c r="L24" s="509">
        <f>'CUSTOMERS REPORT'!AD648</f>
        <v>0</v>
      </c>
      <c r="M24" s="414">
        <f>'17'!M24+'18'!G24</f>
        <v>0</v>
      </c>
      <c r="N24" s="412">
        <f>'17'!N24+'18'!J24</f>
        <v>0</v>
      </c>
      <c r="P24" s="1514" t="s">
        <v>137</v>
      </c>
      <c r="Q24" s="1514"/>
      <c r="R24" t="s">
        <v>1</v>
      </c>
      <c r="S24" s="399" t="str">
        <f>'17'!S24</f>
        <v>ORANGE</v>
      </c>
      <c r="T24" s="446">
        <f>'17'!X24</f>
        <v>0</v>
      </c>
      <c r="U24" s="456"/>
      <c r="V24" s="451">
        <f t="shared" si="0"/>
        <v>0</v>
      </c>
      <c r="W24" s="451"/>
      <c r="X24" s="447">
        <f t="shared" si="1"/>
        <v>0</v>
      </c>
      <c r="Z24" s="375">
        <f>'17'!Z24</f>
        <v>0</v>
      </c>
      <c r="AA24" s="464">
        <f>'17'!AE24</f>
        <v>0</v>
      </c>
      <c r="AB24" s="460"/>
      <c r="AC24" s="462">
        <f t="shared" si="2"/>
        <v>0</v>
      </c>
      <c r="AD24" s="469"/>
      <c r="AE24" s="348">
        <f t="shared" si="3"/>
        <v>0</v>
      </c>
      <c r="AF24" s="563">
        <f>'17'!AF24+'18'!AB24</f>
        <v>0</v>
      </c>
      <c r="AG24" s="234">
        <f>'17'!AG24+'18'!AD24</f>
        <v>0</v>
      </c>
    </row>
    <row r="25" spans="1:36" ht="27" customHeight="1" thickTop="1" thickBot="1">
      <c r="A25" s="715" t="str">
        <f>'17'!A25</f>
        <v>OFFICE SALARY</v>
      </c>
      <c r="B25" s="234">
        <f>ATTENDANCE!AK28</f>
        <v>0</v>
      </c>
      <c r="C25" s="348">
        <f>'17'!D25</f>
        <v>24000</v>
      </c>
      <c r="D25" s="234">
        <f t="shared" si="9"/>
        <v>24000</v>
      </c>
      <c r="F25" s="479" t="str">
        <f>'17'!F25</f>
        <v>AFZAL MATLI</v>
      </c>
      <c r="G25" s="406">
        <f>'CUSTOMERS REPORT'!Y686</f>
        <v>0</v>
      </c>
      <c r="H25" s="504">
        <f>'CUSTOMERS REPORT'!Z686</f>
        <v>0</v>
      </c>
      <c r="I25" s="406">
        <f>'CUSTOMERS REPORT'!AA686</f>
        <v>0</v>
      </c>
      <c r="J25" s="498">
        <f>'CUSTOMERS REPORT'!AB686</f>
        <v>0</v>
      </c>
      <c r="K25" s="498">
        <f>'CUSTOMERS REPORT'!AC686</f>
        <v>0</v>
      </c>
      <c r="L25" s="509">
        <f>'CUSTOMERS REPORT'!AD686</f>
        <v>0</v>
      </c>
      <c r="M25" s="414">
        <f>'17'!M25+'18'!G25</f>
        <v>0</v>
      </c>
      <c r="N25" s="412">
        <f>'17'!N25+'18'!J25</f>
        <v>0</v>
      </c>
      <c r="P25" s="433"/>
      <c r="Q25" s="438"/>
      <c r="S25" s="399" t="str">
        <f>'17'!S25</f>
        <v>MAKKI 7</v>
      </c>
      <c r="T25" s="446">
        <f>'17'!X25</f>
        <v>0</v>
      </c>
      <c r="U25" s="456"/>
      <c r="V25" s="451">
        <f t="shared" si="0"/>
        <v>0</v>
      </c>
      <c r="W25" s="451"/>
      <c r="X25" s="447">
        <f t="shared" si="1"/>
        <v>0</v>
      </c>
      <c r="Z25" s="375">
        <f>'17'!Z25</f>
        <v>0</v>
      </c>
      <c r="AA25" s="464">
        <f>'17'!AE25</f>
        <v>0</v>
      </c>
      <c r="AB25" s="734"/>
      <c r="AC25" s="462">
        <f t="shared" si="2"/>
        <v>0</v>
      </c>
      <c r="AD25" s="469"/>
      <c r="AE25" s="348">
        <f t="shared" si="3"/>
        <v>0</v>
      </c>
      <c r="AF25" s="563">
        <f>'17'!AF25+'18'!AB25</f>
        <v>0</v>
      </c>
      <c r="AG25" s="234">
        <f>'17'!AG25+'18'!AD25</f>
        <v>0</v>
      </c>
      <c r="AI25" s="397" t="s">
        <v>59</v>
      </c>
      <c r="AJ25" s="398">
        <f>AJ23-AJ10</f>
        <v>-9200</v>
      </c>
    </row>
    <row r="26" spans="1:36" ht="27" customHeight="1" thickTop="1">
      <c r="A26" s="715" t="str">
        <f>'17'!A26</f>
        <v>LABOUR SALARY</v>
      </c>
      <c r="B26" s="234">
        <f>SUM('SALERY SHEET'!AL97:AM97)</f>
        <v>0</v>
      </c>
      <c r="C26" s="348">
        <f>'17'!D26</f>
        <v>102800</v>
      </c>
      <c r="D26" s="234">
        <f t="shared" si="9"/>
        <v>102800</v>
      </c>
      <c r="F26" s="479" t="str">
        <f>'17'!F26</f>
        <v xml:space="preserve">ABDUL RASHEED </v>
      </c>
      <c r="G26" s="406">
        <f>'CUSTOMERS REPORT'!Y724</f>
        <v>0</v>
      </c>
      <c r="H26" s="504">
        <f>'CUSTOMERS REPORT'!Z724</f>
        <v>0</v>
      </c>
      <c r="I26" s="406">
        <f>'CUSTOMERS REPORT'!AA724</f>
        <v>0</v>
      </c>
      <c r="J26" s="498">
        <f>'CUSTOMERS REPORT'!AB724</f>
        <v>0</v>
      </c>
      <c r="K26" s="498">
        <f>'CUSTOMERS REPORT'!AC724</f>
        <v>0</v>
      </c>
      <c r="L26" s="509">
        <f>'CUSTOMERS REPORT'!AD724</f>
        <v>0</v>
      </c>
      <c r="M26" s="414">
        <f>'17'!M26+'18'!G26</f>
        <v>0</v>
      </c>
      <c r="N26" s="412">
        <f>'17'!N26+'18'!J26</f>
        <v>0</v>
      </c>
      <c r="P26" s="433"/>
      <c r="Q26" s="438"/>
      <c r="R26" t="s">
        <v>1</v>
      </c>
      <c r="S26" s="399" t="str">
        <f>'17'!S26</f>
        <v>BLUE 125 GM</v>
      </c>
      <c r="T26" s="446">
        <f>'17'!X26</f>
        <v>0</v>
      </c>
      <c r="U26" s="456"/>
      <c r="V26" s="451">
        <f t="shared" si="0"/>
        <v>0</v>
      </c>
      <c r="W26" s="451"/>
      <c r="X26" s="447">
        <f t="shared" si="1"/>
        <v>0</v>
      </c>
      <c r="Z26" s="375">
        <f>'17'!Z26</f>
        <v>0</v>
      </c>
      <c r="AA26" s="464">
        <f>'17'!AE26</f>
        <v>0</v>
      </c>
      <c r="AB26" s="460"/>
      <c r="AC26" s="462">
        <f t="shared" si="2"/>
        <v>0</v>
      </c>
      <c r="AD26" s="469"/>
      <c r="AE26" s="348">
        <f t="shared" si="3"/>
        <v>0</v>
      </c>
      <c r="AF26" s="563">
        <f>'17'!AF26+'18'!AB26</f>
        <v>0</v>
      </c>
      <c r="AG26" s="234">
        <f>'17'!AG26+'18'!AD26</f>
        <v>0</v>
      </c>
    </row>
    <row r="27" spans="1:36" ht="27" customHeight="1">
      <c r="A27" s="715" t="str">
        <f>'17'!A27</f>
        <v>SHAHZORE</v>
      </c>
      <c r="B27" s="234"/>
      <c r="C27" s="348">
        <f>'17'!D27</f>
        <v>0</v>
      </c>
      <c r="D27" s="234">
        <f t="shared" si="9"/>
        <v>0</v>
      </c>
      <c r="F27" s="479" t="str">
        <f>'17'!F27</f>
        <v>SALEEM ORANGI</v>
      </c>
      <c r="G27" s="406">
        <f>'CUSTOMERS REPORT'!Y762</f>
        <v>0</v>
      </c>
      <c r="H27" s="504">
        <f>'CUSTOMERS REPORT'!Z762</f>
        <v>0</v>
      </c>
      <c r="I27" s="406">
        <f>'CUSTOMERS REPORT'!AA762</f>
        <v>0</v>
      </c>
      <c r="J27" s="498">
        <f>'CUSTOMERS REPORT'!AB762</f>
        <v>0</v>
      </c>
      <c r="K27" s="498">
        <f>'CUSTOMERS REPORT'!AC762</f>
        <v>0</v>
      </c>
      <c r="L27" s="509">
        <f>'CUSTOMERS REPORT'!AD762</f>
        <v>0</v>
      </c>
      <c r="M27" s="414">
        <f>'17'!M27+'18'!G27</f>
        <v>0</v>
      </c>
      <c r="N27" s="412">
        <f>'17'!N27+'18'!J27</f>
        <v>0</v>
      </c>
      <c r="P27" s="433"/>
      <c r="Q27" s="435"/>
      <c r="R27" t="s">
        <v>1</v>
      </c>
      <c r="S27" s="399" t="str">
        <f>'17'!S27</f>
        <v>MAKKI 5</v>
      </c>
      <c r="T27" s="446">
        <f>'17'!X27</f>
        <v>0</v>
      </c>
      <c r="U27" s="456"/>
      <c r="V27" s="451">
        <f t="shared" si="0"/>
        <v>0</v>
      </c>
      <c r="W27" s="451"/>
      <c r="X27" s="447">
        <f t="shared" si="1"/>
        <v>0</v>
      </c>
      <c r="Z27" s="375">
        <f>'17'!Z27</f>
        <v>0</v>
      </c>
      <c r="AA27" s="464">
        <f>'17'!AE27</f>
        <v>0</v>
      </c>
      <c r="AB27" s="460"/>
      <c r="AC27" s="462">
        <f t="shared" si="2"/>
        <v>0</v>
      </c>
      <c r="AD27" s="469"/>
      <c r="AE27" s="348">
        <f t="shared" si="3"/>
        <v>0</v>
      </c>
      <c r="AF27" s="563">
        <f>'17'!AF27+'18'!AB27</f>
        <v>0</v>
      </c>
      <c r="AG27" s="234">
        <f>'17'!AG27+'18'!AD27</f>
        <v>0</v>
      </c>
    </row>
    <row r="28" spans="1:36" ht="27" customHeight="1">
      <c r="A28" s="715" t="str">
        <f>'17'!A28</f>
        <v>GENERATOR</v>
      </c>
      <c r="B28" s="234"/>
      <c r="C28" s="348">
        <f>'17'!D28</f>
        <v>28700</v>
      </c>
      <c r="D28" s="234">
        <f t="shared" si="9"/>
        <v>28700</v>
      </c>
      <c r="F28" s="479" t="str">
        <f>'17'!F28</f>
        <v>AYAZ OUSTA</v>
      </c>
      <c r="G28" s="406">
        <f>'CUSTOMERS REPORT'!Y800</f>
        <v>0</v>
      </c>
      <c r="H28" s="504">
        <f>'CUSTOMERS REPORT'!Z800</f>
        <v>0</v>
      </c>
      <c r="I28" s="406">
        <f>'CUSTOMERS REPORT'!AA800</f>
        <v>0</v>
      </c>
      <c r="J28" s="498">
        <f>'CUSTOMERS REPORT'!AB800</f>
        <v>0</v>
      </c>
      <c r="K28" s="498">
        <f>'CUSTOMERS REPORT'!AC800</f>
        <v>0</v>
      </c>
      <c r="L28" s="509">
        <f>'CUSTOMERS REPORT'!AD800</f>
        <v>0</v>
      </c>
      <c r="M28" s="414">
        <f>'17'!M28+'18'!G28</f>
        <v>0</v>
      </c>
      <c r="N28" s="412">
        <f>'17'!N28+'18'!J28</f>
        <v>0</v>
      </c>
      <c r="P28" s="433"/>
      <c r="Q28" s="438"/>
      <c r="S28" s="399" t="str">
        <f>'17'!S28</f>
        <v>MAKKI 2 PES</v>
      </c>
      <c r="T28" s="446">
        <f>'17'!X28</f>
        <v>0</v>
      </c>
      <c r="U28" s="456"/>
      <c r="V28" s="451">
        <f t="shared" si="0"/>
        <v>0</v>
      </c>
      <c r="W28" s="451"/>
      <c r="X28" s="447">
        <f t="shared" si="1"/>
        <v>0</v>
      </c>
      <c r="Z28" s="375">
        <f>'17'!Z28</f>
        <v>0</v>
      </c>
      <c r="AA28" s="464">
        <f>'17'!AE28</f>
        <v>0</v>
      </c>
      <c r="AB28" s="460"/>
      <c r="AC28" s="462">
        <f t="shared" si="2"/>
        <v>0</v>
      </c>
      <c r="AD28" s="469"/>
      <c r="AE28" s="348">
        <f t="shared" si="3"/>
        <v>0</v>
      </c>
      <c r="AF28" s="563">
        <f>'17'!AF28+'18'!AB28</f>
        <v>0</v>
      </c>
      <c r="AG28" s="234">
        <f>'17'!AG28+'18'!AD28</f>
        <v>0</v>
      </c>
    </row>
    <row r="29" spans="1:36" ht="27" customHeight="1">
      <c r="A29" s="715" t="str">
        <f>'17'!A29</f>
        <v>PATROL FAW</v>
      </c>
      <c r="B29" s="234"/>
      <c r="C29" s="348">
        <f>'17'!D29</f>
        <v>18350</v>
      </c>
      <c r="D29" s="234">
        <f t="shared" si="9"/>
        <v>18350</v>
      </c>
      <c r="F29" s="479" t="str">
        <f>'17'!F29</f>
        <v>AZHAR BADEEN</v>
      </c>
      <c r="G29" s="406">
        <f>'CUSTOMERS REPORT'!Y838</f>
        <v>0</v>
      </c>
      <c r="H29" s="504">
        <f>'CUSTOMERS REPORT'!Z838</f>
        <v>0</v>
      </c>
      <c r="I29" s="406">
        <f>'CUSTOMERS REPORT'!AA838</f>
        <v>0</v>
      </c>
      <c r="J29" s="498">
        <f>'CUSTOMERS REPORT'!AB838</f>
        <v>0</v>
      </c>
      <c r="K29" s="498">
        <f>'CUSTOMERS REPORT'!AC838</f>
        <v>0</v>
      </c>
      <c r="L29" s="509">
        <f>'CUSTOMERS REPORT'!AD838</f>
        <v>0</v>
      </c>
      <c r="M29" s="414">
        <f>'17'!M29+'18'!G29</f>
        <v>0</v>
      </c>
      <c r="N29" s="412">
        <f>'17'!N29+'18'!J29</f>
        <v>0</v>
      </c>
      <c r="P29" s="433"/>
      <c r="Q29" s="441"/>
      <c r="S29" s="399" t="str">
        <f>'17'!S29</f>
        <v xml:space="preserve">PRIME </v>
      </c>
      <c r="T29" s="446">
        <f>'17'!X29</f>
        <v>0</v>
      </c>
      <c r="U29" s="456"/>
      <c r="V29" s="451">
        <f t="shared" si="0"/>
        <v>0</v>
      </c>
      <c r="W29" s="451"/>
      <c r="X29" s="447">
        <f t="shared" si="1"/>
        <v>0</v>
      </c>
      <c r="Z29" s="375">
        <f>'17'!Z29</f>
        <v>0</v>
      </c>
      <c r="AA29" s="464">
        <f>'17'!AE29</f>
        <v>0</v>
      </c>
      <c r="AB29" s="460"/>
      <c r="AC29" s="462">
        <f t="shared" si="2"/>
        <v>0</v>
      </c>
      <c r="AD29" s="469"/>
      <c r="AE29" s="348">
        <f t="shared" si="3"/>
        <v>0</v>
      </c>
      <c r="AF29" s="563">
        <f>'17'!AF29+'18'!AB29</f>
        <v>0</v>
      </c>
      <c r="AG29" s="234">
        <f>'17'!AG29+'18'!AD29</f>
        <v>0</v>
      </c>
    </row>
    <row r="30" spans="1:36" ht="27" customHeight="1">
      <c r="A30" s="715" t="str">
        <f>'17'!A30</f>
        <v>FOTON DIESEL</v>
      </c>
      <c r="B30" s="234"/>
      <c r="C30" s="348">
        <f>'17'!D30</f>
        <v>2300</v>
      </c>
      <c r="D30" s="234">
        <f t="shared" si="9"/>
        <v>2300</v>
      </c>
      <c r="F30" s="479" t="str">
        <f>'17'!F30</f>
        <v>FAISAL HUB</v>
      </c>
      <c r="G30" s="406">
        <f>'CUSTOMERS REPORT'!Y876</f>
        <v>0</v>
      </c>
      <c r="H30" s="504">
        <f>'CUSTOMERS REPORT'!Z876</f>
        <v>0</v>
      </c>
      <c r="I30" s="406">
        <f>'CUSTOMERS REPORT'!AA876</f>
        <v>0</v>
      </c>
      <c r="J30" s="498">
        <f>'CUSTOMERS REPORT'!AB876</f>
        <v>0</v>
      </c>
      <c r="K30" s="498">
        <f>'CUSTOMERS REPORT'!AC876</f>
        <v>0</v>
      </c>
      <c r="L30" s="509">
        <f>'CUSTOMERS REPORT'!AD876</f>
        <v>0</v>
      </c>
      <c r="M30" s="414">
        <f>'17'!M30+'18'!G30</f>
        <v>0</v>
      </c>
      <c r="N30" s="412">
        <f>'17'!N30+'18'!J30</f>
        <v>0</v>
      </c>
      <c r="P30" s="433"/>
      <c r="Q30" s="442"/>
      <c r="S30" s="399" t="str">
        <f>'17'!S30</f>
        <v>PRIMR 15</v>
      </c>
      <c r="T30" s="446">
        <f>'17'!X30</f>
        <v>0</v>
      </c>
      <c r="U30" s="456"/>
      <c r="V30" s="451">
        <f t="shared" si="0"/>
        <v>0</v>
      </c>
      <c r="W30" s="451"/>
      <c r="X30" s="447">
        <f t="shared" si="1"/>
        <v>0</v>
      </c>
      <c r="Z30" s="375">
        <f>'17'!Z30</f>
        <v>0</v>
      </c>
      <c r="AA30" s="464">
        <f>'17'!AE30</f>
        <v>0</v>
      </c>
      <c r="AB30" s="460"/>
      <c r="AC30" s="462">
        <f t="shared" si="2"/>
        <v>0</v>
      </c>
      <c r="AD30" s="469"/>
      <c r="AE30" s="348">
        <f t="shared" si="3"/>
        <v>0</v>
      </c>
      <c r="AF30" s="563">
        <f>'17'!AF30+'18'!AB30</f>
        <v>0</v>
      </c>
      <c r="AG30" s="234">
        <f>'17'!AG30+'18'!AD30</f>
        <v>0</v>
      </c>
    </row>
    <row r="31" spans="1:36" ht="27" customHeight="1" thickBot="1">
      <c r="A31" s="715" t="str">
        <f>'17'!A31</f>
        <v>UTILITY BILLS</v>
      </c>
      <c r="B31" s="234"/>
      <c r="C31" s="348">
        <f>'17'!D31</f>
        <v>44420</v>
      </c>
      <c r="D31" s="234">
        <f t="shared" si="9"/>
        <v>44420</v>
      </c>
      <c r="F31" s="479" t="str">
        <f>'17'!F31</f>
        <v>ABDUL RAHMAN</v>
      </c>
      <c r="G31" s="406">
        <f>'CUSTOMERS REPORT'!Y915</f>
        <v>0</v>
      </c>
      <c r="H31" s="504">
        <f>'CUSTOMERS REPORT'!Z915</f>
        <v>0</v>
      </c>
      <c r="I31" s="406">
        <f>'CUSTOMERS REPORT'!AA915</f>
        <v>0</v>
      </c>
      <c r="J31" s="498">
        <f>'CUSTOMERS REPORT'!AB915</f>
        <v>0</v>
      </c>
      <c r="K31" s="498">
        <f>'CUSTOMERS REPORT'!AC915</f>
        <v>0</v>
      </c>
      <c r="L31" s="509">
        <f>'CUSTOMERS REPORT'!AD915</f>
        <v>0</v>
      </c>
      <c r="M31" s="414">
        <f>'17'!M31+'18'!G31</f>
        <v>0</v>
      </c>
      <c r="N31" s="412">
        <f>'17'!N31+'18'!J31</f>
        <v>0</v>
      </c>
      <c r="P31" s="433"/>
      <c r="Q31" s="435"/>
      <c r="S31" s="399" t="str">
        <f>'17'!S31</f>
        <v>KARACHI</v>
      </c>
      <c r="T31" s="446">
        <f>'17'!X31</f>
        <v>0</v>
      </c>
      <c r="U31" s="456"/>
      <c r="V31" s="451">
        <f t="shared" si="0"/>
        <v>0</v>
      </c>
      <c r="W31" s="451"/>
      <c r="X31" s="447">
        <f t="shared" si="1"/>
        <v>0</v>
      </c>
      <c r="Z31" s="375">
        <f>'17'!Z31</f>
        <v>0</v>
      </c>
      <c r="AA31" s="464">
        <f>'17'!AE31</f>
        <v>0</v>
      </c>
      <c r="AB31" s="460"/>
      <c r="AC31" s="462">
        <f t="shared" si="2"/>
        <v>0</v>
      </c>
      <c r="AD31" s="469"/>
      <c r="AE31" s="348">
        <f t="shared" si="3"/>
        <v>0</v>
      </c>
      <c r="AF31" s="563">
        <f>'17'!AF31+'18'!AB31</f>
        <v>0</v>
      </c>
      <c r="AG31" s="234">
        <f>'17'!AG31+'18'!AD31</f>
        <v>0</v>
      </c>
      <c r="AI31" t="s">
        <v>1</v>
      </c>
    </row>
    <row r="32" spans="1:36" ht="27" customHeight="1" thickTop="1" thickBot="1">
      <c r="A32" s="715" t="str">
        <f>'17'!A32</f>
        <v>WOOD</v>
      </c>
      <c r="B32" s="234"/>
      <c r="C32" s="548">
        <f>'17'!D32</f>
        <v>0</v>
      </c>
      <c r="D32" s="234">
        <f t="shared" si="9"/>
        <v>0</v>
      </c>
      <c r="F32" s="479" t="str">
        <f>'17'!F32</f>
        <v>HAJI JAN GIWANI</v>
      </c>
      <c r="G32" s="406">
        <f>'CUSTOMERS REPORT'!Y954</f>
        <v>0</v>
      </c>
      <c r="H32" s="504">
        <f>'CUSTOMERS REPORT'!Z954</f>
        <v>0</v>
      </c>
      <c r="I32" s="406">
        <f>'CUSTOMERS REPORT'!AA954</f>
        <v>0</v>
      </c>
      <c r="J32" s="498">
        <f>'CUSTOMERS REPORT'!AB954</f>
        <v>0</v>
      </c>
      <c r="K32" s="498">
        <f>'CUSTOMERS REPORT'!AC954</f>
        <v>0</v>
      </c>
      <c r="L32" s="509">
        <f>'CUSTOMERS REPORT'!AD954</f>
        <v>0</v>
      </c>
      <c r="M32" s="414">
        <f>'17'!M32+'18'!G32</f>
        <v>0</v>
      </c>
      <c r="N32" s="412">
        <f>'17'!N32+'18'!J32</f>
        <v>0</v>
      </c>
      <c r="P32" s="190" t="s">
        <v>51</v>
      </c>
      <c r="Q32" s="439">
        <f>Q23-Q25-Q26-Q27-Q28-Q29-Q30-Q31</f>
        <v>0</v>
      </c>
      <c r="R32" t="s">
        <v>1</v>
      </c>
      <c r="S32" s="399" t="str">
        <f>'17'!S32</f>
        <v>MARVI</v>
      </c>
      <c r="T32" s="446">
        <f>'17'!X32</f>
        <v>0</v>
      </c>
      <c r="U32" s="456"/>
      <c r="V32" s="451">
        <f t="shared" si="0"/>
        <v>0</v>
      </c>
      <c r="W32" s="451"/>
      <c r="X32" s="447">
        <f t="shared" si="1"/>
        <v>0</v>
      </c>
      <c r="Z32" s="375">
        <f>'17'!Z32</f>
        <v>0</v>
      </c>
      <c r="AA32" s="464">
        <f>'17'!AE32</f>
        <v>0</v>
      </c>
      <c r="AB32" s="460"/>
      <c r="AC32" s="462">
        <f t="shared" si="2"/>
        <v>0</v>
      </c>
      <c r="AD32" s="469"/>
      <c r="AE32" s="348">
        <f t="shared" si="3"/>
        <v>0</v>
      </c>
      <c r="AF32" s="563">
        <f>'17'!AF32+'18'!AB32</f>
        <v>0</v>
      </c>
      <c r="AG32" s="234">
        <f>'17'!AG32+'18'!AD32</f>
        <v>0</v>
      </c>
    </row>
    <row r="33" spans="1:40" ht="27" customHeight="1" thickTop="1" thickBot="1">
      <c r="A33" s="716" t="str">
        <f>'17'!A33</f>
        <v>TOLL</v>
      </c>
      <c r="B33" s="538"/>
      <c r="C33" s="348">
        <f>'17'!D33</f>
        <v>200</v>
      </c>
      <c r="D33" s="234">
        <f t="shared" si="9"/>
        <v>200</v>
      </c>
      <c r="F33" s="479" t="str">
        <f>'17'!F33</f>
        <v>ALI QURESHI HYD</v>
      </c>
      <c r="G33" s="406">
        <f>'CUSTOMERS REPORT'!Y992</f>
        <v>0</v>
      </c>
      <c r="H33" s="504">
        <f>'CUSTOMERS REPORT'!Z992</f>
        <v>0</v>
      </c>
      <c r="I33" s="406">
        <f>'CUSTOMERS REPORT'!AA992</f>
        <v>0</v>
      </c>
      <c r="J33" s="498">
        <f>'CUSTOMERS REPORT'!AB992</f>
        <v>0</v>
      </c>
      <c r="K33" s="498">
        <f>'CUSTOMERS REPORT'!AC992</f>
        <v>0</v>
      </c>
      <c r="L33" s="509">
        <f>'CUSTOMERS REPORT'!AD992</f>
        <v>0</v>
      </c>
      <c r="M33" s="414">
        <f>'17'!M33+'18'!G33</f>
        <v>0</v>
      </c>
      <c r="N33" s="412">
        <f>'17'!N33+'18'!J33</f>
        <v>0</v>
      </c>
      <c r="P33" s="1499" t="s">
        <v>149</v>
      </c>
      <c r="Q33" s="1500"/>
      <c r="S33" s="399" t="str">
        <f>'17'!S33</f>
        <v>TS</v>
      </c>
      <c r="T33" s="446">
        <f>'17'!X33</f>
        <v>0</v>
      </c>
      <c r="U33" s="456"/>
      <c r="V33" s="451">
        <f t="shared" si="0"/>
        <v>0</v>
      </c>
      <c r="W33" s="451"/>
      <c r="X33" s="447">
        <f t="shared" si="1"/>
        <v>0</v>
      </c>
      <c r="Z33" s="375">
        <f>'17'!Z33</f>
        <v>0</v>
      </c>
      <c r="AA33" s="464">
        <f>'17'!AE33</f>
        <v>0</v>
      </c>
      <c r="AB33" s="460"/>
      <c r="AC33" s="462">
        <f t="shared" si="2"/>
        <v>0</v>
      </c>
      <c r="AD33" s="469"/>
      <c r="AE33" s="348">
        <f t="shared" si="3"/>
        <v>0</v>
      </c>
      <c r="AF33" s="563">
        <f>'17'!AF33+'18'!AB33</f>
        <v>0</v>
      </c>
      <c r="AG33" s="234">
        <f>'17'!AG33+'18'!AD33</f>
        <v>0</v>
      </c>
    </row>
    <row r="34" spans="1:40" ht="27" customHeight="1" thickTop="1" thickBot="1">
      <c r="A34" s="716" t="str">
        <f>'17'!A34</f>
        <v>FLOUR / SHGER</v>
      </c>
      <c r="B34" s="538"/>
      <c r="C34" s="348">
        <f>'17'!D34</f>
        <v>620</v>
      </c>
      <c r="D34" s="234">
        <f t="shared" si="9"/>
        <v>620</v>
      </c>
      <c r="F34" s="479" t="str">
        <f>'17'!F34</f>
        <v>ALI RAZA KAND KOT</v>
      </c>
      <c r="G34" s="406">
        <f>'CUSTOMERS REPORT'!Y1030</f>
        <v>0</v>
      </c>
      <c r="H34" s="504">
        <f>'CUSTOMERS REPORT'!Z1030</f>
        <v>0</v>
      </c>
      <c r="I34" s="406">
        <f>'CUSTOMERS REPORT'!AA1030</f>
        <v>0</v>
      </c>
      <c r="J34" s="498">
        <f>'CUSTOMERS REPORT'!AB1030</f>
        <v>0</v>
      </c>
      <c r="K34" s="498">
        <f>'CUSTOMERS REPORT'!AC1030</f>
        <v>0</v>
      </c>
      <c r="L34" s="509">
        <f>'CUSTOMERS REPORT'!AD1030</f>
        <v>0</v>
      </c>
      <c r="M34" s="414">
        <f>'17'!M34+'18'!G34</f>
        <v>0</v>
      </c>
      <c r="N34" s="412">
        <f>'17'!N34+'18'!J34</f>
        <v>0</v>
      </c>
      <c r="P34" s="220" t="s">
        <v>150</v>
      </c>
      <c r="Q34" s="223">
        <f>'17'!Q34</f>
        <v>0</v>
      </c>
      <c r="S34" s="399" t="str">
        <f>'17'!S34</f>
        <v>MAXI</v>
      </c>
      <c r="T34" s="446">
        <f>'17'!X34</f>
        <v>0</v>
      </c>
      <c r="U34" s="457"/>
      <c r="V34" s="452">
        <f t="shared" si="0"/>
        <v>0</v>
      </c>
      <c r="W34" s="452"/>
      <c r="X34" s="448">
        <f t="shared" si="1"/>
        <v>0</v>
      </c>
      <c r="Z34" s="375">
        <f>'17'!Z34</f>
        <v>0</v>
      </c>
      <c r="AA34" s="464">
        <f>'17'!AE34</f>
        <v>0</v>
      </c>
      <c r="AB34" s="460"/>
      <c r="AC34" s="462">
        <f t="shared" si="2"/>
        <v>0</v>
      </c>
      <c r="AD34" s="469"/>
      <c r="AE34" s="348">
        <f t="shared" si="3"/>
        <v>0</v>
      </c>
      <c r="AF34" s="563">
        <f>'17'!AF34+'18'!AB34</f>
        <v>0</v>
      </c>
      <c r="AG34" s="234">
        <f>'17'!AG34+'18'!AD34</f>
        <v>0</v>
      </c>
    </row>
    <row r="35" spans="1:40" ht="27" customHeight="1" thickTop="1">
      <c r="A35" s="716" t="str">
        <f>'17'!A35</f>
        <v>OVEN &amp; PP MACHINE</v>
      </c>
      <c r="B35" s="529"/>
      <c r="C35" s="348">
        <f>'17'!D35</f>
        <v>0</v>
      </c>
      <c r="D35" s="529">
        <f t="shared" si="9"/>
        <v>0</v>
      </c>
      <c r="F35" s="479" t="str">
        <f>'17'!F35</f>
        <v>IQBAL MORO</v>
      </c>
      <c r="G35" s="407">
        <f>'CUSTOMERS REPORT'!Y1068</f>
        <v>0</v>
      </c>
      <c r="H35" s="505">
        <f>'CUSTOMERS REPORT'!Z1068</f>
        <v>0</v>
      </c>
      <c r="I35" s="407">
        <f>'CUSTOMERS REPORT'!AA1068</f>
        <v>0</v>
      </c>
      <c r="J35" s="499">
        <f>'CUSTOMERS REPORT'!AB1068</f>
        <v>0</v>
      </c>
      <c r="K35" s="499">
        <f>'CUSTOMERS REPORT'!AC1068</f>
        <v>0</v>
      </c>
      <c r="L35" s="510">
        <f>'CUSTOMERS REPORT'!AD1068</f>
        <v>0</v>
      </c>
      <c r="M35" s="414">
        <f>'17'!M35+'18'!G35</f>
        <v>0</v>
      </c>
      <c r="N35" s="412">
        <f>'17'!N35+'18'!J35</f>
        <v>0</v>
      </c>
      <c r="P35" s="252" t="s">
        <v>151</v>
      </c>
      <c r="Q35" s="443">
        <f>'17'!Q35</f>
        <v>0</v>
      </c>
      <c r="R35" t="s">
        <v>1</v>
      </c>
      <c r="S35" s="399" t="str">
        <f>'17'!S35</f>
        <v>M A WHITE</v>
      </c>
      <c r="T35" s="446">
        <f>'17'!X35</f>
        <v>0</v>
      </c>
      <c r="U35" s="457"/>
      <c r="V35" s="452">
        <f t="shared" si="0"/>
        <v>0</v>
      </c>
      <c r="W35" s="452"/>
      <c r="X35" s="448">
        <f t="shared" si="1"/>
        <v>0</v>
      </c>
      <c r="Z35" s="375">
        <f>'17'!Z35</f>
        <v>0</v>
      </c>
      <c r="AA35" s="464">
        <f>'17'!AE35</f>
        <v>0</v>
      </c>
      <c r="AB35" s="460"/>
      <c r="AC35" s="462">
        <f t="shared" si="2"/>
        <v>0</v>
      </c>
      <c r="AD35" s="469"/>
      <c r="AE35" s="348">
        <f t="shared" si="3"/>
        <v>0</v>
      </c>
      <c r="AF35" s="563">
        <f>'17'!AF35+'18'!AB35</f>
        <v>0</v>
      </c>
      <c r="AG35" s="234">
        <f>'17'!AG35+'18'!AD35</f>
        <v>0</v>
      </c>
    </row>
    <row r="36" spans="1:40" ht="27" customHeight="1">
      <c r="A36" s="716" t="str">
        <f>'17'!A36</f>
        <v>zakat</v>
      </c>
      <c r="B36" s="539"/>
      <c r="C36" s="348">
        <f>'17'!D36</f>
        <v>0</v>
      </c>
      <c r="D36" s="529">
        <f t="shared" si="9"/>
        <v>0</v>
      </c>
      <c r="F36" s="479" t="str">
        <f>'17'!F36</f>
        <v>SARFARAZ T ADAM</v>
      </c>
      <c r="G36" s="407">
        <f>'CUSTOMERS REPORT'!Y1106</f>
        <v>0</v>
      </c>
      <c r="H36" s="505">
        <f>'CUSTOMERS REPORT'!Z1106</f>
        <v>0</v>
      </c>
      <c r="I36" s="407">
        <f>'CUSTOMERS REPORT'!AA1106</f>
        <v>0</v>
      </c>
      <c r="J36" s="499">
        <f>'CUSTOMERS REPORT'!AB1106</f>
        <v>0</v>
      </c>
      <c r="K36" s="499">
        <f>'CUSTOMERS REPORT'!AC1106</f>
        <v>0</v>
      </c>
      <c r="L36" s="510">
        <f>'CUSTOMERS REPORT'!AD1106</f>
        <v>0</v>
      </c>
      <c r="M36" s="414">
        <f>'17'!M36+'18'!G36</f>
        <v>0</v>
      </c>
      <c r="N36" s="412">
        <f>'17'!N36+'18'!J36</f>
        <v>0</v>
      </c>
      <c r="P36" s="372" t="s">
        <v>152</v>
      </c>
      <c r="Q36" s="444">
        <f>J48</f>
        <v>0</v>
      </c>
      <c r="R36" t="s">
        <v>1</v>
      </c>
      <c r="S36" s="399" t="str">
        <f>'17'!S36</f>
        <v>M A ORING</v>
      </c>
      <c r="T36" s="446">
        <f>'17'!X36</f>
        <v>0</v>
      </c>
      <c r="U36" s="456"/>
      <c r="V36" s="451">
        <f t="shared" si="0"/>
        <v>0</v>
      </c>
      <c r="W36" s="452"/>
      <c r="X36" s="448">
        <f t="shared" si="1"/>
        <v>0</v>
      </c>
      <c r="Z36" s="375">
        <f>'17'!Z36</f>
        <v>0</v>
      </c>
      <c r="AA36" s="464">
        <f>'17'!AE36</f>
        <v>0</v>
      </c>
      <c r="AB36" s="460"/>
      <c r="AC36" s="462">
        <f t="shared" si="2"/>
        <v>0</v>
      </c>
      <c r="AD36" s="469"/>
      <c r="AE36" s="348">
        <f t="shared" si="3"/>
        <v>0</v>
      </c>
      <c r="AF36" s="563">
        <f>'17'!AF36+'18'!AB36</f>
        <v>0</v>
      </c>
      <c r="AG36" s="234">
        <f>'17'!AG36+'18'!AD36</f>
        <v>0</v>
      </c>
    </row>
    <row r="37" spans="1:40" ht="27" customHeight="1">
      <c r="A37" s="715" t="str">
        <f>'17'!A37</f>
        <v>javeed manghopir</v>
      </c>
      <c r="B37" s="234"/>
      <c r="C37" s="348">
        <f>'17'!D37</f>
        <v>0</v>
      </c>
      <c r="D37" s="234">
        <f t="shared" si="9"/>
        <v>0</v>
      </c>
      <c r="F37" s="479" t="str">
        <f>'17'!F37</f>
        <v>MUMTAZ K N SHAH</v>
      </c>
      <c r="G37" s="406">
        <f>'CUSTOMERS REPORT'!Y1144</f>
        <v>0</v>
      </c>
      <c r="H37" s="504">
        <f>'CUSTOMERS REPORT'!Z1144</f>
        <v>0</v>
      </c>
      <c r="I37" s="406">
        <f>'CUSTOMERS REPORT'!AA1144</f>
        <v>0</v>
      </c>
      <c r="J37" s="498">
        <f>'CUSTOMERS REPORT'!AB1144</f>
        <v>0</v>
      </c>
      <c r="K37" s="498">
        <f>'CUSTOMERS REPORT'!AC1144</f>
        <v>0</v>
      </c>
      <c r="L37" s="509">
        <f>'CUSTOMERS REPORT'!AD1144</f>
        <v>0</v>
      </c>
      <c r="M37" s="414">
        <f>'17'!M37+'18'!G37</f>
        <v>0</v>
      </c>
      <c r="N37" s="412">
        <f>'17'!N37+'18'!J37</f>
        <v>0</v>
      </c>
      <c r="P37" s="373" t="s">
        <v>153</v>
      </c>
      <c r="Q37" s="445">
        <f>Q34+Q35+Q36</f>
        <v>0</v>
      </c>
      <c r="R37" t="s">
        <v>1</v>
      </c>
      <c r="S37" s="399">
        <f>'17'!S37</f>
        <v>0</v>
      </c>
      <c r="T37" s="446">
        <f>'17'!X37</f>
        <v>0</v>
      </c>
      <c r="U37" s="456"/>
      <c r="V37" s="451">
        <f t="shared" si="0"/>
        <v>0</v>
      </c>
      <c r="W37" s="452"/>
      <c r="X37" s="448">
        <f t="shared" si="1"/>
        <v>0</v>
      </c>
      <c r="Z37" s="375">
        <f>'17'!Z37</f>
        <v>0</v>
      </c>
      <c r="AA37" s="464">
        <f>'17'!AE37</f>
        <v>0</v>
      </c>
      <c r="AB37" s="460"/>
      <c r="AC37" s="462">
        <f t="shared" si="2"/>
        <v>0</v>
      </c>
      <c r="AD37" s="469"/>
      <c r="AE37" s="348">
        <f t="shared" si="3"/>
        <v>0</v>
      </c>
      <c r="AF37" s="563">
        <f>'17'!AF37+'18'!AB37</f>
        <v>0</v>
      </c>
      <c r="AG37" s="234">
        <f>'17'!AG37+'18'!AD37</f>
        <v>0</v>
      </c>
    </row>
    <row r="38" spans="1:40" ht="27" customHeight="1">
      <c r="A38" s="715" t="str">
        <f>'17'!A38</f>
        <v>EXSIS CASH</v>
      </c>
      <c r="B38" s="234"/>
      <c r="C38" s="348">
        <f>'17'!D38</f>
        <v>0</v>
      </c>
      <c r="D38" s="234">
        <f t="shared" si="9"/>
        <v>0</v>
      </c>
      <c r="F38" s="479" t="str">
        <f>'17'!F38</f>
        <v>GHULAM RASOOL QU</v>
      </c>
      <c r="G38" s="408">
        <f>'CUSTOMERS REPORT'!Y1181</f>
        <v>0</v>
      </c>
      <c r="H38" s="506">
        <f>'CUSTOMERS REPORT'!Z1181</f>
        <v>0</v>
      </c>
      <c r="I38" s="408">
        <f>'CUSTOMERS REPORT'!AA1181</f>
        <v>0</v>
      </c>
      <c r="J38" s="500">
        <f>'CUSTOMERS REPORT'!AB1181</f>
        <v>0</v>
      </c>
      <c r="K38" s="500">
        <f>'CUSTOMERS REPORT'!AC1181</f>
        <v>0</v>
      </c>
      <c r="L38" s="511">
        <f>'CUSTOMERS REPORT'!AD1181</f>
        <v>0</v>
      </c>
      <c r="M38" s="414">
        <f>'17'!M38+'18'!G38</f>
        <v>0</v>
      </c>
      <c r="N38" s="412">
        <f>'17'!N38+'18'!J38</f>
        <v>0</v>
      </c>
      <c r="P38" s="373" t="s">
        <v>154</v>
      </c>
      <c r="Q38" s="445">
        <f>D48</f>
        <v>2368180</v>
      </c>
      <c r="S38" s="399">
        <f>'17'!S38</f>
        <v>0</v>
      </c>
      <c r="T38" s="446">
        <f>'17'!X38</f>
        <v>0</v>
      </c>
      <c r="U38" s="456"/>
      <c r="V38" s="451">
        <f t="shared" si="0"/>
        <v>0</v>
      </c>
      <c r="W38" s="452"/>
      <c r="X38" s="448">
        <f t="shared" si="1"/>
        <v>0</v>
      </c>
      <c r="Z38" s="375">
        <f>'17'!Z38</f>
        <v>0</v>
      </c>
      <c r="AA38" s="464">
        <f>'17'!AE38</f>
        <v>0</v>
      </c>
      <c r="AB38" s="460"/>
      <c r="AC38" s="462">
        <f t="shared" si="2"/>
        <v>0</v>
      </c>
      <c r="AD38" s="469"/>
      <c r="AE38" s="348">
        <f t="shared" si="3"/>
        <v>0</v>
      </c>
      <c r="AF38" s="563">
        <f>'17'!AF38+'18'!AB38</f>
        <v>0</v>
      </c>
      <c r="AG38" s="234">
        <f>'17'!AG38+'18'!AD38</f>
        <v>0</v>
      </c>
    </row>
    <row r="39" spans="1:40" ht="27" customHeight="1">
      <c r="A39" s="715" t="str">
        <f>'17'!A39</f>
        <v>SHORT CASH</v>
      </c>
      <c r="B39" s="234"/>
      <c r="C39" s="348">
        <f>'17'!D39</f>
        <v>1950</v>
      </c>
      <c r="D39" s="550">
        <f t="shared" si="9"/>
        <v>1950</v>
      </c>
      <c r="F39" s="479" t="str">
        <f>'17'!F39</f>
        <v>SHAMSHAD UNCLE</v>
      </c>
      <c r="G39" s="406">
        <f>'CUSTOMERS REPORT'!Y1218</f>
        <v>0</v>
      </c>
      <c r="H39" s="504">
        <f>'CUSTOMERS REPORT'!Z1218</f>
        <v>0</v>
      </c>
      <c r="I39" s="406">
        <f>'CUSTOMERS REPORT'!AA1218</f>
        <v>0</v>
      </c>
      <c r="J39" s="498">
        <f>'CUSTOMERS REPORT'!AB1218</f>
        <v>0</v>
      </c>
      <c r="K39" s="498">
        <f>'CUSTOMERS REPORT'!AC1218</f>
        <v>0</v>
      </c>
      <c r="L39" s="509">
        <f>'CUSTOMERS REPORT'!AD1218</f>
        <v>0</v>
      </c>
      <c r="M39" s="414">
        <f>'17'!M39+'18'!G39</f>
        <v>0</v>
      </c>
      <c r="N39" s="412">
        <f>'17'!N39+'18'!J39</f>
        <v>0</v>
      </c>
      <c r="P39" s="373" t="s">
        <v>109</v>
      </c>
      <c r="Q39" s="445">
        <f>'17'!Q39+'18'!Q25+'18'!Q26+'18'!Q27+'18'!Q28+'18'!Q29+'18'!Q30+'18'!Q31</f>
        <v>0</v>
      </c>
      <c r="R39" t="s">
        <v>1</v>
      </c>
      <c r="S39" s="399">
        <f>'17'!S39</f>
        <v>0</v>
      </c>
      <c r="T39" s="446">
        <f>'17'!X39</f>
        <v>0</v>
      </c>
      <c r="U39" s="456"/>
      <c r="V39" s="451">
        <f t="shared" si="0"/>
        <v>0</v>
      </c>
      <c r="W39" s="452"/>
      <c r="X39" s="448">
        <f t="shared" si="1"/>
        <v>0</v>
      </c>
      <c r="Z39" s="375">
        <f>'17'!Z39</f>
        <v>0</v>
      </c>
      <c r="AA39" s="464">
        <f>'17'!AE39</f>
        <v>0</v>
      </c>
      <c r="AB39" s="460"/>
      <c r="AC39" s="462">
        <f t="shared" si="2"/>
        <v>0</v>
      </c>
      <c r="AD39" s="469"/>
      <c r="AE39" s="348">
        <f t="shared" si="3"/>
        <v>0</v>
      </c>
      <c r="AF39" s="563">
        <f>'17'!AF39+'18'!AB39</f>
        <v>0</v>
      </c>
      <c r="AG39" s="234">
        <f>'17'!AG39+'18'!AD39</f>
        <v>0</v>
      </c>
    </row>
    <row r="40" spans="1:40" ht="27" customHeight="1" thickBot="1">
      <c r="A40" s="715" t="str">
        <f>'17'!A40</f>
        <v>ASSETS</v>
      </c>
      <c r="B40" s="234"/>
      <c r="C40" s="348">
        <f>'17'!D40</f>
        <v>0</v>
      </c>
      <c r="D40" s="550">
        <f t="shared" si="9"/>
        <v>0</v>
      </c>
      <c r="F40" s="479" t="str">
        <f>'17'!F40</f>
        <v>IBRAHEEM D.G KHAN</v>
      </c>
      <c r="G40" s="406">
        <f>'CUSTOMERS REPORT'!Y1255</f>
        <v>0</v>
      </c>
      <c r="H40" s="504">
        <f>'CUSTOMERS REPORT'!Z1255</f>
        <v>0</v>
      </c>
      <c r="I40" s="406">
        <f>'CUSTOMERS REPORT'!AA1255</f>
        <v>0</v>
      </c>
      <c r="J40" s="498">
        <f>'CUSTOMERS REPORT'!AB1255</f>
        <v>0</v>
      </c>
      <c r="K40" s="498">
        <f>'CUSTOMERS REPORT'!AC1255</f>
        <v>0</v>
      </c>
      <c r="L40" s="509">
        <f>'CUSTOMERS REPORT'!AD1255</f>
        <v>0</v>
      </c>
      <c r="M40" s="414">
        <f>'17'!M40+'18'!G40</f>
        <v>0</v>
      </c>
      <c r="N40" s="412">
        <f>'17'!N40+'18'!J40</f>
        <v>0</v>
      </c>
      <c r="P40" s="374" t="s">
        <v>155</v>
      </c>
      <c r="Q40" s="445">
        <f>Q48</f>
        <v>-2368180</v>
      </c>
      <c r="S40" s="399">
        <f>'17'!S40</f>
        <v>0</v>
      </c>
      <c r="T40" s="446">
        <f>'17'!X40</f>
        <v>0</v>
      </c>
      <c r="U40" s="456"/>
      <c r="V40" s="451">
        <f t="shared" si="0"/>
        <v>0</v>
      </c>
      <c r="W40" s="452"/>
      <c r="X40" s="448">
        <f t="shared" si="1"/>
        <v>0</v>
      </c>
      <c r="Z40" s="375">
        <f>'17'!Z40</f>
        <v>0</v>
      </c>
      <c r="AA40" s="464">
        <f>'17'!AE40</f>
        <v>0</v>
      </c>
      <c r="AB40" s="460"/>
      <c r="AC40" s="462">
        <f t="shared" si="2"/>
        <v>0</v>
      </c>
      <c r="AD40" s="469"/>
      <c r="AE40" s="348">
        <f t="shared" si="3"/>
        <v>0</v>
      </c>
      <c r="AF40" s="563">
        <f>'17'!AF40+'18'!AB40</f>
        <v>0</v>
      </c>
      <c r="AG40" s="234">
        <f>'17'!AG40+'18'!AD40</f>
        <v>0</v>
      </c>
    </row>
    <row r="41" spans="1:40" ht="27" customHeight="1" thickTop="1" thickBot="1">
      <c r="A41" s="715" t="str">
        <f>'17'!A41</f>
        <v>BIKE.INSTALMINT</v>
      </c>
      <c r="B41" s="234"/>
      <c r="C41" s="348">
        <f>'17'!D41</f>
        <v>0</v>
      </c>
      <c r="D41" s="234">
        <f t="shared" si="9"/>
        <v>0</v>
      </c>
      <c r="E41" t="s">
        <v>1</v>
      </c>
      <c r="F41" s="479" t="str">
        <f>'17'!F41</f>
        <v>PISHAWAR</v>
      </c>
      <c r="G41" s="409">
        <f>'CUSTOMERS REPORT'!Y1292</f>
        <v>0</v>
      </c>
      <c r="H41" s="507">
        <f>'CUSTOMERS REPORT'!Z1292</f>
        <v>0</v>
      </c>
      <c r="I41" s="409">
        <f>'CUSTOMERS REPORT'!AA1292</f>
        <v>0</v>
      </c>
      <c r="J41" s="501">
        <f>'CUSTOMERS REPORT'!AB1292</f>
        <v>0</v>
      </c>
      <c r="K41" s="501">
        <f>'CUSTOMERS REPORT'!AC1292</f>
        <v>0</v>
      </c>
      <c r="L41" s="512">
        <f>'CUSTOMERS REPORT'!AD1292</f>
        <v>0</v>
      </c>
      <c r="M41" s="414">
        <f>'17'!M41+'18'!G41</f>
        <v>0</v>
      </c>
      <c r="N41" s="412">
        <f>'17'!N41+'18'!J41</f>
        <v>0</v>
      </c>
      <c r="P41" s="221" t="s">
        <v>51</v>
      </c>
      <c r="Q41" s="223">
        <f>Q37-Q38-Q39-Q40</f>
        <v>0</v>
      </c>
      <c r="S41" s="399">
        <f>'17'!S41</f>
        <v>0</v>
      </c>
      <c r="T41" s="446">
        <f>'17'!X41</f>
        <v>0</v>
      </c>
      <c r="U41" s="456"/>
      <c r="V41" s="451">
        <f t="shared" si="0"/>
        <v>0</v>
      </c>
      <c r="W41" s="452"/>
      <c r="X41" s="448">
        <f t="shared" si="1"/>
        <v>0</v>
      </c>
      <c r="Z41" s="375">
        <f>'17'!Z41</f>
        <v>0</v>
      </c>
      <c r="AA41" s="464">
        <f>'17'!AE41</f>
        <v>0</v>
      </c>
      <c r="AB41" s="460"/>
      <c r="AC41" s="462">
        <f t="shared" si="2"/>
        <v>0</v>
      </c>
      <c r="AD41" s="469"/>
      <c r="AE41" s="348">
        <f t="shared" si="3"/>
        <v>0</v>
      </c>
      <c r="AF41" s="563">
        <f>'17'!AF41+'18'!AB41</f>
        <v>0</v>
      </c>
      <c r="AG41" s="234">
        <f>'17'!AG41+'18'!AD41</f>
        <v>0</v>
      </c>
    </row>
    <row r="42" spans="1:40" ht="27" customHeight="1" thickTop="1" thickBot="1">
      <c r="A42" s="715" t="str">
        <f>'17'!A42</f>
        <v>B.C</v>
      </c>
      <c r="B42" s="529"/>
      <c r="C42" s="348">
        <f>'17'!D42</f>
        <v>0</v>
      </c>
      <c r="D42" s="529">
        <f t="shared" si="9"/>
        <v>0</v>
      </c>
      <c r="F42" s="479" t="str">
        <f>'17'!F42</f>
        <v>HUZAFA KOTRI</v>
      </c>
      <c r="G42" s="409">
        <f>'CUSTOMERS REPORT'!Y1329</f>
        <v>0</v>
      </c>
      <c r="H42" s="507">
        <f>'CUSTOMERS REPORT'!Z1329</f>
        <v>0</v>
      </c>
      <c r="I42" s="409">
        <f>'CUSTOMERS REPORT'!AA1329</f>
        <v>0</v>
      </c>
      <c r="J42" s="501">
        <f>'CUSTOMERS REPORT'!AB1329</f>
        <v>0</v>
      </c>
      <c r="K42" s="501">
        <f>'CUSTOMERS REPORT'!AC1329</f>
        <v>0</v>
      </c>
      <c r="L42" s="512">
        <f>'CUSTOMERS REPORT'!AD1329</f>
        <v>0</v>
      </c>
      <c r="M42" s="414">
        <f>'17'!M42+'18'!G42</f>
        <v>0</v>
      </c>
      <c r="N42" s="412">
        <f>'17'!N42+'18'!J42</f>
        <v>0</v>
      </c>
      <c r="P42" s="1499" t="s">
        <v>157</v>
      </c>
      <c r="Q42" s="1500"/>
      <c r="S42" s="399">
        <f>'17'!S42</f>
        <v>0</v>
      </c>
      <c r="T42" s="446">
        <f>'17'!X42</f>
        <v>0</v>
      </c>
      <c r="U42" s="458"/>
      <c r="V42" s="453">
        <f t="shared" si="0"/>
        <v>0</v>
      </c>
      <c r="W42" s="454"/>
      <c r="X42" s="449">
        <f t="shared" si="1"/>
        <v>0</v>
      </c>
      <c r="Z42" s="375">
        <f>'17'!Z42</f>
        <v>0</v>
      </c>
      <c r="AA42" s="464">
        <f>'17'!AE42</f>
        <v>0</v>
      </c>
      <c r="AB42" s="461"/>
      <c r="AC42" s="462">
        <f>AA42+AB42</f>
        <v>0</v>
      </c>
      <c r="AD42" s="470"/>
      <c r="AE42" s="348">
        <f t="shared" si="3"/>
        <v>0</v>
      </c>
      <c r="AF42" s="564">
        <f>'17'!AF42+'18'!AB42</f>
        <v>0</v>
      </c>
      <c r="AG42" s="572">
        <f>'17'!AG42+'18'!AD42</f>
        <v>0</v>
      </c>
    </row>
    <row r="43" spans="1:40" ht="27" customHeight="1" thickTop="1" thickBot="1">
      <c r="A43" s="715" t="str">
        <f>'17'!A43</f>
        <v>AQEEL</v>
      </c>
      <c r="B43" s="539"/>
      <c r="C43" s="348">
        <f>'17'!D43</f>
        <v>0</v>
      </c>
      <c r="D43" s="529">
        <f t="shared" si="9"/>
        <v>0</v>
      </c>
      <c r="F43" s="479" t="str">
        <f>'17'!F43</f>
        <v>ZAHID LAHORE</v>
      </c>
      <c r="G43" s="409">
        <f>'CUSTOMERS REPORT'!Y1366</f>
        <v>0</v>
      </c>
      <c r="H43" s="507">
        <f>'CUSTOMERS REPORT'!Z1366</f>
        <v>0</v>
      </c>
      <c r="I43" s="409">
        <f>'CUSTOMERS REPORT'!AA1366</f>
        <v>0</v>
      </c>
      <c r="J43" s="501">
        <f>'CUSTOMERS REPORT'!AB1366</f>
        <v>0</v>
      </c>
      <c r="K43" s="501">
        <f>'CUSTOMERS REPORT'!AC1366</f>
        <v>0</v>
      </c>
      <c r="L43" s="512">
        <f>'CUSTOMERS REPORT'!AD1366</f>
        <v>0</v>
      </c>
      <c r="M43" s="414">
        <f>'17'!M43+'18'!G43</f>
        <v>0</v>
      </c>
      <c r="N43" s="412">
        <f>'17'!N43+'18'!J43</f>
        <v>0</v>
      </c>
      <c r="P43" s="220" t="s">
        <v>124</v>
      </c>
      <c r="Q43" s="223">
        <f>'17'!Q48</f>
        <v>-2368180</v>
      </c>
      <c r="R43" t="s">
        <v>1</v>
      </c>
      <c r="S43" s="399">
        <f>'17'!S43</f>
        <v>0</v>
      </c>
      <c r="T43" s="446">
        <f>'17'!X43</f>
        <v>0</v>
      </c>
      <c r="U43" s="358"/>
      <c r="V43" s="453">
        <f t="shared" si="0"/>
        <v>0</v>
      </c>
      <c r="W43" s="403"/>
      <c r="X43" s="449">
        <f t="shared" si="1"/>
        <v>0</v>
      </c>
      <c r="Z43" s="383"/>
      <c r="AA43" s="356">
        <f>SUM(AA8:AA42)</f>
        <v>-1443000</v>
      </c>
      <c r="AB43" s="385">
        <f>SUM(AB8:AB42)</f>
        <v>0</v>
      </c>
      <c r="AC43" s="357" t="s">
        <v>74</v>
      </c>
      <c r="AD43" s="387">
        <f>SUM(AD8:AD42)</f>
        <v>0</v>
      </c>
      <c r="AE43" s="358">
        <f>SUM(AE8:AE42)</f>
        <v>-1443000</v>
      </c>
      <c r="AF43" s="565">
        <f>SUM(AF8:AF42)</f>
        <v>661250</v>
      </c>
      <c r="AG43" s="571">
        <f>SUM(AG8:AG42)</f>
        <v>2104250</v>
      </c>
    </row>
    <row r="44" spans="1:40" ht="27" customHeight="1" thickTop="1">
      <c r="A44" s="715" t="str">
        <f>'17'!A44</f>
        <v>M.YOUSUF</v>
      </c>
      <c r="B44" s="234"/>
      <c r="C44" s="348">
        <f>'17'!D44</f>
        <v>20000</v>
      </c>
      <c r="D44" s="234">
        <f t="shared" si="9"/>
        <v>20000</v>
      </c>
      <c r="F44" s="479" t="str">
        <f>'17'!F44</f>
        <v>CASH SALE</v>
      </c>
      <c r="G44" s="409">
        <f>'CUSTOMERS REPORT'!Y1403</f>
        <v>0</v>
      </c>
      <c r="H44" s="507">
        <f>'CUSTOMERS REPORT'!Z1403</f>
        <v>0</v>
      </c>
      <c r="I44" s="409">
        <f>'CUSTOMERS REPORT'!AA1403</f>
        <v>0</v>
      </c>
      <c r="J44" s="501">
        <f>'CUSTOMERS REPORT'!AB1403</f>
        <v>0</v>
      </c>
      <c r="K44" s="501">
        <f>'CUSTOMERS REPORT'!AC1403</f>
        <v>0</v>
      </c>
      <c r="L44" s="512">
        <f>'CUSTOMERS REPORT'!AD1403</f>
        <v>0</v>
      </c>
      <c r="M44" s="414">
        <f>'17'!M44+'18'!G44</f>
        <v>0</v>
      </c>
      <c r="N44" s="412">
        <f>'17'!N44+'18'!J44</f>
        <v>0</v>
      </c>
      <c r="P44" s="222" t="s">
        <v>114</v>
      </c>
      <c r="Q44" s="377">
        <f>J46</f>
        <v>0</v>
      </c>
      <c r="S44" s="399">
        <f>'17'!S44</f>
        <v>0</v>
      </c>
      <c r="T44" s="446">
        <f>'17'!X44</f>
        <v>0</v>
      </c>
      <c r="U44" s="306"/>
      <c r="V44" s="349"/>
      <c r="W44" s="351"/>
      <c r="X44" s="350"/>
      <c r="Z44" s="375"/>
      <c r="AA44" s="339"/>
      <c r="AB44" s="386">
        <f>'17'!AB45</f>
        <v>661250</v>
      </c>
      <c r="AC44" s="340" t="s">
        <v>126</v>
      </c>
      <c r="AD44" s="388">
        <f>'17'!AD45</f>
        <v>2104250</v>
      </c>
      <c r="AE44" s="341"/>
      <c r="AF44" s="561"/>
      <c r="AG44" s="83" t="s">
        <v>1</v>
      </c>
    </row>
    <row r="45" spans="1:40" ht="27" customHeight="1" thickBot="1">
      <c r="A45" s="715" t="str">
        <f>'17'!A45</f>
        <v>SHAKEEL</v>
      </c>
      <c r="B45" s="234"/>
      <c r="C45" s="348">
        <f>'17'!D45</f>
        <v>0</v>
      </c>
      <c r="D45" s="234">
        <f t="shared" si="9"/>
        <v>0</v>
      </c>
      <c r="F45" s="479" t="str">
        <f>'17'!F45</f>
        <v xml:space="preserve">FREE </v>
      </c>
      <c r="G45" s="410">
        <f>'CUSTOMERS REPORT'!Y1439</f>
        <v>0</v>
      </c>
      <c r="H45" s="362">
        <f>'CUSTOMERS REPORT'!Z1439</f>
        <v>0</v>
      </c>
      <c r="I45" s="410">
        <f>'CUSTOMERS REPORT'!AA1439</f>
        <v>0</v>
      </c>
      <c r="J45" s="502">
        <f>'CUSTOMERS REPORT'!AB1439</f>
        <v>0</v>
      </c>
      <c r="K45" s="502">
        <f>'CUSTOMERS REPORT'!AC1439</f>
        <v>0</v>
      </c>
      <c r="L45" s="513">
        <f>'CUSTOMERS REPORT'!AD1439</f>
        <v>0</v>
      </c>
      <c r="M45" s="414">
        <f>'17'!M45+'18'!G45</f>
        <v>0</v>
      </c>
      <c r="N45" s="412">
        <f>'17'!N45+'18'!J45</f>
        <v>0</v>
      </c>
      <c r="P45" s="222" t="s">
        <v>153</v>
      </c>
      <c r="Q45" s="378">
        <f>Q43+Q44</f>
        <v>-2368180</v>
      </c>
      <c r="S45" s="399">
        <f>'17'!S45</f>
        <v>0</v>
      </c>
      <c r="T45" s="446">
        <f>'17'!X45</f>
        <v>0</v>
      </c>
      <c r="U45" s="307"/>
      <c r="V45" s="353"/>
      <c r="W45" s="354"/>
      <c r="X45" s="355"/>
      <c r="Z45" s="384"/>
      <c r="AA45" s="359"/>
      <c r="AB45" s="390">
        <f>SUM(AB43:AB44)</f>
        <v>661250</v>
      </c>
      <c r="AC45" s="360" t="s">
        <v>74</v>
      </c>
      <c r="AD45" s="389">
        <f>SUM(AD43:AD44)</f>
        <v>2104250</v>
      </c>
      <c r="AE45" s="361"/>
      <c r="AF45" s="562"/>
      <c r="AG45" s="573"/>
    </row>
    <row r="46" spans="1:40" ht="27" customHeight="1" thickTop="1" thickBot="1">
      <c r="A46" s="715" t="str">
        <f>'17'!A46</f>
        <v>ZAHID HUSSAN</v>
      </c>
      <c r="B46" s="234"/>
      <c r="C46" s="348">
        <f>'17'!D46</f>
        <v>0</v>
      </c>
      <c r="D46" s="234">
        <f t="shared" si="9"/>
        <v>0</v>
      </c>
      <c r="F46" s="369"/>
      <c r="G46" s="424">
        <f>SUM(G8:G45)</f>
        <v>0</v>
      </c>
      <c r="H46" s="1497" t="s">
        <v>160</v>
      </c>
      <c r="I46" s="1498"/>
      <c r="J46" s="421">
        <f>SUM(J8:J45)</f>
        <v>0</v>
      </c>
      <c r="K46" s="427">
        <f>SUM(K8:K45)</f>
        <v>0</v>
      </c>
      <c r="L46" s="431">
        <f>SUM(L8:L45)</f>
        <v>0</v>
      </c>
      <c r="M46" s="429">
        <f>SUM(M8:M45)</f>
        <v>0</v>
      </c>
      <c r="N46" s="430">
        <f>SUM(N8:N45)</f>
        <v>0</v>
      </c>
      <c r="P46" s="222" t="s">
        <v>154</v>
      </c>
      <c r="Q46" s="378">
        <f>B48</f>
        <v>0</v>
      </c>
      <c r="T46" s="616">
        <f>SUM(T24:T45)</f>
        <v>0</v>
      </c>
    </row>
    <row r="47" spans="1:40" ht="27" customHeight="1" thickBot="1">
      <c r="A47" s="715" t="str">
        <f>'17'!A47</f>
        <v xml:space="preserve">INVESTOR </v>
      </c>
      <c r="B47" s="540"/>
      <c r="C47" s="348">
        <f>'17'!D47</f>
        <v>0</v>
      </c>
      <c r="D47" s="542">
        <f t="shared" si="9"/>
        <v>0</v>
      </c>
      <c r="F47" s="370"/>
      <c r="G47" s="425">
        <f>'17'!G48</f>
        <v>0</v>
      </c>
      <c r="H47" s="1512" t="s">
        <v>162</v>
      </c>
      <c r="I47" s="1513"/>
      <c r="J47" s="423">
        <f>'17'!J48</f>
        <v>0</v>
      </c>
      <c r="K47" s="423">
        <f>'17'!K48</f>
        <v>0</v>
      </c>
      <c r="L47" s="343"/>
      <c r="M47" s="344"/>
      <c r="N47" s="345"/>
      <c r="P47" s="375" t="s">
        <v>163</v>
      </c>
      <c r="Q47" s="378">
        <f>Q9+Q10+Q19+Q20+Q21+Q22</f>
        <v>0</v>
      </c>
      <c r="R47" s="19"/>
      <c r="S47" s="1489" t="s">
        <v>92</v>
      </c>
      <c r="T47" s="1516" t="s">
        <v>95</v>
      </c>
      <c r="U47" s="1518"/>
      <c r="V47" s="1518"/>
      <c r="W47" s="1517"/>
      <c r="X47" s="1516" t="s">
        <v>7</v>
      </c>
      <c r="Y47" s="1518"/>
      <c r="Z47" s="1517"/>
      <c r="AA47" s="1516" t="s">
        <v>8</v>
      </c>
      <c r="AB47" s="1517"/>
      <c r="AC47" s="1516" t="s">
        <v>9</v>
      </c>
      <c r="AD47" s="1518"/>
      <c r="AE47" s="1518"/>
      <c r="AF47" s="1518"/>
      <c r="AG47" s="1518"/>
      <c r="AH47" s="1518"/>
      <c r="AI47" s="1518"/>
      <c r="AJ47" s="1405" t="s">
        <v>10</v>
      </c>
      <c r="AK47" s="1406"/>
      <c r="AL47" s="1400" t="s">
        <v>289</v>
      </c>
      <c r="AM47" s="1401"/>
      <c r="AN47" s="842" t="s">
        <v>290</v>
      </c>
    </row>
    <row r="48" spans="1:40" ht="27" customHeight="1" thickTop="1" thickBot="1">
      <c r="A48" s="192" t="s">
        <v>74</v>
      </c>
      <c r="B48" s="544">
        <f>SUM(B22:B47)</f>
        <v>0</v>
      </c>
      <c r="C48" s="543">
        <f>'17'!D48</f>
        <v>2368180</v>
      </c>
      <c r="D48" s="544">
        <f t="shared" si="9"/>
        <v>2368180</v>
      </c>
      <c r="F48" s="371"/>
      <c r="G48" s="426">
        <f>G46+G47</f>
        <v>0</v>
      </c>
      <c r="H48" s="1495" t="s">
        <v>164</v>
      </c>
      <c r="I48" s="1496"/>
      <c r="J48" s="422">
        <f>J46+J47</f>
        <v>0</v>
      </c>
      <c r="K48" s="428">
        <f>K46+K47</f>
        <v>0</v>
      </c>
      <c r="L48" s="346"/>
      <c r="M48" s="347"/>
      <c r="N48" s="622">
        <f>G48-J48</f>
        <v>0</v>
      </c>
      <c r="P48" s="376" t="s">
        <v>155</v>
      </c>
      <c r="Q48" s="379">
        <f>Q45-Q46-Q47</f>
        <v>-2368180</v>
      </c>
      <c r="R48" s="19"/>
      <c r="S48" s="1490"/>
      <c r="T48" s="482" t="s">
        <v>12</v>
      </c>
      <c r="U48" s="482" t="s">
        <v>13</v>
      </c>
      <c r="V48" s="482" t="s">
        <v>14</v>
      </c>
      <c r="W48" s="958" t="s">
        <v>263</v>
      </c>
      <c r="X48" s="482" t="s">
        <v>12</v>
      </c>
      <c r="Y48" s="482" t="s">
        <v>13</v>
      </c>
      <c r="Z48" s="482" t="s">
        <v>282</v>
      </c>
      <c r="AA48" s="482" t="s">
        <v>12</v>
      </c>
      <c r="AB48" s="482" t="s">
        <v>16</v>
      </c>
      <c r="AC48" s="482" t="s">
        <v>17</v>
      </c>
      <c r="AD48" s="482" t="s">
        <v>18</v>
      </c>
      <c r="AE48" s="482" t="s">
        <v>19</v>
      </c>
      <c r="AF48" s="484" t="s">
        <v>96</v>
      </c>
      <c r="AG48" s="484" t="s">
        <v>257</v>
      </c>
      <c r="AH48" s="482" t="s">
        <v>254</v>
      </c>
      <c r="AI48" s="482" t="s">
        <v>20</v>
      </c>
      <c r="AJ48" s="483" t="s">
        <v>14</v>
      </c>
      <c r="AK48" s="482" t="s">
        <v>13</v>
      </c>
      <c r="AL48" s="846" t="s">
        <v>284</v>
      </c>
      <c r="AM48" s="846" t="s">
        <v>288</v>
      </c>
      <c r="AN48" s="966" t="s">
        <v>291</v>
      </c>
    </row>
    <row r="49" spans="1:40" ht="24.95" customHeight="1" thickTop="1" thickBot="1">
      <c r="R49" s="19"/>
      <c r="S49" s="865" t="s">
        <v>165</v>
      </c>
      <c r="T49" s="866">
        <f>'17'!T55</f>
        <v>0</v>
      </c>
      <c r="U49" s="866">
        <f>'17'!U55</f>
        <v>0</v>
      </c>
      <c r="V49" s="866">
        <f>'17'!V55</f>
        <v>-2</v>
      </c>
      <c r="W49" s="866">
        <f>'17'!W55</f>
        <v>0</v>
      </c>
      <c r="X49" s="866">
        <f>'17'!X55</f>
        <v>0</v>
      </c>
      <c r="Y49" s="866">
        <f>'17'!Y55</f>
        <v>0</v>
      </c>
      <c r="Z49" s="866">
        <f>'17'!Z55</f>
        <v>-2</v>
      </c>
      <c r="AA49" s="866">
        <f>'17'!AA55</f>
        <v>-12</v>
      </c>
      <c r="AB49" s="866">
        <f>'17'!AB55</f>
        <v>0</v>
      </c>
      <c r="AC49" s="866">
        <f>'17'!AC55</f>
        <v>1684</v>
      </c>
      <c r="AD49" s="866">
        <f>'17'!AD55</f>
        <v>222</v>
      </c>
      <c r="AE49" s="866">
        <f>'17'!AE55</f>
        <v>0</v>
      </c>
      <c r="AF49" s="866">
        <f>'17'!AF55</f>
        <v>1138</v>
      </c>
      <c r="AG49" s="866">
        <f>'17'!AG55</f>
        <v>831</v>
      </c>
      <c r="AH49" s="866">
        <f>'17'!AH55</f>
        <v>1139</v>
      </c>
      <c r="AI49" s="866">
        <f>'17'!AI55</f>
        <v>631</v>
      </c>
      <c r="AJ49" s="866">
        <f>'17'!AJ55</f>
        <v>0</v>
      </c>
      <c r="AK49" s="866">
        <f>'17'!AK55</f>
        <v>-1</v>
      </c>
      <c r="AL49" s="866" t="e">
        <f>'17'!AL55</f>
        <v>#VALUE!</v>
      </c>
      <c r="AM49" s="866" t="e">
        <f>'17'!AM55</f>
        <v>#VALUE!</v>
      </c>
      <c r="AN49" s="866" t="e">
        <f>'17'!AN55</f>
        <v>#VALUE!</v>
      </c>
    </row>
    <row r="50" spans="1:40" ht="24.95" customHeight="1" thickBot="1">
      <c r="C50" t="s">
        <v>1</v>
      </c>
      <c r="L50" s="417">
        <v>5000</v>
      </c>
      <c r="M50" s="417"/>
      <c r="N50" s="417">
        <f t="shared" ref="N50:N57" si="10">L50*M50</f>
        <v>0</v>
      </c>
      <c r="R50" s="19"/>
      <c r="S50" s="854" t="s">
        <v>166</v>
      </c>
      <c r="T50" s="852"/>
      <c r="U50" s="852"/>
      <c r="V50" s="852"/>
      <c r="W50" s="852"/>
      <c r="X50" s="852"/>
      <c r="Y50" s="852"/>
      <c r="Z50" s="852"/>
      <c r="AA50" s="852"/>
      <c r="AB50" s="852"/>
      <c r="AC50" s="852"/>
      <c r="AD50" s="852"/>
      <c r="AE50" s="852"/>
      <c r="AF50" s="852"/>
      <c r="AG50" s="855"/>
      <c r="AH50" s="852"/>
      <c r="AI50" s="852"/>
      <c r="AJ50" s="848"/>
      <c r="AK50" s="848"/>
      <c r="AL50" s="849"/>
      <c r="AM50" s="849"/>
      <c r="AN50" s="930"/>
    </row>
    <row r="51" spans="1:40" ht="24.95" customHeight="1" thickBot="1">
      <c r="L51" s="417">
        <v>1000</v>
      </c>
      <c r="M51" s="417"/>
      <c r="N51" s="417">
        <f t="shared" si="10"/>
        <v>0</v>
      </c>
      <c r="R51" s="19"/>
      <c r="S51" s="867" t="s">
        <v>91</v>
      </c>
      <c r="T51" s="868"/>
      <c r="U51" s="868"/>
      <c r="V51" s="868"/>
      <c r="W51" s="868"/>
      <c r="X51" s="868"/>
      <c r="Y51" s="868"/>
      <c r="Z51" s="868"/>
      <c r="AA51" s="868"/>
      <c r="AB51" s="868"/>
      <c r="AC51" s="868"/>
      <c r="AD51" s="868"/>
      <c r="AE51" s="868"/>
      <c r="AF51" s="868"/>
      <c r="AG51" s="869"/>
      <c r="AH51" s="868"/>
      <c r="AI51" s="870"/>
      <c r="AJ51" s="868"/>
      <c r="AK51" s="868"/>
      <c r="AL51" s="849"/>
      <c r="AM51" s="849"/>
      <c r="AN51" s="850"/>
    </row>
    <row r="52" spans="1:40" ht="24.95" customHeight="1" thickBot="1">
      <c r="L52" s="417">
        <v>500</v>
      </c>
      <c r="M52" s="417"/>
      <c r="N52" s="417">
        <f t="shared" si="10"/>
        <v>0</v>
      </c>
      <c r="O52" t="s">
        <v>1</v>
      </c>
      <c r="R52" s="19"/>
      <c r="S52" s="856" t="s">
        <v>167</v>
      </c>
      <c r="T52" s="857"/>
      <c r="U52" s="857"/>
      <c r="V52" s="857"/>
      <c r="W52" s="857"/>
      <c r="X52" s="857"/>
      <c r="Y52" s="857"/>
      <c r="Z52" s="857"/>
      <c r="AA52" s="857"/>
      <c r="AB52" s="857"/>
      <c r="AC52" s="857"/>
      <c r="AD52" s="857"/>
      <c r="AE52" s="857"/>
      <c r="AF52" s="857"/>
      <c r="AG52" s="858"/>
      <c r="AH52" s="859"/>
      <c r="AI52" s="860"/>
      <c r="AJ52" s="851"/>
      <c r="AK52" s="1230"/>
      <c r="AL52" s="849"/>
      <c r="AM52" s="849"/>
      <c r="AN52" s="850"/>
    </row>
    <row r="53" spans="1:40" ht="24.95" customHeight="1" thickBot="1">
      <c r="L53" s="417">
        <v>100</v>
      </c>
      <c r="M53" s="417"/>
      <c r="N53" s="417">
        <f t="shared" si="10"/>
        <v>0</v>
      </c>
      <c r="R53" s="19"/>
      <c r="S53" s="871" t="s">
        <v>81</v>
      </c>
      <c r="T53" s="866">
        <f t="shared" ref="T53:AN53" si="11">SUM(T49+T50+T52)</f>
        <v>0</v>
      </c>
      <c r="U53" s="866">
        <f t="shared" si="11"/>
        <v>0</v>
      </c>
      <c r="V53" s="866">
        <f t="shared" si="11"/>
        <v>-2</v>
      </c>
      <c r="W53" s="866">
        <f t="shared" si="11"/>
        <v>0</v>
      </c>
      <c r="X53" s="866">
        <f t="shared" si="11"/>
        <v>0</v>
      </c>
      <c r="Y53" s="866">
        <f t="shared" si="11"/>
        <v>0</v>
      </c>
      <c r="Z53" s="866">
        <f t="shared" si="11"/>
        <v>-2</v>
      </c>
      <c r="AA53" s="866">
        <f t="shared" si="11"/>
        <v>-12</v>
      </c>
      <c r="AB53" s="866">
        <f t="shared" si="11"/>
        <v>0</v>
      </c>
      <c r="AC53" s="866">
        <f t="shared" si="11"/>
        <v>1684</v>
      </c>
      <c r="AD53" s="866">
        <f t="shared" si="11"/>
        <v>222</v>
      </c>
      <c r="AE53" s="866">
        <f t="shared" si="11"/>
        <v>0</v>
      </c>
      <c r="AF53" s="866">
        <f t="shared" si="11"/>
        <v>1138</v>
      </c>
      <c r="AG53" s="866">
        <f t="shared" si="11"/>
        <v>831</v>
      </c>
      <c r="AH53" s="866">
        <f t="shared" si="11"/>
        <v>1139</v>
      </c>
      <c r="AI53" s="866">
        <f t="shared" si="11"/>
        <v>631</v>
      </c>
      <c r="AJ53" s="866">
        <f t="shared" si="11"/>
        <v>0</v>
      </c>
      <c r="AK53" s="866">
        <f t="shared" si="11"/>
        <v>-1</v>
      </c>
      <c r="AL53" s="866" t="e">
        <f t="shared" si="11"/>
        <v>#VALUE!</v>
      </c>
      <c r="AM53" s="866" t="e">
        <f t="shared" si="11"/>
        <v>#VALUE!</v>
      </c>
      <c r="AN53" s="872" t="e">
        <f t="shared" si="11"/>
        <v>#VALUE!</v>
      </c>
    </row>
    <row r="54" spans="1:40" ht="24.95" customHeight="1" thickBot="1">
      <c r="L54" s="417">
        <v>50</v>
      </c>
      <c r="M54" s="417"/>
      <c r="N54" s="417">
        <f t="shared" si="10"/>
        <v>0</v>
      </c>
      <c r="R54" s="19"/>
      <c r="S54" s="854" t="s">
        <v>168</v>
      </c>
      <c r="T54" s="852">
        <f>'CUSTOMERS REPORT'!B25+'CUSTOMERS REPORT'!B71+'CUSTOMERS REPORT'!B109+'CUSTOMERS REPORT'!B148+'CUSTOMERS REPORT'!B186+'CUSTOMERS REPORT'!B226+'CUSTOMERS REPORT'!B263+'CUSTOMERS REPORT'!B303+'CUSTOMERS REPORT'!B344+'CUSTOMERS REPORT'!B386+'CUSTOMERS REPORT'!B425+'CUSTOMERS REPORT'!B463+'CUSTOMERS REPORT'!B499+'CUSTOMERS REPORT'!B536+'CUSTOMERS REPORT'!B574+'CUSTOMERS REPORT'!B610+'CUSTOMERS REPORT'!B648+'CUSTOMERS REPORT'!B686+'CUSTOMERS REPORT'!B724+'CUSTOMERS REPORT'!B762+'CUSTOMERS REPORT'!B800+'CUSTOMERS REPORT'!B838+'CUSTOMERS REPORT'!B876+'CUSTOMERS REPORT'!B915+'CUSTOMERS REPORT'!B954+'CUSTOMERS REPORT'!B992+'CUSTOMERS REPORT'!B1030+'CUSTOMERS REPORT'!B1068+'CUSTOMERS REPORT'!B1106+'CUSTOMERS REPORT'!B1144+'CUSTOMERS REPORT'!B1181+'CUSTOMERS REPORT'!B1218+'CUSTOMERS REPORT'!B1255+'CUSTOMERS REPORT'!B1292+'CUSTOMERS REPORT'!B1329+'CUSTOMERS REPORT'!B1366+'CUSTOMERS REPORT'!B1403+'CUSTOMERS REPORT'!B1439</f>
        <v>0</v>
      </c>
      <c r="U54" s="852">
        <f>'CUSTOMERS REPORT'!C25+'CUSTOMERS REPORT'!C71+'CUSTOMERS REPORT'!C109+'CUSTOMERS REPORT'!C148+'CUSTOMERS REPORT'!C186+'CUSTOMERS REPORT'!C226+'CUSTOMERS REPORT'!C263+'CUSTOMERS REPORT'!C303+'CUSTOMERS REPORT'!C344+'CUSTOMERS REPORT'!C386+'CUSTOMERS REPORT'!C425+'CUSTOMERS REPORT'!C463+'CUSTOMERS REPORT'!C499+'CUSTOMERS REPORT'!C536+'CUSTOMERS REPORT'!C574+'CUSTOMERS REPORT'!C610+'CUSTOMERS REPORT'!C648+'CUSTOMERS REPORT'!C686+'CUSTOMERS REPORT'!C724+'CUSTOMERS REPORT'!C762+'CUSTOMERS REPORT'!C800+'CUSTOMERS REPORT'!C838+'CUSTOMERS REPORT'!C876+'CUSTOMERS REPORT'!C915+'CUSTOMERS REPORT'!C954+'CUSTOMERS REPORT'!C992+'CUSTOMERS REPORT'!C1030+'CUSTOMERS REPORT'!C1068+'CUSTOMERS REPORT'!C1106+'CUSTOMERS REPORT'!C1144+'CUSTOMERS REPORT'!C1181+'CUSTOMERS REPORT'!C1218+'CUSTOMERS REPORT'!C1255+'CUSTOMERS REPORT'!C1292+'CUSTOMERS REPORT'!C1329+'CUSTOMERS REPORT'!C1366+'CUSTOMERS REPORT'!C1403+'CUSTOMERS REPORT'!C1439</f>
        <v>0</v>
      </c>
      <c r="V54" s="852">
        <f>'CUSTOMERS REPORT'!D25+'CUSTOMERS REPORT'!D71+'CUSTOMERS REPORT'!D109+'CUSTOMERS REPORT'!D148+'CUSTOMERS REPORT'!D186+'CUSTOMERS REPORT'!D226+'CUSTOMERS REPORT'!D263+'CUSTOMERS REPORT'!D303+'CUSTOMERS REPORT'!D344+'CUSTOMERS REPORT'!D386+'CUSTOMERS REPORT'!D425+'CUSTOMERS REPORT'!D463+'CUSTOMERS REPORT'!D499+'CUSTOMERS REPORT'!D536+'CUSTOMERS REPORT'!D574+'CUSTOMERS REPORT'!D610+'CUSTOMERS REPORT'!D648+'CUSTOMERS REPORT'!D686+'CUSTOMERS REPORT'!D724+'CUSTOMERS REPORT'!D762+'CUSTOMERS REPORT'!D800+'CUSTOMERS REPORT'!D838+'CUSTOMERS REPORT'!D876+'CUSTOMERS REPORT'!D915+'CUSTOMERS REPORT'!D954+'CUSTOMERS REPORT'!D992+'CUSTOMERS REPORT'!D1030+'CUSTOMERS REPORT'!D1068+'CUSTOMERS REPORT'!D1106+'CUSTOMERS REPORT'!D1144+'CUSTOMERS REPORT'!D1181+'CUSTOMERS REPORT'!D1218+'CUSTOMERS REPORT'!D1255+'CUSTOMERS REPORT'!D1292+'CUSTOMERS REPORT'!D1329+'CUSTOMERS REPORT'!D1366+'CUSTOMERS REPORT'!D1403+'CUSTOMERS REPORT'!D1439</f>
        <v>0</v>
      </c>
      <c r="W54" s="852">
        <f>'CUSTOMERS REPORT'!E25+'CUSTOMERS REPORT'!E71+'CUSTOMERS REPORT'!E109+'CUSTOMERS REPORT'!E148+'CUSTOMERS REPORT'!E186+'CUSTOMERS REPORT'!E226+'CUSTOMERS REPORT'!E263+'CUSTOMERS REPORT'!E303+'CUSTOMERS REPORT'!E344+'CUSTOMERS REPORT'!E386+'CUSTOMERS REPORT'!E425+'CUSTOMERS REPORT'!E463+'CUSTOMERS REPORT'!E499+'CUSTOMERS REPORT'!E536+'CUSTOMERS REPORT'!E574+'CUSTOMERS REPORT'!E610+'CUSTOMERS REPORT'!E648+'CUSTOMERS REPORT'!E686+'CUSTOMERS REPORT'!E724+'CUSTOMERS REPORT'!E762+'CUSTOMERS REPORT'!E800+'CUSTOMERS REPORT'!E838+'CUSTOMERS REPORT'!E876+'CUSTOMERS REPORT'!E915+'CUSTOMERS REPORT'!E954+'CUSTOMERS REPORT'!E992+'CUSTOMERS REPORT'!E1030+'CUSTOMERS REPORT'!E1068+'CUSTOMERS REPORT'!E1106+'CUSTOMERS REPORT'!E1144+'CUSTOMERS REPORT'!E1181+'CUSTOMERS REPORT'!E1218+'CUSTOMERS REPORT'!E1255+'CUSTOMERS REPORT'!E1292+'CUSTOMERS REPORT'!E1329+'CUSTOMERS REPORT'!E1366+'CUSTOMERS REPORT'!E1403+'CUSTOMERS REPORT'!E1439</f>
        <v>0</v>
      </c>
      <c r="X54" s="852">
        <f>'CUSTOMERS REPORT'!F25+'CUSTOMERS REPORT'!F71+'CUSTOMERS REPORT'!F109+'CUSTOMERS REPORT'!F148+'CUSTOMERS REPORT'!F186+'CUSTOMERS REPORT'!F226+'CUSTOMERS REPORT'!F263+'CUSTOMERS REPORT'!F303+'CUSTOMERS REPORT'!F344+'CUSTOMERS REPORT'!F386+'CUSTOMERS REPORT'!F425+'CUSTOMERS REPORT'!F463+'CUSTOMERS REPORT'!F499+'CUSTOMERS REPORT'!F536+'CUSTOMERS REPORT'!F574+'CUSTOMERS REPORT'!F610+'CUSTOMERS REPORT'!F648+'CUSTOMERS REPORT'!F686+'CUSTOMERS REPORT'!F724+'CUSTOMERS REPORT'!F762+'CUSTOMERS REPORT'!F800+'CUSTOMERS REPORT'!F838+'CUSTOMERS REPORT'!F876+'CUSTOMERS REPORT'!F915+'CUSTOMERS REPORT'!F954+'CUSTOMERS REPORT'!F992+'CUSTOMERS REPORT'!F1030+'CUSTOMERS REPORT'!F1068+'CUSTOMERS REPORT'!F1106+'CUSTOMERS REPORT'!F1144+'CUSTOMERS REPORT'!F1181+'CUSTOMERS REPORT'!F1218+'CUSTOMERS REPORT'!F1255+'CUSTOMERS REPORT'!F1292+'CUSTOMERS REPORT'!F1329+'CUSTOMERS REPORT'!F1366+'CUSTOMERS REPORT'!F1403+'CUSTOMERS REPORT'!F1439</f>
        <v>0</v>
      </c>
      <c r="Y54" s="852">
        <f>'CUSTOMERS REPORT'!G25+'CUSTOMERS REPORT'!G71+'CUSTOMERS REPORT'!G109+'CUSTOMERS REPORT'!G148+'CUSTOMERS REPORT'!G186+'CUSTOMERS REPORT'!G226+'CUSTOMERS REPORT'!G263+'CUSTOMERS REPORT'!G303+'CUSTOMERS REPORT'!G344+'CUSTOMERS REPORT'!G386+'CUSTOMERS REPORT'!G425+'CUSTOMERS REPORT'!G463+'CUSTOMERS REPORT'!G499+'CUSTOMERS REPORT'!G536+'CUSTOMERS REPORT'!G574+'CUSTOMERS REPORT'!G610+'CUSTOMERS REPORT'!G648+'CUSTOMERS REPORT'!G686+'CUSTOMERS REPORT'!G724+'CUSTOMERS REPORT'!G762+'CUSTOMERS REPORT'!G800+'CUSTOMERS REPORT'!G838+'CUSTOMERS REPORT'!G876+'CUSTOMERS REPORT'!G915+'CUSTOMERS REPORT'!G954+'CUSTOMERS REPORT'!G992+'CUSTOMERS REPORT'!G1030+'CUSTOMERS REPORT'!G1068+'CUSTOMERS REPORT'!G1106+'CUSTOMERS REPORT'!G1144+'CUSTOMERS REPORT'!G1181+'CUSTOMERS REPORT'!G1218+'CUSTOMERS REPORT'!G1255+'CUSTOMERS REPORT'!G1292+'CUSTOMERS REPORT'!G1329+'CUSTOMERS REPORT'!G1366+'CUSTOMERS REPORT'!G1403+'CUSTOMERS REPORT'!G1439</f>
        <v>0</v>
      </c>
      <c r="Z54" s="852">
        <f>'CUSTOMERS REPORT'!H25+'CUSTOMERS REPORT'!H71+'CUSTOMERS REPORT'!H109+'CUSTOMERS REPORT'!H148+'CUSTOMERS REPORT'!H186+'CUSTOMERS REPORT'!H226+'CUSTOMERS REPORT'!H263+'CUSTOMERS REPORT'!H303+'CUSTOMERS REPORT'!H344+'CUSTOMERS REPORT'!H386+'CUSTOMERS REPORT'!H425+'CUSTOMERS REPORT'!H463+'CUSTOMERS REPORT'!H499+'CUSTOMERS REPORT'!H536+'CUSTOMERS REPORT'!H574+'CUSTOMERS REPORT'!H610+'CUSTOMERS REPORT'!H648+'CUSTOMERS REPORT'!H686+'CUSTOMERS REPORT'!H724+'CUSTOMERS REPORT'!H762+'CUSTOMERS REPORT'!H800+'CUSTOMERS REPORT'!H838+'CUSTOMERS REPORT'!H876+'CUSTOMERS REPORT'!H915+'CUSTOMERS REPORT'!H954+'CUSTOMERS REPORT'!H992+'CUSTOMERS REPORT'!H1030+'CUSTOMERS REPORT'!H1068+'CUSTOMERS REPORT'!H1106+'CUSTOMERS REPORT'!H1144+'CUSTOMERS REPORT'!H1181+'CUSTOMERS REPORT'!H1218+'CUSTOMERS REPORT'!H1255+'CUSTOMERS REPORT'!H1292+'CUSTOMERS REPORT'!H1329+'CUSTOMERS REPORT'!H1366+'CUSTOMERS REPORT'!H1403+'CUSTOMERS REPORT'!H1439</f>
        <v>0</v>
      </c>
      <c r="AA54" s="852">
        <f>'CUSTOMERS REPORT'!I25+'CUSTOMERS REPORT'!I71+'CUSTOMERS REPORT'!I109+'CUSTOMERS REPORT'!I148+'CUSTOMERS REPORT'!I186+'CUSTOMERS REPORT'!I226+'CUSTOMERS REPORT'!I263+'CUSTOMERS REPORT'!I303+'CUSTOMERS REPORT'!I344+'CUSTOMERS REPORT'!I386+'CUSTOMERS REPORT'!I425+'CUSTOMERS REPORT'!I463+'CUSTOMERS REPORT'!I499+'CUSTOMERS REPORT'!I536+'CUSTOMERS REPORT'!I574+'CUSTOMERS REPORT'!I610+'CUSTOMERS REPORT'!I648+'CUSTOMERS REPORT'!I686+'CUSTOMERS REPORT'!I724+'CUSTOMERS REPORT'!I762+'CUSTOMERS REPORT'!I800+'CUSTOMERS REPORT'!I838+'CUSTOMERS REPORT'!I876+'CUSTOMERS REPORT'!I915+'CUSTOMERS REPORT'!I954+'CUSTOMERS REPORT'!I992+'CUSTOMERS REPORT'!I1030+'CUSTOMERS REPORT'!I1068+'CUSTOMERS REPORT'!I1106+'CUSTOMERS REPORT'!I1144+'CUSTOMERS REPORT'!I1181+'CUSTOMERS REPORT'!I1218+'CUSTOMERS REPORT'!I1255+'CUSTOMERS REPORT'!I1292+'CUSTOMERS REPORT'!I1329+'CUSTOMERS REPORT'!I1366+'CUSTOMERS REPORT'!I1403+'CUSTOMERS REPORT'!I1439</f>
        <v>0</v>
      </c>
      <c r="AB54" s="852">
        <f>'CUSTOMERS REPORT'!J25+'CUSTOMERS REPORT'!J71+'CUSTOMERS REPORT'!J109+'CUSTOMERS REPORT'!J148+'CUSTOMERS REPORT'!J186+'CUSTOMERS REPORT'!J226+'CUSTOMERS REPORT'!J263+'CUSTOMERS REPORT'!J303+'CUSTOMERS REPORT'!J344+'CUSTOMERS REPORT'!J386+'CUSTOMERS REPORT'!J425+'CUSTOMERS REPORT'!J463+'CUSTOMERS REPORT'!J499+'CUSTOMERS REPORT'!J536+'CUSTOMERS REPORT'!J574+'CUSTOMERS REPORT'!J610+'CUSTOMERS REPORT'!J648+'CUSTOMERS REPORT'!J686+'CUSTOMERS REPORT'!J724+'CUSTOMERS REPORT'!J762+'CUSTOMERS REPORT'!J800+'CUSTOMERS REPORT'!J838+'CUSTOMERS REPORT'!J876+'CUSTOMERS REPORT'!J915+'CUSTOMERS REPORT'!J954+'CUSTOMERS REPORT'!J992+'CUSTOMERS REPORT'!J1030+'CUSTOMERS REPORT'!J1068+'CUSTOMERS REPORT'!J1106+'CUSTOMERS REPORT'!J1144+'CUSTOMERS REPORT'!J1181+'CUSTOMERS REPORT'!J1218+'CUSTOMERS REPORT'!J1255+'CUSTOMERS REPORT'!J1292+'CUSTOMERS REPORT'!J1329+'CUSTOMERS REPORT'!J1366+'CUSTOMERS REPORT'!J1403+'CUSTOMERS REPORT'!J1439</f>
        <v>0</v>
      </c>
      <c r="AC54" s="852">
        <f>'CUSTOMERS REPORT'!K25+'CUSTOMERS REPORT'!K71+'CUSTOMERS REPORT'!K109+'CUSTOMERS REPORT'!K148+'CUSTOMERS REPORT'!K186+'CUSTOMERS REPORT'!K226+'CUSTOMERS REPORT'!K263+'CUSTOMERS REPORT'!K303+'CUSTOMERS REPORT'!K344+'CUSTOMERS REPORT'!K386+'CUSTOMERS REPORT'!K425+'CUSTOMERS REPORT'!K463+'CUSTOMERS REPORT'!K499+'CUSTOMERS REPORT'!K536+'CUSTOMERS REPORT'!K574+'CUSTOMERS REPORT'!K610+'CUSTOMERS REPORT'!K648+'CUSTOMERS REPORT'!K686+'CUSTOMERS REPORT'!K724+'CUSTOMERS REPORT'!K762+'CUSTOMERS REPORT'!K800+'CUSTOMERS REPORT'!K838+'CUSTOMERS REPORT'!K876+'CUSTOMERS REPORT'!K915+'CUSTOMERS REPORT'!K954+'CUSTOMERS REPORT'!K992+'CUSTOMERS REPORT'!K1030+'CUSTOMERS REPORT'!K1068+'CUSTOMERS REPORT'!K1106+'CUSTOMERS REPORT'!K1144+'CUSTOMERS REPORT'!K1181+'CUSTOMERS REPORT'!K1218+'CUSTOMERS REPORT'!K1255+'CUSTOMERS REPORT'!K1292+'CUSTOMERS REPORT'!K1329+'CUSTOMERS REPORT'!K1366+'CUSTOMERS REPORT'!K1403+'CUSTOMERS REPORT'!K1439</f>
        <v>0</v>
      </c>
      <c r="AD54" s="852">
        <f>'CUSTOMERS REPORT'!L25+'CUSTOMERS REPORT'!L71+'CUSTOMERS REPORT'!L109+'CUSTOMERS REPORT'!L148+'CUSTOMERS REPORT'!L186+'CUSTOMERS REPORT'!L226+'CUSTOMERS REPORT'!L263+'CUSTOMERS REPORT'!L303+'CUSTOMERS REPORT'!L344+'CUSTOMERS REPORT'!L386+'CUSTOMERS REPORT'!L425+'CUSTOMERS REPORT'!L463+'CUSTOMERS REPORT'!L499+'CUSTOMERS REPORT'!L536+'CUSTOMERS REPORT'!L574+'CUSTOMERS REPORT'!L610+'CUSTOMERS REPORT'!L648+'CUSTOMERS REPORT'!L686+'CUSTOMERS REPORT'!L724+'CUSTOMERS REPORT'!L762+'CUSTOMERS REPORT'!L800+'CUSTOMERS REPORT'!L838+'CUSTOMERS REPORT'!L876+'CUSTOMERS REPORT'!L915+'CUSTOMERS REPORT'!L954+'CUSTOMERS REPORT'!L992+'CUSTOMERS REPORT'!L1030+'CUSTOMERS REPORT'!L1068+'CUSTOMERS REPORT'!L1106+'CUSTOMERS REPORT'!L1144+'CUSTOMERS REPORT'!L1181+'CUSTOMERS REPORT'!L1218+'CUSTOMERS REPORT'!L1255+'CUSTOMERS REPORT'!L1292+'CUSTOMERS REPORT'!L1329+'CUSTOMERS REPORT'!L1366+'CUSTOMERS REPORT'!L1403+'CUSTOMERS REPORT'!L1439</f>
        <v>0</v>
      </c>
      <c r="AE54" s="852">
        <f>'CUSTOMERS REPORT'!M25+'CUSTOMERS REPORT'!M71+'CUSTOMERS REPORT'!M109+'CUSTOMERS REPORT'!M148+'CUSTOMERS REPORT'!M186+'CUSTOMERS REPORT'!M226+'CUSTOMERS REPORT'!M263+'CUSTOMERS REPORT'!M303+'CUSTOMERS REPORT'!M344+'CUSTOMERS REPORT'!M386+'CUSTOMERS REPORT'!M425+'CUSTOMERS REPORT'!M463+'CUSTOMERS REPORT'!M499+'CUSTOMERS REPORT'!M536+'CUSTOMERS REPORT'!M574+'CUSTOMERS REPORT'!M610+'CUSTOMERS REPORT'!M648+'CUSTOMERS REPORT'!M686+'CUSTOMERS REPORT'!M724+'CUSTOMERS REPORT'!M762+'CUSTOMERS REPORT'!M800+'CUSTOMERS REPORT'!M838+'CUSTOMERS REPORT'!M876+'CUSTOMERS REPORT'!M915+'CUSTOMERS REPORT'!M954+'CUSTOMERS REPORT'!M992+'CUSTOMERS REPORT'!M1030+'CUSTOMERS REPORT'!M1068+'CUSTOMERS REPORT'!M1106+'CUSTOMERS REPORT'!M1144+'CUSTOMERS REPORT'!M1181+'CUSTOMERS REPORT'!M1218+'CUSTOMERS REPORT'!M1255+'CUSTOMERS REPORT'!M1292+'CUSTOMERS REPORT'!M1329+'CUSTOMERS REPORT'!M1366+'CUSTOMERS REPORT'!M1403+'CUSTOMERS REPORT'!M1439</f>
        <v>0</v>
      </c>
      <c r="AF54" s="852">
        <f>'CUSTOMERS REPORT'!N25+'CUSTOMERS REPORT'!N71+'CUSTOMERS REPORT'!N109+'CUSTOMERS REPORT'!N148+'CUSTOMERS REPORT'!N186+'CUSTOMERS REPORT'!N226+'CUSTOMERS REPORT'!N263+'CUSTOMERS REPORT'!N303+'CUSTOMERS REPORT'!N344+'CUSTOMERS REPORT'!N386+'CUSTOMERS REPORT'!N425+'CUSTOMERS REPORT'!N463+'CUSTOMERS REPORT'!N499+'CUSTOMERS REPORT'!N536+'CUSTOMERS REPORT'!N574+'CUSTOMERS REPORT'!N610+'CUSTOMERS REPORT'!N648+'CUSTOMERS REPORT'!N686+'CUSTOMERS REPORT'!N724+'CUSTOMERS REPORT'!N762+'CUSTOMERS REPORT'!N800+'CUSTOMERS REPORT'!N838+'CUSTOMERS REPORT'!N876+'CUSTOMERS REPORT'!N915+'CUSTOMERS REPORT'!N954+'CUSTOMERS REPORT'!N992+'CUSTOMERS REPORT'!N1030+'CUSTOMERS REPORT'!N1068+'CUSTOMERS REPORT'!N1106+'CUSTOMERS REPORT'!N1144+'CUSTOMERS REPORT'!N1181+'CUSTOMERS REPORT'!N1218+'CUSTOMERS REPORT'!N1255+'CUSTOMERS REPORT'!N1292+'CUSTOMERS REPORT'!N1329+'CUSTOMERS REPORT'!N1366+'CUSTOMERS REPORT'!N1403+'CUSTOMERS REPORT'!N1439</f>
        <v>0</v>
      </c>
      <c r="AG54" s="852">
        <f>'CUSTOMERS REPORT'!O25+'CUSTOMERS REPORT'!O71+'CUSTOMERS REPORT'!O109+'CUSTOMERS REPORT'!O148+'CUSTOMERS REPORT'!O186+'CUSTOMERS REPORT'!O226+'CUSTOMERS REPORT'!O263+'CUSTOMERS REPORT'!O303+'CUSTOMERS REPORT'!O344+'CUSTOMERS REPORT'!O386+'CUSTOMERS REPORT'!O425+'CUSTOMERS REPORT'!O463+'CUSTOMERS REPORT'!O499+'CUSTOMERS REPORT'!O536+'CUSTOMERS REPORT'!O574+'CUSTOMERS REPORT'!O610+'CUSTOMERS REPORT'!O648+'CUSTOMERS REPORT'!O686+'CUSTOMERS REPORT'!O724+'CUSTOMERS REPORT'!O762+'CUSTOMERS REPORT'!O800+'CUSTOMERS REPORT'!O838+'CUSTOMERS REPORT'!O876+'CUSTOMERS REPORT'!O915+'CUSTOMERS REPORT'!O954+'CUSTOMERS REPORT'!O992+'CUSTOMERS REPORT'!O1030+'CUSTOMERS REPORT'!O1068+'CUSTOMERS REPORT'!O1106+'CUSTOMERS REPORT'!O1144+'CUSTOMERS REPORT'!O1181+'CUSTOMERS REPORT'!O1218+'CUSTOMERS REPORT'!O1255+'CUSTOMERS REPORT'!O1292+'CUSTOMERS REPORT'!O1329+'CUSTOMERS REPORT'!O1366+'CUSTOMERS REPORT'!O1403+'CUSTOMERS REPORT'!O1439</f>
        <v>0</v>
      </c>
      <c r="AH54" s="852">
        <f>'CUSTOMERS REPORT'!P25+'CUSTOMERS REPORT'!P71+'CUSTOMERS REPORT'!P109+'CUSTOMERS REPORT'!P148+'CUSTOMERS REPORT'!P186+'CUSTOMERS REPORT'!P226+'CUSTOMERS REPORT'!P263+'CUSTOMERS REPORT'!P303+'CUSTOMERS REPORT'!P344+'CUSTOMERS REPORT'!P386+'CUSTOMERS REPORT'!P425+'CUSTOMERS REPORT'!P463+'CUSTOMERS REPORT'!P499+'CUSTOMERS REPORT'!P536+'CUSTOMERS REPORT'!P574+'CUSTOMERS REPORT'!P610+'CUSTOMERS REPORT'!P648+'CUSTOMERS REPORT'!P686+'CUSTOMERS REPORT'!P724+'CUSTOMERS REPORT'!P762+'CUSTOMERS REPORT'!P800+'CUSTOMERS REPORT'!P838+'CUSTOMERS REPORT'!P876+'CUSTOMERS REPORT'!P915+'CUSTOMERS REPORT'!P954+'CUSTOMERS REPORT'!P992+'CUSTOMERS REPORT'!P1030+'CUSTOMERS REPORT'!P1068+'CUSTOMERS REPORT'!P1106+'CUSTOMERS REPORT'!P1144+'CUSTOMERS REPORT'!P1181+'CUSTOMERS REPORT'!P1218+'CUSTOMERS REPORT'!P1255+'CUSTOMERS REPORT'!P1292+'CUSTOMERS REPORT'!P1329+'CUSTOMERS REPORT'!P1366+'CUSTOMERS REPORT'!P1403+'CUSTOMERS REPORT'!P1439</f>
        <v>0</v>
      </c>
      <c r="AI54" s="852">
        <f>'CUSTOMERS REPORT'!Q25+'CUSTOMERS REPORT'!Q71+'CUSTOMERS REPORT'!Q109+'CUSTOMERS REPORT'!Q148+'CUSTOMERS REPORT'!Q186+'CUSTOMERS REPORT'!Q226+'CUSTOMERS REPORT'!Q263+'CUSTOMERS REPORT'!Q303+'CUSTOMERS REPORT'!Q344+'CUSTOMERS REPORT'!Q386+'CUSTOMERS REPORT'!Q425+'CUSTOMERS REPORT'!Q463+'CUSTOMERS REPORT'!Q499+'CUSTOMERS REPORT'!Q536+'CUSTOMERS REPORT'!Q574+'CUSTOMERS REPORT'!Q610+'CUSTOMERS REPORT'!Q648+'CUSTOMERS REPORT'!Q686+'CUSTOMERS REPORT'!Q724+'CUSTOMERS REPORT'!Q762+'CUSTOMERS REPORT'!Q800+'CUSTOMERS REPORT'!Q838+'CUSTOMERS REPORT'!Q876+'CUSTOMERS REPORT'!Q915+'CUSTOMERS REPORT'!Q954+'CUSTOMERS REPORT'!Q992+'CUSTOMERS REPORT'!Q1030+'CUSTOMERS REPORT'!Q1068+'CUSTOMERS REPORT'!Q1106+'CUSTOMERS REPORT'!Q1144+'CUSTOMERS REPORT'!Q1181+'CUSTOMERS REPORT'!Q1218+'CUSTOMERS REPORT'!Q1255+'CUSTOMERS REPORT'!Q1292+'CUSTOMERS REPORT'!Q1329+'CUSTOMERS REPORT'!Q1366+'CUSTOMERS REPORT'!Q1403+'CUSTOMERS REPORT'!Q1439</f>
        <v>0</v>
      </c>
      <c r="AJ54" s="852">
        <f>'CUSTOMERS REPORT'!R25+'CUSTOMERS REPORT'!R71+'CUSTOMERS REPORT'!R109+'CUSTOMERS REPORT'!R148+'CUSTOMERS REPORT'!R186+'CUSTOMERS REPORT'!R226+'CUSTOMERS REPORT'!R263+'CUSTOMERS REPORT'!R303+'CUSTOMERS REPORT'!R344+'CUSTOMERS REPORT'!R386+'CUSTOMERS REPORT'!R425+'CUSTOMERS REPORT'!R463+'CUSTOMERS REPORT'!R499+'CUSTOMERS REPORT'!R536+'CUSTOMERS REPORT'!R574+'CUSTOMERS REPORT'!R610+'CUSTOMERS REPORT'!R648+'CUSTOMERS REPORT'!R686+'CUSTOMERS REPORT'!R724+'CUSTOMERS REPORT'!R762+'CUSTOMERS REPORT'!R800+'CUSTOMERS REPORT'!R838+'CUSTOMERS REPORT'!R876+'CUSTOMERS REPORT'!R915+'CUSTOMERS REPORT'!R954+'CUSTOMERS REPORT'!R992+'CUSTOMERS REPORT'!R1030+'CUSTOMERS REPORT'!R1068+'CUSTOMERS REPORT'!R1106+'CUSTOMERS REPORT'!R1144+'CUSTOMERS REPORT'!R1181+'CUSTOMERS REPORT'!R1218+'CUSTOMERS REPORT'!R1255+'CUSTOMERS REPORT'!R1292+'CUSTOMERS REPORT'!R1329+'CUSTOMERS REPORT'!R1366+'CUSTOMERS REPORT'!R1403+'CUSTOMERS REPORT'!R1439</f>
        <v>0</v>
      </c>
      <c r="AK54" s="852">
        <f>'CUSTOMERS REPORT'!S25+'CUSTOMERS REPORT'!S71+'CUSTOMERS REPORT'!S109+'CUSTOMERS REPORT'!S148+'CUSTOMERS REPORT'!S186+'CUSTOMERS REPORT'!S226+'CUSTOMERS REPORT'!S263+'CUSTOMERS REPORT'!S303+'CUSTOMERS REPORT'!S344+'CUSTOMERS REPORT'!S386+'CUSTOMERS REPORT'!S425+'CUSTOMERS REPORT'!S463+'CUSTOMERS REPORT'!S499+'CUSTOMERS REPORT'!S536+'CUSTOMERS REPORT'!S574+'CUSTOMERS REPORT'!S610+'CUSTOMERS REPORT'!S648+'CUSTOMERS REPORT'!S686+'CUSTOMERS REPORT'!S724+'CUSTOMERS REPORT'!S762+'CUSTOMERS REPORT'!S800+'CUSTOMERS REPORT'!S838+'CUSTOMERS REPORT'!S876+'CUSTOMERS REPORT'!S915+'CUSTOMERS REPORT'!S954+'CUSTOMERS REPORT'!S992+'CUSTOMERS REPORT'!S1030+'CUSTOMERS REPORT'!S1068+'CUSTOMERS REPORT'!S1106+'CUSTOMERS REPORT'!S1144+'CUSTOMERS REPORT'!S1181+'CUSTOMERS REPORT'!S1218+'CUSTOMERS REPORT'!S1255+'CUSTOMERS REPORT'!S1292+'CUSTOMERS REPORT'!S1329+'CUSTOMERS REPORT'!S1366+'CUSTOMERS REPORT'!S1403+'CUSTOMERS REPORT'!S1439</f>
        <v>0</v>
      </c>
      <c r="AL54" s="852">
        <f>'CUSTOMERS REPORT'!T25+'CUSTOMERS REPORT'!T71+'CUSTOMERS REPORT'!T109+'CUSTOMERS REPORT'!T148+'CUSTOMERS REPORT'!T186+'CUSTOMERS REPORT'!T226+'CUSTOMERS REPORT'!T263+'CUSTOMERS REPORT'!T303+'CUSTOMERS REPORT'!T344+'CUSTOMERS REPORT'!T386+'CUSTOMERS REPORT'!T425+'CUSTOMERS REPORT'!T463+'CUSTOMERS REPORT'!T499+'CUSTOMERS REPORT'!T536+'CUSTOMERS REPORT'!T574+'CUSTOMERS REPORT'!T610+'CUSTOMERS REPORT'!T648+'CUSTOMERS REPORT'!T686+'CUSTOMERS REPORT'!T724+'CUSTOMERS REPORT'!T762+'CUSTOMERS REPORT'!T800+'CUSTOMERS REPORT'!T838+'CUSTOMERS REPORT'!T876+'CUSTOMERS REPORT'!T915+'CUSTOMERS REPORT'!T954+'CUSTOMERS REPORT'!T992+'CUSTOMERS REPORT'!T1030+'CUSTOMERS REPORT'!T1068+'CUSTOMERS REPORT'!T1106+'CUSTOMERS REPORT'!T1144</f>
        <v>0</v>
      </c>
      <c r="AM54" s="852">
        <f>'CUSTOMERS REPORT'!U25+'CUSTOMERS REPORT'!U71+'CUSTOMERS REPORT'!U109+'CUSTOMERS REPORT'!U148+'CUSTOMERS REPORT'!U186+'CUSTOMERS REPORT'!U226+'CUSTOMERS REPORT'!U263+'CUSTOMERS REPORT'!U303+'CUSTOMERS REPORT'!U344+'CUSTOMERS REPORT'!U386+'CUSTOMERS REPORT'!U425+'CUSTOMERS REPORT'!U463+'CUSTOMERS REPORT'!U499+'CUSTOMERS REPORT'!U536+'CUSTOMERS REPORT'!U574+'CUSTOMERS REPORT'!U610+'CUSTOMERS REPORT'!U648+'CUSTOMERS REPORT'!U686+'CUSTOMERS REPORT'!U724+'CUSTOMERS REPORT'!U762+'CUSTOMERS REPORT'!U800+'CUSTOMERS REPORT'!U838+'CUSTOMERS REPORT'!U876+'CUSTOMERS REPORT'!U915+'CUSTOMERS REPORT'!U954+'CUSTOMERS REPORT'!U992+'CUSTOMERS REPORT'!U1030+'CUSTOMERS REPORT'!U1068+'CUSTOMERS REPORT'!U1106+'CUSTOMERS REPORT'!U1144</f>
        <v>0</v>
      </c>
      <c r="AN54" s="852">
        <f>'CUSTOMERS REPORT'!V25+'CUSTOMERS REPORT'!V71+'CUSTOMERS REPORT'!V109+'CUSTOMERS REPORT'!V148+'CUSTOMERS REPORT'!V186+'CUSTOMERS REPORT'!V226+'CUSTOMERS REPORT'!V263+'CUSTOMERS REPORT'!V303+'CUSTOMERS REPORT'!V344+'CUSTOMERS REPORT'!V386+'CUSTOMERS REPORT'!V425+'CUSTOMERS REPORT'!V463+'CUSTOMERS REPORT'!V499+'CUSTOMERS REPORT'!V536+'CUSTOMERS REPORT'!V574+'CUSTOMERS REPORT'!V610+'CUSTOMERS REPORT'!V648+'CUSTOMERS REPORT'!V686+'CUSTOMERS REPORT'!V724+'CUSTOMERS REPORT'!V762+'CUSTOMERS REPORT'!V800+'CUSTOMERS REPORT'!V838+'CUSTOMERS REPORT'!V876+'CUSTOMERS REPORT'!V915+'CUSTOMERS REPORT'!V954+'CUSTOMERS REPORT'!V992+'CUSTOMERS REPORT'!V1030+'CUSTOMERS REPORT'!V1068+'CUSTOMERS REPORT'!V1106+'CUSTOMERS REPORT'!V1144</f>
        <v>0</v>
      </c>
    </row>
    <row r="55" spans="1:40" ht="24.95" customHeight="1" thickBot="1">
      <c r="L55" s="417">
        <v>20</v>
      </c>
      <c r="M55" s="417"/>
      <c r="N55" s="417">
        <f t="shared" si="10"/>
        <v>0</v>
      </c>
      <c r="R55" s="123">
        <f>'17'!R57</f>
        <v>52</v>
      </c>
      <c r="S55" s="865" t="s">
        <v>169</v>
      </c>
      <c r="T55" s="866">
        <f t="shared" ref="T55:AN55" si="12">T53-T54-T51</f>
        <v>0</v>
      </c>
      <c r="U55" s="866">
        <f t="shared" si="12"/>
        <v>0</v>
      </c>
      <c r="V55" s="866">
        <f t="shared" si="12"/>
        <v>-2</v>
      </c>
      <c r="W55" s="866">
        <f t="shared" si="12"/>
        <v>0</v>
      </c>
      <c r="X55" s="866">
        <f t="shared" si="12"/>
        <v>0</v>
      </c>
      <c r="Y55" s="866">
        <f t="shared" si="12"/>
        <v>0</v>
      </c>
      <c r="Z55" s="866">
        <f t="shared" si="12"/>
        <v>-2</v>
      </c>
      <c r="AA55" s="866">
        <f t="shared" si="12"/>
        <v>-12</v>
      </c>
      <c r="AB55" s="866">
        <f t="shared" si="12"/>
        <v>0</v>
      </c>
      <c r="AC55" s="866">
        <f t="shared" si="12"/>
        <v>1684</v>
      </c>
      <c r="AD55" s="866">
        <f t="shared" si="12"/>
        <v>222</v>
      </c>
      <c r="AE55" s="866">
        <f t="shared" si="12"/>
        <v>0</v>
      </c>
      <c r="AF55" s="866">
        <f>AF53-AF54-AF51</f>
        <v>1138</v>
      </c>
      <c r="AG55" s="866">
        <f t="shared" si="12"/>
        <v>831</v>
      </c>
      <c r="AH55" s="866">
        <f t="shared" si="12"/>
        <v>1139</v>
      </c>
      <c r="AI55" s="866">
        <f t="shared" si="12"/>
        <v>631</v>
      </c>
      <c r="AJ55" s="866">
        <f t="shared" si="12"/>
        <v>0</v>
      </c>
      <c r="AK55" s="866">
        <f t="shared" si="12"/>
        <v>-1</v>
      </c>
      <c r="AL55" s="866" t="e">
        <f t="shared" si="12"/>
        <v>#VALUE!</v>
      </c>
      <c r="AM55" s="866" t="e">
        <f t="shared" si="12"/>
        <v>#VALUE!</v>
      </c>
      <c r="AN55" s="872" t="e">
        <f t="shared" si="12"/>
        <v>#VALUE!</v>
      </c>
    </row>
    <row r="56" spans="1:40" ht="28.5" thickBot="1">
      <c r="A56" s="114"/>
      <c r="B56" s="120"/>
      <c r="C56" s="115"/>
      <c r="L56" s="417">
        <v>10</v>
      </c>
      <c r="M56" s="417"/>
      <c r="N56" s="417">
        <f t="shared" si="10"/>
        <v>0</v>
      </c>
      <c r="R56" s="123">
        <f>T56+U56+V56+W56+X56+Y56+Z56+AA56+AB56+AC56+AD56+AE56+AF56+AG56+AH56+AI56+AJ56+AK56+AL56+AM56+AN56</f>
        <v>0</v>
      </c>
      <c r="S56" s="874" t="s">
        <v>170</v>
      </c>
      <c r="T56" s="875"/>
      <c r="U56" s="875"/>
      <c r="V56" s="875"/>
      <c r="W56" s="875"/>
      <c r="X56" s="875"/>
      <c r="Y56" s="875"/>
      <c r="Z56" s="876"/>
      <c r="AA56" s="875"/>
      <c r="AB56" s="875"/>
      <c r="AC56" s="875"/>
      <c r="AD56" s="875"/>
      <c r="AE56" s="875"/>
      <c r="AF56" s="875"/>
      <c r="AG56" s="875"/>
      <c r="AH56" s="875"/>
      <c r="AI56" s="875"/>
      <c r="AJ56" s="877"/>
      <c r="AK56" s="877"/>
      <c r="AL56" s="52"/>
      <c r="AM56" s="52"/>
      <c r="AN56" s="928"/>
    </row>
    <row r="57" spans="1:40" ht="27" customHeight="1" thickBot="1">
      <c r="A57" s="114"/>
      <c r="B57" s="131"/>
      <c r="C57" s="115"/>
      <c r="D57" s="115"/>
      <c r="E57" s="19"/>
      <c r="F57" s="19"/>
      <c r="G57" s="19"/>
      <c r="H57" s="19"/>
      <c r="I57" s="19"/>
      <c r="J57" s="19"/>
      <c r="K57" s="19"/>
      <c r="L57" s="418">
        <v>1</v>
      </c>
      <c r="M57" s="418"/>
      <c r="N57" s="417">
        <f t="shared" si="10"/>
        <v>0</v>
      </c>
      <c r="O57" s="19"/>
      <c r="R57" s="123">
        <f>SUM(R55:R56)</f>
        <v>52</v>
      </c>
      <c r="S57" s="882" t="s">
        <v>23</v>
      </c>
      <c r="T57" s="883" t="e">
        <f t="shared" ref="T57:AI57" si="13">T50/T56</f>
        <v>#DIV/0!</v>
      </c>
      <c r="U57" s="883" t="e">
        <f t="shared" si="13"/>
        <v>#DIV/0!</v>
      </c>
      <c r="V57" s="883" t="e">
        <f t="shared" si="13"/>
        <v>#DIV/0!</v>
      </c>
      <c r="W57" s="883" t="e">
        <f t="shared" si="13"/>
        <v>#DIV/0!</v>
      </c>
      <c r="X57" s="883" t="e">
        <f t="shared" si="13"/>
        <v>#DIV/0!</v>
      </c>
      <c r="Y57" s="883" t="e">
        <f t="shared" si="13"/>
        <v>#DIV/0!</v>
      </c>
      <c r="Z57" s="883" t="e">
        <f t="shared" si="13"/>
        <v>#DIV/0!</v>
      </c>
      <c r="AA57" s="883" t="e">
        <f t="shared" si="13"/>
        <v>#DIV/0!</v>
      </c>
      <c r="AB57" s="883" t="e">
        <f t="shared" si="13"/>
        <v>#DIV/0!</v>
      </c>
      <c r="AC57" s="883" t="e">
        <f t="shared" si="13"/>
        <v>#DIV/0!</v>
      </c>
      <c r="AD57" s="883" t="e">
        <f t="shared" si="13"/>
        <v>#DIV/0!</v>
      </c>
      <c r="AE57" s="883" t="e">
        <f t="shared" si="13"/>
        <v>#DIV/0!</v>
      </c>
      <c r="AF57" s="883" t="e">
        <f t="shared" si="13"/>
        <v>#DIV/0!</v>
      </c>
      <c r="AG57" s="883" t="e">
        <f t="shared" si="13"/>
        <v>#DIV/0!</v>
      </c>
      <c r="AH57" s="883" t="e">
        <f t="shared" si="13"/>
        <v>#DIV/0!</v>
      </c>
      <c r="AI57" s="883" t="e">
        <f t="shared" si="13"/>
        <v>#DIV/0!</v>
      </c>
      <c r="AJ57" s="883" t="e">
        <f>AJ50/AJ56</f>
        <v>#DIV/0!</v>
      </c>
      <c r="AK57" s="883" t="e">
        <f>AK50/AK56</f>
        <v>#DIV/0!</v>
      </c>
      <c r="AL57" s="883" t="e">
        <f t="shared" ref="AL57:AN57" si="14">AL50/AL56</f>
        <v>#DIV/0!</v>
      </c>
      <c r="AM57" s="883" t="e">
        <f t="shared" si="14"/>
        <v>#DIV/0!</v>
      </c>
      <c r="AN57" s="884" t="e">
        <f t="shared" si="14"/>
        <v>#DIV/0!</v>
      </c>
    </row>
    <row r="58" spans="1:40" ht="27" customHeight="1" thickBot="1">
      <c r="A58" s="114"/>
      <c r="B58" s="131"/>
      <c r="C58" s="115"/>
      <c r="D58" s="115" t="s">
        <v>1</v>
      </c>
      <c r="L58" s="1501" t="s">
        <v>171</v>
      </c>
      <c r="M58" s="1501"/>
      <c r="N58" s="419">
        <f>SUM(N50:N57)</f>
        <v>0</v>
      </c>
      <c r="R58" s="19"/>
      <c r="S58" s="878" t="s">
        <v>172</v>
      </c>
      <c r="T58" s="879">
        <f>T54</f>
        <v>0</v>
      </c>
      <c r="U58" s="879">
        <f t="shared" ref="U58:AI58" si="15">U54</f>
        <v>0</v>
      </c>
      <c r="V58" s="879">
        <f t="shared" si="15"/>
        <v>0</v>
      </c>
      <c r="W58" s="879">
        <f t="shared" si="15"/>
        <v>0</v>
      </c>
      <c r="X58" s="879">
        <f t="shared" si="15"/>
        <v>0</v>
      </c>
      <c r="Y58" s="879">
        <f t="shared" si="15"/>
        <v>0</v>
      </c>
      <c r="Z58" s="879">
        <f t="shared" si="15"/>
        <v>0</v>
      </c>
      <c r="AA58" s="879">
        <f t="shared" si="15"/>
        <v>0</v>
      </c>
      <c r="AB58" s="879">
        <f t="shared" si="15"/>
        <v>0</v>
      </c>
      <c r="AC58" s="879">
        <f t="shared" si="15"/>
        <v>0</v>
      </c>
      <c r="AD58" s="879">
        <f t="shared" si="15"/>
        <v>0</v>
      </c>
      <c r="AE58" s="879">
        <f t="shared" si="15"/>
        <v>0</v>
      </c>
      <c r="AF58" s="879">
        <f t="shared" si="15"/>
        <v>0</v>
      </c>
      <c r="AG58" s="879">
        <f t="shared" si="15"/>
        <v>0</v>
      </c>
      <c r="AH58" s="879">
        <f t="shared" si="15"/>
        <v>0</v>
      </c>
      <c r="AI58" s="879">
        <f t="shared" si="15"/>
        <v>0</v>
      </c>
      <c r="AJ58" s="879">
        <f>AJ54</f>
        <v>0</v>
      </c>
      <c r="AK58" s="879">
        <f>AK54</f>
        <v>0</v>
      </c>
      <c r="AL58" s="880"/>
      <c r="AM58" s="880"/>
      <c r="AN58" s="881"/>
    </row>
    <row r="59" spans="1:40" ht="27" customHeight="1">
      <c r="A59" s="114"/>
      <c r="B59" s="132"/>
      <c r="C59" s="115"/>
      <c r="D59" s="115" t="s">
        <v>1</v>
      </c>
      <c r="K59" t="s">
        <v>1</v>
      </c>
      <c r="L59" s="1486" t="s">
        <v>173</v>
      </c>
      <c r="M59" s="1486"/>
      <c r="N59" s="420">
        <f>N58-Q48</f>
        <v>2368180</v>
      </c>
      <c r="R59" s="19"/>
      <c r="S59" s="114"/>
      <c r="T59" s="121"/>
      <c r="U59" s="121"/>
      <c r="V59" s="121"/>
      <c r="W59" s="121"/>
      <c r="X59" s="121"/>
      <c r="Y59" s="121"/>
      <c r="Z59" s="122"/>
      <c r="AA59" s="121"/>
      <c r="AB59" s="121"/>
      <c r="AC59" s="121"/>
      <c r="AD59" s="121"/>
      <c r="AE59" s="121"/>
      <c r="AF59" s="121"/>
      <c r="AG59" s="121"/>
      <c r="AH59" s="119"/>
      <c r="AI59" s="119"/>
    </row>
    <row r="60" spans="1:40" ht="23.25">
      <c r="A60" s="114"/>
      <c r="B60" s="132"/>
      <c r="C60" s="115"/>
      <c r="D60" s="115"/>
      <c r="P60" s="19"/>
      <c r="Q60" s="19"/>
      <c r="R60" s="19"/>
      <c r="S60" s="19"/>
      <c r="U60" t="s">
        <v>1</v>
      </c>
      <c r="AB60" t="s">
        <v>1</v>
      </c>
    </row>
    <row r="61" spans="1:40" ht="23.25">
      <c r="A61" s="114"/>
      <c r="B61" s="132"/>
      <c r="C61" s="115"/>
      <c r="D61" s="116"/>
      <c r="M61" t="s">
        <v>1</v>
      </c>
      <c r="P61" s="185"/>
      <c r="Q61" s="186"/>
      <c r="R61" s="19"/>
      <c r="S61" s="19"/>
      <c r="U61" t="s">
        <v>1</v>
      </c>
    </row>
    <row r="62" spans="1:40" ht="20.25">
      <c r="C62" s="116"/>
      <c r="P62" s="19"/>
      <c r="Q62" s="19"/>
      <c r="R62" s="19"/>
      <c r="S62" s="19" t="s">
        <v>1</v>
      </c>
    </row>
    <row r="63" spans="1:40">
      <c r="E63" s="19"/>
    </row>
    <row r="64" spans="1:40">
      <c r="E64" s="19"/>
      <c r="J64" t="s">
        <v>3</v>
      </c>
    </row>
    <row r="65" spans="3:5" ht="21">
      <c r="C65" s="251"/>
      <c r="E65" s="19"/>
    </row>
    <row r="66" spans="3:5">
      <c r="E66" s="49"/>
    </row>
    <row r="67" spans="3:5" ht="23.25">
      <c r="E67" s="113"/>
    </row>
  </sheetData>
  <mergeCells count="21">
    <mergeCell ref="L59:M59"/>
    <mergeCell ref="T47:W47"/>
    <mergeCell ref="X47:Z47"/>
    <mergeCell ref="S47:S48"/>
    <mergeCell ref="AJ47:AK47"/>
    <mergeCell ref="AL47:AM47"/>
    <mergeCell ref="AI7:AJ7"/>
    <mergeCell ref="AI20:AJ20"/>
    <mergeCell ref="L58:M58"/>
    <mergeCell ref="A6:Q6"/>
    <mergeCell ref="S6:AE6"/>
    <mergeCell ref="A7:B7"/>
    <mergeCell ref="P7:Q7"/>
    <mergeCell ref="H48:I48"/>
    <mergeCell ref="P24:Q24"/>
    <mergeCell ref="P33:Q33"/>
    <mergeCell ref="P42:Q42"/>
    <mergeCell ref="H46:I46"/>
    <mergeCell ref="H47:I47"/>
    <mergeCell ref="AA47:AB47"/>
    <mergeCell ref="AC47:AI47"/>
  </mergeCells>
  <conditionalFormatting sqref="M48:N48">
    <cfRule type="duplicateValues" dxfId="286" priority="29"/>
    <cfRule type="duplicateValues" dxfId="285" priority="30"/>
    <cfRule type="duplicateValues" dxfId="284" priority="31"/>
    <cfRule type="duplicateValues" dxfId="283" priority="32"/>
  </conditionalFormatting>
  <conditionalFormatting sqref="L48 N48">
    <cfRule type="cellIs" dxfId="282" priority="28" operator="equal">
      <formula>66890</formula>
    </cfRule>
  </conditionalFormatting>
  <conditionalFormatting sqref="N48">
    <cfRule type="cellIs" dxfId="281" priority="27" operator="lessThan">
      <formula>1</formula>
    </cfRule>
  </conditionalFormatting>
  <conditionalFormatting sqref="T57">
    <cfRule type="cellIs" dxfId="280" priority="16" operator="lessThan">
      <formula>63</formula>
    </cfRule>
  </conditionalFormatting>
  <conditionalFormatting sqref="U57">
    <cfRule type="cellIs" dxfId="279" priority="14" operator="lessThan">
      <formula>63</formula>
    </cfRule>
    <cfRule type="cellIs" dxfId="278" priority="15" operator="lessThan">
      <formula>63</formula>
    </cfRule>
  </conditionalFormatting>
  <conditionalFormatting sqref="W57">
    <cfRule type="cellIs" dxfId="277" priority="13" operator="lessThan">
      <formula>140</formula>
    </cfRule>
  </conditionalFormatting>
  <conditionalFormatting sqref="X57">
    <cfRule type="cellIs" dxfId="276" priority="12" operator="lessThan">
      <formula>125</formula>
    </cfRule>
  </conditionalFormatting>
  <conditionalFormatting sqref="Y57">
    <cfRule type="cellIs" dxfId="275" priority="11" operator="lessThan">
      <formula>150</formula>
    </cfRule>
  </conditionalFormatting>
  <conditionalFormatting sqref="Z57">
    <cfRule type="cellIs" dxfId="274" priority="10" operator="lessThan">
      <formula>590</formula>
    </cfRule>
  </conditionalFormatting>
  <conditionalFormatting sqref="AA57">
    <cfRule type="cellIs" dxfId="273" priority="9" operator="lessThan">
      <formula>704</formula>
    </cfRule>
  </conditionalFormatting>
  <conditionalFormatting sqref="AC57">
    <cfRule type="cellIs" dxfId="272" priority="8" operator="lessThan">
      <formula>52</formula>
    </cfRule>
  </conditionalFormatting>
  <conditionalFormatting sqref="AD57">
    <cfRule type="cellIs" dxfId="271" priority="7" operator="lessThan">
      <formula>52</formula>
    </cfRule>
  </conditionalFormatting>
  <conditionalFormatting sqref="AH57">
    <cfRule type="cellIs" dxfId="270" priority="6" operator="lessThan">
      <formula>63</formula>
    </cfRule>
  </conditionalFormatting>
  <conditionalFormatting sqref="AI57">
    <cfRule type="cellIs" dxfId="269" priority="5" operator="lessThan">
      <formula>63</formula>
    </cfRule>
  </conditionalFormatting>
  <conditionalFormatting sqref="AK57">
    <cfRule type="cellIs" dxfId="268" priority="4" operator="lessThan">
      <formula>270</formula>
    </cfRule>
  </conditionalFormatting>
  <conditionalFormatting sqref="AJ57">
    <cfRule type="cellIs" dxfId="267" priority="3" operator="lessThan">
      <formula>270</formula>
    </cfRule>
  </conditionalFormatting>
  <conditionalFormatting sqref="AL57:AN57">
    <cfRule type="cellIs" dxfId="266" priority="1" operator="lessThan">
      <formula>270</formula>
    </cfRule>
  </conditionalFormatting>
  <printOptions horizontalCentered="1" verticalCentered="1"/>
  <pageMargins left="0" right="0.5" top="0" bottom="0" header="0" footer="0"/>
  <pageSetup paperSize="5" scale="45" orientation="landscape" cellComments="asDisplayed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AN67"/>
  <sheetViews>
    <sheetView topLeftCell="A25" zoomScale="90" zoomScaleNormal="90" workbookViewId="0">
      <selection activeCell="A49" sqref="A49"/>
    </sheetView>
  </sheetViews>
  <sheetFormatPr defaultRowHeight="15"/>
  <cols>
    <col min="1" max="1" width="32.7109375" bestFit="1" customWidth="1"/>
    <col min="2" max="2" width="17.7109375" customWidth="1"/>
    <col min="3" max="4" width="20.7109375" customWidth="1"/>
    <col min="5" max="5" width="4.7109375" customWidth="1"/>
    <col min="6" max="6" width="35.85546875" bestFit="1" customWidth="1"/>
    <col min="7" max="7" width="17.7109375" customWidth="1"/>
    <col min="8" max="9" width="19.140625" bestFit="1" customWidth="1"/>
    <col min="10" max="11" width="17.7109375" customWidth="1"/>
    <col min="12" max="12" width="19.140625" bestFit="1" customWidth="1"/>
    <col min="13" max="14" width="18.7109375" customWidth="1"/>
    <col min="15" max="15" width="7.7109375" customWidth="1"/>
    <col min="16" max="16" width="28.7109375" customWidth="1"/>
    <col min="17" max="17" width="20.7109375" customWidth="1"/>
    <col min="18" max="18" width="11.5703125" bestFit="1" customWidth="1"/>
    <col min="19" max="19" width="32.7109375" customWidth="1"/>
    <col min="20" max="20" width="20.28515625" bestFit="1" customWidth="1"/>
    <col min="21" max="21" width="17.7109375" customWidth="1"/>
    <col min="22" max="22" width="20.28515625" bestFit="1" customWidth="1"/>
    <col min="23" max="23" width="17.7109375" customWidth="1"/>
    <col min="24" max="24" width="20.28515625" bestFit="1" customWidth="1"/>
    <col min="25" max="25" width="14.7109375" customWidth="1"/>
    <col min="26" max="26" width="23.7109375" bestFit="1" customWidth="1"/>
    <col min="27" max="27" width="20.140625" bestFit="1" customWidth="1"/>
    <col min="28" max="28" width="17.7109375" customWidth="1"/>
    <col min="29" max="29" width="20.140625" bestFit="1" customWidth="1"/>
    <col min="30" max="30" width="17.7109375" customWidth="1"/>
    <col min="31" max="31" width="20.140625" bestFit="1" customWidth="1"/>
    <col min="32" max="33" width="20.7109375" customWidth="1"/>
    <col min="34" max="37" width="17.7109375" customWidth="1"/>
    <col min="38" max="38" width="11.28515625" hidden="1" customWidth="1"/>
    <col min="39" max="39" width="0" hidden="1" customWidth="1"/>
    <col min="40" max="40" width="13" hidden="1" customWidth="1"/>
  </cols>
  <sheetData>
    <row r="1" spans="1:36">
      <c r="E1" s="5"/>
    </row>
    <row r="2" spans="1:36">
      <c r="E2" s="5"/>
    </row>
    <row r="3" spans="1:36" ht="15.75" thickBot="1">
      <c r="C3" t="s">
        <v>1</v>
      </c>
      <c r="E3" s="5" t="s">
        <v>1</v>
      </c>
      <c r="F3" t="s">
        <v>1</v>
      </c>
      <c r="N3" t="s">
        <v>1</v>
      </c>
      <c r="S3" t="s">
        <v>1</v>
      </c>
      <c r="U3" t="s">
        <v>1</v>
      </c>
    </row>
    <row r="4" spans="1:36" ht="20.100000000000001" customHeight="1" thickTop="1">
      <c r="B4" t="s">
        <v>1</v>
      </c>
      <c r="D4" t="s">
        <v>1</v>
      </c>
      <c r="E4" t="s">
        <v>1</v>
      </c>
      <c r="P4" s="617" t="s">
        <v>108</v>
      </c>
      <c r="Q4" s="618">
        <f>'18'!Q4+'19'!Q9+'19'!Q10+'19'!Q19+'19'!Q20+'19'!Q21+'19'!Q22</f>
        <v>0</v>
      </c>
    </row>
    <row r="5" spans="1:36" ht="20.100000000000001" customHeight="1" thickBot="1">
      <c r="P5" s="619" t="s">
        <v>109</v>
      </c>
      <c r="Q5" s="620">
        <f>'18'!Q5+'19'!Q25+'19'!Q26+'19'!Q27+'19'!Q28+'19'!Q29+'19'!Q30+'19'!Q31</f>
        <v>0</v>
      </c>
    </row>
    <row r="6" spans="1:36" ht="48" thickTop="1" thickBot="1">
      <c r="A6" s="1502">
        <f>'Main Page'!E35</f>
        <v>44884</v>
      </c>
      <c r="B6" s="1507"/>
      <c r="C6" s="1507"/>
      <c r="D6" s="1507"/>
      <c r="E6" s="1507"/>
      <c r="F6" s="1507"/>
      <c r="G6" s="1507"/>
      <c r="H6" s="1507"/>
      <c r="I6" s="1507"/>
      <c r="J6" s="1507"/>
      <c r="K6" s="1507"/>
      <c r="L6" s="1507"/>
      <c r="M6" s="1507"/>
      <c r="N6" s="1507"/>
      <c r="O6" s="1507"/>
      <c r="P6" s="1507"/>
      <c r="Q6" s="1515"/>
      <c r="R6" t="s">
        <v>1</v>
      </c>
      <c r="S6" s="1502">
        <f>A6</f>
        <v>44884</v>
      </c>
      <c r="T6" s="1503"/>
      <c r="U6" s="1503"/>
      <c r="V6" s="1503"/>
      <c r="W6" s="1503"/>
      <c r="X6" s="1503"/>
      <c r="Y6" s="1503"/>
      <c r="Z6" s="1503"/>
      <c r="AA6" s="1503"/>
      <c r="AB6" s="1503"/>
      <c r="AC6" s="1503"/>
      <c r="AD6" s="1503"/>
      <c r="AE6" s="1504"/>
    </row>
    <row r="7" spans="1:36" ht="39.950000000000003" customHeight="1" thickTop="1" thickBot="1">
      <c r="A7" s="1505" t="s">
        <v>110</v>
      </c>
      <c r="B7" s="1506"/>
      <c r="C7" s="367" t="s">
        <v>97</v>
      </c>
      <c r="D7" s="368" t="s">
        <v>74</v>
      </c>
      <c r="F7" s="363" t="s">
        <v>111</v>
      </c>
      <c r="G7" s="364" t="s">
        <v>112</v>
      </c>
      <c r="H7" s="365" t="s">
        <v>113</v>
      </c>
      <c r="I7" s="365" t="s">
        <v>26</v>
      </c>
      <c r="J7" s="365" t="s">
        <v>114</v>
      </c>
      <c r="K7" s="366" t="s">
        <v>115</v>
      </c>
      <c r="L7" s="365" t="s">
        <v>116</v>
      </c>
      <c r="M7" s="365" t="s">
        <v>117</v>
      </c>
      <c r="N7" s="365" t="s">
        <v>118</v>
      </c>
      <c r="P7" s="1510" t="s">
        <v>69</v>
      </c>
      <c r="Q7" s="1511"/>
      <c r="S7" s="380" t="s">
        <v>58</v>
      </c>
      <c r="T7" s="380" t="s">
        <v>59</v>
      </c>
      <c r="U7" s="380" t="s">
        <v>119</v>
      </c>
      <c r="V7" s="380" t="s">
        <v>74</v>
      </c>
      <c r="W7" s="380" t="s">
        <v>120</v>
      </c>
      <c r="X7" s="380" t="s">
        <v>59</v>
      </c>
      <c r="Z7" s="367" t="s">
        <v>121</v>
      </c>
      <c r="AA7" s="367" t="s">
        <v>97</v>
      </c>
      <c r="AB7" s="415" t="s">
        <v>122</v>
      </c>
      <c r="AC7" s="416" t="s">
        <v>90</v>
      </c>
      <c r="AD7" s="367" t="s">
        <v>56</v>
      </c>
      <c r="AE7" s="381" t="s">
        <v>100</v>
      </c>
      <c r="AF7" s="560" t="s">
        <v>122</v>
      </c>
      <c r="AG7" s="570" t="s">
        <v>56</v>
      </c>
      <c r="AI7" s="1487" t="s">
        <v>123</v>
      </c>
      <c r="AJ7" s="1488"/>
    </row>
    <row r="8" spans="1:36" ht="27" customHeight="1" thickTop="1" thickBot="1">
      <c r="A8" s="717" t="s">
        <v>486</v>
      </c>
      <c r="B8" s="233">
        <v>1050</v>
      </c>
      <c r="C8" s="463"/>
      <c r="D8" s="233"/>
      <c r="F8" s="478" t="str">
        <f>'18'!F8</f>
        <v>ISHAQ ANSARI</v>
      </c>
      <c r="G8" s="405">
        <f>'CUSTOMERS REPORT'!Y26</f>
        <v>0</v>
      </c>
      <c r="H8" s="503">
        <f>'CUSTOMERS REPORT'!Z26</f>
        <v>0</v>
      </c>
      <c r="I8" s="405">
        <f>'CUSTOMERS REPORT'!AA26</f>
        <v>0</v>
      </c>
      <c r="J8" s="497">
        <f>'CUSTOMERS REPORT'!AB26</f>
        <v>0</v>
      </c>
      <c r="K8" s="497">
        <f>'CUSTOMERS REPORT'!AC26</f>
        <v>0</v>
      </c>
      <c r="L8" s="508">
        <f>'CUSTOMERS REPORT'!AD26</f>
        <v>0</v>
      </c>
      <c r="M8" s="413">
        <f>'18'!M8+'19'!G8</f>
        <v>0</v>
      </c>
      <c r="N8" s="411">
        <f>'18'!N8+'19'!J8</f>
        <v>0</v>
      </c>
      <c r="P8" s="191" t="s">
        <v>124</v>
      </c>
      <c r="Q8" s="223">
        <f>'18'!Q32</f>
        <v>0</v>
      </c>
      <c r="S8" s="399" t="str">
        <f>'18'!S8</f>
        <v>FLOUR</v>
      </c>
      <c r="T8" s="446">
        <f>'18'!X8</f>
        <v>-4</v>
      </c>
      <c r="U8" s="455"/>
      <c r="V8" s="450">
        <f t="shared" ref="V8:V43" si="0">SUM(T8:U8)</f>
        <v>-4</v>
      </c>
      <c r="W8" s="450">
        <v>0</v>
      </c>
      <c r="X8" s="446">
        <f t="shared" ref="X8:X43" si="1">V8-W8</f>
        <v>-4</v>
      </c>
      <c r="Z8" s="382" t="str">
        <f>'18'!Z8</f>
        <v>GHAZI</v>
      </c>
      <c r="AA8" s="464">
        <f>'18'!AE8</f>
        <v>-300000</v>
      </c>
      <c r="AB8" s="459"/>
      <c r="AC8" s="233">
        <f t="shared" ref="AC8:AC41" si="2">AA8+AB8</f>
        <v>-300000</v>
      </c>
      <c r="AD8" s="468"/>
      <c r="AE8" s="463">
        <f t="shared" ref="AE8:AE42" si="3">AC8-AD8</f>
        <v>-300000</v>
      </c>
      <c r="AF8" s="563">
        <f>'18'!AF8+'19'!AB8</f>
        <v>0</v>
      </c>
      <c r="AG8" s="233">
        <f>'18'!AG8+'19'!AD8</f>
        <v>300000</v>
      </c>
      <c r="AI8" s="391" t="s">
        <v>126</v>
      </c>
      <c r="AJ8" s="392">
        <f>'18'!AJ10</f>
        <v>102800</v>
      </c>
    </row>
    <row r="9" spans="1:36" ht="27" customHeight="1" thickTop="1">
      <c r="A9" s="717" t="s">
        <v>487</v>
      </c>
      <c r="B9" s="526">
        <v>3000</v>
      </c>
      <c r="C9" s="348"/>
      <c r="D9" s="550"/>
      <c r="F9" s="479" t="str">
        <f>'18'!F9</f>
        <v>MAKKI BAKERY</v>
      </c>
      <c r="G9" s="406">
        <f>'CUSTOMERS REPORT'!Y72</f>
        <v>0</v>
      </c>
      <c r="H9" s="504">
        <f>'CUSTOMERS REPORT'!Z72</f>
        <v>0</v>
      </c>
      <c r="I9" s="406">
        <f>'CUSTOMERS REPORT'!AA72</f>
        <v>0</v>
      </c>
      <c r="J9" s="498">
        <f>'CUSTOMERS REPORT'!AB72</f>
        <v>0</v>
      </c>
      <c r="K9" s="498">
        <f>'CUSTOMERS REPORT'!AC72</f>
        <v>0</v>
      </c>
      <c r="L9" s="509">
        <f>'CUSTOMERS REPORT'!AD72</f>
        <v>0</v>
      </c>
      <c r="M9" s="414">
        <f>'18'!M9+'19'!G9</f>
        <v>0</v>
      </c>
      <c r="N9" s="412">
        <f>'18'!N9+'19'!J9</f>
        <v>0</v>
      </c>
      <c r="P9" s="432"/>
      <c r="Q9" s="436"/>
      <c r="S9" s="399" t="str">
        <f>'18'!S9</f>
        <v>SUGAR</v>
      </c>
      <c r="T9" s="446">
        <f>'18'!X9</f>
        <v>-320</v>
      </c>
      <c r="U9" s="456"/>
      <c r="V9" s="451">
        <f t="shared" si="0"/>
        <v>-320</v>
      </c>
      <c r="W9" s="451">
        <v>0</v>
      </c>
      <c r="X9" s="447">
        <f t="shared" si="1"/>
        <v>-320</v>
      </c>
      <c r="Z9" s="375" t="str">
        <f>'18'!Z9</f>
        <v>SOHNI</v>
      </c>
      <c r="AA9" s="464">
        <f>'18'!AE9</f>
        <v>170000</v>
      </c>
      <c r="AB9" s="460"/>
      <c r="AC9" s="462">
        <f t="shared" si="2"/>
        <v>170000</v>
      </c>
      <c r="AD9" s="469">
        <v>50000</v>
      </c>
      <c r="AE9" s="348">
        <f t="shared" si="3"/>
        <v>120000</v>
      </c>
      <c r="AF9" s="563">
        <f>'18'!AF9+'19'!AB9</f>
        <v>370000</v>
      </c>
      <c r="AG9" s="234">
        <f>'18'!AG9+'19'!AD9</f>
        <v>250000</v>
      </c>
      <c r="AH9" s="616"/>
      <c r="AI9" s="393" t="s">
        <v>128</v>
      </c>
      <c r="AJ9" s="394">
        <f>B26</f>
        <v>13170</v>
      </c>
    </row>
    <row r="10" spans="1:36" ht="27" customHeight="1" thickBot="1">
      <c r="A10" s="718" t="s">
        <v>488</v>
      </c>
      <c r="B10" s="528">
        <v>5000</v>
      </c>
      <c r="C10" s="350"/>
      <c r="D10" s="550"/>
      <c r="F10" s="479" t="str">
        <f>'18'!F10</f>
        <v>ABID HUSSAIN</v>
      </c>
      <c r="G10" s="406">
        <f>'CUSTOMERS REPORT'!Y110</f>
        <v>0</v>
      </c>
      <c r="H10" s="504">
        <f>'CUSTOMERS REPORT'!Z110</f>
        <v>0</v>
      </c>
      <c r="I10" s="406">
        <f>'CUSTOMERS REPORT'!AA110</f>
        <v>0</v>
      </c>
      <c r="J10" s="498">
        <f>'CUSTOMERS REPORT'!AB110</f>
        <v>0</v>
      </c>
      <c r="K10" s="498">
        <f>'CUSTOMERS REPORT'!AC110</f>
        <v>0</v>
      </c>
      <c r="L10" s="509">
        <f>'CUSTOMERS REPORT'!AD110</f>
        <v>0</v>
      </c>
      <c r="M10" s="414">
        <f>'18'!M10+'19'!G10</f>
        <v>0</v>
      </c>
      <c r="N10" s="412">
        <f>'18'!N10+'19'!J10</f>
        <v>0</v>
      </c>
      <c r="P10" s="433"/>
      <c r="Q10" s="437"/>
      <c r="S10" s="399" t="str">
        <f>'18'!S10</f>
        <v>GHEE</v>
      </c>
      <c r="T10" s="446">
        <f>'18'!X10</f>
        <v>-25</v>
      </c>
      <c r="U10" s="456">
        <v>10</v>
      </c>
      <c r="V10" s="451">
        <f t="shared" si="0"/>
        <v>-15</v>
      </c>
      <c r="W10" s="451">
        <v>0</v>
      </c>
      <c r="X10" s="447">
        <f t="shared" si="1"/>
        <v>-15</v>
      </c>
      <c r="Z10" s="375" t="str">
        <f>'18'!Z10</f>
        <v>HUSSAINI</v>
      </c>
      <c r="AA10" s="464">
        <f>'18'!AE10</f>
        <v>-156100</v>
      </c>
      <c r="AB10" s="460"/>
      <c r="AC10" s="462">
        <f t="shared" si="2"/>
        <v>-156100</v>
      </c>
      <c r="AD10" s="469"/>
      <c r="AE10" s="348">
        <f t="shared" si="3"/>
        <v>-156100</v>
      </c>
      <c r="AF10" s="563">
        <f>'18'!AF10+'19'!AB10</f>
        <v>0</v>
      </c>
      <c r="AG10" s="234">
        <f>'18'!AG10+'19'!AD10</f>
        <v>156100</v>
      </c>
      <c r="AI10" s="395" t="s">
        <v>74</v>
      </c>
      <c r="AJ10" s="396">
        <f>AJ8+AJ9</f>
        <v>115970</v>
      </c>
    </row>
    <row r="11" spans="1:36" ht="27" customHeight="1" thickTop="1">
      <c r="A11" s="718" t="s">
        <v>442</v>
      </c>
      <c r="B11" s="528">
        <v>50000</v>
      </c>
      <c r="C11" s="350"/>
      <c r="D11" s="550"/>
      <c r="F11" s="479" t="str">
        <f>'18'!F11</f>
        <v>SHAHID 5 #</v>
      </c>
      <c r="G11" s="406">
        <f>'CUSTOMERS REPORT'!Y149</f>
        <v>0</v>
      </c>
      <c r="H11" s="504">
        <f>'CUSTOMERS REPORT'!Z149</f>
        <v>0</v>
      </c>
      <c r="I11" s="406">
        <f>'CUSTOMERS REPORT'!AA149</f>
        <v>0</v>
      </c>
      <c r="J11" s="498">
        <f>'CUSTOMERS REPORT'!AB149</f>
        <v>0</v>
      </c>
      <c r="K11" s="498">
        <f>'CUSTOMERS REPORT'!AC149</f>
        <v>0</v>
      </c>
      <c r="L11" s="509">
        <f>'CUSTOMERS REPORT'!AD149</f>
        <v>0</v>
      </c>
      <c r="M11" s="414">
        <f>'18'!M11+'19'!G11</f>
        <v>0</v>
      </c>
      <c r="N11" s="412">
        <f>'18'!N11+'19'!J11</f>
        <v>0</v>
      </c>
      <c r="P11" s="433"/>
      <c r="Q11" s="437"/>
      <c r="S11" s="399" t="str">
        <f>'18'!S11</f>
        <v>YEAST</v>
      </c>
      <c r="T11" s="446">
        <f>'18'!X11</f>
        <v>-53</v>
      </c>
      <c r="U11" s="456"/>
      <c r="V11" s="451">
        <f t="shared" ref="V11:V19" si="4">SUM(T11:U11)</f>
        <v>-53</v>
      </c>
      <c r="W11" s="451">
        <v>0</v>
      </c>
      <c r="X11" s="447">
        <f t="shared" ref="X11:X19" si="5">V11-W11</f>
        <v>-53</v>
      </c>
      <c r="Z11" s="375" t="str">
        <f>'18'!Z11</f>
        <v>IMRAN ALAM</v>
      </c>
      <c r="AA11" s="464">
        <f>'18'!AE11</f>
        <v>-145000</v>
      </c>
      <c r="AB11" s="460"/>
      <c r="AC11" s="462">
        <f t="shared" ref="AC11:AC24" si="6">AA11+AB11</f>
        <v>-145000</v>
      </c>
      <c r="AD11" s="469"/>
      <c r="AE11" s="348">
        <f t="shared" ref="AE11:AE24" si="7">AC11-AD11</f>
        <v>-145000</v>
      </c>
      <c r="AF11" s="563">
        <f>'18'!AF11+'19'!AB11</f>
        <v>0</v>
      </c>
      <c r="AG11" s="234">
        <f>'18'!AG11+'19'!AD11</f>
        <v>145000</v>
      </c>
      <c r="AI11" s="1031"/>
      <c r="AJ11" s="1032"/>
    </row>
    <row r="12" spans="1:36" ht="27" customHeight="1">
      <c r="A12" s="718"/>
      <c r="B12" s="528"/>
      <c r="C12" s="350"/>
      <c r="D12" s="550"/>
      <c r="F12" s="479" t="str">
        <f>'18'!F12</f>
        <v>ZULFIQAR</v>
      </c>
      <c r="G12" s="406">
        <f>'CUSTOMERS REPORT'!Y187</f>
        <v>0</v>
      </c>
      <c r="H12" s="504">
        <f>'CUSTOMERS REPORT'!Z187</f>
        <v>0</v>
      </c>
      <c r="I12" s="406">
        <f>'CUSTOMERS REPORT'!AA187</f>
        <v>0</v>
      </c>
      <c r="J12" s="498">
        <f>'CUSTOMERS REPORT'!AB187</f>
        <v>0</v>
      </c>
      <c r="K12" s="498">
        <f>'CUSTOMERS REPORT'!AC187</f>
        <v>0</v>
      </c>
      <c r="L12" s="509">
        <f>'CUSTOMERS REPORT'!AD187</f>
        <v>0</v>
      </c>
      <c r="M12" s="414">
        <f>'18'!M12+'19'!G12</f>
        <v>0</v>
      </c>
      <c r="N12" s="412">
        <f>'18'!N12+'19'!J12</f>
        <v>0</v>
      </c>
      <c r="P12" s="433"/>
      <c r="Q12" s="437"/>
      <c r="S12" s="399" t="str">
        <f>'18'!S12</f>
        <v xml:space="preserve">EKKA </v>
      </c>
      <c r="T12" s="446">
        <f>'18'!X12</f>
        <v>0</v>
      </c>
      <c r="U12" s="456"/>
      <c r="V12" s="451">
        <f t="shared" si="4"/>
        <v>0</v>
      </c>
      <c r="W12" s="451"/>
      <c r="X12" s="447">
        <f t="shared" si="5"/>
        <v>0</v>
      </c>
      <c r="Z12" s="375" t="str">
        <f>'18'!Z12</f>
        <v>ZAHEER</v>
      </c>
      <c r="AA12" s="464">
        <f>'18'!AE12</f>
        <v>0</v>
      </c>
      <c r="AB12" s="460"/>
      <c r="AC12" s="462">
        <f t="shared" si="6"/>
        <v>0</v>
      </c>
      <c r="AD12" s="469"/>
      <c r="AE12" s="348">
        <f t="shared" si="7"/>
        <v>0</v>
      </c>
      <c r="AF12" s="563">
        <f>'18'!AF12+'19'!AB12</f>
        <v>0</v>
      </c>
      <c r="AG12" s="234">
        <f>'18'!AG12+'19'!AD12</f>
        <v>0</v>
      </c>
      <c r="AI12" s="1031"/>
      <c r="AJ12" s="1032"/>
    </row>
    <row r="13" spans="1:36" ht="27" customHeight="1">
      <c r="A13" s="718"/>
      <c r="B13" s="528"/>
      <c r="C13" s="350"/>
      <c r="D13" s="550"/>
      <c r="F13" s="479" t="str">
        <f>'18'!F13</f>
        <v>QASIM ORANGI</v>
      </c>
      <c r="G13" s="406">
        <f>'CUSTOMERS REPORT'!Y227</f>
        <v>0</v>
      </c>
      <c r="H13" s="504">
        <f>'CUSTOMERS REPORT'!Z227</f>
        <v>0</v>
      </c>
      <c r="I13" s="406">
        <f>'CUSTOMERS REPORT'!AA227</f>
        <v>0</v>
      </c>
      <c r="J13" s="498">
        <f>'CUSTOMERS REPORT'!AB227</f>
        <v>0</v>
      </c>
      <c r="K13" s="498">
        <f>'CUSTOMERS REPORT'!AC227</f>
        <v>0</v>
      </c>
      <c r="L13" s="509">
        <f>'CUSTOMERS REPORT'!AD227</f>
        <v>0</v>
      </c>
      <c r="M13" s="414">
        <f>'18'!M13+'19'!G13</f>
        <v>0</v>
      </c>
      <c r="N13" s="412">
        <f>'18'!N13+'19'!J13</f>
        <v>0</v>
      </c>
      <c r="P13" s="433"/>
      <c r="Q13" s="437"/>
      <c r="S13" s="399" t="str">
        <f>'18'!S13</f>
        <v>VANILLA</v>
      </c>
      <c r="T13" s="446">
        <f>'18'!X13</f>
        <v>0</v>
      </c>
      <c r="U13" s="456"/>
      <c r="V13" s="451">
        <f t="shared" si="4"/>
        <v>0</v>
      </c>
      <c r="W13" s="451"/>
      <c r="X13" s="447">
        <f t="shared" si="5"/>
        <v>0</v>
      </c>
      <c r="Z13" s="375" t="str">
        <f>'18'!Z13</f>
        <v>FAISAL</v>
      </c>
      <c r="AA13" s="464">
        <f>'18'!AE13</f>
        <v>-100000</v>
      </c>
      <c r="AB13" s="460"/>
      <c r="AC13" s="462">
        <f t="shared" si="6"/>
        <v>-100000</v>
      </c>
      <c r="AD13" s="469"/>
      <c r="AE13" s="348">
        <f t="shared" si="7"/>
        <v>-100000</v>
      </c>
      <c r="AF13" s="563">
        <f>'18'!AF13+'19'!AB13</f>
        <v>0</v>
      </c>
      <c r="AG13" s="234">
        <f>'18'!AG13+'19'!AD13</f>
        <v>100000</v>
      </c>
      <c r="AI13" s="1031"/>
      <c r="AJ13" s="1032"/>
    </row>
    <row r="14" spans="1:36" ht="27" customHeight="1">
      <c r="A14" s="718"/>
      <c r="B14" s="528"/>
      <c r="C14" s="350"/>
      <c r="D14" s="550"/>
      <c r="F14" s="479" t="str">
        <f>'18'!F14</f>
        <v>BADSHAH KHAN HYD</v>
      </c>
      <c r="G14" s="406">
        <f>'CUSTOMERS REPORT'!Y264</f>
        <v>0</v>
      </c>
      <c r="H14" s="504">
        <f>'CUSTOMERS REPORT'!Z264</f>
        <v>0</v>
      </c>
      <c r="I14" s="406">
        <f>'CUSTOMERS REPORT'!AA264</f>
        <v>0</v>
      </c>
      <c r="J14" s="498">
        <f>'CUSTOMERS REPORT'!AB264</f>
        <v>0</v>
      </c>
      <c r="K14" s="498">
        <f>'CUSTOMERS REPORT'!AC264</f>
        <v>0</v>
      </c>
      <c r="L14" s="509">
        <f>'CUSTOMERS REPORT'!AD264</f>
        <v>0</v>
      </c>
      <c r="M14" s="414">
        <f>'18'!M14+'19'!G14</f>
        <v>0</v>
      </c>
      <c r="N14" s="412">
        <f>'18'!N14+'19'!J14</f>
        <v>0</v>
      </c>
      <c r="P14" s="433"/>
      <c r="Q14" s="437"/>
      <c r="S14" s="399" t="str">
        <f>'18'!S14</f>
        <v>COLOUR</v>
      </c>
      <c r="T14" s="446">
        <f>'18'!X14</f>
        <v>25</v>
      </c>
      <c r="U14" s="456"/>
      <c r="V14" s="451">
        <f t="shared" si="4"/>
        <v>25</v>
      </c>
      <c r="W14" s="451"/>
      <c r="X14" s="447">
        <f t="shared" si="5"/>
        <v>25</v>
      </c>
      <c r="Z14" s="375" t="str">
        <f>'18'!Z14</f>
        <v>RANA EKKA</v>
      </c>
      <c r="AA14" s="464">
        <f>'18'!AE14</f>
        <v>0</v>
      </c>
      <c r="AB14" s="460"/>
      <c r="AC14" s="462">
        <f t="shared" si="6"/>
        <v>0</v>
      </c>
      <c r="AD14" s="469"/>
      <c r="AE14" s="348">
        <f t="shared" si="7"/>
        <v>0</v>
      </c>
      <c r="AF14" s="563">
        <f>'18'!AF14+'19'!AB14</f>
        <v>0</v>
      </c>
      <c r="AG14" s="234">
        <f>'18'!AG14+'19'!AD14</f>
        <v>0</v>
      </c>
      <c r="AI14" s="1031"/>
      <c r="AJ14" s="1032"/>
    </row>
    <row r="15" spans="1:36" ht="27" customHeight="1">
      <c r="A15" s="718"/>
      <c r="B15" s="528"/>
      <c r="C15" s="350"/>
      <c r="D15" s="550"/>
      <c r="F15" s="479" t="str">
        <f>'18'!F15</f>
        <v>SHAMOON</v>
      </c>
      <c r="G15" s="406">
        <f>'CUSTOMERS REPORT'!Y304</f>
        <v>0</v>
      </c>
      <c r="H15" s="504">
        <f>'CUSTOMERS REPORT'!Z304</f>
        <v>0</v>
      </c>
      <c r="I15" s="406">
        <f>'CUSTOMERS REPORT'!AA304</f>
        <v>0</v>
      </c>
      <c r="J15" s="498">
        <f>'CUSTOMERS REPORT'!AB304</f>
        <v>0</v>
      </c>
      <c r="K15" s="498">
        <f>'CUSTOMERS REPORT'!AC304</f>
        <v>0</v>
      </c>
      <c r="L15" s="509">
        <f>'CUSTOMERS REPORT'!AD304</f>
        <v>0</v>
      </c>
      <c r="M15" s="414">
        <f>'18'!M15+'19'!G15</f>
        <v>0</v>
      </c>
      <c r="N15" s="412">
        <f>'18'!N15+'19'!J15</f>
        <v>0</v>
      </c>
      <c r="P15" s="433"/>
      <c r="Q15" s="437"/>
      <c r="S15" s="399" t="str">
        <f>'18'!S15</f>
        <v>TILL</v>
      </c>
      <c r="T15" s="446">
        <f>'18'!X15</f>
        <v>0</v>
      </c>
      <c r="U15" s="456"/>
      <c r="V15" s="451">
        <f t="shared" si="4"/>
        <v>0</v>
      </c>
      <c r="W15" s="451"/>
      <c r="X15" s="447">
        <f t="shared" si="5"/>
        <v>0</v>
      </c>
      <c r="Z15" s="375" t="str">
        <f>'18'!Z15</f>
        <v>sheeba</v>
      </c>
      <c r="AA15" s="464">
        <f>'18'!AE15</f>
        <v>-410250</v>
      </c>
      <c r="AB15" s="460"/>
      <c r="AC15" s="462">
        <f t="shared" si="6"/>
        <v>-410250</v>
      </c>
      <c r="AD15" s="469"/>
      <c r="AE15" s="348">
        <f t="shared" si="7"/>
        <v>-410250</v>
      </c>
      <c r="AF15" s="563">
        <f>'18'!AF15+'19'!AB15</f>
        <v>0</v>
      </c>
      <c r="AG15" s="234">
        <f>'18'!AG15+'19'!AD15</f>
        <v>410250</v>
      </c>
      <c r="AI15" s="1031"/>
      <c r="AJ15" s="1032"/>
    </row>
    <row r="16" spans="1:36" ht="27" customHeight="1">
      <c r="A16" s="718"/>
      <c r="B16" s="528"/>
      <c r="C16" s="350"/>
      <c r="D16" s="550"/>
      <c r="F16" s="479" t="str">
        <f>'18'!F16</f>
        <v>MATEEN</v>
      </c>
      <c r="G16" s="406">
        <f>'CUSTOMERS REPORT'!Y345</f>
        <v>0</v>
      </c>
      <c r="H16" s="504">
        <f>'CUSTOMERS REPORT'!Z345</f>
        <v>0</v>
      </c>
      <c r="I16" s="406">
        <f>'CUSTOMERS REPORT'!AA345</f>
        <v>0</v>
      </c>
      <c r="J16" s="498">
        <f>'CUSTOMERS REPORT'!AB345</f>
        <v>0</v>
      </c>
      <c r="K16" s="498">
        <f>'CUSTOMERS REPORT'!AC345</f>
        <v>0</v>
      </c>
      <c r="L16" s="509">
        <f>'CUSTOMERS REPORT'!AD345</f>
        <v>0</v>
      </c>
      <c r="M16" s="414">
        <f>'18'!M16+'19'!G16</f>
        <v>0</v>
      </c>
      <c r="N16" s="412">
        <f>'18'!N16+'19'!J16</f>
        <v>0</v>
      </c>
      <c r="P16" s="433"/>
      <c r="Q16" s="437"/>
      <c r="S16" s="399" t="str">
        <f>'18'!S16</f>
        <v>ILLAICHI</v>
      </c>
      <c r="T16" s="446">
        <f>'18'!X16</f>
        <v>0</v>
      </c>
      <c r="U16" s="456"/>
      <c r="V16" s="451">
        <f t="shared" si="4"/>
        <v>0</v>
      </c>
      <c r="W16" s="451"/>
      <c r="X16" s="447">
        <f t="shared" si="5"/>
        <v>0</v>
      </c>
      <c r="Z16" s="375" t="str">
        <f>'18'!Z16</f>
        <v>COTTON</v>
      </c>
      <c r="AA16" s="464">
        <f>'18'!AE16</f>
        <v>11400</v>
      </c>
      <c r="AB16" s="460"/>
      <c r="AC16" s="462">
        <f t="shared" si="6"/>
        <v>11400</v>
      </c>
      <c r="AD16" s="469"/>
      <c r="AE16" s="348">
        <f t="shared" si="7"/>
        <v>11400</v>
      </c>
      <c r="AF16" s="563">
        <f>'18'!AF16+'19'!AB16</f>
        <v>26400</v>
      </c>
      <c r="AG16" s="234">
        <f>'18'!AG16+'19'!AD16</f>
        <v>15000</v>
      </c>
      <c r="AI16" s="1031"/>
      <c r="AJ16" s="1032"/>
    </row>
    <row r="17" spans="1:36" ht="27" customHeight="1">
      <c r="A17" s="718"/>
      <c r="B17" s="528"/>
      <c r="C17" s="350"/>
      <c r="D17" s="550"/>
      <c r="F17" s="479" t="str">
        <f>'18'!F17</f>
        <v>AMJAD ORANGI</v>
      </c>
      <c r="G17" s="406">
        <f>'CUSTOMERS REPORT'!Y387</f>
        <v>0</v>
      </c>
      <c r="H17" s="504">
        <f>'CUSTOMERS REPORT'!Z387</f>
        <v>0</v>
      </c>
      <c r="I17" s="406">
        <f>'CUSTOMERS REPORT'!AA387</f>
        <v>0</v>
      </c>
      <c r="J17" s="498">
        <f>'CUSTOMERS REPORT'!AB387</f>
        <v>0</v>
      </c>
      <c r="K17" s="498">
        <f>'CUSTOMERS REPORT'!AC387</f>
        <v>0</v>
      </c>
      <c r="L17" s="509">
        <f>'CUSTOMERS REPORT'!AD387</f>
        <v>0</v>
      </c>
      <c r="M17" s="414">
        <f>'18'!M17+'19'!G17</f>
        <v>0</v>
      </c>
      <c r="N17" s="412">
        <f>'18'!N17+'19'!J17</f>
        <v>0</v>
      </c>
      <c r="P17" s="433"/>
      <c r="Q17" s="437"/>
      <c r="S17" s="399" t="str">
        <f>'18'!S17</f>
        <v>S-THELLI</v>
      </c>
      <c r="T17" s="446">
        <f>'18'!X17</f>
        <v>0</v>
      </c>
      <c r="U17" s="456"/>
      <c r="V17" s="451">
        <f t="shared" si="4"/>
        <v>0</v>
      </c>
      <c r="W17" s="451"/>
      <c r="X17" s="447">
        <f t="shared" si="5"/>
        <v>0</v>
      </c>
      <c r="Z17" s="375" t="str">
        <f>'18'!Z17</f>
        <v>SHAHID UP</v>
      </c>
      <c r="AA17" s="464">
        <f>'18'!AE17</f>
        <v>21250</v>
      </c>
      <c r="AB17" s="460"/>
      <c r="AC17" s="462">
        <f t="shared" si="6"/>
        <v>21250</v>
      </c>
      <c r="AD17" s="469"/>
      <c r="AE17" s="348">
        <f t="shared" si="7"/>
        <v>21250</v>
      </c>
      <c r="AF17" s="563">
        <f>'18'!AF17+'19'!AB17</f>
        <v>21250</v>
      </c>
      <c r="AG17" s="234">
        <f>'18'!AG17+'19'!AD17</f>
        <v>0</v>
      </c>
      <c r="AI17" s="1031"/>
      <c r="AJ17" s="1032"/>
    </row>
    <row r="18" spans="1:36" ht="27" customHeight="1">
      <c r="A18" s="718"/>
      <c r="B18" s="528"/>
      <c r="C18" s="350"/>
      <c r="D18" s="550"/>
      <c r="F18" s="479" t="str">
        <f>'18'!F18</f>
        <v>HAFIZ DRIVER</v>
      </c>
      <c r="G18" s="406">
        <f>'CUSTOMERS REPORT'!Y426</f>
        <v>0</v>
      </c>
      <c r="H18" s="504">
        <f>'CUSTOMERS REPORT'!Z426</f>
        <v>0</v>
      </c>
      <c r="I18" s="406">
        <f>'CUSTOMERS REPORT'!AA426</f>
        <v>0</v>
      </c>
      <c r="J18" s="498">
        <f>'CUSTOMERS REPORT'!AB426</f>
        <v>0</v>
      </c>
      <c r="K18" s="498">
        <f>'CUSTOMERS REPORT'!AC426</f>
        <v>0</v>
      </c>
      <c r="L18" s="509">
        <f>'CUSTOMERS REPORT'!AD426</f>
        <v>0</v>
      </c>
      <c r="M18" s="414">
        <f>'18'!M18+'19'!G18</f>
        <v>0</v>
      </c>
      <c r="N18" s="412">
        <f>'18'!N18+'19'!J18</f>
        <v>0</v>
      </c>
      <c r="P18" s="433"/>
      <c r="Q18" s="437"/>
      <c r="S18" s="399" t="str">
        <f>'18'!S18</f>
        <v>P-THELLI</v>
      </c>
      <c r="T18" s="446">
        <f>'18'!X18</f>
        <v>0</v>
      </c>
      <c r="U18" s="456"/>
      <c r="V18" s="451">
        <f t="shared" si="4"/>
        <v>0</v>
      </c>
      <c r="W18" s="451"/>
      <c r="X18" s="447">
        <f t="shared" si="5"/>
        <v>0</v>
      </c>
      <c r="Z18" s="375" t="str">
        <f>'18'!Z18</f>
        <v>SALT</v>
      </c>
      <c r="AA18" s="464">
        <f>'18'!AE18</f>
        <v>0</v>
      </c>
      <c r="AB18" s="460"/>
      <c r="AC18" s="462">
        <f t="shared" si="6"/>
        <v>0</v>
      </c>
      <c r="AD18" s="469"/>
      <c r="AE18" s="348">
        <f t="shared" si="7"/>
        <v>0</v>
      </c>
      <c r="AF18" s="563">
        <f>'18'!AF18+'19'!AB18</f>
        <v>1500</v>
      </c>
      <c r="AG18" s="234">
        <f>'18'!AG18+'19'!AD18</f>
        <v>1500</v>
      </c>
      <c r="AI18" s="1031"/>
      <c r="AJ18" s="1032"/>
    </row>
    <row r="19" spans="1:36" ht="27" customHeight="1" thickBot="1">
      <c r="A19" s="718"/>
      <c r="B19" s="529"/>
      <c r="C19" s="350"/>
      <c r="D19" s="550"/>
      <c r="F19" s="479" t="str">
        <f>'18'!F19</f>
        <v>GHULAM QUETTA</v>
      </c>
      <c r="G19" s="406">
        <f>'CUSTOMERS REPORT'!Y464</f>
        <v>0</v>
      </c>
      <c r="H19" s="504">
        <f>'CUSTOMERS REPORT'!Z464</f>
        <v>0</v>
      </c>
      <c r="I19" s="406">
        <f>'CUSTOMERS REPORT'!AA464</f>
        <v>0</v>
      </c>
      <c r="J19" s="498">
        <f>'CUSTOMERS REPORT'!AB464</f>
        <v>0</v>
      </c>
      <c r="K19" s="498">
        <f>'CUSTOMERS REPORT'!AC464</f>
        <v>0</v>
      </c>
      <c r="L19" s="509">
        <f>'CUSTOMERS REPORT'!AD464</f>
        <v>0</v>
      </c>
      <c r="M19" s="414">
        <f>'18'!M19+'19'!G19</f>
        <v>0</v>
      </c>
      <c r="N19" s="412">
        <f>'18'!N19+'19'!J19</f>
        <v>0</v>
      </c>
      <c r="P19" s="433"/>
      <c r="Q19" s="437"/>
      <c r="S19" s="399" t="str">
        <f>'18'!S19</f>
        <v>RUBBER</v>
      </c>
      <c r="T19" s="446">
        <f>'18'!X19</f>
        <v>0</v>
      </c>
      <c r="U19" s="456"/>
      <c r="V19" s="451">
        <f t="shared" si="4"/>
        <v>0</v>
      </c>
      <c r="W19" s="451"/>
      <c r="X19" s="447">
        <f t="shared" si="5"/>
        <v>0</v>
      </c>
      <c r="Z19" s="375" t="str">
        <f>'18'!Z19</f>
        <v>NAVEED</v>
      </c>
      <c r="AA19" s="464">
        <f>'18'!AE19</f>
        <v>0</v>
      </c>
      <c r="AB19" s="460"/>
      <c r="AC19" s="462">
        <f t="shared" si="6"/>
        <v>0</v>
      </c>
      <c r="AD19" s="469"/>
      <c r="AE19" s="348">
        <f t="shared" si="7"/>
        <v>0</v>
      </c>
      <c r="AF19" s="563">
        <f>'18'!AF19+'19'!AB19</f>
        <v>0</v>
      </c>
      <c r="AG19" s="234">
        <f>'18'!AG19+'19'!AD19</f>
        <v>0</v>
      </c>
    </row>
    <row r="20" spans="1:36" ht="27" customHeight="1" thickTop="1" thickBot="1">
      <c r="A20" s="719"/>
      <c r="B20" s="529"/>
      <c r="C20" s="350"/>
      <c r="D20" s="550"/>
      <c r="F20" s="479" t="str">
        <f>'18'!F20</f>
        <v>HUSSAN GWADAR</v>
      </c>
      <c r="G20" s="406">
        <f>'CUSTOMERS REPORT'!Y500</f>
        <v>0</v>
      </c>
      <c r="H20" s="504">
        <f>'CUSTOMERS REPORT'!Z500</f>
        <v>0</v>
      </c>
      <c r="I20" s="406">
        <f>'CUSTOMERS REPORT'!AA500</f>
        <v>0</v>
      </c>
      <c r="J20" s="498">
        <f>'CUSTOMERS REPORT'!AB500</f>
        <v>0</v>
      </c>
      <c r="K20" s="498">
        <f>'CUSTOMERS REPORT'!AC500</f>
        <v>0</v>
      </c>
      <c r="L20" s="509">
        <f>'CUSTOMERS REPORT'!AD500</f>
        <v>0</v>
      </c>
      <c r="M20" s="414">
        <f>'18'!M20+'19'!G20</f>
        <v>0</v>
      </c>
      <c r="N20" s="412">
        <f>'18'!N20+'19'!J20</f>
        <v>0</v>
      </c>
      <c r="P20" s="433"/>
      <c r="Q20" s="437"/>
      <c r="S20" s="399" t="str">
        <f>'18'!S20</f>
        <v>SALT</v>
      </c>
      <c r="T20" s="446">
        <f>'18'!X20</f>
        <v>250</v>
      </c>
      <c r="U20" s="456"/>
      <c r="V20" s="451">
        <f t="shared" si="0"/>
        <v>250</v>
      </c>
      <c r="W20" s="451"/>
      <c r="X20" s="447">
        <f t="shared" si="1"/>
        <v>250</v>
      </c>
      <c r="Z20" s="375" t="str">
        <f>'18'!Z20</f>
        <v>YOUSUF BHAI</v>
      </c>
      <c r="AA20" s="464">
        <f>'18'!AE20</f>
        <v>-112300</v>
      </c>
      <c r="AB20" s="460">
        <v>59000</v>
      </c>
      <c r="AC20" s="462">
        <f t="shared" si="6"/>
        <v>-53300</v>
      </c>
      <c r="AD20" s="469"/>
      <c r="AE20" s="348">
        <f t="shared" si="7"/>
        <v>-53300</v>
      </c>
      <c r="AF20" s="563">
        <f>'18'!AF20+'19'!AB20</f>
        <v>301100</v>
      </c>
      <c r="AG20" s="234">
        <f>'18'!AG20+'19'!AD20</f>
        <v>354400</v>
      </c>
      <c r="AI20" s="1487" t="s">
        <v>132</v>
      </c>
      <c r="AJ20" s="1488"/>
    </row>
    <row r="21" spans="1:36" ht="27" customHeight="1" thickTop="1" thickBot="1">
      <c r="A21" s="720"/>
      <c r="B21" s="530"/>
      <c r="C21" s="531"/>
      <c r="D21" s="553"/>
      <c r="F21" s="479" t="str">
        <f>'18'!F21</f>
        <v>AQASH S KOT</v>
      </c>
      <c r="G21" s="406">
        <f>'CUSTOMERS REPORT'!Y537</f>
        <v>0</v>
      </c>
      <c r="H21" s="504">
        <f>'CUSTOMERS REPORT'!Z537</f>
        <v>0</v>
      </c>
      <c r="I21" s="406">
        <f>'CUSTOMERS REPORT'!AA537</f>
        <v>0</v>
      </c>
      <c r="J21" s="498">
        <f>'CUSTOMERS REPORT'!AB537</f>
        <v>0</v>
      </c>
      <c r="K21" s="498">
        <f>'CUSTOMERS REPORT'!AC537</f>
        <v>0</v>
      </c>
      <c r="L21" s="509">
        <f>'CUSTOMERS REPORT'!AD537</f>
        <v>0</v>
      </c>
      <c r="M21" s="414">
        <f>'18'!M21+'19'!G21</f>
        <v>0</v>
      </c>
      <c r="N21" s="412">
        <f>'18'!N21+'19'!J21</f>
        <v>0</v>
      </c>
      <c r="P21" s="433"/>
      <c r="Q21" s="435"/>
      <c r="S21" s="399" t="str">
        <f>'18'!S21</f>
        <v>TAPE</v>
      </c>
      <c r="T21" s="446">
        <f>'18'!X21</f>
        <v>0</v>
      </c>
      <c r="U21" s="456"/>
      <c r="V21" s="451">
        <f t="shared" si="0"/>
        <v>0</v>
      </c>
      <c r="W21" s="451"/>
      <c r="X21" s="447">
        <f t="shared" si="1"/>
        <v>0</v>
      </c>
      <c r="Z21" s="375" t="str">
        <f>'18'!Z21</f>
        <v>SULEMAN  PRINT</v>
      </c>
      <c r="AA21" s="464">
        <f>'18'!AE21</f>
        <v>-312000</v>
      </c>
      <c r="AB21" s="460"/>
      <c r="AC21" s="462">
        <f t="shared" si="6"/>
        <v>-312000</v>
      </c>
      <c r="AD21" s="469"/>
      <c r="AE21" s="348">
        <f t="shared" si="7"/>
        <v>-312000</v>
      </c>
      <c r="AF21" s="563">
        <f>'18'!AF21+'19'!AB21</f>
        <v>0</v>
      </c>
      <c r="AG21" s="234">
        <f>'18'!AG21+'19'!AD21</f>
        <v>312000</v>
      </c>
      <c r="AI21" s="391" t="s">
        <v>126</v>
      </c>
      <c r="AJ21" s="392">
        <f>'18'!AJ23</f>
        <v>93600</v>
      </c>
    </row>
    <row r="22" spans="1:36" ht="27" customHeight="1" thickTop="1" thickBot="1">
      <c r="A22" s="486" t="s">
        <v>74</v>
      </c>
      <c r="B22" s="533">
        <f>SUM(B8:B21)</f>
        <v>59050</v>
      </c>
      <c r="C22" s="534">
        <f>'18'!D22</f>
        <v>2111170</v>
      </c>
      <c r="D22" s="535">
        <f t="shared" ref="D22" si="8">B22+C22</f>
        <v>2170220</v>
      </c>
      <c r="F22" s="479" t="str">
        <f>'18'!F22</f>
        <v>SALEEM T JAM</v>
      </c>
      <c r="G22" s="406">
        <f>'CUSTOMERS REPORT'!Y575</f>
        <v>0</v>
      </c>
      <c r="H22" s="504">
        <f>'CUSTOMERS REPORT'!Z575</f>
        <v>0</v>
      </c>
      <c r="I22" s="406">
        <f>'CUSTOMERS REPORT'!AA575</f>
        <v>0</v>
      </c>
      <c r="J22" s="498">
        <f>'CUSTOMERS REPORT'!AB575</f>
        <v>0</v>
      </c>
      <c r="K22" s="498">
        <f>'CUSTOMERS REPORT'!AC575</f>
        <v>0</v>
      </c>
      <c r="L22" s="509">
        <f>'CUSTOMERS REPORT'!AD575</f>
        <v>0</v>
      </c>
      <c r="M22" s="414">
        <f>'18'!M22+'19'!G22</f>
        <v>0</v>
      </c>
      <c r="N22" s="412">
        <f>'18'!N22+'19'!J22</f>
        <v>0</v>
      </c>
      <c r="P22" s="433"/>
      <c r="Q22" s="438"/>
      <c r="S22" s="399" t="str">
        <f>'18'!S22</f>
        <v>COTTON</v>
      </c>
      <c r="T22" s="446">
        <f>'18'!X22</f>
        <v>220</v>
      </c>
      <c r="U22" s="456"/>
      <c r="V22" s="451">
        <f t="shared" si="0"/>
        <v>220</v>
      </c>
      <c r="W22" s="451"/>
      <c r="X22" s="447">
        <f t="shared" si="1"/>
        <v>220</v>
      </c>
      <c r="Z22" s="375" t="str">
        <f>'18'!Z22</f>
        <v>IRFAN VANILA</v>
      </c>
      <c r="AA22" s="464">
        <f>'18'!AE22</f>
        <v>-110000</v>
      </c>
      <c r="AB22" s="460"/>
      <c r="AC22" s="462">
        <f t="shared" si="6"/>
        <v>-110000</v>
      </c>
      <c r="AD22" s="469"/>
      <c r="AE22" s="348">
        <f t="shared" si="7"/>
        <v>-110000</v>
      </c>
      <c r="AF22" s="563">
        <f>'18'!AF22+'19'!AB22</f>
        <v>0</v>
      </c>
      <c r="AG22" s="234">
        <f>'18'!AG22+'19'!AD22</f>
        <v>110000</v>
      </c>
      <c r="AI22" s="393">
        <f>R56</f>
        <v>13</v>
      </c>
      <c r="AJ22" s="394">
        <f>R56*1800</f>
        <v>23400</v>
      </c>
    </row>
    <row r="23" spans="1:36" ht="27" customHeight="1" thickTop="1" thickBot="1">
      <c r="A23" s="715" t="str">
        <f>'18'!A23</f>
        <v>OFFICE FOOD</v>
      </c>
      <c r="B23" s="462">
        <v>180</v>
      </c>
      <c r="C23" s="536">
        <f>'18'!D23</f>
        <v>1670</v>
      </c>
      <c r="D23" s="537">
        <f t="shared" ref="D23:D48" si="9">B23+C23</f>
        <v>1850</v>
      </c>
      <c r="F23" s="479" t="str">
        <f>'18'!F23</f>
        <v>JAMSHAD BADEEN</v>
      </c>
      <c r="G23" s="406">
        <f>'CUSTOMERS REPORT'!Y611</f>
        <v>0</v>
      </c>
      <c r="H23" s="504">
        <f>'CUSTOMERS REPORT'!Z611</f>
        <v>0</v>
      </c>
      <c r="I23" s="406">
        <f>'CUSTOMERS REPORT'!AA611</f>
        <v>0</v>
      </c>
      <c r="J23" s="498">
        <f>'CUSTOMERS REPORT'!AB611</f>
        <v>0</v>
      </c>
      <c r="K23" s="498">
        <f>'CUSTOMERS REPORT'!AC611</f>
        <v>0</v>
      </c>
      <c r="L23" s="509">
        <f>'CUSTOMERS REPORT'!AD611</f>
        <v>0</v>
      </c>
      <c r="M23" s="414">
        <f>'18'!M23+'19'!G23</f>
        <v>0</v>
      </c>
      <c r="N23" s="412">
        <f>'18'!N23+'19'!J23</f>
        <v>0</v>
      </c>
      <c r="P23" s="190" t="s">
        <v>48</v>
      </c>
      <c r="Q23" s="439">
        <f>SUM(Q8:Q22)</f>
        <v>0</v>
      </c>
      <c r="S23" s="399" t="str">
        <f>'18'!S23</f>
        <v>WHITE 6</v>
      </c>
      <c r="T23" s="446">
        <f>'18'!X23</f>
        <v>0</v>
      </c>
      <c r="U23" s="456"/>
      <c r="V23" s="451">
        <f t="shared" si="0"/>
        <v>0</v>
      </c>
      <c r="W23" s="451"/>
      <c r="X23" s="447">
        <f t="shared" si="1"/>
        <v>0</v>
      </c>
      <c r="Z23" s="375" t="str">
        <f>'18'!Z23</f>
        <v>IRANI GHEE</v>
      </c>
      <c r="AA23" s="464">
        <f>'18'!AE23</f>
        <v>0</v>
      </c>
      <c r="AB23" s="460"/>
      <c r="AC23" s="462">
        <f t="shared" si="6"/>
        <v>0</v>
      </c>
      <c r="AD23" s="469"/>
      <c r="AE23" s="348">
        <f t="shared" si="7"/>
        <v>0</v>
      </c>
      <c r="AF23" s="563">
        <f>'18'!AF23+'19'!AB23</f>
        <v>0</v>
      </c>
      <c r="AG23" s="234">
        <f>'18'!AG23+'19'!AD23</f>
        <v>0</v>
      </c>
      <c r="AI23" s="395" t="s">
        <v>74</v>
      </c>
      <c r="AJ23" s="396">
        <f>AJ21+AJ22</f>
        <v>117000</v>
      </c>
    </row>
    <row r="24" spans="1:36" ht="27" customHeight="1" thickTop="1" thickBot="1">
      <c r="A24" s="715" t="str">
        <f>'18'!A24</f>
        <v>LABOUR FOOD EXP</v>
      </c>
      <c r="B24" s="234">
        <v>2000</v>
      </c>
      <c r="C24" s="348">
        <f>'18'!D24</f>
        <v>12000</v>
      </c>
      <c r="D24" s="234">
        <f t="shared" si="9"/>
        <v>14000</v>
      </c>
      <c r="F24" s="479" t="str">
        <f>'18'!F24</f>
        <v>SARFAZ MP</v>
      </c>
      <c r="G24" s="406">
        <f>'CUSTOMERS REPORT'!Y649</f>
        <v>0</v>
      </c>
      <c r="H24" s="504">
        <f>'CUSTOMERS REPORT'!Z649</f>
        <v>0</v>
      </c>
      <c r="I24" s="406">
        <f>'CUSTOMERS REPORT'!AA649</f>
        <v>0</v>
      </c>
      <c r="J24" s="498">
        <f>'CUSTOMERS REPORT'!AB649</f>
        <v>0</v>
      </c>
      <c r="K24" s="498">
        <f>'CUSTOMERS REPORT'!AC649</f>
        <v>0</v>
      </c>
      <c r="L24" s="509">
        <f>'CUSTOMERS REPORT'!AD649</f>
        <v>0</v>
      </c>
      <c r="M24" s="414">
        <f>'18'!M24+'19'!G24</f>
        <v>0</v>
      </c>
      <c r="N24" s="412">
        <f>'18'!N24+'19'!J24</f>
        <v>0</v>
      </c>
      <c r="P24" s="1514" t="s">
        <v>137</v>
      </c>
      <c r="Q24" s="1514"/>
      <c r="R24" t="s">
        <v>1</v>
      </c>
      <c r="S24" s="399" t="str">
        <f>'18'!S24</f>
        <v>ORANGE</v>
      </c>
      <c r="T24" s="446">
        <f>'18'!X24</f>
        <v>0</v>
      </c>
      <c r="U24" s="456"/>
      <c r="V24" s="451">
        <f t="shared" si="0"/>
        <v>0</v>
      </c>
      <c r="W24" s="451"/>
      <c r="X24" s="447">
        <f t="shared" si="1"/>
        <v>0</v>
      </c>
      <c r="Z24" s="375">
        <f>'18'!Z24</f>
        <v>0</v>
      </c>
      <c r="AA24" s="464">
        <f>'18'!AE24</f>
        <v>0</v>
      </c>
      <c r="AB24" s="460"/>
      <c r="AC24" s="462">
        <f t="shared" si="6"/>
        <v>0</v>
      </c>
      <c r="AD24" s="469"/>
      <c r="AE24" s="348">
        <f t="shared" si="7"/>
        <v>0</v>
      </c>
      <c r="AF24" s="563">
        <f>'18'!AF24+'19'!AB24</f>
        <v>0</v>
      </c>
      <c r="AG24" s="234">
        <f>'18'!AG24+'19'!AD24</f>
        <v>0</v>
      </c>
    </row>
    <row r="25" spans="1:36" ht="27" customHeight="1" thickTop="1" thickBot="1">
      <c r="A25" s="715" t="str">
        <f>'18'!A25</f>
        <v>OFFICE SALARY</v>
      </c>
      <c r="B25" s="234">
        <f>ATTENDANCE!AM28</f>
        <v>8000</v>
      </c>
      <c r="C25" s="348">
        <f>'18'!D25</f>
        <v>24000</v>
      </c>
      <c r="D25" s="234">
        <f t="shared" si="9"/>
        <v>32000</v>
      </c>
      <c r="F25" s="479" t="str">
        <f>'18'!F25</f>
        <v>AFZAL MATLI</v>
      </c>
      <c r="G25" s="406">
        <f>'CUSTOMERS REPORT'!Y687</f>
        <v>0</v>
      </c>
      <c r="H25" s="504">
        <f>'CUSTOMERS REPORT'!Z687</f>
        <v>0</v>
      </c>
      <c r="I25" s="406">
        <f>'CUSTOMERS REPORT'!AA687</f>
        <v>0</v>
      </c>
      <c r="J25" s="498">
        <f>'CUSTOMERS REPORT'!AB687</f>
        <v>0</v>
      </c>
      <c r="K25" s="498">
        <f>'CUSTOMERS REPORT'!AC687</f>
        <v>0</v>
      </c>
      <c r="L25" s="509">
        <f>'CUSTOMERS REPORT'!AD687</f>
        <v>0</v>
      </c>
      <c r="M25" s="414">
        <f>'18'!M25+'19'!G25</f>
        <v>0</v>
      </c>
      <c r="N25" s="412">
        <f>'18'!N25+'19'!J25</f>
        <v>0</v>
      </c>
      <c r="P25" s="434"/>
      <c r="Q25" s="440"/>
      <c r="S25" s="399" t="str">
        <f>'18'!S25</f>
        <v>MAKKI 7</v>
      </c>
      <c r="T25" s="446">
        <f>'18'!X25</f>
        <v>0</v>
      </c>
      <c r="U25" s="456"/>
      <c r="V25" s="451">
        <f t="shared" si="0"/>
        <v>0</v>
      </c>
      <c r="W25" s="451"/>
      <c r="X25" s="447">
        <f t="shared" si="1"/>
        <v>0</v>
      </c>
      <c r="Z25" s="375">
        <f>'18'!Z25</f>
        <v>0</v>
      </c>
      <c r="AA25" s="464">
        <f>'18'!AE25</f>
        <v>0</v>
      </c>
      <c r="AB25" s="460"/>
      <c r="AC25" s="462">
        <f t="shared" si="2"/>
        <v>0</v>
      </c>
      <c r="AD25" s="469"/>
      <c r="AE25" s="348">
        <f t="shared" si="3"/>
        <v>0</v>
      </c>
      <c r="AF25" s="563">
        <f>'18'!AF25+'19'!AB25</f>
        <v>0</v>
      </c>
      <c r="AG25" s="234">
        <f>'18'!AG25+'19'!AD25</f>
        <v>0</v>
      </c>
      <c r="AI25" s="397" t="s">
        <v>59</v>
      </c>
      <c r="AJ25" s="398">
        <f>AJ23-AJ10</f>
        <v>1030</v>
      </c>
    </row>
    <row r="26" spans="1:36" ht="27" customHeight="1" thickTop="1">
      <c r="A26" s="715" t="str">
        <f>'18'!A26</f>
        <v>LABOUR SALARY</v>
      </c>
      <c r="B26" s="234">
        <f>SUM('SALERY SHEET'!AN97:AO97)</f>
        <v>13170</v>
      </c>
      <c r="C26" s="348">
        <f>'18'!D26</f>
        <v>102800</v>
      </c>
      <c r="D26" s="234">
        <f t="shared" si="9"/>
        <v>115970</v>
      </c>
      <c r="F26" s="479" t="str">
        <f>'18'!F26</f>
        <v xml:space="preserve">ABDUL RASHEED </v>
      </c>
      <c r="G26" s="406">
        <f>'CUSTOMERS REPORT'!Y725</f>
        <v>0</v>
      </c>
      <c r="H26" s="504">
        <f>'CUSTOMERS REPORT'!Z725</f>
        <v>0</v>
      </c>
      <c r="I26" s="406">
        <f>'CUSTOMERS REPORT'!AA725</f>
        <v>0</v>
      </c>
      <c r="J26" s="498">
        <f>'CUSTOMERS REPORT'!AB725</f>
        <v>0</v>
      </c>
      <c r="K26" s="498">
        <f>'CUSTOMERS REPORT'!AC725</f>
        <v>0</v>
      </c>
      <c r="L26" s="509">
        <f>'CUSTOMERS REPORT'!AD725</f>
        <v>0</v>
      </c>
      <c r="M26" s="414">
        <f>'18'!M26+'19'!G26</f>
        <v>0</v>
      </c>
      <c r="N26" s="412">
        <f>'18'!N26+'19'!J26</f>
        <v>0</v>
      </c>
      <c r="P26" s="433"/>
      <c r="Q26" s="438"/>
      <c r="R26" t="s">
        <v>1</v>
      </c>
      <c r="S26" s="399" t="str">
        <f>'18'!S26</f>
        <v>BLUE 125 GM</v>
      </c>
      <c r="T26" s="446">
        <f>'18'!X26</f>
        <v>0</v>
      </c>
      <c r="U26" s="456"/>
      <c r="V26" s="451">
        <f t="shared" si="0"/>
        <v>0</v>
      </c>
      <c r="W26" s="451"/>
      <c r="X26" s="447">
        <f t="shared" si="1"/>
        <v>0</v>
      </c>
      <c r="Z26" s="375">
        <f>'18'!Z26</f>
        <v>0</v>
      </c>
      <c r="AA26" s="464">
        <f>'18'!AE26</f>
        <v>0</v>
      </c>
      <c r="AB26" s="460"/>
      <c r="AC26" s="462">
        <f t="shared" si="2"/>
        <v>0</v>
      </c>
      <c r="AD26" s="469"/>
      <c r="AE26" s="348">
        <f t="shared" si="3"/>
        <v>0</v>
      </c>
      <c r="AF26" s="563">
        <f>'18'!AF26+'19'!AB26</f>
        <v>0</v>
      </c>
      <c r="AG26" s="234">
        <f>'18'!AG26+'19'!AD26</f>
        <v>0</v>
      </c>
    </row>
    <row r="27" spans="1:36" ht="27" customHeight="1">
      <c r="A27" s="715" t="str">
        <f>'18'!A27</f>
        <v>SHAHZORE</v>
      </c>
      <c r="B27" s="234"/>
      <c r="C27" s="348">
        <f>'18'!D27</f>
        <v>0</v>
      </c>
      <c r="D27" s="234">
        <f t="shared" si="9"/>
        <v>0</v>
      </c>
      <c r="F27" s="479" t="str">
        <f>'18'!F27</f>
        <v>SALEEM ORANGI</v>
      </c>
      <c r="G27" s="406">
        <f>'CUSTOMERS REPORT'!Y763</f>
        <v>0</v>
      </c>
      <c r="H27" s="504">
        <f>'CUSTOMERS REPORT'!Z763</f>
        <v>0</v>
      </c>
      <c r="I27" s="406">
        <f>'CUSTOMERS REPORT'!AA763</f>
        <v>0</v>
      </c>
      <c r="J27" s="498">
        <f>'CUSTOMERS REPORT'!AB763</f>
        <v>0</v>
      </c>
      <c r="K27" s="498">
        <f>'CUSTOMERS REPORT'!AC763</f>
        <v>0</v>
      </c>
      <c r="L27" s="509">
        <f>'CUSTOMERS REPORT'!AD763</f>
        <v>0</v>
      </c>
      <c r="M27" s="414">
        <f>'18'!M27+'19'!G27</f>
        <v>0</v>
      </c>
      <c r="N27" s="412">
        <f>'18'!N27+'19'!J27</f>
        <v>0</v>
      </c>
      <c r="P27" s="433"/>
      <c r="Q27" s="435"/>
      <c r="R27" t="s">
        <v>1</v>
      </c>
      <c r="S27" s="399" t="str">
        <f>'18'!S27</f>
        <v>MAKKI 5</v>
      </c>
      <c r="T27" s="446">
        <f>'18'!X27</f>
        <v>0</v>
      </c>
      <c r="U27" s="456"/>
      <c r="V27" s="451">
        <f t="shared" si="0"/>
        <v>0</v>
      </c>
      <c r="W27" s="451"/>
      <c r="X27" s="447">
        <f t="shared" si="1"/>
        <v>0</v>
      </c>
      <c r="Z27" s="375">
        <f>'18'!Z27</f>
        <v>0</v>
      </c>
      <c r="AA27" s="464">
        <f>'18'!AE27</f>
        <v>0</v>
      </c>
      <c r="AB27" s="460"/>
      <c r="AC27" s="462">
        <f t="shared" si="2"/>
        <v>0</v>
      </c>
      <c r="AD27" s="469"/>
      <c r="AE27" s="348">
        <f t="shared" si="3"/>
        <v>0</v>
      </c>
      <c r="AF27" s="563">
        <f>'18'!AF27+'19'!AB27</f>
        <v>0</v>
      </c>
      <c r="AG27" s="234">
        <f>'18'!AG27+'19'!AD27</f>
        <v>0</v>
      </c>
    </row>
    <row r="28" spans="1:36" ht="27" customHeight="1">
      <c r="A28" s="715" t="str">
        <f>'18'!A28</f>
        <v>GENERATOR</v>
      </c>
      <c r="B28" s="234"/>
      <c r="C28" s="348">
        <f>'18'!D28</f>
        <v>28700</v>
      </c>
      <c r="D28" s="234">
        <f t="shared" si="9"/>
        <v>28700</v>
      </c>
      <c r="F28" s="479" t="str">
        <f>'18'!F28</f>
        <v>AYAZ OUSTA</v>
      </c>
      <c r="G28" s="406">
        <f>'CUSTOMERS REPORT'!Y801</f>
        <v>0</v>
      </c>
      <c r="H28" s="504">
        <f>'CUSTOMERS REPORT'!Z801</f>
        <v>0</v>
      </c>
      <c r="I28" s="406">
        <f>'CUSTOMERS REPORT'!AA801</f>
        <v>0</v>
      </c>
      <c r="J28" s="498">
        <f>'CUSTOMERS REPORT'!AB801</f>
        <v>0</v>
      </c>
      <c r="K28" s="498">
        <f>'CUSTOMERS REPORT'!AC801</f>
        <v>0</v>
      </c>
      <c r="L28" s="509">
        <f>'CUSTOMERS REPORT'!AD801</f>
        <v>0</v>
      </c>
      <c r="M28" s="414">
        <f>'18'!M28+'19'!G28</f>
        <v>0</v>
      </c>
      <c r="N28" s="412">
        <f>'18'!N28+'19'!J28</f>
        <v>0</v>
      </c>
      <c r="P28" s="433"/>
      <c r="Q28" s="438"/>
      <c r="S28" s="399" t="str">
        <f>'18'!S28</f>
        <v>MAKKI 2 PES</v>
      </c>
      <c r="T28" s="446">
        <f>'18'!X28</f>
        <v>0</v>
      </c>
      <c r="U28" s="456"/>
      <c r="V28" s="451">
        <f t="shared" si="0"/>
        <v>0</v>
      </c>
      <c r="W28" s="451"/>
      <c r="X28" s="447">
        <f t="shared" si="1"/>
        <v>0</v>
      </c>
      <c r="Z28" s="375">
        <f>'18'!Z28</f>
        <v>0</v>
      </c>
      <c r="AA28" s="464">
        <f>'18'!AE28</f>
        <v>0</v>
      </c>
      <c r="AB28" s="460"/>
      <c r="AC28" s="462">
        <f t="shared" si="2"/>
        <v>0</v>
      </c>
      <c r="AD28" s="469"/>
      <c r="AE28" s="348">
        <f t="shared" si="3"/>
        <v>0</v>
      </c>
      <c r="AF28" s="563">
        <f>'18'!AF28+'19'!AB28</f>
        <v>0</v>
      </c>
      <c r="AG28" s="234">
        <f>'18'!AG28+'19'!AD28</f>
        <v>0</v>
      </c>
    </row>
    <row r="29" spans="1:36" ht="27" customHeight="1">
      <c r="A29" s="715" t="str">
        <f>'18'!A29</f>
        <v>PATROL FAW</v>
      </c>
      <c r="B29" s="234">
        <v>3000</v>
      </c>
      <c r="C29" s="348">
        <f>'18'!D29</f>
        <v>18350</v>
      </c>
      <c r="D29" s="234">
        <f t="shared" si="9"/>
        <v>21350</v>
      </c>
      <c r="F29" s="479" t="str">
        <f>'18'!F29</f>
        <v>AZHAR BADEEN</v>
      </c>
      <c r="G29" s="406">
        <f>'CUSTOMERS REPORT'!Y839</f>
        <v>0</v>
      </c>
      <c r="H29" s="504">
        <f>'CUSTOMERS REPORT'!Z839</f>
        <v>0</v>
      </c>
      <c r="I29" s="406">
        <f>'CUSTOMERS REPORT'!AA839</f>
        <v>0</v>
      </c>
      <c r="J29" s="498">
        <f>'CUSTOMERS REPORT'!AB839</f>
        <v>0</v>
      </c>
      <c r="K29" s="498">
        <f>'CUSTOMERS REPORT'!AC839</f>
        <v>0</v>
      </c>
      <c r="L29" s="509">
        <f>'CUSTOMERS REPORT'!AD839</f>
        <v>0</v>
      </c>
      <c r="M29" s="414">
        <f>'18'!M29+'19'!G29</f>
        <v>0</v>
      </c>
      <c r="N29" s="412">
        <f>'18'!N29+'19'!J29</f>
        <v>0</v>
      </c>
      <c r="P29" s="433"/>
      <c r="Q29" s="441"/>
      <c r="S29" s="399" t="str">
        <f>'18'!S29</f>
        <v xml:space="preserve">PRIME </v>
      </c>
      <c r="T29" s="446">
        <f>'18'!X29</f>
        <v>0</v>
      </c>
      <c r="U29" s="456"/>
      <c r="V29" s="451">
        <f t="shared" si="0"/>
        <v>0</v>
      </c>
      <c r="W29" s="451"/>
      <c r="X29" s="447">
        <f t="shared" si="1"/>
        <v>0</v>
      </c>
      <c r="Z29" s="375">
        <f>'18'!Z29</f>
        <v>0</v>
      </c>
      <c r="AA29" s="464">
        <f>'18'!AE29</f>
        <v>0</v>
      </c>
      <c r="AB29" s="460"/>
      <c r="AC29" s="462">
        <f t="shared" si="2"/>
        <v>0</v>
      </c>
      <c r="AD29" s="469"/>
      <c r="AE29" s="348">
        <f t="shared" si="3"/>
        <v>0</v>
      </c>
      <c r="AF29" s="563">
        <f>'18'!AF29+'19'!AB29</f>
        <v>0</v>
      </c>
      <c r="AG29" s="234">
        <f>'18'!AG29+'19'!AD29</f>
        <v>0</v>
      </c>
    </row>
    <row r="30" spans="1:36" ht="27" customHeight="1">
      <c r="A30" s="715" t="str">
        <f>'18'!A30</f>
        <v>FOTON DIESEL</v>
      </c>
      <c r="B30" s="234"/>
      <c r="C30" s="348">
        <f>'18'!D30</f>
        <v>2300</v>
      </c>
      <c r="D30" s="234">
        <f t="shared" si="9"/>
        <v>2300</v>
      </c>
      <c r="F30" s="479" t="str">
        <f>'18'!F30</f>
        <v>FAISAL HUB</v>
      </c>
      <c r="G30" s="406">
        <f>'CUSTOMERS REPORT'!Y877</f>
        <v>0</v>
      </c>
      <c r="H30" s="504">
        <f>'CUSTOMERS REPORT'!Z877</f>
        <v>0</v>
      </c>
      <c r="I30" s="406">
        <f>'CUSTOMERS REPORT'!AA877</f>
        <v>0</v>
      </c>
      <c r="J30" s="498">
        <f>'CUSTOMERS REPORT'!AB877</f>
        <v>0</v>
      </c>
      <c r="K30" s="498">
        <f>'CUSTOMERS REPORT'!AC877</f>
        <v>0</v>
      </c>
      <c r="L30" s="509">
        <f>'CUSTOMERS REPORT'!AD877</f>
        <v>0</v>
      </c>
      <c r="M30" s="414">
        <f>'18'!M30+'19'!G30</f>
        <v>0</v>
      </c>
      <c r="N30" s="412">
        <f>'18'!N30+'19'!J30</f>
        <v>0</v>
      </c>
      <c r="P30" s="433"/>
      <c r="Q30" s="442"/>
      <c r="S30" s="399" t="str">
        <f>'18'!S30</f>
        <v>PRIMR 15</v>
      </c>
      <c r="T30" s="446">
        <f>'18'!X30</f>
        <v>0</v>
      </c>
      <c r="U30" s="456"/>
      <c r="V30" s="451">
        <f t="shared" si="0"/>
        <v>0</v>
      </c>
      <c r="W30" s="451"/>
      <c r="X30" s="447">
        <f t="shared" si="1"/>
        <v>0</v>
      </c>
      <c r="Z30" s="375">
        <f>'18'!Z30</f>
        <v>0</v>
      </c>
      <c r="AA30" s="464">
        <f>'18'!AE30</f>
        <v>0</v>
      </c>
      <c r="AB30" s="460"/>
      <c r="AC30" s="462">
        <f t="shared" si="2"/>
        <v>0</v>
      </c>
      <c r="AD30" s="469"/>
      <c r="AE30" s="348">
        <f t="shared" si="3"/>
        <v>0</v>
      </c>
      <c r="AF30" s="563">
        <f>'18'!AF30+'19'!AB30</f>
        <v>0</v>
      </c>
      <c r="AG30" s="234">
        <f>'18'!AG30+'19'!AD30</f>
        <v>0</v>
      </c>
    </row>
    <row r="31" spans="1:36" ht="27" customHeight="1" thickBot="1">
      <c r="A31" s="715" t="str">
        <f>'18'!A31</f>
        <v>UTILITY BILLS</v>
      </c>
      <c r="B31" s="234"/>
      <c r="C31" s="548">
        <f>'18'!D31</f>
        <v>44420</v>
      </c>
      <c r="D31" s="234">
        <f t="shared" si="9"/>
        <v>44420</v>
      </c>
      <c r="F31" s="479" t="str">
        <f>'18'!F31</f>
        <v>ABDUL RAHMAN</v>
      </c>
      <c r="G31" s="406">
        <f>'CUSTOMERS REPORT'!Y916</f>
        <v>0</v>
      </c>
      <c r="H31" s="504">
        <f>'CUSTOMERS REPORT'!Z916</f>
        <v>0</v>
      </c>
      <c r="I31" s="406">
        <f>'CUSTOMERS REPORT'!AA916</f>
        <v>0</v>
      </c>
      <c r="J31" s="498">
        <f>'CUSTOMERS REPORT'!AB916</f>
        <v>0</v>
      </c>
      <c r="K31" s="498">
        <f>'CUSTOMERS REPORT'!AC916</f>
        <v>0</v>
      </c>
      <c r="L31" s="509">
        <f>'CUSTOMERS REPORT'!AD916</f>
        <v>0</v>
      </c>
      <c r="M31" s="414">
        <f>'18'!M31+'19'!G31</f>
        <v>0</v>
      </c>
      <c r="N31" s="412">
        <f>'18'!N31+'19'!J31</f>
        <v>0</v>
      </c>
      <c r="P31" s="433"/>
      <c r="Q31" s="435"/>
      <c r="S31" s="399" t="str">
        <f>'18'!S31</f>
        <v>KARACHI</v>
      </c>
      <c r="T31" s="446">
        <f>'18'!X31</f>
        <v>0</v>
      </c>
      <c r="U31" s="456"/>
      <c r="V31" s="451">
        <f t="shared" si="0"/>
        <v>0</v>
      </c>
      <c r="W31" s="451"/>
      <c r="X31" s="447">
        <f t="shared" si="1"/>
        <v>0</v>
      </c>
      <c r="Z31" s="375">
        <f>'18'!Z31</f>
        <v>0</v>
      </c>
      <c r="AA31" s="464">
        <f>'18'!AE31</f>
        <v>0</v>
      </c>
      <c r="AB31" s="460"/>
      <c r="AC31" s="462">
        <f t="shared" si="2"/>
        <v>0</v>
      </c>
      <c r="AD31" s="469"/>
      <c r="AE31" s="348">
        <f t="shared" si="3"/>
        <v>0</v>
      </c>
      <c r="AF31" s="563">
        <f>'18'!AF31+'19'!AB31</f>
        <v>0</v>
      </c>
      <c r="AG31" s="234">
        <f>'18'!AG31+'19'!AD31</f>
        <v>0</v>
      </c>
      <c r="AI31" t="s">
        <v>1</v>
      </c>
    </row>
    <row r="32" spans="1:36" ht="27" customHeight="1" thickTop="1" thickBot="1">
      <c r="A32" s="716" t="str">
        <f>'18'!A32</f>
        <v>WOOD</v>
      </c>
      <c r="B32" s="234"/>
      <c r="C32" s="348">
        <f>'18'!D32</f>
        <v>0</v>
      </c>
      <c r="D32" s="550">
        <f t="shared" si="9"/>
        <v>0</v>
      </c>
      <c r="F32" s="479" t="str">
        <f>'18'!F32</f>
        <v>HAJI JAN GIWANI</v>
      </c>
      <c r="G32" s="406">
        <f>'CUSTOMERS REPORT'!Y955</f>
        <v>0</v>
      </c>
      <c r="H32" s="504">
        <f>'CUSTOMERS REPORT'!Z955</f>
        <v>0</v>
      </c>
      <c r="I32" s="406">
        <f>'CUSTOMERS REPORT'!AA955</f>
        <v>0</v>
      </c>
      <c r="J32" s="498">
        <f>'CUSTOMERS REPORT'!AB955</f>
        <v>0</v>
      </c>
      <c r="K32" s="498">
        <f>'CUSTOMERS REPORT'!AC955</f>
        <v>0</v>
      </c>
      <c r="L32" s="509">
        <f>'CUSTOMERS REPORT'!AD955</f>
        <v>0</v>
      </c>
      <c r="M32" s="414">
        <f>'18'!M32+'19'!G32</f>
        <v>0</v>
      </c>
      <c r="N32" s="412">
        <f>'18'!N32+'19'!J32</f>
        <v>0</v>
      </c>
      <c r="P32" s="190" t="s">
        <v>51</v>
      </c>
      <c r="Q32" s="439">
        <f>Q23-Q25-Q26-Q27-Q28-Q29-Q30-Q31</f>
        <v>0</v>
      </c>
      <c r="R32" t="s">
        <v>1</v>
      </c>
      <c r="S32" s="399" t="str">
        <f>'18'!S32</f>
        <v>MARVI</v>
      </c>
      <c r="T32" s="446">
        <f>'18'!X32</f>
        <v>0</v>
      </c>
      <c r="U32" s="456"/>
      <c r="V32" s="451">
        <f t="shared" si="0"/>
        <v>0</v>
      </c>
      <c r="W32" s="451"/>
      <c r="X32" s="447">
        <f t="shared" si="1"/>
        <v>0</v>
      </c>
      <c r="Z32" s="375">
        <f>'18'!Z32</f>
        <v>0</v>
      </c>
      <c r="AA32" s="464">
        <f>'18'!AE32</f>
        <v>0</v>
      </c>
      <c r="AB32" s="460"/>
      <c r="AC32" s="462">
        <f t="shared" si="2"/>
        <v>0</v>
      </c>
      <c r="AD32" s="469"/>
      <c r="AE32" s="348">
        <f t="shared" si="3"/>
        <v>0</v>
      </c>
      <c r="AF32" s="563">
        <f>'18'!AF32+'19'!AB32</f>
        <v>0</v>
      </c>
      <c r="AG32" s="234">
        <f>'18'!AG32+'19'!AD32</f>
        <v>0</v>
      </c>
    </row>
    <row r="33" spans="1:40" ht="27" customHeight="1" thickTop="1" thickBot="1">
      <c r="A33" s="715" t="str">
        <f>'18'!A33</f>
        <v>TOLL</v>
      </c>
      <c r="B33" s="538"/>
      <c r="C33" s="348">
        <f>'18'!D33</f>
        <v>200</v>
      </c>
      <c r="D33" s="234">
        <f t="shared" si="9"/>
        <v>200</v>
      </c>
      <c r="F33" s="479" t="str">
        <f>'18'!F33</f>
        <v>ALI QURESHI HYD</v>
      </c>
      <c r="G33" s="406">
        <f>'CUSTOMERS REPORT'!Y993</f>
        <v>0</v>
      </c>
      <c r="H33" s="504">
        <f>'CUSTOMERS REPORT'!Z993</f>
        <v>0</v>
      </c>
      <c r="I33" s="406">
        <f>'CUSTOMERS REPORT'!AA993</f>
        <v>0</v>
      </c>
      <c r="J33" s="498">
        <f>'CUSTOMERS REPORT'!AB993</f>
        <v>0</v>
      </c>
      <c r="K33" s="498">
        <f>'CUSTOMERS REPORT'!AC993</f>
        <v>0</v>
      </c>
      <c r="L33" s="509">
        <f>'CUSTOMERS REPORT'!AD993</f>
        <v>0</v>
      </c>
      <c r="M33" s="414">
        <f>'18'!M33+'19'!G33</f>
        <v>0</v>
      </c>
      <c r="N33" s="412">
        <f>'18'!N33+'19'!J33</f>
        <v>0</v>
      </c>
      <c r="P33" s="1499" t="s">
        <v>149</v>
      </c>
      <c r="Q33" s="1500"/>
      <c r="S33" s="399" t="str">
        <f>'18'!S33</f>
        <v>TS</v>
      </c>
      <c r="T33" s="446">
        <f>'18'!X33</f>
        <v>0</v>
      </c>
      <c r="U33" s="456"/>
      <c r="V33" s="451">
        <f t="shared" si="0"/>
        <v>0</v>
      </c>
      <c r="W33" s="451"/>
      <c r="X33" s="447">
        <f t="shared" si="1"/>
        <v>0</v>
      </c>
      <c r="Z33" s="375">
        <f>'18'!Z33</f>
        <v>0</v>
      </c>
      <c r="AA33" s="464">
        <f>'18'!AE33</f>
        <v>0</v>
      </c>
      <c r="AB33" s="460"/>
      <c r="AC33" s="462">
        <f t="shared" si="2"/>
        <v>0</v>
      </c>
      <c r="AD33" s="469"/>
      <c r="AE33" s="348">
        <f t="shared" si="3"/>
        <v>0</v>
      </c>
      <c r="AF33" s="563">
        <f>'18'!AF33+'19'!AB33</f>
        <v>0</v>
      </c>
      <c r="AG33" s="234">
        <f>'18'!AG33+'19'!AD33</f>
        <v>0</v>
      </c>
    </row>
    <row r="34" spans="1:40" ht="27" customHeight="1" thickTop="1" thickBot="1">
      <c r="A34" s="716" t="str">
        <f>'18'!A34</f>
        <v>FLOUR / SHGER</v>
      </c>
      <c r="B34" s="538"/>
      <c r="C34" s="348">
        <f>'18'!D34</f>
        <v>620</v>
      </c>
      <c r="D34" s="234">
        <f t="shared" si="9"/>
        <v>620</v>
      </c>
      <c r="F34" s="479" t="str">
        <f>'18'!F34</f>
        <v>ALI RAZA KAND KOT</v>
      </c>
      <c r="G34" s="406">
        <f>'CUSTOMERS REPORT'!Y1031</f>
        <v>0</v>
      </c>
      <c r="H34" s="504">
        <f>'CUSTOMERS REPORT'!Z1031</f>
        <v>0</v>
      </c>
      <c r="I34" s="406">
        <f>'CUSTOMERS REPORT'!AA1031</f>
        <v>0</v>
      </c>
      <c r="J34" s="498">
        <f>'CUSTOMERS REPORT'!AB1031</f>
        <v>0</v>
      </c>
      <c r="K34" s="498">
        <f>'CUSTOMERS REPORT'!AC1031</f>
        <v>0</v>
      </c>
      <c r="L34" s="509">
        <f>'CUSTOMERS REPORT'!AD1031</f>
        <v>0</v>
      </c>
      <c r="M34" s="414">
        <f>'18'!M34+'19'!G34</f>
        <v>0</v>
      </c>
      <c r="N34" s="412">
        <f>'18'!N34+'19'!J34</f>
        <v>0</v>
      </c>
      <c r="P34" s="220" t="s">
        <v>150</v>
      </c>
      <c r="Q34" s="223">
        <f>'18'!Q34</f>
        <v>0</v>
      </c>
      <c r="S34" s="399" t="str">
        <f>'18'!S34</f>
        <v>MAXI</v>
      </c>
      <c r="T34" s="446">
        <f>'18'!X34</f>
        <v>0</v>
      </c>
      <c r="U34" s="457"/>
      <c r="V34" s="452">
        <f t="shared" si="0"/>
        <v>0</v>
      </c>
      <c r="W34" s="452"/>
      <c r="X34" s="448">
        <f t="shared" si="1"/>
        <v>0</v>
      </c>
      <c r="Z34" s="375">
        <f>'18'!Z34</f>
        <v>0</v>
      </c>
      <c r="AA34" s="464">
        <f>'18'!AE34</f>
        <v>0</v>
      </c>
      <c r="AB34" s="460"/>
      <c r="AC34" s="462">
        <f t="shared" si="2"/>
        <v>0</v>
      </c>
      <c r="AD34" s="469"/>
      <c r="AE34" s="348">
        <f t="shared" si="3"/>
        <v>0</v>
      </c>
      <c r="AF34" s="563">
        <f>'18'!AF34+'19'!AB34</f>
        <v>0</v>
      </c>
      <c r="AG34" s="234">
        <f>'18'!AG34+'19'!AD34</f>
        <v>0</v>
      </c>
    </row>
    <row r="35" spans="1:40" ht="27" customHeight="1" thickTop="1">
      <c r="A35" s="716" t="str">
        <f>'18'!A35</f>
        <v>OVEN &amp; PP MACHINE</v>
      </c>
      <c r="B35" s="529"/>
      <c r="C35" s="348">
        <f>'18'!D35</f>
        <v>0</v>
      </c>
      <c r="D35" s="529">
        <f t="shared" si="9"/>
        <v>0</v>
      </c>
      <c r="F35" s="479" t="str">
        <f>'18'!F35</f>
        <v>IQBAL MORO</v>
      </c>
      <c r="G35" s="407">
        <f>'CUSTOMERS REPORT'!Y1069</f>
        <v>0</v>
      </c>
      <c r="H35" s="505">
        <f>'CUSTOMERS REPORT'!Z1069</f>
        <v>0</v>
      </c>
      <c r="I35" s="407">
        <f>'CUSTOMERS REPORT'!AA1069</f>
        <v>0</v>
      </c>
      <c r="J35" s="499">
        <f>'CUSTOMERS REPORT'!AB1069</f>
        <v>0</v>
      </c>
      <c r="K35" s="499">
        <f>'CUSTOMERS REPORT'!AC1069</f>
        <v>0</v>
      </c>
      <c r="L35" s="510">
        <f>'CUSTOMERS REPORT'!AD1069</f>
        <v>0</v>
      </c>
      <c r="M35" s="414">
        <f>'18'!M35+'19'!G35</f>
        <v>0</v>
      </c>
      <c r="N35" s="412">
        <f>'18'!N35+'19'!J35</f>
        <v>0</v>
      </c>
      <c r="P35" s="252" t="s">
        <v>151</v>
      </c>
      <c r="Q35" s="443">
        <f>'18'!Q35</f>
        <v>0</v>
      </c>
      <c r="R35" t="s">
        <v>1</v>
      </c>
      <c r="S35" s="399" t="str">
        <f>'18'!S35</f>
        <v>M A WHITE</v>
      </c>
      <c r="T35" s="446">
        <f>'18'!X35</f>
        <v>0</v>
      </c>
      <c r="U35" s="457"/>
      <c r="V35" s="452">
        <f t="shared" si="0"/>
        <v>0</v>
      </c>
      <c r="W35" s="452"/>
      <c r="X35" s="448">
        <f t="shared" si="1"/>
        <v>0</v>
      </c>
      <c r="Z35" s="375">
        <f>'18'!Z35</f>
        <v>0</v>
      </c>
      <c r="AA35" s="464">
        <f>'18'!AE35</f>
        <v>0</v>
      </c>
      <c r="AB35" s="460"/>
      <c r="AC35" s="462">
        <f t="shared" si="2"/>
        <v>0</v>
      </c>
      <c r="AD35" s="469"/>
      <c r="AE35" s="348">
        <f t="shared" si="3"/>
        <v>0</v>
      </c>
      <c r="AF35" s="563">
        <f>'18'!AF35+'19'!AB35</f>
        <v>0</v>
      </c>
      <c r="AG35" s="234">
        <f>'18'!AG35+'19'!AD35</f>
        <v>0</v>
      </c>
    </row>
    <row r="36" spans="1:40" ht="27" customHeight="1">
      <c r="A36" s="716" t="str">
        <f>'18'!A36</f>
        <v>zakat</v>
      </c>
      <c r="B36" s="539"/>
      <c r="C36" s="348">
        <f>'18'!D36</f>
        <v>0</v>
      </c>
      <c r="D36" s="529">
        <f t="shared" si="9"/>
        <v>0</v>
      </c>
      <c r="F36" s="479" t="str">
        <f>'18'!F36</f>
        <v>SARFARAZ T ADAM</v>
      </c>
      <c r="G36" s="407">
        <f>'CUSTOMERS REPORT'!Y1107</f>
        <v>0</v>
      </c>
      <c r="H36" s="505">
        <f>'CUSTOMERS REPORT'!Z1107</f>
        <v>0</v>
      </c>
      <c r="I36" s="407">
        <f>'CUSTOMERS REPORT'!AA1107</f>
        <v>0</v>
      </c>
      <c r="J36" s="499">
        <f>'CUSTOMERS REPORT'!AB1107</f>
        <v>0</v>
      </c>
      <c r="K36" s="499">
        <f>'CUSTOMERS REPORT'!AC1107</f>
        <v>0</v>
      </c>
      <c r="L36" s="510">
        <f>'CUSTOMERS REPORT'!AD1107</f>
        <v>0</v>
      </c>
      <c r="M36" s="414">
        <f>'18'!M36+'19'!G36</f>
        <v>0</v>
      </c>
      <c r="N36" s="412">
        <f>'18'!N36+'19'!J36</f>
        <v>0</v>
      </c>
      <c r="P36" s="372" t="s">
        <v>152</v>
      </c>
      <c r="Q36" s="444">
        <f>J48</f>
        <v>0</v>
      </c>
      <c r="R36" t="s">
        <v>1</v>
      </c>
      <c r="S36" s="399" t="str">
        <f>'18'!S36</f>
        <v>M A ORING</v>
      </c>
      <c r="T36" s="446">
        <f>'18'!X36</f>
        <v>0</v>
      </c>
      <c r="U36" s="456"/>
      <c r="V36" s="451">
        <f t="shared" si="0"/>
        <v>0</v>
      </c>
      <c r="W36" s="452"/>
      <c r="X36" s="448">
        <f t="shared" si="1"/>
        <v>0</v>
      </c>
      <c r="Z36" s="375">
        <f>'18'!Z36</f>
        <v>0</v>
      </c>
      <c r="AA36" s="464">
        <f>'18'!AE36</f>
        <v>0</v>
      </c>
      <c r="AB36" s="460"/>
      <c r="AC36" s="462">
        <f t="shared" si="2"/>
        <v>0</v>
      </c>
      <c r="AD36" s="469"/>
      <c r="AE36" s="348">
        <f t="shared" si="3"/>
        <v>0</v>
      </c>
      <c r="AF36" s="563">
        <f>'18'!AF36+'19'!AB36</f>
        <v>0</v>
      </c>
      <c r="AG36" s="234">
        <f>'18'!AG36+'19'!AD36</f>
        <v>0</v>
      </c>
    </row>
    <row r="37" spans="1:40" ht="27" customHeight="1">
      <c r="A37" s="716" t="str">
        <f>'18'!A37</f>
        <v>javeed manghopir</v>
      </c>
      <c r="B37" s="234"/>
      <c r="C37" s="348">
        <f>'18'!D37</f>
        <v>0</v>
      </c>
      <c r="D37" s="234">
        <f t="shared" si="9"/>
        <v>0</v>
      </c>
      <c r="F37" s="479" t="str">
        <f>'18'!F37</f>
        <v>MUMTAZ K N SHAH</v>
      </c>
      <c r="G37" s="406">
        <f>'CUSTOMERS REPORT'!Y1145</f>
        <v>0</v>
      </c>
      <c r="H37" s="504">
        <f>'CUSTOMERS REPORT'!Z1145</f>
        <v>0</v>
      </c>
      <c r="I37" s="406">
        <f>'CUSTOMERS REPORT'!AA1145</f>
        <v>0</v>
      </c>
      <c r="J37" s="498">
        <f>'CUSTOMERS REPORT'!AB1145</f>
        <v>0</v>
      </c>
      <c r="K37" s="498">
        <f>'CUSTOMERS REPORT'!AC1145</f>
        <v>0</v>
      </c>
      <c r="L37" s="509">
        <f>'CUSTOMERS REPORT'!AD1145</f>
        <v>0</v>
      </c>
      <c r="M37" s="414">
        <f>'18'!M37+'19'!G37</f>
        <v>0</v>
      </c>
      <c r="N37" s="412">
        <f>'18'!N37+'19'!J37</f>
        <v>0</v>
      </c>
      <c r="P37" s="373" t="s">
        <v>153</v>
      </c>
      <c r="Q37" s="445">
        <f>Q34+Q35+Q36</f>
        <v>0</v>
      </c>
      <c r="R37" t="s">
        <v>1</v>
      </c>
      <c r="S37" s="399">
        <f>'18'!S37</f>
        <v>0</v>
      </c>
      <c r="T37" s="446">
        <f>'18'!X37</f>
        <v>0</v>
      </c>
      <c r="U37" s="456"/>
      <c r="V37" s="451">
        <f t="shared" si="0"/>
        <v>0</v>
      </c>
      <c r="W37" s="452"/>
      <c r="X37" s="448">
        <f t="shared" si="1"/>
        <v>0</v>
      </c>
      <c r="Z37" s="375">
        <f>'18'!Z37</f>
        <v>0</v>
      </c>
      <c r="AA37" s="464">
        <f>'18'!AE37</f>
        <v>0</v>
      </c>
      <c r="AB37" s="460"/>
      <c r="AC37" s="462">
        <f t="shared" si="2"/>
        <v>0</v>
      </c>
      <c r="AD37" s="469"/>
      <c r="AE37" s="348">
        <f t="shared" si="3"/>
        <v>0</v>
      </c>
      <c r="AF37" s="563">
        <f>'18'!AF37+'19'!AB37</f>
        <v>0</v>
      </c>
      <c r="AG37" s="234">
        <f>'18'!AG37+'19'!AD37</f>
        <v>0</v>
      </c>
    </row>
    <row r="38" spans="1:40" ht="27" customHeight="1">
      <c r="A38" s="715" t="str">
        <f>'18'!A38</f>
        <v>EXSIS CASH</v>
      </c>
      <c r="B38" s="234"/>
      <c r="C38" s="348">
        <f>'18'!D38</f>
        <v>0</v>
      </c>
      <c r="D38" s="234">
        <f t="shared" si="9"/>
        <v>0</v>
      </c>
      <c r="F38" s="479" t="str">
        <f>'18'!F38</f>
        <v>GHULAM RASOOL QU</v>
      </c>
      <c r="G38" s="408">
        <f>'CUSTOMERS REPORT'!Y1182</f>
        <v>0</v>
      </c>
      <c r="H38" s="506">
        <f>'CUSTOMERS REPORT'!Z1182</f>
        <v>0</v>
      </c>
      <c r="I38" s="408">
        <f>'CUSTOMERS REPORT'!AA1182</f>
        <v>0</v>
      </c>
      <c r="J38" s="500">
        <f>'CUSTOMERS REPORT'!AB1182</f>
        <v>0</v>
      </c>
      <c r="K38" s="500">
        <f>'CUSTOMERS REPORT'!AC1182</f>
        <v>0</v>
      </c>
      <c r="L38" s="511">
        <f>'CUSTOMERS REPORT'!AD1182</f>
        <v>0</v>
      </c>
      <c r="M38" s="414">
        <f>'18'!M38+'19'!G38</f>
        <v>0</v>
      </c>
      <c r="N38" s="412">
        <f>'18'!N38+'19'!J38</f>
        <v>0</v>
      </c>
      <c r="P38" s="373" t="s">
        <v>154</v>
      </c>
      <c r="Q38" s="445">
        <f>D48</f>
        <v>2500790</v>
      </c>
      <c r="S38" s="399">
        <f>'18'!S38</f>
        <v>0</v>
      </c>
      <c r="T38" s="446">
        <f>'18'!X38</f>
        <v>0</v>
      </c>
      <c r="U38" s="456"/>
      <c r="V38" s="451">
        <f t="shared" si="0"/>
        <v>0</v>
      </c>
      <c r="W38" s="452"/>
      <c r="X38" s="448">
        <f t="shared" si="1"/>
        <v>0</v>
      </c>
      <c r="Z38" s="375">
        <f>'18'!Z38</f>
        <v>0</v>
      </c>
      <c r="AA38" s="464">
        <f>'18'!AE38</f>
        <v>0</v>
      </c>
      <c r="AB38" s="460"/>
      <c r="AC38" s="462">
        <f t="shared" si="2"/>
        <v>0</v>
      </c>
      <c r="AD38" s="469"/>
      <c r="AE38" s="348">
        <f t="shared" si="3"/>
        <v>0</v>
      </c>
      <c r="AF38" s="563">
        <f>'18'!AF38+'19'!AB38</f>
        <v>0</v>
      </c>
      <c r="AG38" s="234">
        <f>'18'!AG38+'19'!AD38</f>
        <v>0</v>
      </c>
    </row>
    <row r="39" spans="1:40" ht="28.5" customHeight="1">
      <c r="A39" s="715" t="str">
        <f>'18'!A39</f>
        <v>SHORT CASH</v>
      </c>
      <c r="B39" s="234"/>
      <c r="C39" s="348">
        <f>'18'!D39</f>
        <v>1950</v>
      </c>
      <c r="D39" s="234">
        <f t="shared" si="9"/>
        <v>1950</v>
      </c>
      <c r="F39" s="479" t="str">
        <f>'18'!F39</f>
        <v>SHAMSHAD UNCLE</v>
      </c>
      <c r="G39" s="406">
        <f>'CUSTOMERS REPORT'!Y1219</f>
        <v>0</v>
      </c>
      <c r="H39" s="504">
        <f>'CUSTOMERS REPORT'!Z1219</f>
        <v>0</v>
      </c>
      <c r="I39" s="406">
        <f>'CUSTOMERS REPORT'!AA1219</f>
        <v>0</v>
      </c>
      <c r="J39" s="498">
        <f>'CUSTOMERS REPORT'!AB1219</f>
        <v>0</v>
      </c>
      <c r="K39" s="498">
        <f>'CUSTOMERS REPORT'!AC1219</f>
        <v>0</v>
      </c>
      <c r="L39" s="509">
        <f>'CUSTOMERS REPORT'!AD1219</f>
        <v>0</v>
      </c>
      <c r="M39" s="414">
        <f>'18'!M39+'19'!G39</f>
        <v>0</v>
      </c>
      <c r="N39" s="412">
        <f>'18'!N39+'19'!J39</f>
        <v>0</v>
      </c>
      <c r="P39" s="373" t="s">
        <v>109</v>
      </c>
      <c r="Q39" s="445">
        <f>'18'!Q39+'19'!Q25+'19'!Q26+'19'!Q27+'19'!Q28+'19'!Q29+'19'!Q30+'19'!Q31</f>
        <v>0</v>
      </c>
      <c r="R39" t="s">
        <v>1</v>
      </c>
      <c r="S39" s="399">
        <f>'18'!S39</f>
        <v>0</v>
      </c>
      <c r="T39" s="446">
        <f>'18'!X39</f>
        <v>0</v>
      </c>
      <c r="U39" s="456"/>
      <c r="V39" s="451">
        <f t="shared" si="0"/>
        <v>0</v>
      </c>
      <c r="W39" s="452"/>
      <c r="X39" s="448">
        <f t="shared" si="1"/>
        <v>0</v>
      </c>
      <c r="Z39" s="375">
        <f>'18'!Z39</f>
        <v>0</v>
      </c>
      <c r="AA39" s="464">
        <f>'18'!AE39</f>
        <v>0</v>
      </c>
      <c r="AB39" s="460"/>
      <c r="AC39" s="462">
        <f t="shared" si="2"/>
        <v>0</v>
      </c>
      <c r="AD39" s="469"/>
      <c r="AE39" s="348">
        <f t="shared" si="3"/>
        <v>0</v>
      </c>
      <c r="AF39" s="563">
        <f>'18'!AF39+'19'!AB39</f>
        <v>0</v>
      </c>
      <c r="AG39" s="234">
        <f>'18'!AG39+'19'!AD39</f>
        <v>0</v>
      </c>
    </row>
    <row r="40" spans="1:40" ht="27" customHeight="1" thickBot="1">
      <c r="A40" s="715" t="str">
        <f>'18'!A40</f>
        <v>ASSETS</v>
      </c>
      <c r="B40" s="234"/>
      <c r="C40" s="348">
        <f>'18'!D40</f>
        <v>0</v>
      </c>
      <c r="D40" s="550">
        <f t="shared" si="9"/>
        <v>0</v>
      </c>
      <c r="F40" s="479" t="str">
        <f>'18'!F40</f>
        <v>IBRAHEEM D.G KHAN</v>
      </c>
      <c r="G40" s="406">
        <f>'CUSTOMERS REPORT'!Y1256</f>
        <v>0</v>
      </c>
      <c r="H40" s="504">
        <f>'CUSTOMERS REPORT'!Z1256</f>
        <v>0</v>
      </c>
      <c r="I40" s="406">
        <f>'CUSTOMERS REPORT'!AA1256</f>
        <v>0</v>
      </c>
      <c r="J40" s="498">
        <f>'CUSTOMERS REPORT'!AB1256</f>
        <v>0</v>
      </c>
      <c r="K40" s="498">
        <f>'CUSTOMERS REPORT'!AC1256</f>
        <v>0</v>
      </c>
      <c r="L40" s="509">
        <f>'CUSTOMERS REPORT'!AD1256</f>
        <v>0</v>
      </c>
      <c r="M40" s="414">
        <f>'18'!M40+'19'!G40</f>
        <v>0</v>
      </c>
      <c r="N40" s="412">
        <f>'18'!N40+'19'!J40</f>
        <v>0</v>
      </c>
      <c r="P40" s="374" t="s">
        <v>155</v>
      </c>
      <c r="Q40" s="445">
        <f>'18'!Q40+'19'!Q26+'19'!Q27+'19'!Q28+'19'!Q29+'19'!Q30+'19'!Q31+'19'!Q32</f>
        <v>-2368180</v>
      </c>
      <c r="S40" s="399">
        <f>'18'!S40</f>
        <v>0</v>
      </c>
      <c r="T40" s="446">
        <f>'18'!X40</f>
        <v>0</v>
      </c>
      <c r="U40" s="456"/>
      <c r="V40" s="451">
        <f t="shared" si="0"/>
        <v>0</v>
      </c>
      <c r="W40" s="452"/>
      <c r="X40" s="448">
        <f t="shared" si="1"/>
        <v>0</v>
      </c>
      <c r="Z40" s="375">
        <f>'18'!Z40</f>
        <v>0</v>
      </c>
      <c r="AA40" s="464">
        <f>'18'!AE40</f>
        <v>0</v>
      </c>
      <c r="AB40" s="460"/>
      <c r="AC40" s="462">
        <f t="shared" si="2"/>
        <v>0</v>
      </c>
      <c r="AD40" s="469"/>
      <c r="AE40" s="348">
        <f t="shared" si="3"/>
        <v>0</v>
      </c>
      <c r="AF40" s="563">
        <f>'18'!AF40+'19'!AB40</f>
        <v>0</v>
      </c>
      <c r="AG40" s="234">
        <f>'18'!AG40+'19'!AD40</f>
        <v>0</v>
      </c>
    </row>
    <row r="41" spans="1:40" ht="27" customHeight="1" thickTop="1" thickBot="1">
      <c r="A41" s="715" t="str">
        <f>'18'!A41</f>
        <v>BIKE.INSTALMINT</v>
      </c>
      <c r="B41" s="234"/>
      <c r="C41" s="348">
        <f>'18'!D41</f>
        <v>0</v>
      </c>
      <c r="D41" s="234">
        <f t="shared" si="9"/>
        <v>0</v>
      </c>
      <c r="E41" t="s">
        <v>1</v>
      </c>
      <c r="F41" s="479" t="str">
        <f>'18'!F41</f>
        <v>PISHAWAR</v>
      </c>
      <c r="G41" s="409">
        <f>'CUSTOMERS REPORT'!Y1293</f>
        <v>0</v>
      </c>
      <c r="H41" s="507">
        <f>'CUSTOMERS REPORT'!Z1293</f>
        <v>0</v>
      </c>
      <c r="I41" s="409">
        <f>'CUSTOMERS REPORT'!AA1293</f>
        <v>0</v>
      </c>
      <c r="J41" s="501">
        <f>'CUSTOMERS REPORT'!AB1293</f>
        <v>0</v>
      </c>
      <c r="K41" s="501">
        <f>'CUSTOMERS REPORT'!AC1293</f>
        <v>0</v>
      </c>
      <c r="L41" s="512">
        <f>'CUSTOMERS REPORT'!AD1293</f>
        <v>0</v>
      </c>
      <c r="M41" s="414">
        <f>'18'!M41+'19'!G41</f>
        <v>0</v>
      </c>
      <c r="N41" s="412">
        <f>'18'!N41+'19'!J41</f>
        <v>0</v>
      </c>
      <c r="P41" s="221" t="s">
        <v>51</v>
      </c>
      <c r="Q41" s="223">
        <f>Q37-Q38-Q39-Q40</f>
        <v>-132610</v>
      </c>
      <c r="S41" s="399">
        <f>'18'!S41</f>
        <v>0</v>
      </c>
      <c r="T41" s="446">
        <f>'18'!X41</f>
        <v>0</v>
      </c>
      <c r="U41" s="456"/>
      <c r="V41" s="451">
        <f t="shared" si="0"/>
        <v>0</v>
      </c>
      <c r="W41" s="452"/>
      <c r="X41" s="448">
        <f t="shared" si="1"/>
        <v>0</v>
      </c>
      <c r="Z41" s="375">
        <f>'18'!Z41</f>
        <v>0</v>
      </c>
      <c r="AA41" s="464">
        <f>'18'!AE41</f>
        <v>0</v>
      </c>
      <c r="AB41" s="460"/>
      <c r="AC41" s="462">
        <f t="shared" si="2"/>
        <v>0</v>
      </c>
      <c r="AD41" s="469"/>
      <c r="AE41" s="348">
        <f t="shared" si="3"/>
        <v>0</v>
      </c>
      <c r="AF41" s="563">
        <f>'18'!AF41+'19'!AB41</f>
        <v>0</v>
      </c>
      <c r="AG41" s="234">
        <f>'18'!AG41+'19'!AD41</f>
        <v>0</v>
      </c>
    </row>
    <row r="42" spans="1:40" ht="27" customHeight="1" thickTop="1" thickBot="1">
      <c r="A42" s="715" t="str">
        <f>'18'!A42</f>
        <v>B.C</v>
      </c>
      <c r="B42" s="529"/>
      <c r="C42" s="348">
        <f>'18'!D42</f>
        <v>0</v>
      </c>
      <c r="D42" s="529">
        <f t="shared" si="9"/>
        <v>0</v>
      </c>
      <c r="F42" s="479" t="str">
        <f>'18'!F42</f>
        <v>HUZAFA KOTRI</v>
      </c>
      <c r="G42" s="409">
        <f>'CUSTOMERS REPORT'!Y1330</f>
        <v>0</v>
      </c>
      <c r="H42" s="507">
        <f>'CUSTOMERS REPORT'!Z1330</f>
        <v>0</v>
      </c>
      <c r="I42" s="409">
        <f>'CUSTOMERS REPORT'!AA1330</f>
        <v>0</v>
      </c>
      <c r="J42" s="501">
        <f>'CUSTOMERS REPORT'!AB1330</f>
        <v>0</v>
      </c>
      <c r="K42" s="501">
        <f>'CUSTOMERS REPORT'!AC1330</f>
        <v>0</v>
      </c>
      <c r="L42" s="512">
        <f>'CUSTOMERS REPORT'!AD1330</f>
        <v>0</v>
      </c>
      <c r="M42" s="414">
        <f>'18'!M42+'19'!G42</f>
        <v>0</v>
      </c>
      <c r="N42" s="412">
        <f>'18'!N42+'19'!J42</f>
        <v>0</v>
      </c>
      <c r="P42" s="1499" t="s">
        <v>157</v>
      </c>
      <c r="Q42" s="1500"/>
      <c r="S42" s="399">
        <f>'18'!S42</f>
        <v>0</v>
      </c>
      <c r="T42" s="446">
        <f>'18'!X42</f>
        <v>0</v>
      </c>
      <c r="U42" s="458"/>
      <c r="V42" s="453">
        <f t="shared" si="0"/>
        <v>0</v>
      </c>
      <c r="W42" s="454"/>
      <c r="X42" s="449">
        <f t="shared" si="1"/>
        <v>0</v>
      </c>
      <c r="Z42" s="375">
        <f>'18'!Z42</f>
        <v>0</v>
      </c>
      <c r="AA42" s="464">
        <f>'18'!AE42</f>
        <v>0</v>
      </c>
      <c r="AB42" s="461"/>
      <c r="AC42" s="462">
        <f>AA42+AB42</f>
        <v>0</v>
      </c>
      <c r="AD42" s="470"/>
      <c r="AE42" s="348">
        <f t="shared" si="3"/>
        <v>0</v>
      </c>
      <c r="AF42" s="564">
        <f>'18'!AF42+'19'!AB42</f>
        <v>0</v>
      </c>
      <c r="AG42" s="572">
        <f>'18'!AG42+'19'!AD42</f>
        <v>0</v>
      </c>
    </row>
    <row r="43" spans="1:40" ht="27" customHeight="1" thickTop="1" thickBot="1">
      <c r="A43" s="715" t="str">
        <f>'18'!A43</f>
        <v>AQEEL</v>
      </c>
      <c r="B43" s="539"/>
      <c r="C43" s="348">
        <f>'18'!D43</f>
        <v>0</v>
      </c>
      <c r="D43" s="529">
        <f t="shared" si="9"/>
        <v>0</v>
      </c>
      <c r="F43" s="479" t="str">
        <f>'18'!F43</f>
        <v>ZAHID LAHORE</v>
      </c>
      <c r="G43" s="409">
        <f>'CUSTOMERS REPORT'!Y1367</f>
        <v>0</v>
      </c>
      <c r="H43" s="507">
        <f>'CUSTOMERS REPORT'!Z1367</f>
        <v>0</v>
      </c>
      <c r="I43" s="409">
        <f>'CUSTOMERS REPORT'!AA1367</f>
        <v>0</v>
      </c>
      <c r="J43" s="501">
        <f>'CUSTOMERS REPORT'!AB1367</f>
        <v>0</v>
      </c>
      <c r="K43" s="501">
        <f>'CUSTOMERS REPORT'!AC1367</f>
        <v>0</v>
      </c>
      <c r="L43" s="512">
        <f>'CUSTOMERS REPORT'!AD1367</f>
        <v>0</v>
      </c>
      <c r="M43" s="414">
        <f>'18'!M43+'19'!G43</f>
        <v>0</v>
      </c>
      <c r="N43" s="412">
        <f>'18'!N43+'19'!J43</f>
        <v>0</v>
      </c>
      <c r="P43" s="220" t="s">
        <v>124</v>
      </c>
      <c r="Q43" s="223">
        <f>'18'!Q48</f>
        <v>-2368180</v>
      </c>
      <c r="R43" t="s">
        <v>1</v>
      </c>
      <c r="S43" s="399">
        <f>'18'!S43</f>
        <v>0</v>
      </c>
      <c r="T43" s="446">
        <f>'18'!X43</f>
        <v>0</v>
      </c>
      <c r="U43" s="358"/>
      <c r="V43" s="453">
        <f t="shared" si="0"/>
        <v>0</v>
      </c>
      <c r="W43" s="403"/>
      <c r="X43" s="449">
        <f t="shared" si="1"/>
        <v>0</v>
      </c>
      <c r="Z43" s="383"/>
      <c r="AA43" s="356">
        <f>SUM(AA8:AA42)</f>
        <v>-1443000</v>
      </c>
      <c r="AB43" s="385">
        <f>SUM(AB8:AB42)</f>
        <v>59000</v>
      </c>
      <c r="AC43" s="357" t="s">
        <v>74</v>
      </c>
      <c r="AD43" s="387">
        <f>SUM(AD8:AD42)</f>
        <v>50000</v>
      </c>
      <c r="AE43" s="358">
        <f>SUM(AE8:AE42)</f>
        <v>-1434000</v>
      </c>
      <c r="AF43" s="565">
        <f>SUM(AF8:AF42)</f>
        <v>720250</v>
      </c>
      <c r="AG43" s="571">
        <f>SUM(AG8:AG42)</f>
        <v>2154250</v>
      </c>
    </row>
    <row r="44" spans="1:40" ht="27" customHeight="1" thickTop="1">
      <c r="A44" s="715" t="str">
        <f>'18'!A44</f>
        <v>M.YOUSUF</v>
      </c>
      <c r="B44" s="234">
        <v>20000</v>
      </c>
      <c r="C44" s="348">
        <f>'18'!D44</f>
        <v>20000</v>
      </c>
      <c r="D44" s="234">
        <f t="shared" si="9"/>
        <v>40000</v>
      </c>
      <c r="F44" s="479" t="str">
        <f>'18'!F44</f>
        <v>CASH SALE</v>
      </c>
      <c r="G44" s="409">
        <f>'CUSTOMERS REPORT'!Y1404</f>
        <v>0</v>
      </c>
      <c r="H44" s="507">
        <f>'CUSTOMERS REPORT'!Z1404</f>
        <v>0</v>
      </c>
      <c r="I44" s="409">
        <f>'CUSTOMERS REPORT'!AA1404</f>
        <v>0</v>
      </c>
      <c r="J44" s="501">
        <f>'CUSTOMERS REPORT'!AB1404</f>
        <v>0</v>
      </c>
      <c r="K44" s="501">
        <f>'CUSTOMERS REPORT'!AC1404</f>
        <v>0</v>
      </c>
      <c r="L44" s="512">
        <f>'CUSTOMERS REPORT'!AD1404</f>
        <v>0</v>
      </c>
      <c r="M44" s="414">
        <f>'18'!M44+'19'!G44</f>
        <v>0</v>
      </c>
      <c r="N44" s="412">
        <f>'18'!N44+'19'!J44</f>
        <v>0</v>
      </c>
      <c r="P44" s="222" t="s">
        <v>114</v>
      </c>
      <c r="Q44" s="377">
        <f>J46</f>
        <v>0</v>
      </c>
      <c r="S44" s="399">
        <f>'18'!S44</f>
        <v>0</v>
      </c>
      <c r="T44" s="348"/>
      <c r="U44" s="306"/>
      <c r="V44" s="349"/>
      <c r="W44" s="351"/>
      <c r="X44" s="350"/>
      <c r="Z44" s="375"/>
      <c r="AA44" s="339"/>
      <c r="AB44" s="386">
        <f>'18'!AB45</f>
        <v>661250</v>
      </c>
      <c r="AC44" s="340" t="s">
        <v>126</v>
      </c>
      <c r="AD44" s="388">
        <f>'18'!AD45</f>
        <v>2104250</v>
      </c>
      <c r="AE44" s="341"/>
      <c r="AF44" s="561"/>
      <c r="AG44" s="83" t="s">
        <v>1</v>
      </c>
    </row>
    <row r="45" spans="1:40" ht="27" customHeight="1" thickBot="1">
      <c r="A45" s="715" t="str">
        <f>'18'!A45</f>
        <v>SHAKEEL</v>
      </c>
      <c r="B45" s="234">
        <f>22000+5210</f>
        <v>27210</v>
      </c>
      <c r="C45" s="348">
        <f>'18'!D45</f>
        <v>0</v>
      </c>
      <c r="D45" s="234">
        <f t="shared" si="9"/>
        <v>27210</v>
      </c>
      <c r="F45" s="479" t="str">
        <f>'18'!F45</f>
        <v xml:space="preserve">FREE </v>
      </c>
      <c r="G45" s="410">
        <f>'CUSTOMERS REPORT'!Y1440</f>
        <v>0</v>
      </c>
      <c r="H45" s="362">
        <f>'CUSTOMERS REPORT'!Z1440</f>
        <v>0</v>
      </c>
      <c r="I45" s="410">
        <f>'CUSTOMERS REPORT'!AA1440</f>
        <v>0</v>
      </c>
      <c r="J45" s="502">
        <f>'CUSTOMERS REPORT'!AB1440</f>
        <v>0</v>
      </c>
      <c r="K45" s="502">
        <f>'CUSTOMERS REPORT'!AC1440</f>
        <v>0</v>
      </c>
      <c r="L45" s="513">
        <f>'CUSTOMERS REPORT'!AD1440</f>
        <v>0</v>
      </c>
      <c r="M45" s="414">
        <f>'18'!M45+'19'!G45</f>
        <v>0</v>
      </c>
      <c r="N45" s="412">
        <f>'18'!N45+'19'!J45</f>
        <v>0</v>
      </c>
      <c r="P45" s="222" t="s">
        <v>153</v>
      </c>
      <c r="Q45" s="378">
        <f>Q43+Q44</f>
        <v>-2368180</v>
      </c>
      <c r="S45" s="399">
        <f>'18'!S45</f>
        <v>0</v>
      </c>
      <c r="T45" s="352"/>
      <c r="U45" s="307"/>
      <c r="V45" s="353"/>
      <c r="W45" s="354"/>
      <c r="X45" s="355"/>
      <c r="Z45" s="384"/>
      <c r="AA45" s="359"/>
      <c r="AB45" s="390">
        <f>SUM(AB43:AB44)</f>
        <v>720250</v>
      </c>
      <c r="AC45" s="360" t="s">
        <v>74</v>
      </c>
      <c r="AD45" s="389">
        <f>SUM(AD43:AD44)</f>
        <v>2154250</v>
      </c>
      <c r="AE45" s="361"/>
      <c r="AF45" s="562"/>
      <c r="AG45" s="573"/>
    </row>
    <row r="46" spans="1:40" ht="27" customHeight="1" thickTop="1" thickBot="1">
      <c r="A46" s="715" t="str">
        <f>'18'!A46</f>
        <v>ZAHID HUSSAN</v>
      </c>
      <c r="B46" s="234"/>
      <c r="C46" s="348">
        <f>'18'!D46</f>
        <v>0</v>
      </c>
      <c r="D46" s="234">
        <f t="shared" si="9"/>
        <v>0</v>
      </c>
      <c r="F46" s="369"/>
      <c r="G46" s="424">
        <f>SUM(G8:G45)</f>
        <v>0</v>
      </c>
      <c r="H46" s="1497" t="s">
        <v>160</v>
      </c>
      <c r="I46" s="1498"/>
      <c r="J46" s="421">
        <f>SUM(J8:J45)</f>
        <v>0</v>
      </c>
      <c r="K46" s="427">
        <f>SUM(K8:K45)</f>
        <v>0</v>
      </c>
      <c r="L46" s="431">
        <f>SUM(L8:L45)</f>
        <v>0</v>
      </c>
      <c r="M46" s="429">
        <f>SUM(M8:M45)</f>
        <v>0</v>
      </c>
      <c r="N46" s="430">
        <f>SUM(N8:N45)</f>
        <v>0</v>
      </c>
      <c r="P46" s="222" t="s">
        <v>154</v>
      </c>
      <c r="Q46" s="378">
        <f>B48</f>
        <v>132610</v>
      </c>
      <c r="V46" s="1078">
        <f>SUM(V23:V45)</f>
        <v>0</v>
      </c>
    </row>
    <row r="47" spans="1:40" ht="27" customHeight="1" thickBot="1">
      <c r="A47" s="715" t="str">
        <f>'18'!A47</f>
        <v xml:space="preserve">INVESTOR </v>
      </c>
      <c r="B47" s="540"/>
      <c r="C47" s="348">
        <f>'18'!D47</f>
        <v>0</v>
      </c>
      <c r="D47" s="542">
        <f t="shared" si="9"/>
        <v>0</v>
      </c>
      <c r="F47" s="370"/>
      <c r="G47" s="425">
        <f>'18'!G48</f>
        <v>0</v>
      </c>
      <c r="H47" s="1512" t="s">
        <v>162</v>
      </c>
      <c r="I47" s="1513"/>
      <c r="J47" s="423">
        <f>'18'!J48</f>
        <v>0</v>
      </c>
      <c r="K47" s="423">
        <f>'18'!K48</f>
        <v>0</v>
      </c>
      <c r="L47" s="343"/>
      <c r="M47" s="344"/>
      <c r="N47" s="345"/>
      <c r="P47" s="375" t="s">
        <v>163</v>
      </c>
      <c r="Q47" s="378">
        <f>Q9+Q10+Q19+Q20+Q21+Q22</f>
        <v>0</v>
      </c>
      <c r="R47" s="19"/>
      <c r="S47" s="1489" t="s">
        <v>92</v>
      </c>
      <c r="T47" s="1516" t="s">
        <v>95</v>
      </c>
      <c r="U47" s="1518"/>
      <c r="V47" s="1518"/>
      <c r="W47" s="1517"/>
      <c r="X47" s="1516" t="s">
        <v>7</v>
      </c>
      <c r="Y47" s="1518"/>
      <c r="Z47" s="1517"/>
      <c r="AA47" s="1516" t="s">
        <v>8</v>
      </c>
      <c r="AB47" s="1517"/>
      <c r="AC47" s="1516" t="s">
        <v>9</v>
      </c>
      <c r="AD47" s="1518"/>
      <c r="AE47" s="1518"/>
      <c r="AF47" s="1518"/>
      <c r="AG47" s="1518"/>
      <c r="AH47" s="1518"/>
      <c r="AI47" s="1518"/>
      <c r="AJ47" s="1405" t="s">
        <v>10</v>
      </c>
      <c r="AK47" s="1406"/>
      <c r="AL47" s="1400" t="s">
        <v>289</v>
      </c>
      <c r="AM47" s="1401"/>
      <c r="AN47" s="842" t="s">
        <v>290</v>
      </c>
    </row>
    <row r="48" spans="1:40" ht="27" customHeight="1" thickTop="1" thickBot="1">
      <c r="A48" s="192" t="s">
        <v>74</v>
      </c>
      <c r="B48" s="544">
        <f>SUM(B22:B47)</f>
        <v>132610</v>
      </c>
      <c r="C48" s="543">
        <f>'18'!D48</f>
        <v>2368180</v>
      </c>
      <c r="D48" s="544">
        <f t="shared" si="9"/>
        <v>2500790</v>
      </c>
      <c r="F48" s="371"/>
      <c r="G48" s="426">
        <f>G46+G47</f>
        <v>0</v>
      </c>
      <c r="H48" s="1495" t="s">
        <v>164</v>
      </c>
      <c r="I48" s="1496"/>
      <c r="J48" s="422">
        <f>J46+J47</f>
        <v>0</v>
      </c>
      <c r="K48" s="428">
        <f>K46+K47</f>
        <v>0</v>
      </c>
      <c r="L48" s="346"/>
      <c r="M48" s="347"/>
      <c r="N48" s="622">
        <f>G48-J48</f>
        <v>0</v>
      </c>
      <c r="P48" s="376" t="s">
        <v>155</v>
      </c>
      <c r="Q48" s="378">
        <f>Q45-Q46-Q47</f>
        <v>-2500790</v>
      </c>
      <c r="R48" s="19"/>
      <c r="S48" s="1490"/>
      <c r="T48" s="482" t="s">
        <v>12</v>
      </c>
      <c r="U48" s="482" t="s">
        <v>13</v>
      </c>
      <c r="V48" s="482" t="s">
        <v>14</v>
      </c>
      <c r="W48" s="958" t="s">
        <v>263</v>
      </c>
      <c r="X48" s="482" t="s">
        <v>12</v>
      </c>
      <c r="Y48" s="482" t="s">
        <v>13</v>
      </c>
      <c r="Z48" s="482" t="s">
        <v>282</v>
      </c>
      <c r="AA48" s="482" t="s">
        <v>12</v>
      </c>
      <c r="AB48" s="482" t="s">
        <v>16</v>
      </c>
      <c r="AC48" s="482" t="s">
        <v>17</v>
      </c>
      <c r="AD48" s="482" t="s">
        <v>18</v>
      </c>
      <c r="AE48" s="482" t="s">
        <v>19</v>
      </c>
      <c r="AF48" s="484" t="s">
        <v>96</v>
      </c>
      <c r="AG48" s="484" t="s">
        <v>257</v>
      </c>
      <c r="AH48" s="482" t="s">
        <v>254</v>
      </c>
      <c r="AI48" s="482" t="s">
        <v>20</v>
      </c>
      <c r="AJ48" s="483" t="s">
        <v>14</v>
      </c>
      <c r="AK48" s="482" t="s">
        <v>13</v>
      </c>
      <c r="AL48" s="846" t="s">
        <v>284</v>
      </c>
      <c r="AM48" s="846" t="s">
        <v>288</v>
      </c>
      <c r="AN48" s="966" t="s">
        <v>291</v>
      </c>
    </row>
    <row r="49" spans="1:40" ht="24.95" customHeight="1" thickTop="1" thickBot="1">
      <c r="R49" s="19"/>
      <c r="S49" s="865" t="s">
        <v>165</v>
      </c>
      <c r="T49" s="866">
        <f>'18'!T55</f>
        <v>0</v>
      </c>
      <c r="U49" s="866">
        <f>'18'!U55</f>
        <v>0</v>
      </c>
      <c r="V49" s="866">
        <f>'18'!V55</f>
        <v>-2</v>
      </c>
      <c r="W49" s="866">
        <f>'18'!W55</f>
        <v>0</v>
      </c>
      <c r="X49" s="866">
        <f>'18'!X55</f>
        <v>0</v>
      </c>
      <c r="Y49" s="866">
        <f>'18'!Y55</f>
        <v>0</v>
      </c>
      <c r="Z49" s="866">
        <f>'18'!Z55</f>
        <v>-2</v>
      </c>
      <c r="AA49" s="866">
        <f>'18'!AA55</f>
        <v>-12</v>
      </c>
      <c r="AB49" s="866">
        <f>'18'!AB55</f>
        <v>0</v>
      </c>
      <c r="AC49" s="866">
        <f>'18'!AC55</f>
        <v>1684</v>
      </c>
      <c r="AD49" s="866">
        <f>'18'!AD55</f>
        <v>222</v>
      </c>
      <c r="AE49" s="866">
        <f>'18'!AE55</f>
        <v>0</v>
      </c>
      <c r="AF49" s="866">
        <f>'18'!AF55</f>
        <v>1138</v>
      </c>
      <c r="AG49" s="866">
        <f>'18'!AG55</f>
        <v>831</v>
      </c>
      <c r="AH49" s="866">
        <f>'18'!AH55</f>
        <v>1139</v>
      </c>
      <c r="AI49" s="866">
        <f>'18'!AI55</f>
        <v>631</v>
      </c>
      <c r="AJ49" s="866">
        <f>'18'!AJ55</f>
        <v>0</v>
      </c>
      <c r="AK49" s="866">
        <f>'18'!AK55</f>
        <v>-1</v>
      </c>
      <c r="AL49" s="866" t="e">
        <f>'18'!AL55</f>
        <v>#VALUE!</v>
      </c>
      <c r="AM49" s="866" t="e">
        <f>'18'!AM55</f>
        <v>#VALUE!</v>
      </c>
      <c r="AN49" s="866" t="e">
        <f>'18'!AN55</f>
        <v>#VALUE!</v>
      </c>
    </row>
    <row r="50" spans="1:40" ht="24.95" customHeight="1" thickBot="1">
      <c r="C50" t="s">
        <v>1</v>
      </c>
      <c r="L50" s="417">
        <v>5000</v>
      </c>
      <c r="M50" s="417"/>
      <c r="N50" s="417">
        <f t="shared" ref="N50:N57" si="10">L50*M50</f>
        <v>0</v>
      </c>
      <c r="R50" s="19"/>
      <c r="S50" s="854" t="s">
        <v>166</v>
      </c>
      <c r="T50" s="852"/>
      <c r="U50" s="852"/>
      <c r="V50" s="852"/>
      <c r="W50" s="852"/>
      <c r="X50" s="852"/>
      <c r="Y50" s="852"/>
      <c r="Z50" s="852"/>
      <c r="AA50" s="852"/>
      <c r="AB50" s="852"/>
      <c r="AC50" s="852">
        <v>268</v>
      </c>
      <c r="AD50" s="852">
        <v>272</v>
      </c>
      <c r="AE50" s="852"/>
      <c r="AF50" s="852">
        <v>242</v>
      </c>
      <c r="AG50" s="855">
        <v>278</v>
      </c>
      <c r="AH50" s="852"/>
      <c r="AI50" s="852"/>
      <c r="AJ50" s="848"/>
      <c r="AK50" s="848"/>
      <c r="AL50" s="848"/>
      <c r="AM50" s="849"/>
      <c r="AN50" s="930"/>
    </row>
    <row r="51" spans="1:40" ht="24.95" customHeight="1" thickBot="1">
      <c r="L51" s="417">
        <v>1000</v>
      </c>
      <c r="M51" s="417"/>
      <c r="N51" s="417">
        <f t="shared" si="10"/>
        <v>0</v>
      </c>
      <c r="R51" s="19"/>
      <c r="S51" s="867" t="s">
        <v>91</v>
      </c>
      <c r="T51" s="868"/>
      <c r="U51" s="868"/>
      <c r="V51" s="868"/>
      <c r="W51" s="868"/>
      <c r="X51" s="868"/>
      <c r="Y51" s="868"/>
      <c r="Z51" s="868"/>
      <c r="AA51" s="868"/>
      <c r="AB51" s="868"/>
      <c r="AC51" s="868"/>
      <c r="AD51" s="868"/>
      <c r="AE51" s="868"/>
      <c r="AF51" s="868"/>
      <c r="AG51" s="869">
        <v>4</v>
      </c>
      <c r="AH51" s="868"/>
      <c r="AI51" s="870"/>
      <c r="AJ51" s="868"/>
      <c r="AK51" s="868"/>
      <c r="AL51" s="849"/>
      <c r="AM51" s="849"/>
      <c r="AN51" s="850"/>
    </row>
    <row r="52" spans="1:40" ht="24.95" customHeight="1" thickBot="1">
      <c r="L52" s="417">
        <v>500</v>
      </c>
      <c r="M52" s="417"/>
      <c r="N52" s="417">
        <f t="shared" si="10"/>
        <v>0</v>
      </c>
      <c r="O52" t="s">
        <v>1</v>
      </c>
      <c r="R52" s="19"/>
      <c r="S52" s="856" t="s">
        <v>167</v>
      </c>
      <c r="T52" s="857"/>
      <c r="U52" s="857"/>
      <c r="V52" s="857"/>
      <c r="W52" s="857">
        <v>1</v>
      </c>
      <c r="X52" s="857"/>
      <c r="Y52" s="857"/>
      <c r="Z52" s="857"/>
      <c r="AA52" s="857"/>
      <c r="AB52" s="857"/>
      <c r="AC52" s="857"/>
      <c r="AD52" s="857"/>
      <c r="AE52" s="857"/>
      <c r="AF52" s="857"/>
      <c r="AG52" s="858"/>
      <c r="AH52" s="859"/>
      <c r="AI52" s="860"/>
      <c r="AJ52" s="887"/>
      <c r="AK52" s="908"/>
      <c r="AL52" s="849"/>
      <c r="AM52" s="849"/>
      <c r="AN52" s="850"/>
    </row>
    <row r="53" spans="1:40" ht="24.95" customHeight="1" thickBot="1">
      <c r="L53" s="417">
        <v>100</v>
      </c>
      <c r="M53" s="417"/>
      <c r="N53" s="417">
        <f t="shared" si="10"/>
        <v>0</v>
      </c>
      <c r="R53" s="19"/>
      <c r="S53" s="871" t="s">
        <v>81</v>
      </c>
      <c r="T53" s="866">
        <f t="shared" ref="T53:AN53" si="11">SUM(T49+T50+T52)</f>
        <v>0</v>
      </c>
      <c r="U53" s="866">
        <f t="shared" si="11"/>
        <v>0</v>
      </c>
      <c r="V53" s="866">
        <f t="shared" si="11"/>
        <v>-2</v>
      </c>
      <c r="W53" s="866">
        <f t="shared" si="11"/>
        <v>1</v>
      </c>
      <c r="X53" s="866">
        <f t="shared" si="11"/>
        <v>0</v>
      </c>
      <c r="Y53" s="866">
        <f t="shared" si="11"/>
        <v>0</v>
      </c>
      <c r="Z53" s="866">
        <f t="shared" si="11"/>
        <v>-2</v>
      </c>
      <c r="AA53" s="866">
        <f t="shared" si="11"/>
        <v>-12</v>
      </c>
      <c r="AB53" s="866">
        <f t="shared" si="11"/>
        <v>0</v>
      </c>
      <c r="AC53" s="866">
        <f t="shared" si="11"/>
        <v>1952</v>
      </c>
      <c r="AD53" s="866">
        <f t="shared" si="11"/>
        <v>494</v>
      </c>
      <c r="AE53" s="866">
        <f t="shared" si="11"/>
        <v>0</v>
      </c>
      <c r="AF53" s="866">
        <f t="shared" si="11"/>
        <v>1380</v>
      </c>
      <c r="AG53" s="866">
        <f t="shared" si="11"/>
        <v>1109</v>
      </c>
      <c r="AH53" s="866">
        <f t="shared" si="11"/>
        <v>1139</v>
      </c>
      <c r="AI53" s="866">
        <f t="shared" si="11"/>
        <v>631</v>
      </c>
      <c r="AJ53" s="866">
        <f t="shared" si="11"/>
        <v>0</v>
      </c>
      <c r="AK53" s="866">
        <f t="shared" si="11"/>
        <v>-1</v>
      </c>
      <c r="AL53" s="866" t="e">
        <f t="shared" si="11"/>
        <v>#VALUE!</v>
      </c>
      <c r="AM53" s="866" t="e">
        <f t="shared" si="11"/>
        <v>#VALUE!</v>
      </c>
      <c r="AN53" s="872" t="e">
        <f t="shared" si="11"/>
        <v>#VALUE!</v>
      </c>
    </row>
    <row r="54" spans="1:40" ht="24.95" customHeight="1" thickBot="1">
      <c r="L54" s="417">
        <v>50</v>
      </c>
      <c r="M54" s="417"/>
      <c r="N54" s="417">
        <f t="shared" si="10"/>
        <v>0</v>
      </c>
      <c r="R54" s="19"/>
      <c r="S54" s="854" t="s">
        <v>168</v>
      </c>
      <c r="T54" s="852">
        <f>'CUSTOMERS REPORT'!B26+'CUSTOMERS REPORT'!B72+'CUSTOMERS REPORT'!B110+'CUSTOMERS REPORT'!B149+'CUSTOMERS REPORT'!B187+'CUSTOMERS REPORT'!B227+'CUSTOMERS REPORT'!B264+'CUSTOMERS REPORT'!B304+'CUSTOMERS REPORT'!B345+'CUSTOMERS REPORT'!B387+'CUSTOMERS REPORT'!B426+'CUSTOMERS REPORT'!B464+'CUSTOMERS REPORT'!B500+'CUSTOMERS REPORT'!B537+'CUSTOMERS REPORT'!B575+'CUSTOMERS REPORT'!B611+'CUSTOMERS REPORT'!B649+'CUSTOMERS REPORT'!B687+'CUSTOMERS REPORT'!B725+'CUSTOMERS REPORT'!B763+'CUSTOMERS REPORT'!B801+'CUSTOMERS REPORT'!B839+'CUSTOMERS REPORT'!B877+'CUSTOMERS REPORT'!B916+'CUSTOMERS REPORT'!B955+'CUSTOMERS REPORT'!B993+'CUSTOMERS REPORT'!B1031+'CUSTOMERS REPORT'!B1069+'CUSTOMERS REPORT'!B1107+'CUSTOMERS REPORT'!B1145+'CUSTOMERS REPORT'!B1182+'CUSTOMERS REPORT'!B1219+'CUSTOMERS REPORT'!B1256+'CUSTOMERS REPORT'!B1293+'CUSTOMERS REPORT'!B1330+'CUSTOMERS REPORT'!B1367+'CUSTOMERS REPORT'!B1404+'CUSTOMERS REPORT'!B1440</f>
        <v>0</v>
      </c>
      <c r="U54" s="852">
        <f>'CUSTOMERS REPORT'!C26+'CUSTOMERS REPORT'!C72+'CUSTOMERS REPORT'!C110+'CUSTOMERS REPORT'!C149+'CUSTOMERS REPORT'!C187+'CUSTOMERS REPORT'!C227+'CUSTOMERS REPORT'!C264+'CUSTOMERS REPORT'!C304+'CUSTOMERS REPORT'!C345+'CUSTOMERS REPORT'!C387+'CUSTOMERS REPORT'!C426+'CUSTOMERS REPORT'!C464+'CUSTOMERS REPORT'!C500+'CUSTOMERS REPORT'!C537+'CUSTOMERS REPORT'!C575+'CUSTOMERS REPORT'!C611+'CUSTOMERS REPORT'!C649+'CUSTOMERS REPORT'!C687+'CUSTOMERS REPORT'!C725+'CUSTOMERS REPORT'!C763+'CUSTOMERS REPORT'!C801+'CUSTOMERS REPORT'!C839+'CUSTOMERS REPORT'!C877+'CUSTOMERS REPORT'!C916+'CUSTOMERS REPORT'!C955+'CUSTOMERS REPORT'!C993+'CUSTOMERS REPORT'!C1031+'CUSTOMERS REPORT'!C1069+'CUSTOMERS REPORT'!C1107+'CUSTOMERS REPORT'!C1145+'CUSTOMERS REPORT'!C1182+'CUSTOMERS REPORT'!C1219+'CUSTOMERS REPORT'!C1256+'CUSTOMERS REPORT'!C1293+'CUSTOMERS REPORT'!C1330+'CUSTOMERS REPORT'!C1367+'CUSTOMERS REPORT'!C1404+'CUSTOMERS REPORT'!C1440</f>
        <v>0</v>
      </c>
      <c r="V54" s="852">
        <f>'CUSTOMERS REPORT'!D26+'CUSTOMERS REPORT'!D72+'CUSTOMERS REPORT'!D110+'CUSTOMERS REPORT'!D149+'CUSTOMERS REPORT'!D187+'CUSTOMERS REPORT'!D227+'CUSTOMERS REPORT'!D264+'CUSTOMERS REPORT'!D304+'CUSTOMERS REPORT'!D345+'CUSTOMERS REPORT'!D387+'CUSTOMERS REPORT'!D426+'CUSTOMERS REPORT'!D464+'CUSTOMERS REPORT'!D500+'CUSTOMERS REPORT'!D537+'CUSTOMERS REPORT'!D575+'CUSTOMERS REPORT'!D611+'CUSTOMERS REPORT'!D649+'CUSTOMERS REPORT'!D687+'CUSTOMERS REPORT'!D725+'CUSTOMERS REPORT'!D763+'CUSTOMERS REPORT'!D801+'CUSTOMERS REPORT'!D839+'CUSTOMERS REPORT'!D877+'CUSTOMERS REPORT'!D916+'CUSTOMERS REPORT'!D955+'CUSTOMERS REPORT'!D993+'CUSTOMERS REPORT'!D1031+'CUSTOMERS REPORT'!D1069+'CUSTOMERS REPORT'!D1107+'CUSTOMERS REPORT'!D1145+'CUSTOMERS REPORT'!D1182+'CUSTOMERS REPORT'!D1219+'CUSTOMERS REPORT'!D1256+'CUSTOMERS REPORT'!D1293+'CUSTOMERS REPORT'!D1330+'CUSTOMERS REPORT'!D1367+'CUSTOMERS REPORT'!D1404+'CUSTOMERS REPORT'!D1440</f>
        <v>0</v>
      </c>
      <c r="W54" s="852">
        <f>'CUSTOMERS REPORT'!E26+'CUSTOMERS REPORT'!E72+'CUSTOMERS REPORT'!E110+'CUSTOMERS REPORT'!E149+'CUSTOMERS REPORT'!E187+'CUSTOMERS REPORT'!E227+'CUSTOMERS REPORT'!E264+'CUSTOMERS REPORT'!E304+'CUSTOMERS REPORT'!E345+'CUSTOMERS REPORT'!E387+'CUSTOMERS REPORT'!E426+'CUSTOMERS REPORT'!E464+'CUSTOMERS REPORT'!E500+'CUSTOMERS REPORT'!E537+'CUSTOMERS REPORT'!E575+'CUSTOMERS REPORT'!E611+'CUSTOMERS REPORT'!E649+'CUSTOMERS REPORT'!E687+'CUSTOMERS REPORT'!E725+'CUSTOMERS REPORT'!E763+'CUSTOMERS REPORT'!E801+'CUSTOMERS REPORT'!E839+'CUSTOMERS REPORT'!E877+'CUSTOMERS REPORT'!E916+'CUSTOMERS REPORT'!E955+'CUSTOMERS REPORT'!E993+'CUSTOMERS REPORT'!E1031+'CUSTOMERS REPORT'!E1069+'CUSTOMERS REPORT'!E1107+'CUSTOMERS REPORT'!E1145+'CUSTOMERS REPORT'!E1182+'CUSTOMERS REPORT'!E1219+'CUSTOMERS REPORT'!E1256+'CUSTOMERS REPORT'!E1293+'CUSTOMERS REPORT'!E1330+'CUSTOMERS REPORT'!E1367+'CUSTOMERS REPORT'!E1404+'CUSTOMERS REPORT'!E1440</f>
        <v>0</v>
      </c>
      <c r="X54" s="852">
        <f>'CUSTOMERS REPORT'!F26+'CUSTOMERS REPORT'!F72+'CUSTOMERS REPORT'!F110+'CUSTOMERS REPORT'!F149+'CUSTOMERS REPORT'!F187+'CUSTOMERS REPORT'!F227+'CUSTOMERS REPORT'!F264+'CUSTOMERS REPORT'!F304+'CUSTOMERS REPORT'!F345+'CUSTOMERS REPORT'!F387+'CUSTOMERS REPORT'!F426+'CUSTOMERS REPORT'!F464+'CUSTOMERS REPORT'!F500+'CUSTOMERS REPORT'!F537+'CUSTOMERS REPORT'!F575+'CUSTOMERS REPORT'!F611+'CUSTOMERS REPORT'!F649+'CUSTOMERS REPORT'!F687+'CUSTOMERS REPORT'!F725+'CUSTOMERS REPORT'!F763+'CUSTOMERS REPORT'!F801+'CUSTOMERS REPORT'!F839+'CUSTOMERS REPORT'!F877+'CUSTOMERS REPORT'!F916+'CUSTOMERS REPORT'!F955+'CUSTOMERS REPORT'!F993+'CUSTOMERS REPORT'!F1031+'CUSTOMERS REPORT'!F1069+'CUSTOMERS REPORT'!F1107+'CUSTOMERS REPORT'!F1145+'CUSTOMERS REPORT'!F1182+'CUSTOMERS REPORT'!F1219+'CUSTOMERS REPORT'!F1256+'CUSTOMERS REPORT'!F1293+'CUSTOMERS REPORT'!F1330+'CUSTOMERS REPORT'!F1367+'CUSTOMERS REPORT'!F1404+'CUSTOMERS REPORT'!F1440</f>
        <v>0</v>
      </c>
      <c r="Y54" s="852">
        <f>'CUSTOMERS REPORT'!G26+'CUSTOMERS REPORT'!G72+'CUSTOMERS REPORT'!G110+'CUSTOMERS REPORT'!G149+'CUSTOMERS REPORT'!G187+'CUSTOMERS REPORT'!G227+'CUSTOMERS REPORT'!G264+'CUSTOMERS REPORT'!G304+'CUSTOMERS REPORT'!G345+'CUSTOMERS REPORT'!G387+'CUSTOMERS REPORT'!G426+'CUSTOMERS REPORT'!G464+'CUSTOMERS REPORT'!G500+'CUSTOMERS REPORT'!G537+'CUSTOMERS REPORT'!G575+'CUSTOMERS REPORT'!G611+'CUSTOMERS REPORT'!G649+'CUSTOMERS REPORT'!G687+'CUSTOMERS REPORT'!G725+'CUSTOMERS REPORT'!G763+'CUSTOMERS REPORT'!G801+'CUSTOMERS REPORT'!G839+'CUSTOMERS REPORT'!G877+'CUSTOMERS REPORT'!G916+'CUSTOMERS REPORT'!G955+'CUSTOMERS REPORT'!G993+'CUSTOMERS REPORT'!G1031+'CUSTOMERS REPORT'!G1069+'CUSTOMERS REPORT'!G1107+'CUSTOMERS REPORT'!G1145+'CUSTOMERS REPORT'!G1182+'CUSTOMERS REPORT'!G1219+'CUSTOMERS REPORT'!G1256+'CUSTOMERS REPORT'!G1293+'CUSTOMERS REPORT'!G1330+'CUSTOMERS REPORT'!G1367+'CUSTOMERS REPORT'!G1404+'CUSTOMERS REPORT'!G1440</f>
        <v>0</v>
      </c>
      <c r="Z54" s="852">
        <f>'CUSTOMERS REPORT'!H26+'CUSTOMERS REPORT'!H72+'CUSTOMERS REPORT'!H110+'CUSTOMERS REPORT'!H149+'CUSTOMERS REPORT'!H187+'CUSTOMERS REPORT'!H227+'CUSTOMERS REPORT'!H264+'CUSTOMERS REPORT'!H304+'CUSTOMERS REPORT'!H345+'CUSTOMERS REPORT'!H387+'CUSTOMERS REPORT'!H426+'CUSTOMERS REPORT'!H464+'CUSTOMERS REPORT'!H500+'CUSTOMERS REPORT'!H537+'CUSTOMERS REPORT'!H575+'CUSTOMERS REPORT'!H611+'CUSTOMERS REPORT'!H649+'CUSTOMERS REPORT'!H687+'CUSTOMERS REPORT'!H725+'CUSTOMERS REPORT'!H763+'CUSTOMERS REPORT'!H801+'CUSTOMERS REPORT'!H839+'CUSTOMERS REPORT'!H877+'CUSTOMERS REPORT'!H916+'CUSTOMERS REPORT'!H955+'CUSTOMERS REPORT'!H993+'CUSTOMERS REPORT'!H1031+'CUSTOMERS REPORT'!H1069+'CUSTOMERS REPORT'!H1107+'CUSTOMERS REPORT'!H1145+'CUSTOMERS REPORT'!H1182+'CUSTOMERS REPORT'!H1219+'CUSTOMERS REPORT'!H1256+'CUSTOMERS REPORT'!H1293+'CUSTOMERS REPORT'!H1330+'CUSTOMERS REPORT'!H1367+'CUSTOMERS REPORT'!H1404+'CUSTOMERS REPORT'!H1440</f>
        <v>0</v>
      </c>
      <c r="AA54" s="852">
        <f>'CUSTOMERS REPORT'!I26+'CUSTOMERS REPORT'!I72+'CUSTOMERS REPORT'!I110+'CUSTOMERS REPORT'!I149+'CUSTOMERS REPORT'!I187+'CUSTOMERS REPORT'!I227+'CUSTOMERS REPORT'!I264+'CUSTOMERS REPORT'!I304+'CUSTOMERS REPORT'!I345+'CUSTOMERS REPORT'!I387+'CUSTOMERS REPORT'!I426+'CUSTOMERS REPORT'!I464+'CUSTOMERS REPORT'!I500+'CUSTOMERS REPORT'!I537+'CUSTOMERS REPORT'!I575+'CUSTOMERS REPORT'!I611+'CUSTOMERS REPORT'!I649+'CUSTOMERS REPORT'!I687+'CUSTOMERS REPORT'!I725+'CUSTOMERS REPORT'!I763+'CUSTOMERS REPORT'!I801+'CUSTOMERS REPORT'!I839+'CUSTOMERS REPORT'!I877+'CUSTOMERS REPORT'!I916+'CUSTOMERS REPORT'!I955+'CUSTOMERS REPORT'!I993+'CUSTOMERS REPORT'!I1031+'CUSTOMERS REPORT'!I1069+'CUSTOMERS REPORT'!I1107+'CUSTOMERS REPORT'!I1145+'CUSTOMERS REPORT'!I1182+'CUSTOMERS REPORT'!I1219+'CUSTOMERS REPORT'!I1256+'CUSTOMERS REPORT'!I1293+'CUSTOMERS REPORT'!I1330+'CUSTOMERS REPORT'!I1367+'CUSTOMERS REPORT'!I1404+'CUSTOMERS REPORT'!I1440</f>
        <v>0</v>
      </c>
      <c r="AB54" s="852">
        <f>'CUSTOMERS REPORT'!J26+'CUSTOMERS REPORT'!J72+'CUSTOMERS REPORT'!J110+'CUSTOMERS REPORT'!J149+'CUSTOMERS REPORT'!J187+'CUSTOMERS REPORT'!J227+'CUSTOMERS REPORT'!J264+'CUSTOMERS REPORT'!J304+'CUSTOMERS REPORT'!J345+'CUSTOMERS REPORT'!J387+'CUSTOMERS REPORT'!J426+'CUSTOMERS REPORT'!J464+'CUSTOMERS REPORT'!J500+'CUSTOMERS REPORT'!J537+'CUSTOMERS REPORT'!J575+'CUSTOMERS REPORT'!J611+'CUSTOMERS REPORT'!J649+'CUSTOMERS REPORT'!J687+'CUSTOMERS REPORT'!J725+'CUSTOMERS REPORT'!J763+'CUSTOMERS REPORT'!J801+'CUSTOMERS REPORT'!J839+'CUSTOMERS REPORT'!J877+'CUSTOMERS REPORT'!J916+'CUSTOMERS REPORT'!J955+'CUSTOMERS REPORT'!J993+'CUSTOMERS REPORT'!J1031+'CUSTOMERS REPORT'!J1069+'CUSTOMERS REPORT'!J1107+'CUSTOMERS REPORT'!J1145+'CUSTOMERS REPORT'!J1182+'CUSTOMERS REPORT'!J1219+'CUSTOMERS REPORT'!J1256+'CUSTOMERS REPORT'!J1293+'CUSTOMERS REPORT'!J1330+'CUSTOMERS REPORT'!J1367+'CUSTOMERS REPORT'!J1404+'CUSTOMERS REPORT'!J1440</f>
        <v>0</v>
      </c>
      <c r="AC54" s="852">
        <f>'CUSTOMERS REPORT'!K26+'CUSTOMERS REPORT'!K72+'CUSTOMERS REPORT'!K110+'CUSTOMERS REPORT'!K149+'CUSTOMERS REPORT'!K187+'CUSTOMERS REPORT'!K227+'CUSTOMERS REPORT'!K264+'CUSTOMERS REPORT'!K304+'CUSTOMERS REPORT'!K345+'CUSTOMERS REPORT'!K387+'CUSTOMERS REPORT'!K426+'CUSTOMERS REPORT'!K464+'CUSTOMERS REPORT'!K500+'CUSTOMERS REPORT'!K537+'CUSTOMERS REPORT'!K575+'CUSTOMERS REPORT'!K611+'CUSTOMERS REPORT'!K649+'CUSTOMERS REPORT'!K687+'CUSTOMERS REPORT'!K725+'CUSTOMERS REPORT'!K763+'CUSTOMERS REPORT'!K801+'CUSTOMERS REPORT'!K839+'CUSTOMERS REPORT'!K877+'CUSTOMERS REPORT'!K916+'CUSTOMERS REPORT'!K955+'CUSTOMERS REPORT'!K993+'CUSTOMERS REPORT'!K1031+'CUSTOMERS REPORT'!K1069+'CUSTOMERS REPORT'!K1107+'CUSTOMERS REPORT'!K1145+'CUSTOMERS REPORT'!K1182+'CUSTOMERS REPORT'!K1219+'CUSTOMERS REPORT'!K1256+'CUSTOMERS REPORT'!K1293+'CUSTOMERS REPORT'!K1330+'CUSTOMERS REPORT'!K1367+'CUSTOMERS REPORT'!K1404+'CUSTOMERS REPORT'!K1440</f>
        <v>0</v>
      </c>
      <c r="AD54" s="852">
        <f>'CUSTOMERS REPORT'!L26+'CUSTOMERS REPORT'!L72+'CUSTOMERS REPORT'!L110+'CUSTOMERS REPORT'!L149+'CUSTOMERS REPORT'!L187+'CUSTOMERS REPORT'!L227+'CUSTOMERS REPORT'!L264+'CUSTOMERS REPORT'!L304+'CUSTOMERS REPORT'!L345+'CUSTOMERS REPORT'!L387+'CUSTOMERS REPORT'!L426+'CUSTOMERS REPORT'!L464+'CUSTOMERS REPORT'!L500+'CUSTOMERS REPORT'!L537+'CUSTOMERS REPORT'!L575+'CUSTOMERS REPORT'!L611+'CUSTOMERS REPORT'!L649+'CUSTOMERS REPORT'!L687+'CUSTOMERS REPORT'!L725+'CUSTOMERS REPORT'!L763+'CUSTOMERS REPORT'!L801+'CUSTOMERS REPORT'!L839+'CUSTOMERS REPORT'!L877+'CUSTOMERS REPORT'!L916+'CUSTOMERS REPORT'!L955+'CUSTOMERS REPORT'!L993+'CUSTOMERS REPORT'!L1031+'CUSTOMERS REPORT'!L1069+'CUSTOMERS REPORT'!L1107+'CUSTOMERS REPORT'!L1145+'CUSTOMERS REPORT'!L1182+'CUSTOMERS REPORT'!L1219+'CUSTOMERS REPORT'!L1256+'CUSTOMERS REPORT'!L1293+'CUSTOMERS REPORT'!L1330+'CUSTOMERS REPORT'!L1367+'CUSTOMERS REPORT'!L1404+'CUSTOMERS REPORT'!L1440</f>
        <v>0</v>
      </c>
      <c r="AE54" s="852">
        <f>'CUSTOMERS REPORT'!M26+'CUSTOMERS REPORT'!M72+'CUSTOMERS REPORT'!M110+'CUSTOMERS REPORT'!M149+'CUSTOMERS REPORT'!M187+'CUSTOMERS REPORT'!M227+'CUSTOMERS REPORT'!M264+'CUSTOMERS REPORT'!M304+'CUSTOMERS REPORT'!M345+'CUSTOMERS REPORT'!M387+'CUSTOMERS REPORT'!M426+'CUSTOMERS REPORT'!M464+'CUSTOMERS REPORT'!M500+'CUSTOMERS REPORT'!M537+'CUSTOMERS REPORT'!M575+'CUSTOMERS REPORT'!M611+'CUSTOMERS REPORT'!M649+'CUSTOMERS REPORT'!M687+'CUSTOMERS REPORT'!M725+'CUSTOMERS REPORT'!M763+'CUSTOMERS REPORT'!M801+'CUSTOMERS REPORT'!M839+'CUSTOMERS REPORT'!M877+'CUSTOMERS REPORT'!M916+'CUSTOMERS REPORT'!M955+'CUSTOMERS REPORT'!M993+'CUSTOMERS REPORT'!M1031+'CUSTOMERS REPORT'!M1069+'CUSTOMERS REPORT'!M1107+'CUSTOMERS REPORT'!M1145+'CUSTOMERS REPORT'!M1182+'CUSTOMERS REPORT'!M1219+'CUSTOMERS REPORT'!M1256+'CUSTOMERS REPORT'!M1293+'CUSTOMERS REPORT'!M1330+'CUSTOMERS REPORT'!M1367+'CUSTOMERS REPORT'!M1404+'CUSTOMERS REPORT'!M1440</f>
        <v>0</v>
      </c>
      <c r="AF54" s="852">
        <f>'CUSTOMERS REPORT'!N26+'CUSTOMERS REPORT'!N72+'CUSTOMERS REPORT'!N110+'CUSTOMERS REPORT'!N149+'CUSTOMERS REPORT'!N187+'CUSTOMERS REPORT'!N227+'CUSTOMERS REPORT'!N264+'CUSTOMERS REPORT'!N304+'CUSTOMERS REPORT'!N345+'CUSTOMERS REPORT'!N387+'CUSTOMERS REPORT'!N426+'CUSTOMERS REPORT'!N464+'CUSTOMERS REPORT'!N500+'CUSTOMERS REPORT'!N537+'CUSTOMERS REPORT'!N575+'CUSTOMERS REPORT'!N611+'CUSTOMERS REPORT'!N649+'CUSTOMERS REPORT'!N687+'CUSTOMERS REPORT'!N725+'CUSTOMERS REPORT'!N763+'CUSTOMERS REPORT'!N801+'CUSTOMERS REPORT'!N839+'CUSTOMERS REPORT'!N877+'CUSTOMERS REPORT'!N916+'CUSTOMERS REPORT'!N955+'CUSTOMERS REPORT'!N993+'CUSTOMERS REPORT'!N1031+'CUSTOMERS REPORT'!N1069+'CUSTOMERS REPORT'!N1107+'CUSTOMERS REPORT'!N1145+'CUSTOMERS REPORT'!N1182+'CUSTOMERS REPORT'!N1219+'CUSTOMERS REPORT'!N1256+'CUSTOMERS REPORT'!N1293+'CUSTOMERS REPORT'!N1330+'CUSTOMERS REPORT'!N1367+'CUSTOMERS REPORT'!N1404+'CUSTOMERS REPORT'!N1440</f>
        <v>0</v>
      </c>
      <c r="AG54" s="852">
        <f>'CUSTOMERS REPORT'!O26+'CUSTOMERS REPORT'!O72+'CUSTOMERS REPORT'!O110+'CUSTOMERS REPORT'!O149+'CUSTOMERS REPORT'!O187+'CUSTOMERS REPORT'!O227+'CUSTOMERS REPORT'!O264+'CUSTOMERS REPORT'!O304+'CUSTOMERS REPORT'!O345+'CUSTOMERS REPORT'!O387+'CUSTOMERS REPORT'!O426+'CUSTOMERS REPORT'!O464+'CUSTOMERS REPORT'!O500+'CUSTOMERS REPORT'!O537+'CUSTOMERS REPORT'!O575+'CUSTOMERS REPORT'!O611+'CUSTOMERS REPORT'!O649+'CUSTOMERS REPORT'!O687+'CUSTOMERS REPORT'!O725+'CUSTOMERS REPORT'!O763+'CUSTOMERS REPORT'!O801+'CUSTOMERS REPORT'!O839+'CUSTOMERS REPORT'!O877+'CUSTOMERS REPORT'!O916+'CUSTOMERS REPORT'!O955+'CUSTOMERS REPORT'!O993+'CUSTOMERS REPORT'!O1031+'CUSTOMERS REPORT'!O1069+'CUSTOMERS REPORT'!O1107+'CUSTOMERS REPORT'!O1145+'CUSTOMERS REPORT'!O1182+'CUSTOMERS REPORT'!O1219+'CUSTOMERS REPORT'!O1256+'CUSTOMERS REPORT'!O1293+'CUSTOMERS REPORT'!O1330+'CUSTOMERS REPORT'!O1367+'CUSTOMERS REPORT'!O1404+'CUSTOMERS REPORT'!O1440</f>
        <v>0</v>
      </c>
      <c r="AH54" s="852">
        <f>'CUSTOMERS REPORT'!P26+'CUSTOMERS REPORT'!P72+'CUSTOMERS REPORT'!P110+'CUSTOMERS REPORT'!P149+'CUSTOMERS REPORT'!P187+'CUSTOMERS REPORT'!P227+'CUSTOMERS REPORT'!P264+'CUSTOMERS REPORT'!P304+'CUSTOMERS REPORT'!P345+'CUSTOMERS REPORT'!P387+'CUSTOMERS REPORT'!P426+'CUSTOMERS REPORT'!P464+'CUSTOMERS REPORT'!P500+'CUSTOMERS REPORT'!P537+'CUSTOMERS REPORT'!P575+'CUSTOMERS REPORT'!P611+'CUSTOMERS REPORT'!P649+'CUSTOMERS REPORT'!P687+'CUSTOMERS REPORT'!P725+'CUSTOMERS REPORT'!P763+'CUSTOMERS REPORT'!P801+'CUSTOMERS REPORT'!P839+'CUSTOMERS REPORT'!P877+'CUSTOMERS REPORT'!P916+'CUSTOMERS REPORT'!P955+'CUSTOMERS REPORT'!P993+'CUSTOMERS REPORT'!P1031+'CUSTOMERS REPORT'!P1069+'CUSTOMERS REPORT'!P1107+'CUSTOMERS REPORT'!P1145+'CUSTOMERS REPORT'!P1182+'CUSTOMERS REPORT'!P1219+'CUSTOMERS REPORT'!P1256+'CUSTOMERS REPORT'!P1293+'CUSTOMERS REPORT'!P1330+'CUSTOMERS REPORT'!P1367+'CUSTOMERS REPORT'!P1404+'CUSTOMERS REPORT'!P1440</f>
        <v>0</v>
      </c>
      <c r="AI54" s="852">
        <f>'CUSTOMERS REPORT'!Q26+'CUSTOMERS REPORT'!Q72+'CUSTOMERS REPORT'!Q110+'CUSTOMERS REPORT'!Q149+'CUSTOMERS REPORT'!Q187+'CUSTOMERS REPORT'!Q227+'CUSTOMERS REPORT'!Q264+'CUSTOMERS REPORT'!Q304+'CUSTOMERS REPORT'!Q345+'CUSTOMERS REPORT'!Q387+'CUSTOMERS REPORT'!Q426+'CUSTOMERS REPORT'!Q464+'CUSTOMERS REPORT'!Q500+'CUSTOMERS REPORT'!Q537+'CUSTOMERS REPORT'!Q575+'CUSTOMERS REPORT'!Q611+'CUSTOMERS REPORT'!Q649+'CUSTOMERS REPORT'!Q687+'CUSTOMERS REPORT'!Q725+'CUSTOMERS REPORT'!Q763+'CUSTOMERS REPORT'!Q801+'CUSTOMERS REPORT'!Q839+'CUSTOMERS REPORT'!Q877+'CUSTOMERS REPORT'!Q916+'CUSTOMERS REPORT'!Q955+'CUSTOMERS REPORT'!Q993+'CUSTOMERS REPORT'!Q1031+'CUSTOMERS REPORT'!Q1069+'CUSTOMERS REPORT'!Q1107+'CUSTOMERS REPORT'!Q1145+'CUSTOMERS REPORT'!Q1182+'CUSTOMERS REPORT'!Q1219+'CUSTOMERS REPORT'!Q1256+'CUSTOMERS REPORT'!Q1293+'CUSTOMERS REPORT'!Q1330+'CUSTOMERS REPORT'!Q1367+'CUSTOMERS REPORT'!Q1404+'CUSTOMERS REPORT'!Q1440</f>
        <v>0</v>
      </c>
      <c r="AJ54" s="852">
        <f>'CUSTOMERS REPORT'!R26+'CUSTOMERS REPORT'!R72+'CUSTOMERS REPORT'!R110+'CUSTOMERS REPORT'!R149+'CUSTOMERS REPORT'!R187+'CUSTOMERS REPORT'!R227+'CUSTOMERS REPORT'!R264+'CUSTOMERS REPORT'!R304+'CUSTOMERS REPORT'!R345+'CUSTOMERS REPORT'!R387+'CUSTOMERS REPORT'!R426+'CUSTOMERS REPORT'!R464+'CUSTOMERS REPORT'!R500+'CUSTOMERS REPORT'!R537+'CUSTOMERS REPORT'!R575+'CUSTOMERS REPORT'!R611+'CUSTOMERS REPORT'!R649+'CUSTOMERS REPORT'!R687+'CUSTOMERS REPORT'!R725+'CUSTOMERS REPORT'!R763+'CUSTOMERS REPORT'!R801+'CUSTOMERS REPORT'!R839+'CUSTOMERS REPORT'!R877+'CUSTOMERS REPORT'!R916+'CUSTOMERS REPORT'!R955+'CUSTOMERS REPORT'!R993+'CUSTOMERS REPORT'!R1031+'CUSTOMERS REPORT'!R1069+'CUSTOMERS REPORT'!R1107+'CUSTOMERS REPORT'!R1145+'CUSTOMERS REPORT'!R1182+'CUSTOMERS REPORT'!R1219+'CUSTOMERS REPORT'!R1256+'CUSTOMERS REPORT'!R1293+'CUSTOMERS REPORT'!R1330+'CUSTOMERS REPORT'!R1367+'CUSTOMERS REPORT'!R1404+'CUSTOMERS REPORT'!R1440</f>
        <v>0</v>
      </c>
      <c r="AK54" s="852">
        <f>'CUSTOMERS REPORT'!S26+'CUSTOMERS REPORT'!S72+'CUSTOMERS REPORT'!S110+'CUSTOMERS REPORT'!S149+'CUSTOMERS REPORT'!S187+'CUSTOMERS REPORT'!S227+'CUSTOMERS REPORT'!S264+'CUSTOMERS REPORT'!S304+'CUSTOMERS REPORT'!S345+'CUSTOMERS REPORT'!S387+'CUSTOMERS REPORT'!S426+'CUSTOMERS REPORT'!S464+'CUSTOMERS REPORT'!S500+'CUSTOMERS REPORT'!S537+'CUSTOMERS REPORT'!S575+'CUSTOMERS REPORT'!S611+'CUSTOMERS REPORT'!S649+'CUSTOMERS REPORT'!S687+'CUSTOMERS REPORT'!S725+'CUSTOMERS REPORT'!S763+'CUSTOMERS REPORT'!S801+'CUSTOMERS REPORT'!S839+'CUSTOMERS REPORT'!S877+'CUSTOMERS REPORT'!S916+'CUSTOMERS REPORT'!S955+'CUSTOMERS REPORT'!S993+'CUSTOMERS REPORT'!S1031+'CUSTOMERS REPORT'!S1069+'CUSTOMERS REPORT'!S1107+'CUSTOMERS REPORT'!S1145+'CUSTOMERS REPORT'!S1182+'CUSTOMERS REPORT'!S1219+'CUSTOMERS REPORT'!S1256+'CUSTOMERS REPORT'!S1293+'CUSTOMERS REPORT'!S1330+'CUSTOMERS REPORT'!S1367+'CUSTOMERS REPORT'!S1404+'CUSTOMERS REPORT'!S1440</f>
        <v>0</v>
      </c>
      <c r="AL54" s="852">
        <f>'CUSTOMERS REPORT'!T26+'CUSTOMERS REPORT'!T72+'CUSTOMERS REPORT'!T110+'CUSTOMERS REPORT'!T149+'CUSTOMERS REPORT'!T187+'CUSTOMERS REPORT'!T227+'CUSTOMERS REPORT'!T264+'CUSTOMERS REPORT'!T304+'CUSTOMERS REPORT'!T345+'CUSTOMERS REPORT'!T387+'CUSTOMERS REPORT'!T426+'CUSTOMERS REPORT'!T464+'CUSTOMERS REPORT'!T500+'CUSTOMERS REPORT'!T537+'CUSTOMERS REPORT'!T575+'CUSTOMERS REPORT'!T611+'CUSTOMERS REPORT'!T649+'CUSTOMERS REPORT'!T687+'CUSTOMERS REPORT'!T725+'CUSTOMERS REPORT'!T763+'CUSTOMERS REPORT'!T801+'CUSTOMERS REPORT'!T839+'CUSTOMERS REPORT'!T877+'CUSTOMERS REPORT'!T916+'CUSTOMERS REPORT'!T955+'CUSTOMERS REPORT'!T993+'CUSTOMERS REPORT'!T1031+'CUSTOMERS REPORT'!T1069+'CUSTOMERS REPORT'!T1107+'CUSTOMERS REPORT'!T1145</f>
        <v>0</v>
      </c>
      <c r="AM54" s="852">
        <f>'CUSTOMERS REPORT'!U26+'CUSTOMERS REPORT'!U72+'CUSTOMERS REPORT'!U110+'CUSTOMERS REPORT'!U149+'CUSTOMERS REPORT'!U187+'CUSTOMERS REPORT'!U227+'CUSTOMERS REPORT'!U264+'CUSTOMERS REPORT'!U304+'CUSTOMERS REPORT'!U345+'CUSTOMERS REPORT'!U387+'CUSTOMERS REPORT'!U426+'CUSTOMERS REPORT'!U464+'CUSTOMERS REPORT'!U500+'CUSTOMERS REPORT'!U537+'CUSTOMERS REPORT'!U575+'CUSTOMERS REPORT'!U611+'CUSTOMERS REPORT'!U649+'CUSTOMERS REPORT'!U687+'CUSTOMERS REPORT'!U725+'CUSTOMERS REPORT'!U763+'CUSTOMERS REPORT'!U801+'CUSTOMERS REPORT'!U839+'CUSTOMERS REPORT'!U877+'CUSTOMERS REPORT'!U916+'CUSTOMERS REPORT'!U955+'CUSTOMERS REPORT'!U993+'CUSTOMERS REPORT'!U1031+'CUSTOMERS REPORT'!U1069+'CUSTOMERS REPORT'!U1107+'CUSTOMERS REPORT'!U1145</f>
        <v>0</v>
      </c>
      <c r="AN54" s="852">
        <f>'CUSTOMERS REPORT'!V26+'CUSTOMERS REPORT'!V72+'CUSTOMERS REPORT'!V110+'CUSTOMERS REPORT'!V149+'CUSTOMERS REPORT'!V187+'CUSTOMERS REPORT'!V227+'CUSTOMERS REPORT'!V264+'CUSTOMERS REPORT'!V304+'CUSTOMERS REPORT'!V345+'CUSTOMERS REPORT'!V387+'CUSTOMERS REPORT'!V426+'CUSTOMERS REPORT'!V464+'CUSTOMERS REPORT'!V500+'CUSTOMERS REPORT'!V537+'CUSTOMERS REPORT'!V575+'CUSTOMERS REPORT'!V611+'CUSTOMERS REPORT'!V649+'CUSTOMERS REPORT'!V687+'CUSTOMERS REPORT'!V725+'CUSTOMERS REPORT'!V763+'CUSTOMERS REPORT'!V801+'CUSTOMERS REPORT'!V839+'CUSTOMERS REPORT'!V877+'CUSTOMERS REPORT'!V916+'CUSTOMERS REPORT'!V955+'CUSTOMERS REPORT'!V993+'CUSTOMERS REPORT'!V1031+'CUSTOMERS REPORT'!V1069+'CUSTOMERS REPORT'!V1107+'CUSTOMERS REPORT'!V1145</f>
        <v>0</v>
      </c>
    </row>
    <row r="55" spans="1:40" ht="24.95" customHeight="1" thickBot="1">
      <c r="L55" s="417">
        <v>20</v>
      </c>
      <c r="M55" s="417"/>
      <c r="N55" s="417">
        <f t="shared" si="10"/>
        <v>0</v>
      </c>
      <c r="R55" s="123">
        <f>'18'!R57</f>
        <v>52</v>
      </c>
      <c r="S55" s="865" t="s">
        <v>169</v>
      </c>
      <c r="T55" s="866">
        <f t="shared" ref="T55:AN55" si="12">T53-T54-T51</f>
        <v>0</v>
      </c>
      <c r="U55" s="866">
        <f t="shared" si="12"/>
        <v>0</v>
      </c>
      <c r="V55" s="866">
        <f t="shared" si="12"/>
        <v>-2</v>
      </c>
      <c r="W55" s="866">
        <f t="shared" si="12"/>
        <v>1</v>
      </c>
      <c r="X55" s="866">
        <f t="shared" si="12"/>
        <v>0</v>
      </c>
      <c r="Y55" s="866">
        <f t="shared" si="12"/>
        <v>0</v>
      </c>
      <c r="Z55" s="866">
        <f t="shared" si="12"/>
        <v>-2</v>
      </c>
      <c r="AA55" s="866">
        <f t="shared" si="12"/>
        <v>-12</v>
      </c>
      <c r="AB55" s="866">
        <f t="shared" si="12"/>
        <v>0</v>
      </c>
      <c r="AC55" s="866">
        <f t="shared" si="12"/>
        <v>1952</v>
      </c>
      <c r="AD55" s="866">
        <f t="shared" si="12"/>
        <v>494</v>
      </c>
      <c r="AE55" s="866">
        <f t="shared" si="12"/>
        <v>0</v>
      </c>
      <c r="AF55" s="866">
        <f>AF53-AF54-AF51</f>
        <v>1380</v>
      </c>
      <c r="AG55" s="866">
        <f t="shared" si="12"/>
        <v>1105</v>
      </c>
      <c r="AH55" s="866">
        <f t="shared" si="12"/>
        <v>1139</v>
      </c>
      <c r="AI55" s="866">
        <f t="shared" si="12"/>
        <v>631</v>
      </c>
      <c r="AJ55" s="866">
        <f t="shared" si="12"/>
        <v>0</v>
      </c>
      <c r="AK55" s="866">
        <f t="shared" si="12"/>
        <v>-1</v>
      </c>
      <c r="AL55" s="866" t="e">
        <f t="shared" si="12"/>
        <v>#VALUE!</v>
      </c>
      <c r="AM55" s="866" t="e">
        <f t="shared" si="12"/>
        <v>#VALUE!</v>
      </c>
      <c r="AN55" s="872" t="e">
        <f t="shared" si="12"/>
        <v>#VALUE!</v>
      </c>
    </row>
    <row r="56" spans="1:40" ht="28.5" thickBot="1">
      <c r="A56" s="114"/>
      <c r="B56" s="120"/>
      <c r="C56" s="115"/>
      <c r="L56" s="417">
        <v>10</v>
      </c>
      <c r="M56" s="417"/>
      <c r="N56" s="417">
        <f t="shared" si="10"/>
        <v>0</v>
      </c>
      <c r="R56" s="123">
        <f>T56+U56+V56+W56+X56+Y56+Z56+AA56+AB56+AC56+AD56+AE56+AF56+AG56+AH56+AI56+AJ56+AK56+AL56+AM56+AN56</f>
        <v>13</v>
      </c>
      <c r="S56" s="874" t="s">
        <v>170</v>
      </c>
      <c r="T56" s="875"/>
      <c r="U56" s="875"/>
      <c r="V56" s="875"/>
      <c r="W56" s="875"/>
      <c r="X56" s="875"/>
      <c r="Y56" s="875"/>
      <c r="Z56" s="876"/>
      <c r="AA56" s="875"/>
      <c r="AB56" s="875"/>
      <c r="AC56" s="875">
        <v>3</v>
      </c>
      <c r="AD56" s="875">
        <v>3.8</v>
      </c>
      <c r="AE56" s="875"/>
      <c r="AF56" s="875">
        <v>3.2</v>
      </c>
      <c r="AG56" s="875">
        <v>3</v>
      </c>
      <c r="AH56" s="875"/>
      <c r="AI56" s="875"/>
      <c r="AJ56" s="877"/>
      <c r="AK56" s="877"/>
      <c r="AL56" s="877"/>
      <c r="AM56" s="52"/>
      <c r="AN56" s="928"/>
    </row>
    <row r="57" spans="1:40" ht="27" customHeight="1" thickBot="1">
      <c r="A57" s="114"/>
      <c r="B57" s="131"/>
      <c r="C57" s="115"/>
      <c r="D57" s="115"/>
      <c r="E57" s="19"/>
      <c r="F57" s="19"/>
      <c r="G57" s="19"/>
      <c r="H57" s="19"/>
      <c r="I57" s="19"/>
      <c r="J57" s="19"/>
      <c r="K57" s="19"/>
      <c r="L57" s="418">
        <v>1</v>
      </c>
      <c r="M57" s="418"/>
      <c r="N57" s="417">
        <f t="shared" si="10"/>
        <v>0</v>
      </c>
      <c r="O57" s="19"/>
      <c r="R57" s="123">
        <f>SUM(R55:R56)</f>
        <v>65</v>
      </c>
      <c r="S57" s="882" t="s">
        <v>23</v>
      </c>
      <c r="T57" s="883" t="e">
        <f t="shared" ref="T57:AI57" si="13">T50/T56</f>
        <v>#DIV/0!</v>
      </c>
      <c r="U57" s="883" t="e">
        <f t="shared" si="13"/>
        <v>#DIV/0!</v>
      </c>
      <c r="V57" s="883" t="e">
        <f t="shared" si="13"/>
        <v>#DIV/0!</v>
      </c>
      <c r="W57" s="883" t="e">
        <f t="shared" si="13"/>
        <v>#DIV/0!</v>
      </c>
      <c r="X57" s="883" t="e">
        <f t="shared" si="13"/>
        <v>#DIV/0!</v>
      </c>
      <c r="Y57" s="883" t="e">
        <f t="shared" si="13"/>
        <v>#DIV/0!</v>
      </c>
      <c r="Z57" s="883" t="e">
        <f t="shared" si="13"/>
        <v>#DIV/0!</v>
      </c>
      <c r="AA57" s="883" t="e">
        <f t="shared" si="13"/>
        <v>#DIV/0!</v>
      </c>
      <c r="AB57" s="883" t="e">
        <f t="shared" si="13"/>
        <v>#DIV/0!</v>
      </c>
      <c r="AC57" s="883">
        <f t="shared" si="13"/>
        <v>89.333333333333329</v>
      </c>
      <c r="AD57" s="883">
        <f t="shared" si="13"/>
        <v>71.578947368421055</v>
      </c>
      <c r="AE57" s="883" t="e">
        <f t="shared" si="13"/>
        <v>#DIV/0!</v>
      </c>
      <c r="AF57" s="883">
        <f t="shared" si="13"/>
        <v>75.625</v>
      </c>
      <c r="AG57" s="883">
        <f t="shared" si="13"/>
        <v>92.666666666666671</v>
      </c>
      <c r="AH57" s="883" t="e">
        <f t="shared" si="13"/>
        <v>#DIV/0!</v>
      </c>
      <c r="AI57" s="883" t="e">
        <f t="shared" si="13"/>
        <v>#DIV/0!</v>
      </c>
      <c r="AJ57" s="883" t="e">
        <f>AJ50/AJ56</f>
        <v>#DIV/0!</v>
      </c>
      <c r="AK57" s="883" t="e">
        <f>AK50/AK56</f>
        <v>#DIV/0!</v>
      </c>
      <c r="AL57" s="883" t="e">
        <f t="shared" ref="AL57:AN57" si="14">AL50/AL56</f>
        <v>#DIV/0!</v>
      </c>
      <c r="AM57" s="883" t="e">
        <f t="shared" si="14"/>
        <v>#DIV/0!</v>
      </c>
      <c r="AN57" s="884" t="e">
        <f t="shared" si="14"/>
        <v>#DIV/0!</v>
      </c>
    </row>
    <row r="58" spans="1:40" ht="27" customHeight="1" thickBot="1">
      <c r="A58" s="114"/>
      <c r="B58" s="131"/>
      <c r="C58" s="115"/>
      <c r="D58" s="115" t="s">
        <v>1</v>
      </c>
      <c r="L58" s="1501" t="s">
        <v>171</v>
      </c>
      <c r="M58" s="1501"/>
      <c r="N58" s="419">
        <f>SUM(N50:N57)</f>
        <v>0</v>
      </c>
      <c r="R58" s="19"/>
      <c r="S58" s="878" t="s">
        <v>172</v>
      </c>
      <c r="T58" s="879">
        <f>T54</f>
        <v>0</v>
      </c>
      <c r="U58" s="879">
        <f t="shared" ref="U58:AI58" si="15">U54</f>
        <v>0</v>
      </c>
      <c r="V58" s="879">
        <f t="shared" si="15"/>
        <v>0</v>
      </c>
      <c r="W58" s="879">
        <f t="shared" si="15"/>
        <v>0</v>
      </c>
      <c r="X58" s="879">
        <f t="shared" si="15"/>
        <v>0</v>
      </c>
      <c r="Y58" s="879">
        <f t="shared" si="15"/>
        <v>0</v>
      </c>
      <c r="Z58" s="879">
        <f t="shared" si="15"/>
        <v>0</v>
      </c>
      <c r="AA58" s="879">
        <f t="shared" si="15"/>
        <v>0</v>
      </c>
      <c r="AB58" s="879">
        <f t="shared" si="15"/>
        <v>0</v>
      </c>
      <c r="AC58" s="879">
        <f t="shared" si="15"/>
        <v>0</v>
      </c>
      <c r="AD58" s="879">
        <f t="shared" si="15"/>
        <v>0</v>
      </c>
      <c r="AE58" s="879">
        <f t="shared" si="15"/>
        <v>0</v>
      </c>
      <c r="AF58" s="879">
        <f t="shared" si="15"/>
        <v>0</v>
      </c>
      <c r="AG58" s="879">
        <f t="shared" si="15"/>
        <v>0</v>
      </c>
      <c r="AH58" s="879">
        <f t="shared" si="15"/>
        <v>0</v>
      </c>
      <c r="AI58" s="879">
        <f t="shared" si="15"/>
        <v>0</v>
      </c>
      <c r="AJ58" s="879">
        <f>AJ54</f>
        <v>0</v>
      </c>
      <c r="AK58" s="879">
        <f>AK54</f>
        <v>0</v>
      </c>
      <c r="AL58" s="880"/>
      <c r="AM58" s="880"/>
      <c r="AN58" s="881"/>
    </row>
    <row r="59" spans="1:40" ht="27" customHeight="1">
      <c r="A59" s="114"/>
      <c r="B59" s="132"/>
      <c r="C59" s="115"/>
      <c r="D59" s="115" t="s">
        <v>1</v>
      </c>
      <c r="K59" t="s">
        <v>1</v>
      </c>
      <c r="L59" s="1486" t="s">
        <v>173</v>
      </c>
      <c r="M59" s="1486"/>
      <c r="N59" s="420">
        <f>N58-Q48</f>
        <v>2500790</v>
      </c>
      <c r="R59" s="19"/>
      <c r="S59" s="114"/>
      <c r="T59" s="121"/>
      <c r="U59" s="121"/>
      <c r="V59" s="121"/>
      <c r="W59" s="121"/>
      <c r="X59" s="121"/>
      <c r="Y59" s="121"/>
      <c r="Z59" s="122"/>
      <c r="AA59" s="121"/>
      <c r="AB59" s="121"/>
      <c r="AC59" s="121"/>
      <c r="AD59" s="121"/>
      <c r="AE59" s="121"/>
      <c r="AF59" s="121"/>
      <c r="AG59" s="121"/>
      <c r="AH59" s="119"/>
      <c r="AI59" s="119"/>
    </row>
    <row r="60" spans="1:40" ht="23.25">
      <c r="A60" s="114"/>
      <c r="B60" s="132"/>
      <c r="C60" s="115"/>
      <c r="D60" s="115"/>
      <c r="P60" s="19"/>
      <c r="Q60" s="19"/>
      <c r="R60" s="19"/>
      <c r="S60" s="19"/>
    </row>
    <row r="61" spans="1:40" ht="23.25">
      <c r="A61" s="114"/>
      <c r="B61" s="132"/>
      <c r="C61" s="115"/>
      <c r="D61" s="116"/>
      <c r="M61" t="s">
        <v>1</v>
      </c>
      <c r="P61" s="185"/>
      <c r="Q61" s="186"/>
      <c r="R61" s="19"/>
      <c r="S61" s="19"/>
    </row>
    <row r="62" spans="1:40" ht="20.25">
      <c r="C62" s="116"/>
      <c r="P62" s="19"/>
      <c r="Q62" s="19"/>
      <c r="R62" s="19"/>
      <c r="S62" s="19"/>
    </row>
    <row r="63" spans="1:40">
      <c r="E63" s="19"/>
    </row>
    <row r="64" spans="1:40">
      <c r="E64" s="19"/>
      <c r="J64" t="s">
        <v>3</v>
      </c>
    </row>
    <row r="65" spans="3:5" ht="21">
      <c r="C65" s="251"/>
      <c r="E65" s="19"/>
    </row>
    <row r="66" spans="3:5">
      <c r="E66" s="49"/>
    </row>
    <row r="67" spans="3:5" ht="23.25">
      <c r="E67" s="113"/>
    </row>
  </sheetData>
  <mergeCells count="21">
    <mergeCell ref="L59:M59"/>
    <mergeCell ref="T47:W47"/>
    <mergeCell ref="X47:Z47"/>
    <mergeCell ref="S47:S48"/>
    <mergeCell ref="AJ47:AK47"/>
    <mergeCell ref="AL47:AM47"/>
    <mergeCell ref="AI7:AJ7"/>
    <mergeCell ref="AI20:AJ20"/>
    <mergeCell ref="L58:M58"/>
    <mergeCell ref="A6:Q6"/>
    <mergeCell ref="S6:AE6"/>
    <mergeCell ref="A7:B7"/>
    <mergeCell ref="P7:Q7"/>
    <mergeCell ref="H48:I48"/>
    <mergeCell ref="P24:Q24"/>
    <mergeCell ref="P33:Q33"/>
    <mergeCell ref="P42:Q42"/>
    <mergeCell ref="H46:I46"/>
    <mergeCell ref="H47:I47"/>
    <mergeCell ref="AA47:AB47"/>
    <mergeCell ref="AC47:AI47"/>
  </mergeCells>
  <conditionalFormatting sqref="M48:N48">
    <cfRule type="duplicateValues" dxfId="265" priority="29"/>
    <cfRule type="duplicateValues" dxfId="264" priority="30"/>
    <cfRule type="duplicateValues" dxfId="263" priority="31"/>
    <cfRule type="duplicateValues" dxfId="262" priority="32"/>
  </conditionalFormatting>
  <conditionalFormatting sqref="L48 N48">
    <cfRule type="cellIs" dxfId="261" priority="28" operator="equal">
      <formula>66890</formula>
    </cfRule>
  </conditionalFormatting>
  <conditionalFormatting sqref="N48">
    <cfRule type="cellIs" dxfId="260" priority="27" operator="lessThan">
      <formula>1</formula>
    </cfRule>
  </conditionalFormatting>
  <conditionalFormatting sqref="T57">
    <cfRule type="cellIs" dxfId="259" priority="16" operator="lessThan">
      <formula>63</formula>
    </cfRule>
  </conditionalFormatting>
  <conditionalFormatting sqref="U57">
    <cfRule type="cellIs" dxfId="258" priority="14" operator="lessThan">
      <formula>63</formula>
    </cfRule>
    <cfRule type="cellIs" dxfId="257" priority="15" operator="lessThan">
      <formula>63</formula>
    </cfRule>
  </conditionalFormatting>
  <conditionalFormatting sqref="W57">
    <cfRule type="cellIs" dxfId="256" priority="13" operator="lessThan">
      <formula>140</formula>
    </cfRule>
  </conditionalFormatting>
  <conditionalFormatting sqref="X57">
    <cfRule type="cellIs" dxfId="255" priority="12" operator="lessThan">
      <formula>125</formula>
    </cfRule>
  </conditionalFormatting>
  <conditionalFormatting sqref="Y57">
    <cfRule type="cellIs" dxfId="254" priority="11" operator="lessThan">
      <formula>150</formula>
    </cfRule>
  </conditionalFormatting>
  <conditionalFormatting sqref="Z57">
    <cfRule type="cellIs" dxfId="253" priority="10" operator="lessThan">
      <formula>590</formula>
    </cfRule>
  </conditionalFormatting>
  <conditionalFormatting sqref="AA57">
    <cfRule type="cellIs" dxfId="252" priority="9" operator="lessThan">
      <formula>704</formula>
    </cfRule>
  </conditionalFormatting>
  <conditionalFormatting sqref="AC57">
    <cfRule type="cellIs" dxfId="251" priority="8" operator="lessThan">
      <formula>52</formula>
    </cfRule>
  </conditionalFormatting>
  <conditionalFormatting sqref="AD57">
    <cfRule type="cellIs" dxfId="250" priority="7" operator="lessThan">
      <formula>52</formula>
    </cfRule>
  </conditionalFormatting>
  <conditionalFormatting sqref="AH57">
    <cfRule type="cellIs" dxfId="249" priority="6" operator="lessThan">
      <formula>63</formula>
    </cfRule>
  </conditionalFormatting>
  <conditionalFormatting sqref="AI57">
    <cfRule type="cellIs" dxfId="248" priority="5" operator="lessThan">
      <formula>63</formula>
    </cfRule>
  </conditionalFormatting>
  <conditionalFormatting sqref="AK57">
    <cfRule type="cellIs" dxfId="247" priority="4" operator="lessThan">
      <formula>270</formula>
    </cfRule>
  </conditionalFormatting>
  <conditionalFormatting sqref="AJ57">
    <cfRule type="cellIs" dxfId="246" priority="3" operator="lessThan">
      <formula>270</formula>
    </cfRule>
  </conditionalFormatting>
  <conditionalFormatting sqref="AL57:AN57">
    <cfRule type="cellIs" dxfId="245" priority="1" operator="lessThan">
      <formula>270</formula>
    </cfRule>
  </conditionalFormatting>
  <printOptions horizontalCentered="1" verticalCentered="1"/>
  <pageMargins left="0" right="0.5" top="0" bottom="0" header="0" footer="0"/>
  <pageSetup paperSize="5" scale="45" orientation="landscape" cellComments="asDisplayed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N67"/>
  <sheetViews>
    <sheetView topLeftCell="A26" zoomScale="90" zoomScaleNormal="90" workbookViewId="0">
      <selection activeCell="A51" sqref="A51"/>
    </sheetView>
  </sheetViews>
  <sheetFormatPr defaultRowHeight="15"/>
  <cols>
    <col min="1" max="1" width="32.7109375" bestFit="1" customWidth="1"/>
    <col min="2" max="2" width="20.140625" bestFit="1" customWidth="1"/>
    <col min="3" max="4" width="20.7109375" customWidth="1"/>
    <col min="5" max="5" width="4.7109375" customWidth="1"/>
    <col min="6" max="6" width="35.85546875" bestFit="1" customWidth="1"/>
    <col min="7" max="7" width="17.7109375" customWidth="1"/>
    <col min="8" max="9" width="19.140625" bestFit="1" customWidth="1"/>
    <col min="10" max="11" width="17.7109375" customWidth="1"/>
    <col min="12" max="12" width="19.140625" bestFit="1" customWidth="1"/>
    <col min="13" max="14" width="18.7109375" customWidth="1"/>
    <col min="15" max="15" width="7.7109375" customWidth="1"/>
    <col min="16" max="16" width="28.7109375" customWidth="1"/>
    <col min="17" max="17" width="20.7109375" customWidth="1"/>
    <col min="18" max="18" width="11.5703125" bestFit="1" customWidth="1"/>
    <col min="19" max="19" width="32.7109375" customWidth="1"/>
    <col min="20" max="20" width="20.28515625" bestFit="1" customWidth="1"/>
    <col min="21" max="21" width="17.7109375" customWidth="1"/>
    <col min="22" max="22" width="20.28515625" bestFit="1" customWidth="1"/>
    <col min="23" max="23" width="17.7109375" customWidth="1"/>
    <col min="24" max="24" width="20.28515625" bestFit="1" customWidth="1"/>
    <col min="25" max="25" width="14.7109375" customWidth="1"/>
    <col min="26" max="26" width="23.7109375" bestFit="1" customWidth="1"/>
    <col min="27" max="27" width="20.140625" bestFit="1" customWidth="1"/>
    <col min="28" max="28" width="17.7109375" customWidth="1"/>
    <col min="29" max="29" width="20.140625" bestFit="1" customWidth="1"/>
    <col min="30" max="30" width="17.7109375" customWidth="1"/>
    <col min="31" max="31" width="20.140625" bestFit="1" customWidth="1"/>
    <col min="32" max="33" width="20.7109375" customWidth="1"/>
    <col min="34" max="36" width="17.7109375" customWidth="1"/>
    <col min="37" max="37" width="13" bestFit="1" customWidth="1"/>
    <col min="38" max="40" width="19.85546875" hidden="1" customWidth="1"/>
  </cols>
  <sheetData>
    <row r="1" spans="1:36">
      <c r="E1" s="5"/>
    </row>
    <row r="2" spans="1:36">
      <c r="E2" s="5"/>
    </row>
    <row r="3" spans="1:36" ht="15.75" thickBot="1">
      <c r="C3" t="s">
        <v>1</v>
      </c>
      <c r="E3" s="5" t="s">
        <v>1</v>
      </c>
      <c r="F3" t="s">
        <v>1</v>
      </c>
      <c r="N3" t="s">
        <v>1</v>
      </c>
      <c r="S3" t="s">
        <v>1</v>
      </c>
      <c r="U3" t="s">
        <v>1</v>
      </c>
    </row>
    <row r="4" spans="1:36" ht="21.75" thickTop="1">
      <c r="B4" t="s">
        <v>1</v>
      </c>
      <c r="D4" t="s">
        <v>1</v>
      </c>
      <c r="E4" t="s">
        <v>1</v>
      </c>
      <c r="P4" s="617" t="s">
        <v>108</v>
      </c>
      <c r="Q4" s="618">
        <f>'19'!Q4+'20'!Q9+'20'!Q10+'20'!Q19+'20'!Q20+'20'!Q21+'20'!Q22</f>
        <v>0</v>
      </c>
    </row>
    <row r="5" spans="1:36" ht="21.75" thickBot="1">
      <c r="P5" s="619" t="s">
        <v>109</v>
      </c>
      <c r="Q5" s="620">
        <f>'19'!Q5+'20'!Q25+'20'!Q26+'20'!Q27+'20'!Q28+'20'!Q29+'20'!Q30+'20'!Q31</f>
        <v>0</v>
      </c>
    </row>
    <row r="6" spans="1:36" ht="48" thickTop="1" thickBot="1">
      <c r="A6" s="1502">
        <f>'Main Page'!E36</f>
        <v>44885</v>
      </c>
      <c r="B6" s="1507"/>
      <c r="C6" s="1507"/>
      <c r="D6" s="1507"/>
      <c r="E6" s="1507"/>
      <c r="F6" s="1507"/>
      <c r="G6" s="1507"/>
      <c r="H6" s="1507"/>
      <c r="I6" s="1507"/>
      <c r="J6" s="1507"/>
      <c r="K6" s="1507"/>
      <c r="L6" s="1507"/>
      <c r="M6" s="1507"/>
      <c r="N6" s="1507"/>
      <c r="O6" s="1507"/>
      <c r="P6" s="1507"/>
      <c r="Q6" s="1515"/>
      <c r="R6" t="s">
        <v>1</v>
      </c>
      <c r="S6" s="1502">
        <f>A6</f>
        <v>44885</v>
      </c>
      <c r="T6" s="1503"/>
      <c r="U6" s="1503"/>
      <c r="V6" s="1503"/>
      <c r="W6" s="1503"/>
      <c r="X6" s="1503"/>
      <c r="Y6" s="1503"/>
      <c r="Z6" s="1503"/>
      <c r="AA6" s="1503"/>
      <c r="AB6" s="1503"/>
      <c r="AC6" s="1503"/>
      <c r="AD6" s="1503"/>
      <c r="AE6" s="1504"/>
    </row>
    <row r="7" spans="1:36" ht="39.950000000000003" customHeight="1" thickTop="1" thickBot="1">
      <c r="A7" s="1505" t="s">
        <v>110</v>
      </c>
      <c r="B7" s="1506"/>
      <c r="C7" s="367" t="s">
        <v>97</v>
      </c>
      <c r="D7" s="368" t="s">
        <v>74</v>
      </c>
      <c r="F7" s="363" t="s">
        <v>111</v>
      </c>
      <c r="G7" s="364" t="s">
        <v>112</v>
      </c>
      <c r="H7" s="365" t="s">
        <v>113</v>
      </c>
      <c r="I7" s="365" t="s">
        <v>26</v>
      </c>
      <c r="J7" s="365" t="s">
        <v>114</v>
      </c>
      <c r="K7" s="366" t="s">
        <v>115</v>
      </c>
      <c r="L7" s="365" t="s">
        <v>116</v>
      </c>
      <c r="M7" s="365" t="s">
        <v>117</v>
      </c>
      <c r="N7" s="365" t="s">
        <v>118</v>
      </c>
      <c r="P7" s="1510" t="s">
        <v>69</v>
      </c>
      <c r="Q7" s="1511"/>
      <c r="S7" s="380" t="s">
        <v>58</v>
      </c>
      <c r="T7" s="380" t="s">
        <v>59</v>
      </c>
      <c r="U7" s="380" t="s">
        <v>119</v>
      </c>
      <c r="V7" s="380" t="s">
        <v>74</v>
      </c>
      <c r="W7" s="380" t="s">
        <v>120</v>
      </c>
      <c r="X7" s="380" t="s">
        <v>59</v>
      </c>
      <c r="Z7" s="367" t="s">
        <v>121</v>
      </c>
      <c r="AA7" s="367" t="s">
        <v>97</v>
      </c>
      <c r="AB7" s="415" t="s">
        <v>122</v>
      </c>
      <c r="AC7" s="416" t="s">
        <v>90</v>
      </c>
      <c r="AD7" s="367" t="s">
        <v>56</v>
      </c>
      <c r="AE7" s="381" t="s">
        <v>100</v>
      </c>
      <c r="AF7" s="560" t="s">
        <v>122</v>
      </c>
      <c r="AG7" s="570" t="s">
        <v>56</v>
      </c>
      <c r="AI7" s="1487" t="s">
        <v>123</v>
      </c>
      <c r="AJ7" s="1488"/>
    </row>
    <row r="8" spans="1:36" ht="27" customHeight="1" thickTop="1" thickBot="1">
      <c r="A8" s="718"/>
      <c r="B8" s="526"/>
      <c r="C8" s="463"/>
      <c r="D8" s="233"/>
      <c r="F8" s="478" t="str">
        <f>'19'!F8</f>
        <v>ISHAQ ANSARI</v>
      </c>
      <c r="G8" s="405">
        <f>'CUSTOMERS REPORT'!Y27</f>
        <v>0</v>
      </c>
      <c r="H8" s="503">
        <f>'CUSTOMERS REPORT'!Z27</f>
        <v>0</v>
      </c>
      <c r="I8" s="405">
        <f>'CUSTOMERS REPORT'!AA27</f>
        <v>0</v>
      </c>
      <c r="J8" s="497">
        <f>'CUSTOMERS REPORT'!AB27</f>
        <v>0</v>
      </c>
      <c r="K8" s="497">
        <f>'CUSTOMERS REPORT'!AC27</f>
        <v>0</v>
      </c>
      <c r="L8" s="508">
        <f>'CUSTOMERS REPORT'!AD27</f>
        <v>0</v>
      </c>
      <c r="M8" s="413">
        <f>'19'!M8+'20'!G8</f>
        <v>0</v>
      </c>
      <c r="N8" s="411">
        <f>'19'!N8+'20'!J8</f>
        <v>0</v>
      </c>
      <c r="P8" s="191" t="s">
        <v>124</v>
      </c>
      <c r="Q8" s="223">
        <f>'19'!Q32</f>
        <v>0</v>
      </c>
      <c r="S8" s="399" t="str">
        <f>'19'!S8</f>
        <v>FLOUR</v>
      </c>
      <c r="T8" s="446">
        <f>'19'!X8</f>
        <v>-4</v>
      </c>
      <c r="U8" s="455"/>
      <c r="V8" s="450">
        <f t="shared" ref="V8:V43" si="0">SUM(T8:U8)</f>
        <v>-4</v>
      </c>
      <c r="W8" s="450">
        <v>26</v>
      </c>
      <c r="X8" s="446">
        <f t="shared" ref="X8:X43" si="1">V8-W8</f>
        <v>-30</v>
      </c>
      <c r="Z8" s="382" t="str">
        <f>'19'!Z8</f>
        <v>GHAZI</v>
      </c>
      <c r="AA8" s="464">
        <f>'19'!AE8</f>
        <v>-300000</v>
      </c>
      <c r="AB8" s="459"/>
      <c r="AC8" s="233">
        <f t="shared" ref="AC8:AC41" si="2">AA8+AB8</f>
        <v>-300000</v>
      </c>
      <c r="AD8" s="468"/>
      <c r="AE8" s="463">
        <f t="shared" ref="AE8:AE42" si="3">AC8-AD8</f>
        <v>-300000</v>
      </c>
      <c r="AF8" s="563">
        <f>'19'!AF8+'20'!AB8</f>
        <v>0</v>
      </c>
      <c r="AG8" s="233">
        <f>'19'!AG8+'20'!AD8</f>
        <v>300000</v>
      </c>
      <c r="AI8" s="391" t="s">
        <v>126</v>
      </c>
      <c r="AJ8" s="392">
        <f>'19'!AJ10</f>
        <v>115970</v>
      </c>
    </row>
    <row r="9" spans="1:36" ht="27" customHeight="1" thickTop="1">
      <c r="A9" s="718"/>
      <c r="B9" s="528"/>
      <c r="C9" s="348"/>
      <c r="D9" s="550"/>
      <c r="F9" s="479" t="str">
        <f>'19'!F9</f>
        <v>MAKKI BAKERY</v>
      </c>
      <c r="G9" s="406">
        <f>'CUSTOMERS REPORT'!Y73</f>
        <v>0</v>
      </c>
      <c r="H9" s="504">
        <f>'CUSTOMERS REPORT'!Z73</f>
        <v>0</v>
      </c>
      <c r="I9" s="406">
        <f>'CUSTOMERS REPORT'!AA73</f>
        <v>0</v>
      </c>
      <c r="J9" s="498">
        <f>'CUSTOMERS REPORT'!AB73</f>
        <v>0</v>
      </c>
      <c r="K9" s="498">
        <f>'CUSTOMERS REPORT'!AC73</f>
        <v>0</v>
      </c>
      <c r="L9" s="509">
        <f>'CUSTOMERS REPORT'!AD73</f>
        <v>0</v>
      </c>
      <c r="M9" s="414">
        <f>'19'!M9+'20'!G9</f>
        <v>0</v>
      </c>
      <c r="N9" s="412">
        <f>'19'!N9+'20'!J9</f>
        <v>0</v>
      </c>
      <c r="P9" s="432"/>
      <c r="Q9" s="436"/>
      <c r="S9" s="400" t="str">
        <f>'19'!S9</f>
        <v>SUGAR</v>
      </c>
      <c r="T9" s="446">
        <f>'19'!X9</f>
        <v>-320</v>
      </c>
      <c r="U9" s="456"/>
      <c r="V9" s="451">
        <f t="shared" si="0"/>
        <v>-320</v>
      </c>
      <c r="W9" s="451">
        <v>455</v>
      </c>
      <c r="X9" s="447">
        <f t="shared" si="1"/>
        <v>-775</v>
      </c>
      <c r="Z9" s="375" t="str">
        <f>'19'!Z9</f>
        <v>SOHNI</v>
      </c>
      <c r="AA9" s="464">
        <f>'19'!AE9</f>
        <v>120000</v>
      </c>
      <c r="AB9" s="460"/>
      <c r="AC9" s="462">
        <f t="shared" si="2"/>
        <v>120000</v>
      </c>
      <c r="AD9" s="469"/>
      <c r="AE9" s="348">
        <f t="shared" si="3"/>
        <v>120000</v>
      </c>
      <c r="AF9" s="563">
        <f>'19'!AF9+'20'!AB9</f>
        <v>370000</v>
      </c>
      <c r="AG9" s="234">
        <f>'19'!AG9+'20'!AD9</f>
        <v>250000</v>
      </c>
      <c r="AI9" s="393" t="s">
        <v>128</v>
      </c>
      <c r="AJ9" s="394">
        <f>B26</f>
        <v>0</v>
      </c>
    </row>
    <row r="10" spans="1:36" ht="27" customHeight="1" thickBot="1">
      <c r="A10" s="718"/>
      <c r="B10" s="528"/>
      <c r="C10" s="350"/>
      <c r="D10" s="550"/>
      <c r="F10" s="479" t="str">
        <f>'19'!F10</f>
        <v>ABID HUSSAIN</v>
      </c>
      <c r="G10" s="406">
        <f>'CUSTOMERS REPORT'!Y111</f>
        <v>0</v>
      </c>
      <c r="H10" s="504">
        <f>'CUSTOMERS REPORT'!Z111</f>
        <v>0</v>
      </c>
      <c r="I10" s="406">
        <f>'CUSTOMERS REPORT'!AA111</f>
        <v>0</v>
      </c>
      <c r="J10" s="498">
        <f>'CUSTOMERS REPORT'!AB111</f>
        <v>0</v>
      </c>
      <c r="K10" s="498">
        <f>'CUSTOMERS REPORT'!AC111</f>
        <v>0</v>
      </c>
      <c r="L10" s="509">
        <f>'CUSTOMERS REPORT'!AD111</f>
        <v>0</v>
      </c>
      <c r="M10" s="414">
        <f>'19'!M10+'20'!G10</f>
        <v>0</v>
      </c>
      <c r="N10" s="412">
        <f>'19'!N10+'20'!J10</f>
        <v>0</v>
      </c>
      <c r="P10" s="433"/>
      <c r="Q10" s="437"/>
      <c r="S10" s="400" t="str">
        <f>'19'!S10</f>
        <v>GHEE</v>
      </c>
      <c r="T10" s="446">
        <f>'19'!X10</f>
        <v>-15</v>
      </c>
      <c r="U10" s="456"/>
      <c r="V10" s="451">
        <f t="shared" si="0"/>
        <v>-15</v>
      </c>
      <c r="W10" s="451">
        <v>5</v>
      </c>
      <c r="X10" s="447">
        <f t="shared" si="1"/>
        <v>-20</v>
      </c>
      <c r="Z10" s="375" t="str">
        <f>'19'!Z10</f>
        <v>HUSSAINI</v>
      </c>
      <c r="AA10" s="464">
        <f>'19'!AE10</f>
        <v>-156100</v>
      </c>
      <c r="AB10" s="460"/>
      <c r="AC10" s="462">
        <f t="shared" si="2"/>
        <v>-156100</v>
      </c>
      <c r="AD10" s="469"/>
      <c r="AE10" s="348">
        <f t="shared" si="3"/>
        <v>-156100</v>
      </c>
      <c r="AF10" s="563">
        <f>'19'!AF10+'20'!AB10</f>
        <v>0</v>
      </c>
      <c r="AG10" s="234">
        <f>'19'!AG10+'20'!AD10</f>
        <v>156100</v>
      </c>
      <c r="AI10" s="395" t="s">
        <v>74</v>
      </c>
      <c r="AJ10" s="396">
        <f>AJ8+AJ9</f>
        <v>115970</v>
      </c>
    </row>
    <row r="11" spans="1:36" ht="27" customHeight="1" thickTop="1">
      <c r="A11" s="718"/>
      <c r="B11" s="528"/>
      <c r="C11" s="350"/>
      <c r="D11" s="550"/>
      <c r="F11" s="479" t="str">
        <f>'19'!F11</f>
        <v>SHAHID 5 #</v>
      </c>
      <c r="G11" s="406">
        <f>'CUSTOMERS REPORT'!Y150</f>
        <v>0</v>
      </c>
      <c r="H11" s="504">
        <f>'CUSTOMERS REPORT'!Z150</f>
        <v>0</v>
      </c>
      <c r="I11" s="406">
        <f>'CUSTOMERS REPORT'!AA150</f>
        <v>0</v>
      </c>
      <c r="J11" s="498">
        <f>'CUSTOMERS REPORT'!AB150</f>
        <v>0</v>
      </c>
      <c r="K11" s="498">
        <f>'CUSTOMERS REPORT'!AC150</f>
        <v>0</v>
      </c>
      <c r="L11" s="509">
        <f>'CUSTOMERS REPORT'!AD150</f>
        <v>0</v>
      </c>
      <c r="M11" s="414">
        <f>'19'!M11+'20'!G11</f>
        <v>0</v>
      </c>
      <c r="N11" s="412">
        <f>'19'!N11+'20'!J11</f>
        <v>0</v>
      </c>
      <c r="P11" s="433"/>
      <c r="Q11" s="437"/>
      <c r="S11" s="400" t="str">
        <f>'19'!S11</f>
        <v>YEAST</v>
      </c>
      <c r="T11" s="446">
        <f>'19'!X11</f>
        <v>-53</v>
      </c>
      <c r="U11" s="456"/>
      <c r="V11" s="451">
        <f t="shared" ref="V11:V21" si="4">SUM(T11:U11)</f>
        <v>-53</v>
      </c>
      <c r="W11" s="451">
        <v>13</v>
      </c>
      <c r="X11" s="447">
        <f t="shared" ref="X11:X20" si="5">V11-W11</f>
        <v>-66</v>
      </c>
      <c r="Z11" s="375" t="str">
        <f>'19'!Z11</f>
        <v>IMRAN ALAM</v>
      </c>
      <c r="AA11" s="464">
        <f>'19'!AE11</f>
        <v>-145000</v>
      </c>
      <c r="AB11" s="460"/>
      <c r="AC11" s="462">
        <f t="shared" ref="AC11:AC20" si="6">AA11+AB11</f>
        <v>-145000</v>
      </c>
      <c r="AD11" s="469"/>
      <c r="AE11" s="348">
        <f t="shared" ref="AE11:AE20" si="7">AC11-AD11</f>
        <v>-145000</v>
      </c>
      <c r="AF11" s="563">
        <f>'19'!AF11+'20'!AB11</f>
        <v>0</v>
      </c>
      <c r="AG11" s="234">
        <f>'19'!AG11+'20'!AD11</f>
        <v>145000</v>
      </c>
      <c r="AI11" s="1031"/>
      <c r="AJ11" s="1032"/>
    </row>
    <row r="12" spans="1:36" ht="27" customHeight="1">
      <c r="A12" s="718"/>
      <c r="B12" s="528"/>
      <c r="C12" s="350"/>
      <c r="D12" s="550"/>
      <c r="F12" s="479" t="str">
        <f>'19'!F12</f>
        <v>ZULFIQAR</v>
      </c>
      <c r="G12" s="406">
        <f>'CUSTOMERS REPORT'!Y188</f>
        <v>0</v>
      </c>
      <c r="H12" s="504">
        <f>'CUSTOMERS REPORT'!Z188</f>
        <v>0</v>
      </c>
      <c r="I12" s="406">
        <f>'CUSTOMERS REPORT'!AA188</f>
        <v>0</v>
      </c>
      <c r="J12" s="498">
        <f>'CUSTOMERS REPORT'!AB188</f>
        <v>0</v>
      </c>
      <c r="K12" s="498">
        <f>'CUSTOMERS REPORT'!AC188</f>
        <v>0</v>
      </c>
      <c r="L12" s="509">
        <f>'CUSTOMERS REPORT'!AD188</f>
        <v>0</v>
      </c>
      <c r="M12" s="414">
        <f>'19'!M12+'20'!G12</f>
        <v>0</v>
      </c>
      <c r="N12" s="412">
        <f>'19'!N12+'20'!J12</f>
        <v>0</v>
      </c>
      <c r="P12" s="433"/>
      <c r="Q12" s="437"/>
      <c r="S12" s="400" t="str">
        <f>'19'!S12</f>
        <v xml:space="preserve">EKKA </v>
      </c>
      <c r="T12" s="446">
        <f>'19'!X12</f>
        <v>0</v>
      </c>
      <c r="U12" s="456"/>
      <c r="V12" s="451">
        <f t="shared" si="4"/>
        <v>0</v>
      </c>
      <c r="W12" s="451"/>
      <c r="X12" s="447">
        <f t="shared" si="5"/>
        <v>0</v>
      </c>
      <c r="Z12" s="375" t="str">
        <f>'19'!Z12</f>
        <v>ZAHEER</v>
      </c>
      <c r="AA12" s="464">
        <f>'19'!AE12</f>
        <v>0</v>
      </c>
      <c r="AB12" s="460"/>
      <c r="AC12" s="462">
        <f t="shared" si="6"/>
        <v>0</v>
      </c>
      <c r="AD12" s="469"/>
      <c r="AE12" s="348">
        <f t="shared" si="7"/>
        <v>0</v>
      </c>
      <c r="AF12" s="563">
        <f>'19'!AF12+'20'!AB12</f>
        <v>0</v>
      </c>
      <c r="AG12" s="234">
        <f>'19'!AG12+'20'!AD12</f>
        <v>0</v>
      </c>
      <c r="AI12" s="1031"/>
      <c r="AJ12" s="1032"/>
    </row>
    <row r="13" spans="1:36" ht="27" customHeight="1">
      <c r="A13" s="718"/>
      <c r="B13" s="528"/>
      <c r="C13" s="350"/>
      <c r="D13" s="550"/>
      <c r="F13" s="479" t="str">
        <f>'19'!F13</f>
        <v>QASIM ORANGI</v>
      </c>
      <c r="G13" s="406">
        <f>'CUSTOMERS REPORT'!Y228</f>
        <v>0</v>
      </c>
      <c r="H13" s="504">
        <f>'CUSTOMERS REPORT'!Z228</f>
        <v>0</v>
      </c>
      <c r="I13" s="406">
        <f>'CUSTOMERS REPORT'!AA228</f>
        <v>0</v>
      </c>
      <c r="J13" s="498">
        <f>'CUSTOMERS REPORT'!AB228</f>
        <v>0</v>
      </c>
      <c r="K13" s="498">
        <f>'CUSTOMERS REPORT'!AC228</f>
        <v>0</v>
      </c>
      <c r="L13" s="509">
        <f>'CUSTOMERS REPORT'!AD228</f>
        <v>0</v>
      </c>
      <c r="M13" s="414">
        <f>'19'!M13+'20'!G13</f>
        <v>0</v>
      </c>
      <c r="N13" s="412">
        <f>'19'!N13+'20'!J13</f>
        <v>0</v>
      </c>
      <c r="P13" s="433"/>
      <c r="Q13" s="437"/>
      <c r="S13" s="400" t="str">
        <f>'19'!S13</f>
        <v>VANILLA</v>
      </c>
      <c r="T13" s="446">
        <f>'19'!X13</f>
        <v>0</v>
      </c>
      <c r="U13" s="456"/>
      <c r="V13" s="451">
        <f t="shared" si="4"/>
        <v>0</v>
      </c>
      <c r="W13" s="451"/>
      <c r="X13" s="447">
        <f t="shared" si="5"/>
        <v>0</v>
      </c>
      <c r="Z13" s="375" t="str">
        <f>'19'!Z13</f>
        <v>FAISAL</v>
      </c>
      <c r="AA13" s="464">
        <f>'19'!AE13</f>
        <v>-100000</v>
      </c>
      <c r="AB13" s="460"/>
      <c r="AC13" s="462">
        <f t="shared" si="6"/>
        <v>-100000</v>
      </c>
      <c r="AD13" s="469"/>
      <c r="AE13" s="348">
        <f t="shared" si="7"/>
        <v>-100000</v>
      </c>
      <c r="AF13" s="563">
        <f>'19'!AF13+'20'!AB13</f>
        <v>0</v>
      </c>
      <c r="AG13" s="234">
        <f>'19'!AG13+'20'!AD13</f>
        <v>100000</v>
      </c>
      <c r="AI13" s="1031"/>
      <c r="AJ13" s="1032"/>
    </row>
    <row r="14" spans="1:36" ht="27" customHeight="1">
      <c r="A14" s="718"/>
      <c r="B14" s="528"/>
      <c r="C14" s="350"/>
      <c r="D14" s="550"/>
      <c r="F14" s="479" t="str">
        <f>'19'!F14</f>
        <v>BADSHAH KHAN HYD</v>
      </c>
      <c r="G14" s="406">
        <f>'CUSTOMERS REPORT'!Y265</f>
        <v>0</v>
      </c>
      <c r="H14" s="504">
        <f>'CUSTOMERS REPORT'!Z265</f>
        <v>0</v>
      </c>
      <c r="I14" s="406">
        <f>'CUSTOMERS REPORT'!AA265</f>
        <v>0</v>
      </c>
      <c r="J14" s="498">
        <f>'CUSTOMERS REPORT'!AB265</f>
        <v>0</v>
      </c>
      <c r="K14" s="498">
        <f>'CUSTOMERS REPORT'!AC265</f>
        <v>0</v>
      </c>
      <c r="L14" s="509">
        <f>'CUSTOMERS REPORT'!AD265</f>
        <v>0</v>
      </c>
      <c r="M14" s="414">
        <f>'19'!M14+'20'!G14</f>
        <v>0</v>
      </c>
      <c r="N14" s="412">
        <f>'19'!N14+'20'!J14</f>
        <v>0</v>
      </c>
      <c r="P14" s="433"/>
      <c r="Q14" s="437"/>
      <c r="S14" s="400" t="str">
        <f>'19'!S14</f>
        <v>COLOUR</v>
      </c>
      <c r="T14" s="446">
        <f>'19'!X14</f>
        <v>25</v>
      </c>
      <c r="U14" s="456"/>
      <c r="V14" s="451">
        <f t="shared" si="4"/>
        <v>25</v>
      </c>
      <c r="W14" s="451"/>
      <c r="X14" s="447">
        <f t="shared" si="5"/>
        <v>25</v>
      </c>
      <c r="Z14" s="375" t="str">
        <f>'19'!Z14</f>
        <v>RANA EKKA</v>
      </c>
      <c r="AA14" s="464">
        <f>'19'!AE14</f>
        <v>0</v>
      </c>
      <c r="AB14" s="460"/>
      <c r="AC14" s="462">
        <f t="shared" si="6"/>
        <v>0</v>
      </c>
      <c r="AD14" s="469"/>
      <c r="AE14" s="348">
        <f t="shared" si="7"/>
        <v>0</v>
      </c>
      <c r="AF14" s="563">
        <f>'19'!AF14+'20'!AB14</f>
        <v>0</v>
      </c>
      <c r="AG14" s="234">
        <f>'19'!AG14+'20'!AD14</f>
        <v>0</v>
      </c>
      <c r="AI14" s="1031"/>
      <c r="AJ14" s="1032"/>
    </row>
    <row r="15" spans="1:36" ht="27" customHeight="1">
      <c r="A15" s="718"/>
      <c r="B15" s="528"/>
      <c r="C15" s="350"/>
      <c r="D15" s="550"/>
      <c r="F15" s="479" t="str">
        <f>'19'!F15</f>
        <v>SHAMOON</v>
      </c>
      <c r="G15" s="406">
        <f>'CUSTOMERS REPORT'!Y305</f>
        <v>0</v>
      </c>
      <c r="H15" s="504">
        <f>'CUSTOMERS REPORT'!Z305</f>
        <v>0</v>
      </c>
      <c r="I15" s="406">
        <f>'CUSTOMERS REPORT'!AA305</f>
        <v>0</v>
      </c>
      <c r="J15" s="498">
        <f>'CUSTOMERS REPORT'!AB305</f>
        <v>0</v>
      </c>
      <c r="K15" s="498">
        <f>'CUSTOMERS REPORT'!AC305</f>
        <v>0</v>
      </c>
      <c r="L15" s="509">
        <f>'CUSTOMERS REPORT'!AD305</f>
        <v>0</v>
      </c>
      <c r="M15" s="414">
        <f>'19'!M15+'20'!G15</f>
        <v>0</v>
      </c>
      <c r="N15" s="412">
        <f>'19'!N15+'20'!J15</f>
        <v>0</v>
      </c>
      <c r="P15" s="433"/>
      <c r="Q15" s="437"/>
      <c r="S15" s="400" t="str">
        <f>'19'!S15</f>
        <v>TILL</v>
      </c>
      <c r="T15" s="446">
        <f>'19'!X15</f>
        <v>0</v>
      </c>
      <c r="U15" s="456"/>
      <c r="V15" s="451">
        <f t="shared" si="4"/>
        <v>0</v>
      </c>
      <c r="W15" s="451"/>
      <c r="X15" s="447">
        <f t="shared" si="5"/>
        <v>0</v>
      </c>
      <c r="Z15" s="375" t="str">
        <f>'19'!Z15</f>
        <v>sheeba</v>
      </c>
      <c r="AA15" s="464">
        <f>'19'!AE15</f>
        <v>-410250</v>
      </c>
      <c r="AB15" s="460"/>
      <c r="AC15" s="462">
        <f t="shared" si="6"/>
        <v>-410250</v>
      </c>
      <c r="AD15" s="469"/>
      <c r="AE15" s="348">
        <f t="shared" si="7"/>
        <v>-410250</v>
      </c>
      <c r="AF15" s="563">
        <f>'19'!AF15+'20'!AB15</f>
        <v>0</v>
      </c>
      <c r="AG15" s="234">
        <f>'19'!AG15+'20'!AD15</f>
        <v>410250</v>
      </c>
      <c r="AI15" s="1031"/>
      <c r="AJ15" s="1032"/>
    </row>
    <row r="16" spans="1:36" ht="27" customHeight="1">
      <c r="A16" s="718"/>
      <c r="B16" s="528"/>
      <c r="C16" s="350"/>
      <c r="D16" s="550"/>
      <c r="F16" s="479" t="str">
        <f>'19'!F16</f>
        <v>MATEEN</v>
      </c>
      <c r="G16" s="406">
        <f>'CUSTOMERS REPORT'!Y346</f>
        <v>0</v>
      </c>
      <c r="H16" s="504">
        <f>'CUSTOMERS REPORT'!Z346</f>
        <v>0</v>
      </c>
      <c r="I16" s="406">
        <f>'CUSTOMERS REPORT'!AA346</f>
        <v>0</v>
      </c>
      <c r="J16" s="498">
        <f>'CUSTOMERS REPORT'!AB346</f>
        <v>0</v>
      </c>
      <c r="K16" s="498">
        <f>'CUSTOMERS REPORT'!AC346</f>
        <v>0</v>
      </c>
      <c r="L16" s="509">
        <f>'CUSTOMERS REPORT'!AD346</f>
        <v>0</v>
      </c>
      <c r="M16" s="414">
        <f>'19'!M16+'20'!G16</f>
        <v>0</v>
      </c>
      <c r="N16" s="412">
        <f>'19'!N16+'20'!J16</f>
        <v>0</v>
      </c>
      <c r="P16" s="433"/>
      <c r="Q16" s="437"/>
      <c r="S16" s="400" t="str">
        <f>'19'!S16</f>
        <v>ILLAICHI</v>
      </c>
      <c r="T16" s="446">
        <f>'19'!X16</f>
        <v>0</v>
      </c>
      <c r="U16" s="456"/>
      <c r="V16" s="451">
        <f t="shared" si="4"/>
        <v>0</v>
      </c>
      <c r="W16" s="451"/>
      <c r="X16" s="447">
        <f t="shared" si="5"/>
        <v>0</v>
      </c>
      <c r="Z16" s="375" t="str">
        <f>'19'!Z16</f>
        <v>COTTON</v>
      </c>
      <c r="AA16" s="464">
        <f>'19'!AE16</f>
        <v>11400</v>
      </c>
      <c r="AB16" s="460"/>
      <c r="AC16" s="462">
        <f t="shared" si="6"/>
        <v>11400</v>
      </c>
      <c r="AD16" s="469"/>
      <c r="AE16" s="348">
        <f t="shared" si="7"/>
        <v>11400</v>
      </c>
      <c r="AF16" s="563">
        <f>'19'!AF16+'20'!AB16</f>
        <v>26400</v>
      </c>
      <c r="AG16" s="234">
        <f>'19'!AG16+'20'!AD16</f>
        <v>15000</v>
      </c>
      <c r="AI16" s="1031"/>
      <c r="AJ16" s="1032"/>
    </row>
    <row r="17" spans="1:36" ht="27" customHeight="1">
      <c r="A17" s="718"/>
      <c r="B17" s="528"/>
      <c r="C17" s="350"/>
      <c r="D17" s="550"/>
      <c r="F17" s="479" t="str">
        <f>'19'!F17</f>
        <v>AMJAD ORANGI</v>
      </c>
      <c r="G17" s="406">
        <f>'CUSTOMERS REPORT'!Y388</f>
        <v>0</v>
      </c>
      <c r="H17" s="504">
        <f>'CUSTOMERS REPORT'!Z388</f>
        <v>0</v>
      </c>
      <c r="I17" s="406">
        <f>'CUSTOMERS REPORT'!AA388</f>
        <v>0</v>
      </c>
      <c r="J17" s="498">
        <f>'CUSTOMERS REPORT'!AB388</f>
        <v>0</v>
      </c>
      <c r="K17" s="498">
        <f>'CUSTOMERS REPORT'!AC388</f>
        <v>0</v>
      </c>
      <c r="L17" s="509">
        <f>'CUSTOMERS REPORT'!AD388</f>
        <v>0</v>
      </c>
      <c r="M17" s="414">
        <f>'19'!M17+'20'!G17</f>
        <v>0</v>
      </c>
      <c r="N17" s="412">
        <f>'19'!N17+'20'!J17</f>
        <v>0</v>
      </c>
      <c r="P17" s="433"/>
      <c r="Q17" s="437"/>
      <c r="S17" s="400" t="str">
        <f>'19'!S17</f>
        <v>S-THELLI</v>
      </c>
      <c r="T17" s="446">
        <f>'19'!X17</f>
        <v>0</v>
      </c>
      <c r="U17" s="456"/>
      <c r="V17" s="451">
        <f t="shared" si="4"/>
        <v>0</v>
      </c>
      <c r="W17" s="451"/>
      <c r="X17" s="447">
        <f t="shared" si="5"/>
        <v>0</v>
      </c>
      <c r="Z17" s="375" t="str">
        <f>'19'!Z17</f>
        <v>SHAHID UP</v>
      </c>
      <c r="AA17" s="464">
        <f>'19'!AE17</f>
        <v>21250</v>
      </c>
      <c r="AB17" s="460"/>
      <c r="AC17" s="462">
        <f t="shared" si="6"/>
        <v>21250</v>
      </c>
      <c r="AD17" s="469"/>
      <c r="AE17" s="348">
        <f t="shared" si="7"/>
        <v>21250</v>
      </c>
      <c r="AF17" s="563">
        <f>'19'!AF17+'20'!AB17</f>
        <v>21250</v>
      </c>
      <c r="AG17" s="234">
        <f>'19'!AG17+'20'!AD17</f>
        <v>0</v>
      </c>
      <c r="AI17" s="1031"/>
      <c r="AJ17" s="1032"/>
    </row>
    <row r="18" spans="1:36" ht="27" customHeight="1">
      <c r="A18" s="718"/>
      <c r="B18" s="528"/>
      <c r="C18" s="350"/>
      <c r="D18" s="550"/>
      <c r="F18" s="479" t="str">
        <f>'19'!F18</f>
        <v>HAFIZ DRIVER</v>
      </c>
      <c r="G18" s="406">
        <f>'CUSTOMERS REPORT'!Y427</f>
        <v>0</v>
      </c>
      <c r="H18" s="504">
        <f>'CUSTOMERS REPORT'!Z427</f>
        <v>0</v>
      </c>
      <c r="I18" s="406">
        <f>'CUSTOMERS REPORT'!AA427</f>
        <v>0</v>
      </c>
      <c r="J18" s="498">
        <f>'CUSTOMERS REPORT'!AB427</f>
        <v>0</v>
      </c>
      <c r="K18" s="498">
        <f>'CUSTOMERS REPORT'!AC427</f>
        <v>0</v>
      </c>
      <c r="L18" s="509">
        <f>'CUSTOMERS REPORT'!AD427</f>
        <v>0</v>
      </c>
      <c r="M18" s="414">
        <f>'19'!M18+'20'!G18</f>
        <v>0</v>
      </c>
      <c r="N18" s="412">
        <f>'19'!N18+'20'!J18</f>
        <v>0</v>
      </c>
      <c r="P18" s="433"/>
      <c r="Q18" s="437"/>
      <c r="S18" s="400" t="str">
        <f>'19'!S18</f>
        <v>P-THELLI</v>
      </c>
      <c r="T18" s="446">
        <f>'19'!X18</f>
        <v>0</v>
      </c>
      <c r="U18" s="456"/>
      <c r="V18" s="451">
        <f t="shared" si="4"/>
        <v>0</v>
      </c>
      <c r="W18" s="451"/>
      <c r="X18" s="447">
        <f t="shared" si="5"/>
        <v>0</v>
      </c>
      <c r="Z18" s="375" t="str">
        <f>'19'!Z18</f>
        <v>SALT</v>
      </c>
      <c r="AA18" s="464">
        <f>'19'!AE18</f>
        <v>0</v>
      </c>
      <c r="AB18" s="460"/>
      <c r="AC18" s="462">
        <f t="shared" si="6"/>
        <v>0</v>
      </c>
      <c r="AD18" s="469"/>
      <c r="AE18" s="348">
        <f t="shared" si="7"/>
        <v>0</v>
      </c>
      <c r="AF18" s="563">
        <f>'19'!AF18+'20'!AB18</f>
        <v>1500</v>
      </c>
      <c r="AG18" s="234">
        <f>'19'!AG18+'20'!AD18</f>
        <v>1500</v>
      </c>
      <c r="AI18" s="1031"/>
      <c r="AJ18" s="1032"/>
    </row>
    <row r="19" spans="1:36" ht="27" customHeight="1" thickBot="1">
      <c r="A19" s="719"/>
      <c r="B19" s="529"/>
      <c r="C19" s="350"/>
      <c r="D19" s="550"/>
      <c r="F19" s="479" t="str">
        <f>'19'!F19</f>
        <v>GHULAM QUETTA</v>
      </c>
      <c r="G19" s="406">
        <f>'CUSTOMERS REPORT'!Y465</f>
        <v>0</v>
      </c>
      <c r="H19" s="504">
        <f>'CUSTOMERS REPORT'!Z465</f>
        <v>0</v>
      </c>
      <c r="I19" s="406">
        <f>'CUSTOMERS REPORT'!AA465</f>
        <v>0</v>
      </c>
      <c r="J19" s="498">
        <f>'CUSTOMERS REPORT'!AB465</f>
        <v>0</v>
      </c>
      <c r="K19" s="498">
        <f>'CUSTOMERS REPORT'!AC465</f>
        <v>0</v>
      </c>
      <c r="L19" s="509">
        <f>'CUSTOMERS REPORT'!AD465</f>
        <v>0</v>
      </c>
      <c r="M19" s="414">
        <f>'19'!M19+'20'!G19</f>
        <v>0</v>
      </c>
      <c r="N19" s="412">
        <f>'19'!N19+'20'!J19</f>
        <v>0</v>
      </c>
      <c r="P19" s="433"/>
      <c r="Q19" s="437"/>
      <c r="S19" s="400" t="str">
        <f>'19'!S19</f>
        <v>RUBBER</v>
      </c>
      <c r="T19" s="446">
        <f>'19'!X19</f>
        <v>0</v>
      </c>
      <c r="U19" s="456"/>
      <c r="V19" s="451">
        <f t="shared" si="4"/>
        <v>0</v>
      </c>
      <c r="W19" s="451"/>
      <c r="X19" s="447">
        <f t="shared" si="5"/>
        <v>0</v>
      </c>
      <c r="Z19" s="375" t="str">
        <f>'19'!Z19</f>
        <v>NAVEED</v>
      </c>
      <c r="AA19" s="464">
        <f>'19'!AE19</f>
        <v>0</v>
      </c>
      <c r="AB19" s="460"/>
      <c r="AC19" s="462">
        <f t="shared" si="6"/>
        <v>0</v>
      </c>
      <c r="AD19" s="469"/>
      <c r="AE19" s="348">
        <f t="shared" si="7"/>
        <v>0</v>
      </c>
      <c r="AF19" s="563">
        <f>'19'!AF19+'20'!AB19</f>
        <v>0</v>
      </c>
      <c r="AG19" s="234">
        <f>'19'!AG19+'20'!AD19</f>
        <v>0</v>
      </c>
    </row>
    <row r="20" spans="1:36" ht="27" customHeight="1" thickTop="1" thickBot="1">
      <c r="A20" s="719"/>
      <c r="B20" s="529"/>
      <c r="C20" s="350"/>
      <c r="D20" s="550"/>
      <c r="F20" s="479" t="str">
        <f>'19'!F20</f>
        <v>HUSSAN GWADAR</v>
      </c>
      <c r="G20" s="406">
        <f>'CUSTOMERS REPORT'!Y501:Y501</f>
        <v>0</v>
      </c>
      <c r="H20" s="504">
        <f>'CUSTOMERS REPORT'!Z501:Z501</f>
        <v>0</v>
      </c>
      <c r="I20" s="406">
        <f>'CUSTOMERS REPORT'!AA501:AA501</f>
        <v>0</v>
      </c>
      <c r="J20" s="498">
        <f>'CUSTOMERS REPORT'!AB501:AB501</f>
        <v>0</v>
      </c>
      <c r="K20" s="498">
        <f>'CUSTOMERS REPORT'!AC501:AC501</f>
        <v>0</v>
      </c>
      <c r="L20" s="509">
        <f>'CUSTOMERS REPORT'!AD501:AD501</f>
        <v>0</v>
      </c>
      <c r="M20" s="414">
        <f>'19'!M20+'20'!G20</f>
        <v>0</v>
      </c>
      <c r="N20" s="412">
        <f>'19'!N20+'20'!J20</f>
        <v>0</v>
      </c>
      <c r="P20" s="433"/>
      <c r="Q20" s="437"/>
      <c r="S20" s="400" t="str">
        <f>'19'!S20</f>
        <v>SALT</v>
      </c>
      <c r="T20" s="446">
        <f>'19'!X20</f>
        <v>250</v>
      </c>
      <c r="U20" s="456"/>
      <c r="V20" s="451">
        <f t="shared" si="4"/>
        <v>250</v>
      </c>
      <c r="W20" s="451"/>
      <c r="X20" s="447">
        <f t="shared" si="5"/>
        <v>250</v>
      </c>
      <c r="Z20" s="375" t="str">
        <f>'19'!Z20</f>
        <v>YOUSUF BHAI</v>
      </c>
      <c r="AA20" s="464">
        <f>'19'!AE20</f>
        <v>-53300</v>
      </c>
      <c r="AB20" s="460"/>
      <c r="AC20" s="462">
        <f t="shared" si="6"/>
        <v>-53300</v>
      </c>
      <c r="AD20" s="469"/>
      <c r="AE20" s="348">
        <f t="shared" si="7"/>
        <v>-53300</v>
      </c>
      <c r="AF20" s="563">
        <f>'19'!AF20+'20'!AB20</f>
        <v>301100</v>
      </c>
      <c r="AG20" s="234">
        <f>'19'!AG20+'20'!AD20</f>
        <v>354400</v>
      </c>
      <c r="AI20" s="1487" t="s">
        <v>132</v>
      </c>
      <c r="AJ20" s="1488"/>
    </row>
    <row r="21" spans="1:36" ht="27" customHeight="1" thickTop="1" thickBot="1">
      <c r="A21" s="720"/>
      <c r="B21" s="530"/>
      <c r="C21" s="531"/>
      <c r="D21" s="553"/>
      <c r="F21" s="479" t="str">
        <f>'19'!F21</f>
        <v>AQASH S KOT</v>
      </c>
      <c r="G21" s="406">
        <f>'CUSTOMERS REPORT'!Y538</f>
        <v>0</v>
      </c>
      <c r="H21" s="504">
        <f>'CUSTOMERS REPORT'!Z538</f>
        <v>0</v>
      </c>
      <c r="I21" s="406">
        <f>'CUSTOMERS REPORT'!AA538</f>
        <v>0</v>
      </c>
      <c r="J21" s="498">
        <f>'CUSTOMERS REPORT'!AB538</f>
        <v>0</v>
      </c>
      <c r="K21" s="498">
        <f>'CUSTOMERS REPORT'!AC538</f>
        <v>0</v>
      </c>
      <c r="L21" s="509">
        <f>'CUSTOMERS REPORT'!AD538</f>
        <v>0</v>
      </c>
      <c r="M21" s="414">
        <f>'19'!M21+'20'!G21</f>
        <v>0</v>
      </c>
      <c r="N21" s="412">
        <f>'19'!N21+'20'!J21</f>
        <v>0</v>
      </c>
      <c r="P21" s="433"/>
      <c r="Q21" s="435"/>
      <c r="S21" s="400" t="str">
        <f>'19'!S21</f>
        <v>TAPE</v>
      </c>
      <c r="T21" s="446">
        <f>'19'!X21</f>
        <v>0</v>
      </c>
      <c r="U21" s="456"/>
      <c r="V21" s="451">
        <f t="shared" si="4"/>
        <v>0</v>
      </c>
      <c r="W21" s="451"/>
      <c r="X21" s="447">
        <f>V21-W21</f>
        <v>0</v>
      </c>
      <c r="Z21" s="375" t="str">
        <f>'19'!Z21</f>
        <v>SULEMAN  PRINT</v>
      </c>
      <c r="AA21" s="464">
        <f>'19'!AE21</f>
        <v>-312000</v>
      </c>
      <c r="AB21" s="460"/>
      <c r="AC21" s="462">
        <f t="shared" si="2"/>
        <v>-312000</v>
      </c>
      <c r="AD21" s="469"/>
      <c r="AE21" s="348">
        <f t="shared" si="3"/>
        <v>-312000</v>
      </c>
      <c r="AF21" s="563">
        <f>'19'!AF21+'20'!AB21</f>
        <v>0</v>
      </c>
      <c r="AG21" s="234">
        <f>'19'!AG21+'20'!AD21</f>
        <v>312000</v>
      </c>
      <c r="AI21" s="391" t="s">
        <v>126</v>
      </c>
      <c r="AJ21" s="392">
        <f>'19'!AJ23</f>
        <v>117000</v>
      </c>
    </row>
    <row r="22" spans="1:36" ht="27" customHeight="1" thickTop="1" thickBot="1">
      <c r="A22" s="486" t="s">
        <v>74</v>
      </c>
      <c r="B22" s="533">
        <f>SUM(B8:B21)</f>
        <v>0</v>
      </c>
      <c r="C22" s="534">
        <f>'19'!D22</f>
        <v>2170220</v>
      </c>
      <c r="D22" s="535">
        <f t="shared" ref="D22" si="8">B22+C22</f>
        <v>2170220</v>
      </c>
      <c r="F22" s="479" t="str">
        <f>'19'!F22</f>
        <v>SALEEM T JAM</v>
      </c>
      <c r="G22" s="406">
        <f>'CUSTOMERS REPORT'!Y576</f>
        <v>0</v>
      </c>
      <c r="H22" s="504">
        <f>'CUSTOMERS REPORT'!Z576</f>
        <v>0</v>
      </c>
      <c r="I22" s="406">
        <f>'CUSTOMERS REPORT'!AA576</f>
        <v>0</v>
      </c>
      <c r="J22" s="498">
        <f>'CUSTOMERS REPORT'!AB576</f>
        <v>0</v>
      </c>
      <c r="K22" s="498">
        <f>'CUSTOMERS REPORT'!AC576</f>
        <v>0</v>
      </c>
      <c r="L22" s="509">
        <f>'CUSTOMERS REPORT'!AD576</f>
        <v>0</v>
      </c>
      <c r="M22" s="414">
        <f>'19'!M22+'20'!G22</f>
        <v>0</v>
      </c>
      <c r="N22" s="412">
        <f>'19'!N22+'20'!J22</f>
        <v>0</v>
      </c>
      <c r="P22" s="433"/>
      <c r="Q22" s="438"/>
      <c r="S22" s="400" t="str">
        <f>'19'!S22</f>
        <v>COTTON</v>
      </c>
      <c r="T22" s="446">
        <f>'19'!X22</f>
        <v>220</v>
      </c>
      <c r="U22" s="456"/>
      <c r="V22" s="451">
        <f t="shared" si="0"/>
        <v>220</v>
      </c>
      <c r="W22" s="451"/>
      <c r="X22" s="447">
        <f t="shared" si="1"/>
        <v>220</v>
      </c>
      <c r="Z22" s="375" t="str">
        <f>'19'!Z22</f>
        <v>IRFAN VANILA</v>
      </c>
      <c r="AA22" s="464">
        <f>'19'!AE22</f>
        <v>-110000</v>
      </c>
      <c r="AB22" s="460"/>
      <c r="AC22" s="462">
        <f t="shared" si="2"/>
        <v>-110000</v>
      </c>
      <c r="AD22" s="469"/>
      <c r="AE22" s="348">
        <f t="shared" si="3"/>
        <v>-110000</v>
      </c>
      <c r="AF22" s="563">
        <f>'19'!AF22+'20'!AB22</f>
        <v>0</v>
      </c>
      <c r="AG22" s="234">
        <f>'19'!AG22+'20'!AD22</f>
        <v>110000</v>
      </c>
      <c r="AI22" s="393">
        <f>R56</f>
        <v>0</v>
      </c>
      <c r="AJ22" s="394">
        <f>R56*1800</f>
        <v>0</v>
      </c>
    </row>
    <row r="23" spans="1:36" ht="27" customHeight="1" thickTop="1" thickBot="1">
      <c r="A23" s="715" t="str">
        <f>'19'!A23</f>
        <v>OFFICE FOOD</v>
      </c>
      <c r="B23" s="462">
        <v>80</v>
      </c>
      <c r="C23" s="536">
        <f>'19'!D23</f>
        <v>1850</v>
      </c>
      <c r="D23" s="537">
        <f t="shared" ref="D23:D48" si="9">B23+C23</f>
        <v>1930</v>
      </c>
      <c r="F23" s="479" t="str">
        <f>'19'!F23</f>
        <v>JAMSHAD BADEEN</v>
      </c>
      <c r="G23" s="406">
        <f>'CUSTOMERS REPORT'!Y612</f>
        <v>0</v>
      </c>
      <c r="H23" s="504">
        <f>'CUSTOMERS REPORT'!Z612</f>
        <v>0</v>
      </c>
      <c r="I23" s="406">
        <f>'CUSTOMERS REPORT'!AA612</f>
        <v>0</v>
      </c>
      <c r="J23" s="498">
        <f>'CUSTOMERS REPORT'!AB612</f>
        <v>0</v>
      </c>
      <c r="K23" s="498">
        <f>'CUSTOMERS REPORT'!AC612</f>
        <v>0</v>
      </c>
      <c r="L23" s="509">
        <f>'CUSTOMERS REPORT'!AD612</f>
        <v>0</v>
      </c>
      <c r="M23" s="414">
        <f>'19'!M23+'20'!G23</f>
        <v>0</v>
      </c>
      <c r="N23" s="412">
        <f>'19'!N23+'20'!J23</f>
        <v>0</v>
      </c>
      <c r="P23" s="190" t="s">
        <v>48</v>
      </c>
      <c r="Q23" s="439">
        <f>SUM(Q8:Q22)</f>
        <v>0</v>
      </c>
      <c r="S23" s="400" t="str">
        <f>'19'!S23</f>
        <v>WHITE 6</v>
      </c>
      <c r="T23" s="446">
        <f>'19'!X23</f>
        <v>0</v>
      </c>
      <c r="U23" s="456"/>
      <c r="V23" s="451">
        <f t="shared" si="0"/>
        <v>0</v>
      </c>
      <c r="W23" s="451"/>
      <c r="X23" s="447">
        <f t="shared" si="1"/>
        <v>0</v>
      </c>
      <c r="Z23" s="375" t="str">
        <f>'19'!Z23</f>
        <v>IRANI GHEE</v>
      </c>
      <c r="AA23" s="464">
        <f>'19'!AE23</f>
        <v>0</v>
      </c>
      <c r="AB23" s="460"/>
      <c r="AC23" s="462">
        <f t="shared" si="2"/>
        <v>0</v>
      </c>
      <c r="AD23" s="469"/>
      <c r="AE23" s="348">
        <f t="shared" si="3"/>
        <v>0</v>
      </c>
      <c r="AF23" s="563">
        <f>'19'!AF23+'20'!AB23</f>
        <v>0</v>
      </c>
      <c r="AG23" s="234">
        <f>'19'!AG23+'20'!AD23</f>
        <v>0</v>
      </c>
      <c r="AI23" s="395" t="s">
        <v>74</v>
      </c>
      <c r="AJ23" s="396">
        <f>AJ21+AJ22</f>
        <v>117000</v>
      </c>
    </row>
    <row r="24" spans="1:36" ht="27" customHeight="1" thickTop="1" thickBot="1">
      <c r="A24" s="715" t="str">
        <f>'19'!A24</f>
        <v>LABOUR FOOD EXP</v>
      </c>
      <c r="B24" s="234">
        <v>2000</v>
      </c>
      <c r="C24" s="348">
        <f>'19'!D24</f>
        <v>14000</v>
      </c>
      <c r="D24" s="234">
        <f t="shared" si="9"/>
        <v>16000</v>
      </c>
      <c r="F24" s="479" t="str">
        <f>'19'!F24</f>
        <v>SARFAZ MP</v>
      </c>
      <c r="G24" s="406">
        <f>'CUSTOMERS REPORT'!Y650</f>
        <v>0</v>
      </c>
      <c r="H24" s="504">
        <f>'CUSTOMERS REPORT'!Z650</f>
        <v>0</v>
      </c>
      <c r="I24" s="406">
        <f>'CUSTOMERS REPORT'!AA650</f>
        <v>0</v>
      </c>
      <c r="J24" s="498">
        <f>'CUSTOMERS REPORT'!AB650</f>
        <v>0</v>
      </c>
      <c r="K24" s="498">
        <f>'CUSTOMERS REPORT'!AC650</f>
        <v>0</v>
      </c>
      <c r="L24" s="509">
        <f>'CUSTOMERS REPORT'!AD650</f>
        <v>0</v>
      </c>
      <c r="M24" s="414">
        <f>'19'!M24+'20'!G24</f>
        <v>0</v>
      </c>
      <c r="N24" s="412">
        <f>'19'!N24+'20'!J24</f>
        <v>0</v>
      </c>
      <c r="P24" s="1514" t="s">
        <v>137</v>
      </c>
      <c r="Q24" s="1514"/>
      <c r="R24" t="s">
        <v>1</v>
      </c>
      <c r="S24" s="400" t="str">
        <f>'19'!S24</f>
        <v>ORANGE</v>
      </c>
      <c r="T24" s="446">
        <f>'19'!X24</f>
        <v>0</v>
      </c>
      <c r="U24" s="456"/>
      <c r="V24" s="451">
        <f t="shared" si="0"/>
        <v>0</v>
      </c>
      <c r="W24" s="451"/>
      <c r="X24" s="447">
        <f t="shared" si="1"/>
        <v>0</v>
      </c>
      <c r="Z24" s="375">
        <f>'19'!Z24</f>
        <v>0</v>
      </c>
      <c r="AA24" s="464">
        <f>'19'!AE24</f>
        <v>0</v>
      </c>
      <c r="AB24" s="460"/>
      <c r="AC24" s="462">
        <f t="shared" si="2"/>
        <v>0</v>
      </c>
      <c r="AD24" s="469"/>
      <c r="AE24" s="348">
        <f t="shared" si="3"/>
        <v>0</v>
      </c>
      <c r="AF24" s="563">
        <f>'19'!AF24+'20'!AB24</f>
        <v>0</v>
      </c>
      <c r="AG24" s="234">
        <f>'19'!AG24+'20'!AD24</f>
        <v>0</v>
      </c>
    </row>
    <row r="25" spans="1:36" ht="27" customHeight="1" thickTop="1" thickBot="1">
      <c r="A25" s="715" t="str">
        <f>'19'!A25</f>
        <v>OFFICE SALARY</v>
      </c>
      <c r="B25" s="234">
        <f>ATTENDANCE!AO28</f>
        <v>0</v>
      </c>
      <c r="C25" s="348">
        <f>'19'!D25</f>
        <v>32000</v>
      </c>
      <c r="D25" s="234">
        <f t="shared" si="9"/>
        <v>32000</v>
      </c>
      <c r="F25" s="479" t="str">
        <f>'19'!F25</f>
        <v>AFZAL MATLI</v>
      </c>
      <c r="G25" s="406">
        <f>'CUSTOMERS REPORT'!Y688</f>
        <v>0</v>
      </c>
      <c r="H25" s="504">
        <f>'CUSTOMERS REPORT'!Z688</f>
        <v>0</v>
      </c>
      <c r="I25" s="406">
        <f>'CUSTOMERS REPORT'!AA688</f>
        <v>0</v>
      </c>
      <c r="J25" s="498">
        <f>'CUSTOMERS REPORT'!AB688</f>
        <v>0</v>
      </c>
      <c r="K25" s="498">
        <f>'CUSTOMERS REPORT'!AC688</f>
        <v>0</v>
      </c>
      <c r="L25" s="509">
        <f>'CUSTOMERS REPORT'!AD688</f>
        <v>0</v>
      </c>
      <c r="M25" s="414">
        <f>'19'!M25+'20'!G25</f>
        <v>0</v>
      </c>
      <c r="N25" s="412">
        <f>'19'!N25+'20'!J25</f>
        <v>0</v>
      </c>
      <c r="P25" s="434"/>
      <c r="Q25" s="440"/>
      <c r="S25" s="400" t="str">
        <f>'19'!S25</f>
        <v>MAKKI 7</v>
      </c>
      <c r="T25" s="446">
        <f>'19'!X25</f>
        <v>0</v>
      </c>
      <c r="U25" s="456"/>
      <c r="V25" s="451">
        <f t="shared" si="0"/>
        <v>0</v>
      </c>
      <c r="W25" s="451"/>
      <c r="X25" s="447">
        <f t="shared" si="1"/>
        <v>0</v>
      </c>
      <c r="Z25" s="375">
        <f>'19'!Z25</f>
        <v>0</v>
      </c>
      <c r="AA25" s="464">
        <f>'19'!AE25</f>
        <v>0</v>
      </c>
      <c r="AB25" s="460"/>
      <c r="AC25" s="462">
        <f t="shared" si="2"/>
        <v>0</v>
      </c>
      <c r="AD25" s="469"/>
      <c r="AE25" s="348">
        <f t="shared" si="3"/>
        <v>0</v>
      </c>
      <c r="AF25" s="563">
        <f>'19'!AF25+'20'!AB25</f>
        <v>0</v>
      </c>
      <c r="AG25" s="234">
        <f>'19'!AG25+'20'!AD25</f>
        <v>0</v>
      </c>
      <c r="AI25" s="397" t="s">
        <v>59</v>
      </c>
      <c r="AJ25" s="398">
        <f>AJ23-AJ10</f>
        <v>1030</v>
      </c>
    </row>
    <row r="26" spans="1:36" ht="27" customHeight="1" thickTop="1">
      <c r="A26" s="715" t="str">
        <f>'19'!A26</f>
        <v>LABOUR SALARY</v>
      </c>
      <c r="B26" s="234">
        <f>SUM('SALERY SHEET'!AP97:AQ97)</f>
        <v>0</v>
      </c>
      <c r="C26" s="348">
        <f>'19'!D26</f>
        <v>115970</v>
      </c>
      <c r="D26" s="234">
        <f t="shared" si="9"/>
        <v>115970</v>
      </c>
      <c r="F26" s="479" t="str">
        <f>'19'!F26</f>
        <v xml:space="preserve">ABDUL RASHEED </v>
      </c>
      <c r="G26" s="406">
        <f>'CUSTOMERS REPORT'!Y726</f>
        <v>0</v>
      </c>
      <c r="H26" s="504">
        <f>'CUSTOMERS REPORT'!Z726</f>
        <v>0</v>
      </c>
      <c r="I26" s="406">
        <f>'CUSTOMERS REPORT'!AA726</f>
        <v>0</v>
      </c>
      <c r="J26" s="498">
        <f>'CUSTOMERS REPORT'!AB726</f>
        <v>0</v>
      </c>
      <c r="K26" s="498">
        <f>'CUSTOMERS REPORT'!AC726</f>
        <v>0</v>
      </c>
      <c r="L26" s="509">
        <f>'CUSTOMERS REPORT'!AD726</f>
        <v>0</v>
      </c>
      <c r="M26" s="414">
        <f>'19'!M26+'20'!G26</f>
        <v>0</v>
      </c>
      <c r="N26" s="412">
        <f>'19'!N26+'20'!J26</f>
        <v>0</v>
      </c>
      <c r="P26" s="433"/>
      <c r="Q26" s="438"/>
      <c r="S26" s="400" t="str">
        <f>'19'!S26</f>
        <v>BLUE 125 GM</v>
      </c>
      <c r="T26" s="446">
        <f>'19'!X26</f>
        <v>0</v>
      </c>
      <c r="U26" s="456"/>
      <c r="V26" s="451">
        <f t="shared" si="0"/>
        <v>0</v>
      </c>
      <c r="W26" s="451"/>
      <c r="X26" s="447">
        <f t="shared" si="1"/>
        <v>0</v>
      </c>
      <c r="Z26" s="375">
        <f>'19'!Z26</f>
        <v>0</v>
      </c>
      <c r="AA26" s="464">
        <f>'19'!AE26</f>
        <v>0</v>
      </c>
      <c r="AB26" s="460"/>
      <c r="AC26" s="462">
        <f t="shared" si="2"/>
        <v>0</v>
      </c>
      <c r="AD26" s="469"/>
      <c r="AE26" s="348">
        <f t="shared" si="3"/>
        <v>0</v>
      </c>
      <c r="AF26" s="563">
        <f>'19'!AF26+'20'!AB26</f>
        <v>0</v>
      </c>
      <c r="AG26" s="234">
        <f>'19'!AG26+'20'!AD26</f>
        <v>0</v>
      </c>
    </row>
    <row r="27" spans="1:36" ht="27" customHeight="1">
      <c r="A27" s="715" t="str">
        <f>'19'!A27</f>
        <v>SHAHZORE</v>
      </c>
      <c r="B27" s="234"/>
      <c r="C27" s="348">
        <f>'19'!D27</f>
        <v>0</v>
      </c>
      <c r="D27" s="234">
        <f t="shared" si="9"/>
        <v>0</v>
      </c>
      <c r="F27" s="479" t="str">
        <f>'19'!F27</f>
        <v>SALEEM ORANGI</v>
      </c>
      <c r="G27" s="406">
        <f>'CUSTOMERS REPORT'!Y764</f>
        <v>0</v>
      </c>
      <c r="H27" s="504">
        <f>'CUSTOMERS REPORT'!Z764</f>
        <v>0</v>
      </c>
      <c r="I27" s="406">
        <f>'CUSTOMERS REPORT'!AA764</f>
        <v>0</v>
      </c>
      <c r="J27" s="498">
        <f>'CUSTOMERS REPORT'!AB764</f>
        <v>0</v>
      </c>
      <c r="K27" s="498">
        <f>'CUSTOMERS REPORT'!AC764</f>
        <v>0</v>
      </c>
      <c r="L27" s="509">
        <f>'CUSTOMERS REPORT'!AD764</f>
        <v>0</v>
      </c>
      <c r="M27" s="414">
        <f>'19'!M27+'20'!G27</f>
        <v>0</v>
      </c>
      <c r="N27" s="412">
        <f>'19'!N27+'20'!J27</f>
        <v>0</v>
      </c>
      <c r="P27" s="433"/>
      <c r="Q27" s="435"/>
      <c r="R27" t="s">
        <v>1</v>
      </c>
      <c r="S27" s="400" t="str">
        <f>'19'!S27</f>
        <v>MAKKI 5</v>
      </c>
      <c r="T27" s="446">
        <f>'19'!X27</f>
        <v>0</v>
      </c>
      <c r="U27" s="456"/>
      <c r="V27" s="451">
        <f t="shared" si="0"/>
        <v>0</v>
      </c>
      <c r="W27" s="451"/>
      <c r="X27" s="447">
        <f t="shared" si="1"/>
        <v>0</v>
      </c>
      <c r="Z27" s="375">
        <f>'19'!Z27</f>
        <v>0</v>
      </c>
      <c r="AA27" s="464">
        <f>'19'!AE27</f>
        <v>0</v>
      </c>
      <c r="AB27" s="460"/>
      <c r="AC27" s="462">
        <f t="shared" si="2"/>
        <v>0</v>
      </c>
      <c r="AD27" s="469"/>
      <c r="AE27" s="348">
        <f t="shared" si="3"/>
        <v>0</v>
      </c>
      <c r="AF27" s="563">
        <f>'19'!AF27+'20'!AB27</f>
        <v>0</v>
      </c>
      <c r="AG27" s="234">
        <f>'19'!AG27+'20'!AD27</f>
        <v>0</v>
      </c>
    </row>
    <row r="28" spans="1:36" ht="27" customHeight="1">
      <c r="A28" s="715" t="str">
        <f>'19'!A28</f>
        <v>GENERATOR</v>
      </c>
      <c r="B28" s="234"/>
      <c r="C28" s="348">
        <f>'19'!D28</f>
        <v>28700</v>
      </c>
      <c r="D28" s="234">
        <f t="shared" si="9"/>
        <v>28700</v>
      </c>
      <c r="F28" s="479" t="str">
        <f>'19'!F28</f>
        <v>AYAZ OUSTA</v>
      </c>
      <c r="G28" s="406">
        <f>'CUSTOMERS REPORT'!Y802</f>
        <v>0</v>
      </c>
      <c r="H28" s="504">
        <f>'CUSTOMERS REPORT'!Z802</f>
        <v>0</v>
      </c>
      <c r="I28" s="406">
        <f>'CUSTOMERS REPORT'!AA802</f>
        <v>0</v>
      </c>
      <c r="J28" s="498">
        <f>'CUSTOMERS REPORT'!AB802</f>
        <v>0</v>
      </c>
      <c r="K28" s="498">
        <f>'CUSTOMERS REPORT'!AC802</f>
        <v>0</v>
      </c>
      <c r="L28" s="509">
        <f>'CUSTOMERS REPORT'!AD802</f>
        <v>0</v>
      </c>
      <c r="M28" s="414">
        <f>'19'!M28+'20'!G28</f>
        <v>0</v>
      </c>
      <c r="N28" s="412">
        <f>'19'!N28+'20'!J28</f>
        <v>0</v>
      </c>
      <c r="P28" s="433"/>
      <c r="Q28" s="438"/>
      <c r="S28" s="400" t="str">
        <f>'19'!S28</f>
        <v>MAKKI 2 PES</v>
      </c>
      <c r="T28" s="446">
        <f>'19'!X28</f>
        <v>0</v>
      </c>
      <c r="U28" s="456"/>
      <c r="V28" s="451">
        <f t="shared" si="0"/>
        <v>0</v>
      </c>
      <c r="W28" s="451"/>
      <c r="X28" s="447">
        <f t="shared" si="1"/>
        <v>0</v>
      </c>
      <c r="Z28" s="375">
        <f>'19'!Z28</f>
        <v>0</v>
      </c>
      <c r="AA28" s="464">
        <f>'19'!AE28</f>
        <v>0</v>
      </c>
      <c r="AB28" s="460"/>
      <c r="AC28" s="462">
        <f t="shared" si="2"/>
        <v>0</v>
      </c>
      <c r="AD28" s="469"/>
      <c r="AE28" s="348">
        <f t="shared" si="3"/>
        <v>0</v>
      </c>
      <c r="AF28" s="563">
        <f>'19'!AF28+'20'!AB28</f>
        <v>0</v>
      </c>
      <c r="AG28" s="234">
        <f>'19'!AG28+'20'!AD28</f>
        <v>0</v>
      </c>
    </row>
    <row r="29" spans="1:36" ht="27" customHeight="1">
      <c r="A29" s="715" t="str">
        <f>'19'!A29</f>
        <v>PATROL FAW</v>
      </c>
      <c r="B29" s="234">
        <f>100+600+8000</f>
        <v>8700</v>
      </c>
      <c r="C29" s="348">
        <f>'19'!D29</f>
        <v>21350</v>
      </c>
      <c r="D29" s="234">
        <f t="shared" si="9"/>
        <v>30050</v>
      </c>
      <c r="F29" s="479" t="str">
        <f>'19'!F29</f>
        <v>AZHAR BADEEN</v>
      </c>
      <c r="G29" s="406">
        <f>'CUSTOMERS REPORT'!Y840</f>
        <v>0</v>
      </c>
      <c r="H29" s="504">
        <f>'CUSTOMERS REPORT'!Z840</f>
        <v>0</v>
      </c>
      <c r="I29" s="406">
        <f>'CUSTOMERS REPORT'!AA840</f>
        <v>0</v>
      </c>
      <c r="J29" s="498">
        <f>'CUSTOMERS REPORT'!AB840</f>
        <v>0</v>
      </c>
      <c r="K29" s="498">
        <f>'CUSTOMERS REPORT'!AC840</f>
        <v>0</v>
      </c>
      <c r="L29" s="509">
        <f>'CUSTOMERS REPORT'!AD840</f>
        <v>0</v>
      </c>
      <c r="M29" s="414">
        <f>'19'!M29+'20'!G29</f>
        <v>0</v>
      </c>
      <c r="N29" s="412">
        <f>'19'!N29+'20'!J29</f>
        <v>0</v>
      </c>
      <c r="P29" s="433"/>
      <c r="Q29" s="441"/>
      <c r="S29" s="400" t="str">
        <f>'19'!S29</f>
        <v xml:space="preserve">PRIME </v>
      </c>
      <c r="T29" s="446">
        <f>'19'!X29</f>
        <v>0</v>
      </c>
      <c r="U29" s="456"/>
      <c r="V29" s="451">
        <f t="shared" si="0"/>
        <v>0</v>
      </c>
      <c r="W29" s="451"/>
      <c r="X29" s="447">
        <f t="shared" si="1"/>
        <v>0</v>
      </c>
      <c r="Z29" s="375">
        <f>'19'!Z29</f>
        <v>0</v>
      </c>
      <c r="AA29" s="464">
        <f>'19'!AE29</f>
        <v>0</v>
      </c>
      <c r="AB29" s="460"/>
      <c r="AC29" s="462">
        <f t="shared" si="2"/>
        <v>0</v>
      </c>
      <c r="AD29" s="469"/>
      <c r="AE29" s="348">
        <f t="shared" si="3"/>
        <v>0</v>
      </c>
      <c r="AF29" s="563">
        <f>'19'!AF29+'20'!AB29</f>
        <v>0</v>
      </c>
      <c r="AG29" s="234">
        <f>'19'!AG29+'20'!AD29</f>
        <v>0</v>
      </c>
    </row>
    <row r="30" spans="1:36" ht="27" customHeight="1">
      <c r="A30" s="715" t="str">
        <f>'19'!A30</f>
        <v>FOTON DIESEL</v>
      </c>
      <c r="B30" s="234">
        <v>13500</v>
      </c>
      <c r="C30" s="348">
        <f>'19'!D30</f>
        <v>2300</v>
      </c>
      <c r="D30" s="234">
        <f t="shared" si="9"/>
        <v>15800</v>
      </c>
      <c r="F30" s="479" t="str">
        <f>'19'!F30</f>
        <v>FAISAL HUB</v>
      </c>
      <c r="G30" s="406">
        <f>'CUSTOMERS REPORT'!Y878</f>
        <v>0</v>
      </c>
      <c r="H30" s="504">
        <f>'CUSTOMERS REPORT'!Z878</f>
        <v>0</v>
      </c>
      <c r="I30" s="406">
        <f>'CUSTOMERS REPORT'!AA878</f>
        <v>0</v>
      </c>
      <c r="J30" s="498">
        <f>'CUSTOMERS REPORT'!AB878</f>
        <v>0</v>
      </c>
      <c r="K30" s="498">
        <f>'CUSTOMERS REPORT'!AC878</f>
        <v>0</v>
      </c>
      <c r="L30" s="509">
        <f>'CUSTOMERS REPORT'!AD878</f>
        <v>0</v>
      </c>
      <c r="M30" s="414">
        <f>'19'!M30+'20'!G30</f>
        <v>0</v>
      </c>
      <c r="N30" s="412">
        <f>'19'!N30+'20'!J30</f>
        <v>0</v>
      </c>
      <c r="P30" s="433"/>
      <c r="Q30" s="442"/>
      <c r="S30" s="400" t="str">
        <f>'19'!S30</f>
        <v>PRIMR 15</v>
      </c>
      <c r="T30" s="446">
        <f>'19'!X30</f>
        <v>0</v>
      </c>
      <c r="U30" s="456"/>
      <c r="V30" s="451">
        <f t="shared" si="0"/>
        <v>0</v>
      </c>
      <c r="W30" s="451"/>
      <c r="X30" s="447">
        <f t="shared" si="1"/>
        <v>0</v>
      </c>
      <c r="Z30" s="375">
        <f>'19'!Z30</f>
        <v>0</v>
      </c>
      <c r="AA30" s="464">
        <f>'19'!AE30</f>
        <v>0</v>
      </c>
      <c r="AB30" s="460"/>
      <c r="AC30" s="462">
        <f t="shared" si="2"/>
        <v>0</v>
      </c>
      <c r="AD30" s="469"/>
      <c r="AE30" s="348">
        <f t="shared" si="3"/>
        <v>0</v>
      </c>
      <c r="AF30" s="563">
        <f>'19'!AF30+'20'!AB30</f>
        <v>0</v>
      </c>
      <c r="AG30" s="234">
        <f>'19'!AG30+'20'!AD30</f>
        <v>0</v>
      </c>
    </row>
    <row r="31" spans="1:36" ht="27" customHeight="1" thickBot="1">
      <c r="A31" s="715" t="str">
        <f>'19'!A31</f>
        <v>UTILITY BILLS</v>
      </c>
      <c r="B31" s="234"/>
      <c r="C31" s="348">
        <f>'19'!D31</f>
        <v>44420</v>
      </c>
      <c r="D31" s="550">
        <f t="shared" si="9"/>
        <v>44420</v>
      </c>
      <c r="F31" s="479" t="str">
        <f>'19'!F31</f>
        <v>ABDUL RAHMAN</v>
      </c>
      <c r="G31" s="406">
        <f>'CUSTOMERS REPORT'!Y917</f>
        <v>0</v>
      </c>
      <c r="H31" s="504">
        <f>'CUSTOMERS REPORT'!Z917</f>
        <v>0</v>
      </c>
      <c r="I31" s="406">
        <f>'CUSTOMERS REPORT'!AA917</f>
        <v>0</v>
      </c>
      <c r="J31" s="498">
        <f>'CUSTOMERS REPORT'!AB917</f>
        <v>0</v>
      </c>
      <c r="K31" s="498">
        <f>'CUSTOMERS REPORT'!AC917</f>
        <v>0</v>
      </c>
      <c r="L31" s="509">
        <f>'CUSTOMERS REPORT'!AD917</f>
        <v>0</v>
      </c>
      <c r="M31" s="414">
        <f>'19'!M31+'20'!G31</f>
        <v>0</v>
      </c>
      <c r="N31" s="412">
        <f>'19'!N31+'20'!J31</f>
        <v>0</v>
      </c>
      <c r="P31" s="433"/>
      <c r="Q31" s="435"/>
      <c r="S31" s="400" t="str">
        <f>'19'!S31</f>
        <v>KARACHI</v>
      </c>
      <c r="T31" s="446">
        <f>'19'!X31</f>
        <v>0</v>
      </c>
      <c r="U31" s="456"/>
      <c r="V31" s="451">
        <f t="shared" si="0"/>
        <v>0</v>
      </c>
      <c r="W31" s="451"/>
      <c r="X31" s="447">
        <f t="shared" si="1"/>
        <v>0</v>
      </c>
      <c r="Z31" s="375">
        <f>'19'!Z31</f>
        <v>0</v>
      </c>
      <c r="AA31" s="464">
        <f>'19'!AE31</f>
        <v>0</v>
      </c>
      <c r="AB31" s="460"/>
      <c r="AC31" s="462">
        <f t="shared" si="2"/>
        <v>0</v>
      </c>
      <c r="AD31" s="469"/>
      <c r="AE31" s="348">
        <f t="shared" si="3"/>
        <v>0</v>
      </c>
      <c r="AF31" s="563">
        <f>'19'!AF31+'20'!AB31</f>
        <v>0</v>
      </c>
      <c r="AG31" s="234">
        <f>'19'!AG31+'20'!AD31</f>
        <v>0</v>
      </c>
      <c r="AI31" t="s">
        <v>1</v>
      </c>
    </row>
    <row r="32" spans="1:36" ht="27" customHeight="1" thickTop="1" thickBot="1">
      <c r="A32" s="715" t="str">
        <f>'19'!A32</f>
        <v>WOOD</v>
      </c>
      <c r="B32" s="234"/>
      <c r="C32" s="348">
        <f>'19'!D32</f>
        <v>0</v>
      </c>
      <c r="D32" s="550">
        <f t="shared" si="9"/>
        <v>0</v>
      </c>
      <c r="F32" s="479" t="str">
        <f>'19'!F32</f>
        <v>HAJI JAN GIWANI</v>
      </c>
      <c r="G32" s="406">
        <f>'CUSTOMERS REPORT'!Y956</f>
        <v>0</v>
      </c>
      <c r="H32" s="504">
        <f>'CUSTOMERS REPORT'!Z956</f>
        <v>0</v>
      </c>
      <c r="I32" s="406">
        <f>'CUSTOMERS REPORT'!AA956</f>
        <v>0</v>
      </c>
      <c r="J32" s="498">
        <f>'CUSTOMERS REPORT'!AB956</f>
        <v>0</v>
      </c>
      <c r="K32" s="498">
        <f>'CUSTOMERS REPORT'!AC956</f>
        <v>0</v>
      </c>
      <c r="L32" s="509">
        <f>'CUSTOMERS REPORT'!AD956</f>
        <v>0</v>
      </c>
      <c r="M32" s="414">
        <f>'19'!M32+'20'!G32</f>
        <v>0</v>
      </c>
      <c r="N32" s="412">
        <f>'19'!N32+'20'!J32</f>
        <v>0</v>
      </c>
      <c r="P32" s="190" t="s">
        <v>51</v>
      </c>
      <c r="Q32" s="439">
        <f>Q23-Q25-Q26-Q27-Q28-Q29-Q30-Q31</f>
        <v>0</v>
      </c>
      <c r="R32" t="s">
        <v>1</v>
      </c>
      <c r="S32" s="400" t="str">
        <f>'19'!S32</f>
        <v>MARVI</v>
      </c>
      <c r="T32" s="446">
        <f>'19'!X32</f>
        <v>0</v>
      </c>
      <c r="U32" s="456"/>
      <c r="V32" s="451">
        <f t="shared" si="0"/>
        <v>0</v>
      </c>
      <c r="W32" s="451"/>
      <c r="X32" s="447">
        <f t="shared" si="1"/>
        <v>0</v>
      </c>
      <c r="Z32" s="375">
        <f>'19'!Z32</f>
        <v>0</v>
      </c>
      <c r="AA32" s="464">
        <f>'19'!AE32</f>
        <v>0</v>
      </c>
      <c r="AB32" s="460"/>
      <c r="AC32" s="462">
        <f t="shared" si="2"/>
        <v>0</v>
      </c>
      <c r="AD32" s="469"/>
      <c r="AE32" s="348">
        <f t="shared" si="3"/>
        <v>0</v>
      </c>
      <c r="AF32" s="563">
        <f>'19'!AF32+'20'!AB32</f>
        <v>0</v>
      </c>
      <c r="AG32" s="234">
        <f>'19'!AG32+'20'!AD32</f>
        <v>0</v>
      </c>
    </row>
    <row r="33" spans="1:40" ht="27" customHeight="1" thickTop="1" thickBot="1">
      <c r="A33" s="716" t="str">
        <f>'19'!A33</f>
        <v>TOLL</v>
      </c>
      <c r="B33" s="538"/>
      <c r="C33" s="348">
        <f>'19'!D33</f>
        <v>200</v>
      </c>
      <c r="D33" s="234">
        <f t="shared" si="9"/>
        <v>200</v>
      </c>
      <c r="F33" s="479" t="str">
        <f>'19'!F33</f>
        <v>ALI QURESHI HYD</v>
      </c>
      <c r="G33" s="406">
        <f>'CUSTOMERS REPORT'!Y994</f>
        <v>0</v>
      </c>
      <c r="H33" s="504">
        <f>'CUSTOMERS REPORT'!Z994</f>
        <v>0</v>
      </c>
      <c r="I33" s="406">
        <f>'CUSTOMERS REPORT'!AA994</f>
        <v>0</v>
      </c>
      <c r="J33" s="498">
        <f>'CUSTOMERS REPORT'!AB994</f>
        <v>0</v>
      </c>
      <c r="K33" s="498">
        <f>'CUSTOMERS REPORT'!AC994</f>
        <v>0</v>
      </c>
      <c r="L33" s="509">
        <f>'CUSTOMERS REPORT'!AD994</f>
        <v>0</v>
      </c>
      <c r="M33" s="414">
        <f>'19'!M33+'20'!G33</f>
        <v>0</v>
      </c>
      <c r="N33" s="412">
        <f>'19'!N33+'20'!J33</f>
        <v>0</v>
      </c>
      <c r="P33" s="1499" t="s">
        <v>149</v>
      </c>
      <c r="Q33" s="1500"/>
      <c r="S33" s="400" t="str">
        <f>'19'!S33</f>
        <v>TS</v>
      </c>
      <c r="T33" s="446">
        <f>'19'!X33</f>
        <v>0</v>
      </c>
      <c r="U33" s="456"/>
      <c r="V33" s="451">
        <f t="shared" si="0"/>
        <v>0</v>
      </c>
      <c r="W33" s="451"/>
      <c r="X33" s="447">
        <f t="shared" si="1"/>
        <v>0</v>
      </c>
      <c r="Z33" s="375">
        <f>'19'!Z33</f>
        <v>0</v>
      </c>
      <c r="AA33" s="464">
        <f>'19'!AE33</f>
        <v>0</v>
      </c>
      <c r="AB33" s="460"/>
      <c r="AC33" s="462">
        <f t="shared" si="2"/>
        <v>0</v>
      </c>
      <c r="AD33" s="469"/>
      <c r="AE33" s="348">
        <f t="shared" si="3"/>
        <v>0</v>
      </c>
      <c r="AF33" s="563">
        <f>'19'!AF33+'20'!AB33</f>
        <v>0</v>
      </c>
      <c r="AG33" s="234">
        <f>'19'!AG33+'20'!AD33</f>
        <v>0</v>
      </c>
    </row>
    <row r="34" spans="1:40" ht="27" customHeight="1" thickTop="1" thickBot="1">
      <c r="A34" s="716" t="str">
        <f>'19'!A34</f>
        <v>FLOUR / SHGER</v>
      </c>
      <c r="B34" s="538"/>
      <c r="C34" s="348">
        <f>'19'!D34</f>
        <v>620</v>
      </c>
      <c r="D34" s="234">
        <f t="shared" si="9"/>
        <v>620</v>
      </c>
      <c r="F34" s="479" t="str">
        <f>'19'!F34</f>
        <v>ALI RAZA KAND KOT</v>
      </c>
      <c r="G34" s="406">
        <f>'CUSTOMERS REPORT'!Y1032</f>
        <v>0</v>
      </c>
      <c r="H34" s="504">
        <f>'CUSTOMERS REPORT'!Z1032</f>
        <v>0</v>
      </c>
      <c r="I34" s="406">
        <f>'CUSTOMERS REPORT'!AA1032</f>
        <v>0</v>
      </c>
      <c r="J34" s="498">
        <f>'CUSTOMERS REPORT'!AB1032</f>
        <v>0</v>
      </c>
      <c r="K34" s="498">
        <f>'CUSTOMERS REPORT'!AC1032</f>
        <v>0</v>
      </c>
      <c r="L34" s="509">
        <f>'CUSTOMERS REPORT'!AD1032</f>
        <v>0</v>
      </c>
      <c r="M34" s="414">
        <f>'19'!M34+'20'!G34</f>
        <v>0</v>
      </c>
      <c r="N34" s="412">
        <f>'19'!N34+'20'!J34</f>
        <v>0</v>
      </c>
      <c r="P34" s="220" t="s">
        <v>150</v>
      </c>
      <c r="Q34" s="223">
        <f>'19'!Q34</f>
        <v>0</v>
      </c>
      <c r="S34" s="400" t="str">
        <f>'19'!S34</f>
        <v>MAXI</v>
      </c>
      <c r="T34" s="446">
        <f>'19'!X34</f>
        <v>0</v>
      </c>
      <c r="U34" s="457"/>
      <c r="V34" s="452">
        <f t="shared" si="0"/>
        <v>0</v>
      </c>
      <c r="W34" s="452"/>
      <c r="X34" s="448">
        <f t="shared" si="1"/>
        <v>0</v>
      </c>
      <c r="Z34" s="375">
        <f>'19'!Z34</f>
        <v>0</v>
      </c>
      <c r="AA34" s="464">
        <f>'19'!AE34</f>
        <v>0</v>
      </c>
      <c r="AB34" s="460"/>
      <c r="AC34" s="462">
        <f t="shared" si="2"/>
        <v>0</v>
      </c>
      <c r="AD34" s="469"/>
      <c r="AE34" s="348">
        <f t="shared" si="3"/>
        <v>0</v>
      </c>
      <c r="AF34" s="563">
        <f>'19'!AF34+'20'!AB34</f>
        <v>0</v>
      </c>
      <c r="AG34" s="234">
        <f>'19'!AG34+'20'!AD34</f>
        <v>0</v>
      </c>
    </row>
    <row r="35" spans="1:40" ht="27" customHeight="1" thickTop="1">
      <c r="A35" s="716" t="str">
        <f>'19'!A35</f>
        <v>OVEN &amp; PP MACHINE</v>
      </c>
      <c r="B35" s="529"/>
      <c r="C35" s="348">
        <f>'19'!D35</f>
        <v>0</v>
      </c>
      <c r="D35" s="529">
        <f t="shared" si="9"/>
        <v>0</v>
      </c>
      <c r="F35" s="479" t="str">
        <f>'19'!F35</f>
        <v>IQBAL MORO</v>
      </c>
      <c r="G35" s="407">
        <f>'CUSTOMERS REPORT'!Y1070</f>
        <v>0</v>
      </c>
      <c r="H35" s="505">
        <f>'CUSTOMERS REPORT'!Z1070</f>
        <v>0</v>
      </c>
      <c r="I35" s="407">
        <f>'CUSTOMERS REPORT'!AA1070</f>
        <v>0</v>
      </c>
      <c r="J35" s="499">
        <f>'CUSTOMERS REPORT'!AB1070</f>
        <v>0</v>
      </c>
      <c r="K35" s="499">
        <f>'CUSTOMERS REPORT'!AC1070</f>
        <v>0</v>
      </c>
      <c r="L35" s="510">
        <f>'CUSTOMERS REPORT'!AD1070</f>
        <v>0</v>
      </c>
      <c r="M35" s="414">
        <f>'19'!M35+'20'!G35</f>
        <v>0</v>
      </c>
      <c r="N35" s="412">
        <f>'19'!N35+'20'!J35</f>
        <v>0</v>
      </c>
      <c r="P35" s="252" t="s">
        <v>151</v>
      </c>
      <c r="Q35" s="443">
        <f>'19'!Q35</f>
        <v>0</v>
      </c>
      <c r="R35" t="s">
        <v>1</v>
      </c>
      <c r="S35" s="400" t="str">
        <f>'19'!S35</f>
        <v>M A WHITE</v>
      </c>
      <c r="T35" s="446">
        <f>'19'!X35</f>
        <v>0</v>
      </c>
      <c r="U35" s="457"/>
      <c r="V35" s="452">
        <f t="shared" si="0"/>
        <v>0</v>
      </c>
      <c r="W35" s="452"/>
      <c r="X35" s="448">
        <f t="shared" si="1"/>
        <v>0</v>
      </c>
      <c r="Z35" s="375">
        <f>'19'!Z35</f>
        <v>0</v>
      </c>
      <c r="AA35" s="464">
        <f>'19'!AE35</f>
        <v>0</v>
      </c>
      <c r="AB35" s="460"/>
      <c r="AC35" s="462">
        <f t="shared" si="2"/>
        <v>0</v>
      </c>
      <c r="AD35" s="469"/>
      <c r="AE35" s="348">
        <f t="shared" si="3"/>
        <v>0</v>
      </c>
      <c r="AF35" s="563">
        <f>'19'!AF35+'20'!AB35</f>
        <v>0</v>
      </c>
      <c r="AG35" s="234">
        <f>'19'!AG35+'20'!AD35</f>
        <v>0</v>
      </c>
    </row>
    <row r="36" spans="1:40" ht="27" customHeight="1">
      <c r="A36" s="716" t="str">
        <f>'19'!A36</f>
        <v>zakat</v>
      </c>
      <c r="B36" s="539"/>
      <c r="C36" s="348">
        <f>'19'!D36</f>
        <v>0</v>
      </c>
      <c r="D36" s="529">
        <f t="shared" si="9"/>
        <v>0</v>
      </c>
      <c r="F36" s="479" t="str">
        <f>'19'!F36</f>
        <v>SARFARAZ T ADAM</v>
      </c>
      <c r="G36" s="407">
        <f>'CUSTOMERS REPORT'!Y1108</f>
        <v>0</v>
      </c>
      <c r="H36" s="505">
        <f>'CUSTOMERS REPORT'!Z1108</f>
        <v>0</v>
      </c>
      <c r="I36" s="407">
        <f>'CUSTOMERS REPORT'!AA1108</f>
        <v>0</v>
      </c>
      <c r="J36" s="499">
        <f>'CUSTOMERS REPORT'!AB1108</f>
        <v>0</v>
      </c>
      <c r="K36" s="499">
        <f>'CUSTOMERS REPORT'!AC1108</f>
        <v>0</v>
      </c>
      <c r="L36" s="510">
        <f>'CUSTOMERS REPORT'!AD1108</f>
        <v>0</v>
      </c>
      <c r="M36" s="414">
        <f>'19'!M36+'20'!G36</f>
        <v>0</v>
      </c>
      <c r="N36" s="412">
        <f>'19'!N36+'20'!J36</f>
        <v>0</v>
      </c>
      <c r="P36" s="372" t="s">
        <v>152</v>
      </c>
      <c r="Q36" s="444">
        <f>J48</f>
        <v>0</v>
      </c>
      <c r="R36" t="s">
        <v>1</v>
      </c>
      <c r="S36" s="400" t="str">
        <f>'19'!S36</f>
        <v>M A ORING</v>
      </c>
      <c r="T36" s="446">
        <f>'19'!X36</f>
        <v>0</v>
      </c>
      <c r="U36" s="456"/>
      <c r="V36" s="451">
        <f t="shared" si="0"/>
        <v>0</v>
      </c>
      <c r="W36" s="452"/>
      <c r="X36" s="448">
        <f t="shared" si="1"/>
        <v>0</v>
      </c>
      <c r="Z36" s="375">
        <f>'19'!Z36</f>
        <v>0</v>
      </c>
      <c r="AA36" s="464">
        <f>'19'!AE36</f>
        <v>0</v>
      </c>
      <c r="AB36" s="460"/>
      <c r="AC36" s="462">
        <f t="shared" si="2"/>
        <v>0</v>
      </c>
      <c r="AD36" s="469"/>
      <c r="AE36" s="348">
        <f t="shared" si="3"/>
        <v>0</v>
      </c>
      <c r="AF36" s="563">
        <f>'19'!AF36+'20'!AB36</f>
        <v>0</v>
      </c>
      <c r="AG36" s="234">
        <f>'19'!AG36+'20'!AD36</f>
        <v>0</v>
      </c>
    </row>
    <row r="37" spans="1:40" ht="27" customHeight="1">
      <c r="A37" s="715" t="str">
        <f>'19'!A37</f>
        <v>javeed manghopir</v>
      </c>
      <c r="B37" s="234"/>
      <c r="C37" s="348">
        <f>'19'!D37</f>
        <v>0</v>
      </c>
      <c r="D37" s="234">
        <f t="shared" si="9"/>
        <v>0</v>
      </c>
      <c r="F37" s="479" t="str">
        <f>'19'!F37</f>
        <v>MUMTAZ K N SHAH</v>
      </c>
      <c r="G37" s="406">
        <f>'CUSTOMERS REPORT'!Y1146</f>
        <v>0</v>
      </c>
      <c r="H37" s="504">
        <f>'CUSTOMERS REPORT'!Z1146</f>
        <v>0</v>
      </c>
      <c r="I37" s="406">
        <f>'CUSTOMERS REPORT'!AA1146</f>
        <v>0</v>
      </c>
      <c r="J37" s="498">
        <f>'CUSTOMERS REPORT'!AB1146</f>
        <v>0</v>
      </c>
      <c r="K37" s="498">
        <f>'CUSTOMERS REPORT'!AC1146</f>
        <v>0</v>
      </c>
      <c r="L37" s="509">
        <f>'CUSTOMERS REPORT'!AD1146</f>
        <v>0</v>
      </c>
      <c r="M37" s="414">
        <f>'19'!M37+'20'!G37</f>
        <v>0</v>
      </c>
      <c r="N37" s="412">
        <f>'19'!N37+'20'!J37</f>
        <v>0</v>
      </c>
      <c r="P37" s="373" t="s">
        <v>153</v>
      </c>
      <c r="Q37" s="445">
        <f>Q34+Q35+Q36</f>
        <v>0</v>
      </c>
      <c r="R37" t="s">
        <v>1</v>
      </c>
      <c r="S37" s="400">
        <f>'19'!S37</f>
        <v>0</v>
      </c>
      <c r="T37" s="446">
        <f>'19'!X37</f>
        <v>0</v>
      </c>
      <c r="U37" s="456"/>
      <c r="V37" s="451">
        <f t="shared" si="0"/>
        <v>0</v>
      </c>
      <c r="W37" s="452"/>
      <c r="X37" s="448">
        <f t="shared" si="1"/>
        <v>0</v>
      </c>
      <c r="Z37" s="375">
        <f>'19'!Z37</f>
        <v>0</v>
      </c>
      <c r="AA37" s="464">
        <f>'19'!AE37</f>
        <v>0</v>
      </c>
      <c r="AB37" s="460"/>
      <c r="AC37" s="462">
        <f t="shared" si="2"/>
        <v>0</v>
      </c>
      <c r="AD37" s="469"/>
      <c r="AE37" s="348">
        <f t="shared" si="3"/>
        <v>0</v>
      </c>
      <c r="AF37" s="563">
        <f>'19'!AF37+'20'!AB37</f>
        <v>0</v>
      </c>
      <c r="AG37" s="234">
        <f>'19'!AG37+'20'!AD37</f>
        <v>0</v>
      </c>
    </row>
    <row r="38" spans="1:40" ht="27" customHeight="1">
      <c r="A38" s="715" t="str">
        <f>'19'!A38</f>
        <v>EXSIS CASH</v>
      </c>
      <c r="B38" s="234"/>
      <c r="C38" s="548">
        <f>'19'!D38</f>
        <v>0</v>
      </c>
      <c r="D38" s="234">
        <f t="shared" si="9"/>
        <v>0</v>
      </c>
      <c r="F38" s="479" t="str">
        <f>'19'!F38</f>
        <v>GHULAM RASOOL QU</v>
      </c>
      <c r="G38" s="408">
        <f>'CUSTOMERS REPORT'!Y1183</f>
        <v>0</v>
      </c>
      <c r="H38" s="506">
        <f>'CUSTOMERS REPORT'!Z1183</f>
        <v>0</v>
      </c>
      <c r="I38" s="408">
        <f>'CUSTOMERS REPORT'!AA1183</f>
        <v>0</v>
      </c>
      <c r="J38" s="500">
        <f>'CUSTOMERS REPORT'!AB1183</f>
        <v>0</v>
      </c>
      <c r="K38" s="500">
        <f>'CUSTOMERS REPORT'!AC1183</f>
        <v>0</v>
      </c>
      <c r="L38" s="511">
        <f>'CUSTOMERS REPORT'!AD1183</f>
        <v>0</v>
      </c>
      <c r="M38" s="414">
        <f>'19'!M38+'20'!G38</f>
        <v>0</v>
      </c>
      <c r="N38" s="412">
        <f>'19'!N38+'20'!J38</f>
        <v>0</v>
      </c>
      <c r="P38" s="373" t="s">
        <v>154</v>
      </c>
      <c r="Q38" s="445">
        <f>D48</f>
        <v>2525070</v>
      </c>
      <c r="S38" s="400">
        <f>'19'!S38</f>
        <v>0</v>
      </c>
      <c r="T38" s="446">
        <f>'19'!X38</f>
        <v>0</v>
      </c>
      <c r="U38" s="456"/>
      <c r="V38" s="451">
        <f t="shared" si="0"/>
        <v>0</v>
      </c>
      <c r="W38" s="452"/>
      <c r="X38" s="448">
        <f t="shared" si="1"/>
        <v>0</v>
      </c>
      <c r="Z38" s="375">
        <f>'19'!Z38</f>
        <v>0</v>
      </c>
      <c r="AA38" s="464">
        <f>'19'!AE38</f>
        <v>0</v>
      </c>
      <c r="AB38" s="460"/>
      <c r="AC38" s="462">
        <f t="shared" si="2"/>
        <v>0</v>
      </c>
      <c r="AD38" s="469"/>
      <c r="AE38" s="348">
        <f t="shared" si="3"/>
        <v>0</v>
      </c>
      <c r="AF38" s="563">
        <f>'19'!AF38+'20'!AB38</f>
        <v>0</v>
      </c>
      <c r="AG38" s="234">
        <f>'19'!AG38+'20'!AD38</f>
        <v>0</v>
      </c>
    </row>
    <row r="39" spans="1:40" ht="27" customHeight="1">
      <c r="A39" s="715" t="str">
        <f>'19'!A39</f>
        <v>SHORT CASH</v>
      </c>
      <c r="B39" s="234"/>
      <c r="C39" s="548">
        <f>'19'!D39</f>
        <v>1950</v>
      </c>
      <c r="D39" s="234">
        <f t="shared" si="9"/>
        <v>1950</v>
      </c>
      <c r="F39" s="479" t="str">
        <f>'19'!F39</f>
        <v>SHAMSHAD UNCLE</v>
      </c>
      <c r="G39" s="406">
        <f>'CUSTOMERS REPORT'!Y1220</f>
        <v>0</v>
      </c>
      <c r="H39" s="504">
        <f>'CUSTOMERS REPORT'!Z1220</f>
        <v>0</v>
      </c>
      <c r="I39" s="406">
        <f>'CUSTOMERS REPORT'!AA1220</f>
        <v>0</v>
      </c>
      <c r="J39" s="498">
        <f>'CUSTOMERS REPORT'!AB1220</f>
        <v>0</v>
      </c>
      <c r="K39" s="498">
        <f>'CUSTOMERS REPORT'!AC1220</f>
        <v>0</v>
      </c>
      <c r="L39" s="509">
        <f>'CUSTOMERS REPORT'!AD1220</f>
        <v>0</v>
      </c>
      <c r="M39" s="414">
        <f>'19'!M39+'20'!G39</f>
        <v>0</v>
      </c>
      <c r="N39" s="412">
        <f>'19'!N39+'20'!J39</f>
        <v>0</v>
      </c>
      <c r="P39" s="373" t="s">
        <v>109</v>
      </c>
      <c r="Q39" s="445">
        <f>'19'!Q39+'20'!Q25+'20'!Q26+'20'!Q27+'20'!Q28+'20'!Q29+'20'!Q30+'20'!Q31</f>
        <v>0</v>
      </c>
      <c r="R39" t="s">
        <v>1</v>
      </c>
      <c r="S39" s="400">
        <f>'19'!S39</f>
        <v>0</v>
      </c>
      <c r="T39" s="446">
        <f>'19'!X39</f>
        <v>0</v>
      </c>
      <c r="U39" s="456"/>
      <c r="V39" s="451">
        <f t="shared" si="0"/>
        <v>0</v>
      </c>
      <c r="W39" s="452"/>
      <c r="X39" s="448">
        <f t="shared" si="1"/>
        <v>0</v>
      </c>
      <c r="Z39" s="375">
        <f>'19'!Z39</f>
        <v>0</v>
      </c>
      <c r="AA39" s="464">
        <f>'19'!AE39</f>
        <v>0</v>
      </c>
      <c r="AB39" s="460"/>
      <c r="AC39" s="462">
        <f t="shared" si="2"/>
        <v>0</v>
      </c>
      <c r="AD39" s="469"/>
      <c r="AE39" s="348">
        <f t="shared" si="3"/>
        <v>0</v>
      </c>
      <c r="AF39" s="563">
        <f>'19'!AF39+'20'!AB39</f>
        <v>0</v>
      </c>
      <c r="AG39" s="234">
        <f>'19'!AG39+'20'!AD39</f>
        <v>0</v>
      </c>
    </row>
    <row r="40" spans="1:40" ht="27" customHeight="1" thickBot="1">
      <c r="A40" s="715" t="str">
        <f>'19'!A40</f>
        <v>ASSETS</v>
      </c>
      <c r="B40" s="550"/>
      <c r="C40" s="348">
        <f>'19'!D40</f>
        <v>0</v>
      </c>
      <c r="D40" s="234">
        <f t="shared" si="9"/>
        <v>0</v>
      </c>
      <c r="F40" s="479" t="str">
        <f>'19'!F40</f>
        <v>IBRAHEEM D.G KHAN</v>
      </c>
      <c r="G40" s="406">
        <f>'CUSTOMERS REPORT'!Y1257</f>
        <v>0</v>
      </c>
      <c r="H40" s="504">
        <f>'CUSTOMERS REPORT'!Z1257</f>
        <v>0</v>
      </c>
      <c r="I40" s="406">
        <f>'CUSTOMERS REPORT'!AA1257</f>
        <v>0</v>
      </c>
      <c r="J40" s="498">
        <f>'CUSTOMERS REPORT'!AB1257</f>
        <v>0</v>
      </c>
      <c r="K40" s="498">
        <f>'CUSTOMERS REPORT'!AC1257</f>
        <v>0</v>
      </c>
      <c r="L40" s="509">
        <f>'CUSTOMERS REPORT'!AD1257</f>
        <v>0</v>
      </c>
      <c r="M40" s="414">
        <f>'19'!M40+'20'!G40</f>
        <v>0</v>
      </c>
      <c r="N40" s="412">
        <f>'19'!N40+'20'!J40</f>
        <v>0</v>
      </c>
      <c r="P40" s="374" t="s">
        <v>155</v>
      </c>
      <c r="Q40" s="445">
        <f>Q48</f>
        <v>-2525070</v>
      </c>
      <c r="S40" s="400">
        <f>'19'!S40</f>
        <v>0</v>
      </c>
      <c r="T40" s="446">
        <f>'19'!X40</f>
        <v>0</v>
      </c>
      <c r="U40" s="456"/>
      <c r="V40" s="451">
        <f t="shared" si="0"/>
        <v>0</v>
      </c>
      <c r="W40" s="452"/>
      <c r="X40" s="448">
        <f t="shared" si="1"/>
        <v>0</v>
      </c>
      <c r="Z40" s="375">
        <f>'19'!Z40</f>
        <v>0</v>
      </c>
      <c r="AA40" s="464">
        <f>'19'!AE40</f>
        <v>0</v>
      </c>
      <c r="AB40" s="460"/>
      <c r="AC40" s="462">
        <f t="shared" si="2"/>
        <v>0</v>
      </c>
      <c r="AD40" s="469"/>
      <c r="AE40" s="348">
        <f t="shared" si="3"/>
        <v>0</v>
      </c>
      <c r="AF40" s="563">
        <f>'19'!AF40+'20'!AB40</f>
        <v>0</v>
      </c>
      <c r="AG40" s="234">
        <f>'19'!AG40+'20'!AD40</f>
        <v>0</v>
      </c>
    </row>
    <row r="41" spans="1:40" ht="27" customHeight="1" thickTop="1" thickBot="1">
      <c r="A41" s="715" t="str">
        <f>'19'!A41</f>
        <v>BIKE.INSTALMINT</v>
      </c>
      <c r="B41" s="550"/>
      <c r="C41" s="348">
        <f>'19'!D41</f>
        <v>0</v>
      </c>
      <c r="D41" s="234">
        <f t="shared" si="9"/>
        <v>0</v>
      </c>
      <c r="E41" t="s">
        <v>1</v>
      </c>
      <c r="F41" s="479" t="str">
        <f>'19'!F41</f>
        <v>PISHAWAR</v>
      </c>
      <c r="G41" s="409">
        <f>'CUSTOMERS REPORT'!Y1294</f>
        <v>0</v>
      </c>
      <c r="H41" s="507">
        <f>'CUSTOMERS REPORT'!Z1294</f>
        <v>0</v>
      </c>
      <c r="I41" s="409">
        <f>'CUSTOMERS REPORT'!AA1294</f>
        <v>0</v>
      </c>
      <c r="J41" s="501">
        <f>'CUSTOMERS REPORT'!AB1294</f>
        <v>0</v>
      </c>
      <c r="K41" s="501">
        <f>'CUSTOMERS REPORT'!AC1294</f>
        <v>0</v>
      </c>
      <c r="L41" s="512">
        <f>'CUSTOMERS REPORT'!AD1294</f>
        <v>0</v>
      </c>
      <c r="M41" s="414">
        <f>'19'!M41+'20'!G41</f>
        <v>0</v>
      </c>
      <c r="N41" s="412">
        <f>'19'!N41+'20'!J41</f>
        <v>0</v>
      </c>
      <c r="P41" s="221" t="s">
        <v>51</v>
      </c>
      <c r="Q41" s="223">
        <f>Q37-Q38-Q39-Q40</f>
        <v>0</v>
      </c>
      <c r="S41" s="400">
        <f>'19'!S41</f>
        <v>0</v>
      </c>
      <c r="T41" s="446">
        <f>'19'!X41</f>
        <v>0</v>
      </c>
      <c r="U41" s="456"/>
      <c r="V41" s="451">
        <f t="shared" si="0"/>
        <v>0</v>
      </c>
      <c r="W41" s="452"/>
      <c r="X41" s="448">
        <f t="shared" si="1"/>
        <v>0</v>
      </c>
      <c r="Z41" s="375">
        <f>'19'!Z41</f>
        <v>0</v>
      </c>
      <c r="AA41" s="464">
        <f>'19'!AE41</f>
        <v>0</v>
      </c>
      <c r="AB41" s="460"/>
      <c r="AC41" s="462">
        <f t="shared" si="2"/>
        <v>0</v>
      </c>
      <c r="AD41" s="469"/>
      <c r="AE41" s="348">
        <f t="shared" si="3"/>
        <v>0</v>
      </c>
      <c r="AF41" s="563">
        <f>'19'!AF41+'20'!AB41</f>
        <v>0</v>
      </c>
      <c r="AG41" s="234">
        <f>'19'!AG41+'20'!AD41</f>
        <v>0</v>
      </c>
    </row>
    <row r="42" spans="1:40" ht="27" customHeight="1" thickTop="1" thickBot="1">
      <c r="A42" s="715" t="str">
        <f>'19'!A42</f>
        <v>B.C</v>
      </c>
      <c r="B42" s="529"/>
      <c r="C42" s="348">
        <f>'19'!D42</f>
        <v>0</v>
      </c>
      <c r="D42" s="529">
        <f t="shared" si="9"/>
        <v>0</v>
      </c>
      <c r="F42" s="479" t="str">
        <f>'19'!F42</f>
        <v>HUZAFA KOTRI</v>
      </c>
      <c r="G42" s="409">
        <f>'CUSTOMERS REPORT'!Y1331</f>
        <v>0</v>
      </c>
      <c r="H42" s="507">
        <f>'CUSTOMERS REPORT'!Z1331</f>
        <v>0</v>
      </c>
      <c r="I42" s="409">
        <f>'CUSTOMERS REPORT'!AA1331</f>
        <v>0</v>
      </c>
      <c r="J42" s="501">
        <f>'CUSTOMERS REPORT'!AB1331</f>
        <v>0</v>
      </c>
      <c r="K42" s="501">
        <f>'CUSTOMERS REPORT'!AC1331</f>
        <v>0</v>
      </c>
      <c r="L42" s="512">
        <f>'CUSTOMERS REPORT'!AD1331</f>
        <v>0</v>
      </c>
      <c r="M42" s="414">
        <f>'19'!M42+'20'!G42</f>
        <v>0</v>
      </c>
      <c r="N42" s="412">
        <f>'19'!N42+'20'!J42</f>
        <v>0</v>
      </c>
      <c r="P42" s="1499" t="s">
        <v>157</v>
      </c>
      <c r="Q42" s="1500"/>
      <c r="S42" s="400">
        <f>'19'!S42</f>
        <v>0</v>
      </c>
      <c r="T42" s="446">
        <f>'19'!X42</f>
        <v>0</v>
      </c>
      <c r="U42" s="458"/>
      <c r="V42" s="453">
        <f t="shared" si="0"/>
        <v>0</v>
      </c>
      <c r="W42" s="454"/>
      <c r="X42" s="449">
        <f t="shared" si="1"/>
        <v>0</v>
      </c>
      <c r="Z42" s="375">
        <f>'19'!Z42</f>
        <v>0</v>
      </c>
      <c r="AA42" s="464">
        <f>'19'!AE42</f>
        <v>0</v>
      </c>
      <c r="AB42" s="461"/>
      <c r="AC42" s="462">
        <f>AA42+AB42</f>
        <v>0</v>
      </c>
      <c r="AD42" s="470"/>
      <c r="AE42" s="348">
        <f t="shared" si="3"/>
        <v>0</v>
      </c>
      <c r="AF42" s="564">
        <f>'19'!AF42+'20'!AB42</f>
        <v>0</v>
      </c>
      <c r="AG42" s="572">
        <f>'19'!AG42+'20'!AD42</f>
        <v>0</v>
      </c>
    </row>
    <row r="43" spans="1:40" ht="27" customHeight="1" thickTop="1" thickBot="1">
      <c r="A43" s="715" t="str">
        <f>'19'!A43</f>
        <v>AQEEL</v>
      </c>
      <c r="B43" s="539"/>
      <c r="C43" s="348">
        <f>'19'!D43</f>
        <v>0</v>
      </c>
      <c r="D43" s="529">
        <f t="shared" si="9"/>
        <v>0</v>
      </c>
      <c r="F43" s="479" t="str">
        <f>'19'!F43</f>
        <v>ZAHID LAHORE</v>
      </c>
      <c r="G43" s="409">
        <f>'CUSTOMERS REPORT'!Y1368</f>
        <v>0</v>
      </c>
      <c r="H43" s="507">
        <f>'CUSTOMERS REPORT'!Z1368</f>
        <v>0</v>
      </c>
      <c r="I43" s="409">
        <f>'CUSTOMERS REPORT'!AA1368</f>
        <v>0</v>
      </c>
      <c r="J43" s="501">
        <f>'CUSTOMERS REPORT'!AB1368</f>
        <v>0</v>
      </c>
      <c r="K43" s="501">
        <f>'CUSTOMERS REPORT'!AC1368</f>
        <v>0</v>
      </c>
      <c r="L43" s="512">
        <f>'CUSTOMERS REPORT'!AD1368</f>
        <v>0</v>
      </c>
      <c r="M43" s="414">
        <f>'19'!M43+'20'!G43</f>
        <v>0</v>
      </c>
      <c r="N43" s="412">
        <f>'19'!N43+'20'!J43</f>
        <v>0</v>
      </c>
      <c r="P43" s="220" t="s">
        <v>124</v>
      </c>
      <c r="Q43" s="223">
        <f>'19'!Q48</f>
        <v>-2500790</v>
      </c>
      <c r="R43" t="s">
        <v>1</v>
      </c>
      <c r="S43" s="400">
        <f>'19'!S43</f>
        <v>0</v>
      </c>
      <c r="T43" s="446">
        <f>'19'!X43</f>
        <v>0</v>
      </c>
      <c r="U43" s="358"/>
      <c r="V43" s="453">
        <f t="shared" si="0"/>
        <v>0</v>
      </c>
      <c r="W43" s="403"/>
      <c r="X43" s="449">
        <f t="shared" si="1"/>
        <v>0</v>
      </c>
      <c r="Z43" s="383"/>
      <c r="AA43" s="356">
        <f>SUM(AA8:AA42)</f>
        <v>-1434000</v>
      </c>
      <c r="AB43" s="385">
        <f>SUM(AB8:AB42)</f>
        <v>0</v>
      </c>
      <c r="AC43" s="357" t="s">
        <v>74</v>
      </c>
      <c r="AD43" s="387">
        <f>SUM(AD8:AD42)</f>
        <v>0</v>
      </c>
      <c r="AE43" s="358">
        <f>SUM(AE8:AE42)</f>
        <v>-1434000</v>
      </c>
      <c r="AF43" s="565">
        <f>SUM(AF8:AF42)</f>
        <v>720250</v>
      </c>
      <c r="AG43" s="571">
        <f>SUM(AG8:AG42)</f>
        <v>2154250</v>
      </c>
    </row>
    <row r="44" spans="1:40" ht="27" customHeight="1" thickTop="1">
      <c r="A44" s="715" t="str">
        <f>'19'!A44</f>
        <v>M.YOUSUF</v>
      </c>
      <c r="B44" s="234"/>
      <c r="C44" s="348">
        <f>'19'!D44</f>
        <v>40000</v>
      </c>
      <c r="D44" s="234">
        <f t="shared" si="9"/>
        <v>40000</v>
      </c>
      <c r="F44" s="479" t="str">
        <f>'19'!F44</f>
        <v>CASH SALE</v>
      </c>
      <c r="G44" s="409">
        <f>'CUSTOMERS REPORT'!Y1405</f>
        <v>0</v>
      </c>
      <c r="H44" s="507">
        <f>'CUSTOMERS REPORT'!Z1405</f>
        <v>0</v>
      </c>
      <c r="I44" s="409">
        <f>'CUSTOMERS REPORT'!AA1405</f>
        <v>0</v>
      </c>
      <c r="J44" s="501">
        <f>'CUSTOMERS REPORT'!AB1405</f>
        <v>0</v>
      </c>
      <c r="K44" s="501">
        <f>'CUSTOMERS REPORT'!AC1405</f>
        <v>0</v>
      </c>
      <c r="L44" s="512">
        <f>'CUSTOMERS REPORT'!AD1405</f>
        <v>0</v>
      </c>
      <c r="M44" s="414">
        <f>'19'!M44+'20'!G44</f>
        <v>0</v>
      </c>
      <c r="N44" s="412">
        <f>'19'!N44+'20'!J44</f>
        <v>0</v>
      </c>
      <c r="P44" s="222" t="s">
        <v>114</v>
      </c>
      <c r="Q44" s="377">
        <f>J46</f>
        <v>0</v>
      </c>
      <c r="S44" s="400"/>
      <c r="T44" s="348"/>
      <c r="U44" s="306"/>
      <c r="V44" s="349"/>
      <c r="W44" s="351"/>
      <c r="X44" s="350"/>
      <c r="Z44" s="375"/>
      <c r="AA44" s="339"/>
      <c r="AB44" s="386">
        <f>'19'!AB45</f>
        <v>720250</v>
      </c>
      <c r="AC44" s="340" t="s">
        <v>126</v>
      </c>
      <c r="AD44" s="388">
        <f>'19'!AD45</f>
        <v>2154250</v>
      </c>
      <c r="AE44" s="341"/>
      <c r="AF44" s="561"/>
      <c r="AG44" s="83" t="s">
        <v>1</v>
      </c>
    </row>
    <row r="45" spans="1:40" ht="27" customHeight="1" thickBot="1">
      <c r="A45" s="715" t="str">
        <f>'19'!A45</f>
        <v>SHAKEEL</v>
      </c>
      <c r="B45" s="234"/>
      <c r="C45" s="348">
        <f>'19'!D45</f>
        <v>27210</v>
      </c>
      <c r="D45" s="234">
        <f t="shared" si="9"/>
        <v>27210</v>
      </c>
      <c r="F45" s="479" t="str">
        <f>'19'!F45</f>
        <v xml:space="preserve">FREE </v>
      </c>
      <c r="G45" s="410">
        <f>'CUSTOMERS REPORT'!Y1441</f>
        <v>0</v>
      </c>
      <c r="H45" s="362">
        <f>'CUSTOMERS REPORT'!Z1441</f>
        <v>0</v>
      </c>
      <c r="I45" s="410">
        <f>'CUSTOMERS REPORT'!AA1441</f>
        <v>0</v>
      </c>
      <c r="J45" s="502">
        <f>'CUSTOMERS REPORT'!AB1441</f>
        <v>0</v>
      </c>
      <c r="K45" s="502">
        <f>'CUSTOMERS REPORT'!AC1441</f>
        <v>0</v>
      </c>
      <c r="L45" s="513">
        <f>'CUSTOMERS REPORT'!AD1441</f>
        <v>0</v>
      </c>
      <c r="M45" s="414">
        <f>'19'!M45+'20'!G45</f>
        <v>0</v>
      </c>
      <c r="N45" s="412">
        <f>'19'!N45+'20'!J45</f>
        <v>0</v>
      </c>
      <c r="P45" s="222" t="s">
        <v>153</v>
      </c>
      <c r="Q45" s="378">
        <f>Q43+Q44</f>
        <v>-2500790</v>
      </c>
      <c r="S45" s="401"/>
      <c r="T45" s="352"/>
      <c r="U45" s="307"/>
      <c r="V45" s="353"/>
      <c r="W45" s="354"/>
      <c r="X45" s="355"/>
      <c r="Z45" s="384"/>
      <c r="AA45" s="359"/>
      <c r="AB45" s="390">
        <f>SUM(AB43:AB44)</f>
        <v>720250</v>
      </c>
      <c r="AC45" s="360" t="s">
        <v>74</v>
      </c>
      <c r="AD45" s="389">
        <f>SUM(AD43:AD44)</f>
        <v>2154250</v>
      </c>
      <c r="AE45" s="361"/>
      <c r="AF45" s="562"/>
      <c r="AG45" s="573"/>
    </row>
    <row r="46" spans="1:40" ht="27" customHeight="1" thickTop="1" thickBot="1">
      <c r="A46" s="715" t="str">
        <f>'19'!A46</f>
        <v>ZAHID HUSSAN</v>
      </c>
      <c r="B46" s="234"/>
      <c r="C46" s="348">
        <f>'19'!D46</f>
        <v>0</v>
      </c>
      <c r="D46" s="234">
        <f t="shared" si="9"/>
        <v>0</v>
      </c>
      <c r="F46" s="369"/>
      <c r="G46" s="424">
        <f>SUM(G8:G45)</f>
        <v>0</v>
      </c>
      <c r="H46" s="1497" t="s">
        <v>160</v>
      </c>
      <c r="I46" s="1498"/>
      <c r="J46" s="421">
        <f>SUM(J8:J45)</f>
        <v>0</v>
      </c>
      <c r="K46" s="427">
        <f>SUM(K8:K45)</f>
        <v>0</v>
      </c>
      <c r="L46" s="431">
        <f>SUM(L8:L45)</f>
        <v>0</v>
      </c>
      <c r="M46" s="429">
        <f>SUM(M8:M45)</f>
        <v>0</v>
      </c>
      <c r="N46" s="430">
        <f>SUM(N8:N45)</f>
        <v>0</v>
      </c>
      <c r="P46" s="222" t="s">
        <v>154</v>
      </c>
      <c r="Q46" s="378">
        <f>B48</f>
        <v>24280</v>
      </c>
    </row>
    <row r="47" spans="1:40" ht="27" customHeight="1" thickBot="1">
      <c r="A47" s="715" t="str">
        <f>'19'!A47</f>
        <v xml:space="preserve">INVESTOR </v>
      </c>
      <c r="B47" s="540"/>
      <c r="C47" s="348">
        <f>'19'!D47</f>
        <v>0</v>
      </c>
      <c r="D47" s="542">
        <f t="shared" si="9"/>
        <v>0</v>
      </c>
      <c r="F47" s="370"/>
      <c r="G47" s="425">
        <f>'19'!G48</f>
        <v>0</v>
      </c>
      <c r="H47" s="1512" t="s">
        <v>162</v>
      </c>
      <c r="I47" s="1513"/>
      <c r="J47" s="423">
        <f>'19'!J48</f>
        <v>0</v>
      </c>
      <c r="K47" s="423">
        <f>'19'!K48</f>
        <v>0</v>
      </c>
      <c r="L47" s="343"/>
      <c r="M47" s="344"/>
      <c r="N47" s="345"/>
      <c r="P47" s="375" t="s">
        <v>163</v>
      </c>
      <c r="Q47" s="378">
        <f>Q9+Q10+Q19+Q20+Q21+Q22</f>
        <v>0</v>
      </c>
      <c r="R47" s="19"/>
      <c r="S47" s="1489" t="s">
        <v>92</v>
      </c>
      <c r="T47" s="1516" t="s">
        <v>95</v>
      </c>
      <c r="U47" s="1518"/>
      <c r="V47" s="1518"/>
      <c r="W47" s="1517"/>
      <c r="X47" s="1516" t="s">
        <v>7</v>
      </c>
      <c r="Y47" s="1518"/>
      <c r="Z47" s="1517"/>
      <c r="AA47" s="1516" t="s">
        <v>8</v>
      </c>
      <c r="AB47" s="1517"/>
      <c r="AC47" s="1516" t="s">
        <v>9</v>
      </c>
      <c r="AD47" s="1518"/>
      <c r="AE47" s="1518"/>
      <c r="AF47" s="1518"/>
      <c r="AG47" s="1518"/>
      <c r="AH47" s="1518"/>
      <c r="AI47" s="1518"/>
      <c r="AJ47" s="1405" t="s">
        <v>10</v>
      </c>
      <c r="AK47" s="1406"/>
      <c r="AL47" s="1400" t="s">
        <v>289</v>
      </c>
      <c r="AM47" s="1401"/>
      <c r="AN47" s="842" t="s">
        <v>290</v>
      </c>
    </row>
    <row r="48" spans="1:40" ht="27" customHeight="1" thickTop="1" thickBot="1">
      <c r="A48" s="192" t="s">
        <v>74</v>
      </c>
      <c r="B48" s="544">
        <f>SUM(B22:B47)</f>
        <v>24280</v>
      </c>
      <c r="C48" s="543">
        <f>'19'!D48</f>
        <v>2500790</v>
      </c>
      <c r="D48" s="544">
        <f t="shared" si="9"/>
        <v>2525070</v>
      </c>
      <c r="F48" s="371"/>
      <c r="G48" s="426">
        <f>G46+G47</f>
        <v>0</v>
      </c>
      <c r="H48" s="1495" t="s">
        <v>164</v>
      </c>
      <c r="I48" s="1496"/>
      <c r="J48" s="422">
        <f>J46+J47</f>
        <v>0</v>
      </c>
      <c r="K48" s="428">
        <f>K46+K47</f>
        <v>0</v>
      </c>
      <c r="L48" s="346"/>
      <c r="M48" s="347"/>
      <c r="N48" s="622">
        <f>G48-J48</f>
        <v>0</v>
      </c>
      <c r="P48" s="376" t="s">
        <v>155</v>
      </c>
      <c r="Q48" s="379">
        <f>Q45-Q46-Q47</f>
        <v>-2525070</v>
      </c>
      <c r="R48" s="19"/>
      <c r="S48" s="1490"/>
      <c r="T48" s="482" t="s">
        <v>12</v>
      </c>
      <c r="U48" s="482" t="s">
        <v>13</v>
      </c>
      <c r="V48" s="482" t="s">
        <v>14</v>
      </c>
      <c r="W48" s="958" t="s">
        <v>263</v>
      </c>
      <c r="X48" s="482" t="s">
        <v>12</v>
      </c>
      <c r="Y48" s="482" t="s">
        <v>13</v>
      </c>
      <c r="Z48" s="482" t="s">
        <v>282</v>
      </c>
      <c r="AA48" s="482" t="s">
        <v>12</v>
      </c>
      <c r="AB48" s="482" t="s">
        <v>16</v>
      </c>
      <c r="AC48" s="482" t="s">
        <v>17</v>
      </c>
      <c r="AD48" s="482" t="s">
        <v>18</v>
      </c>
      <c r="AE48" s="482" t="s">
        <v>19</v>
      </c>
      <c r="AF48" s="484" t="s">
        <v>96</v>
      </c>
      <c r="AG48" s="484" t="s">
        <v>257</v>
      </c>
      <c r="AH48" s="482" t="s">
        <v>254</v>
      </c>
      <c r="AI48" s="482" t="s">
        <v>20</v>
      </c>
      <c r="AJ48" s="483" t="s">
        <v>14</v>
      </c>
      <c r="AK48" s="482" t="s">
        <v>13</v>
      </c>
      <c r="AL48" s="846" t="s">
        <v>284</v>
      </c>
      <c r="AM48" s="846" t="s">
        <v>288</v>
      </c>
      <c r="AN48" s="966" t="s">
        <v>291</v>
      </c>
    </row>
    <row r="49" spans="1:40" ht="24.95" customHeight="1" thickTop="1" thickBot="1">
      <c r="R49" s="19"/>
      <c r="S49" s="865" t="s">
        <v>165</v>
      </c>
      <c r="T49" s="866">
        <f>'19'!T55</f>
        <v>0</v>
      </c>
      <c r="U49" s="866">
        <f>'19'!U55</f>
        <v>0</v>
      </c>
      <c r="V49" s="866">
        <f>'19'!V55</f>
        <v>-2</v>
      </c>
      <c r="W49" s="866">
        <f>'19'!W55</f>
        <v>1</v>
      </c>
      <c r="X49" s="866">
        <f>'19'!X55</f>
        <v>0</v>
      </c>
      <c r="Y49" s="866">
        <f>'19'!Y55</f>
        <v>0</v>
      </c>
      <c r="Z49" s="866">
        <f>'19'!Z55</f>
        <v>-2</v>
      </c>
      <c r="AA49" s="866">
        <f>'19'!AA55</f>
        <v>-12</v>
      </c>
      <c r="AB49" s="866">
        <f>'19'!AB55</f>
        <v>0</v>
      </c>
      <c r="AC49" s="866">
        <f>'19'!AC55</f>
        <v>1952</v>
      </c>
      <c r="AD49" s="866">
        <f>'19'!AD55</f>
        <v>494</v>
      </c>
      <c r="AE49" s="866">
        <f>'19'!AE55</f>
        <v>0</v>
      </c>
      <c r="AF49" s="866">
        <f>'19'!AF55</f>
        <v>1380</v>
      </c>
      <c r="AG49" s="866">
        <f>'19'!AG55</f>
        <v>1105</v>
      </c>
      <c r="AH49" s="866">
        <f>'19'!AH55</f>
        <v>1139</v>
      </c>
      <c r="AI49" s="866">
        <f>'19'!AI55</f>
        <v>631</v>
      </c>
      <c r="AJ49" s="866">
        <f>'19'!AJ55</f>
        <v>0</v>
      </c>
      <c r="AK49" s="866">
        <f>'19'!AK55</f>
        <v>-1</v>
      </c>
      <c r="AL49" s="866" t="e">
        <f>'19'!AL55</f>
        <v>#VALUE!</v>
      </c>
      <c r="AM49" s="866" t="e">
        <f>'19'!AM55</f>
        <v>#VALUE!</v>
      </c>
      <c r="AN49" s="866" t="e">
        <f>'19'!AN55</f>
        <v>#VALUE!</v>
      </c>
    </row>
    <row r="50" spans="1:40" ht="24.95" customHeight="1" thickBot="1">
      <c r="C50" t="s">
        <v>1</v>
      </c>
      <c r="L50" s="417">
        <v>5000</v>
      </c>
      <c r="M50" s="417"/>
      <c r="N50" s="417">
        <f t="shared" ref="N50:N57" si="10">L50*M50</f>
        <v>0</v>
      </c>
      <c r="R50" s="19"/>
      <c r="S50" s="854" t="s">
        <v>166</v>
      </c>
      <c r="T50" s="852"/>
      <c r="U50" s="852"/>
      <c r="V50" s="852"/>
      <c r="W50" s="852"/>
      <c r="X50" s="852"/>
      <c r="Y50" s="852"/>
      <c r="Z50" s="852"/>
      <c r="AA50" s="852"/>
      <c r="AB50" s="852"/>
      <c r="AC50" s="852"/>
      <c r="AD50" s="852"/>
      <c r="AE50" s="852"/>
      <c r="AF50" s="852"/>
      <c r="AG50" s="855"/>
      <c r="AH50" s="852"/>
      <c r="AI50" s="852"/>
      <c r="AJ50" s="848"/>
      <c r="AK50" s="848"/>
      <c r="AL50" s="849"/>
      <c r="AM50" s="849"/>
      <c r="AN50" s="930"/>
    </row>
    <row r="51" spans="1:40" ht="24.95" customHeight="1" thickBot="1">
      <c r="L51" s="417">
        <v>1000</v>
      </c>
      <c r="M51" s="417"/>
      <c r="N51" s="417">
        <f t="shared" si="10"/>
        <v>0</v>
      </c>
      <c r="R51" s="19"/>
      <c r="S51" s="867" t="s">
        <v>91</v>
      </c>
      <c r="T51" s="868"/>
      <c r="U51" s="868"/>
      <c r="V51" s="868"/>
      <c r="W51" s="868"/>
      <c r="X51" s="868"/>
      <c r="Y51" s="868"/>
      <c r="Z51" s="868"/>
      <c r="AA51" s="868"/>
      <c r="AB51" s="868"/>
      <c r="AC51" s="868"/>
      <c r="AD51" s="868"/>
      <c r="AE51" s="868"/>
      <c r="AF51" s="868"/>
      <c r="AG51" s="869">
        <v>12</v>
      </c>
      <c r="AH51" s="868"/>
      <c r="AI51" s="870"/>
      <c r="AJ51" s="868"/>
      <c r="AK51" s="868"/>
      <c r="AL51" s="849"/>
      <c r="AM51" s="849"/>
      <c r="AN51" s="850"/>
    </row>
    <row r="52" spans="1:40" ht="24.95" customHeight="1" thickBot="1">
      <c r="L52" s="417">
        <v>500</v>
      </c>
      <c r="M52" s="417"/>
      <c r="N52" s="417">
        <f t="shared" si="10"/>
        <v>0</v>
      </c>
      <c r="O52" t="s">
        <v>1</v>
      </c>
      <c r="R52" s="19"/>
      <c r="S52" s="856" t="s">
        <v>167</v>
      </c>
      <c r="T52" s="857"/>
      <c r="U52" s="857"/>
      <c r="V52" s="857"/>
      <c r="W52" s="857"/>
      <c r="X52" s="857"/>
      <c r="Y52" s="857"/>
      <c r="Z52" s="857"/>
      <c r="AA52" s="857"/>
      <c r="AB52" s="857"/>
      <c r="AC52" s="857"/>
      <c r="AD52" s="857"/>
      <c r="AE52" s="857"/>
      <c r="AF52" s="857"/>
      <c r="AG52" s="858"/>
      <c r="AH52" s="859"/>
      <c r="AI52" s="860"/>
      <c r="AJ52" s="851"/>
      <c r="AK52" s="848"/>
      <c r="AL52" s="849"/>
      <c r="AM52" s="849"/>
      <c r="AN52" s="850"/>
    </row>
    <row r="53" spans="1:40" ht="24.95" customHeight="1" thickBot="1">
      <c r="L53" s="417">
        <v>100</v>
      </c>
      <c r="M53" s="417"/>
      <c r="N53" s="417">
        <f t="shared" si="10"/>
        <v>0</v>
      </c>
      <c r="R53" s="19"/>
      <c r="S53" s="871" t="s">
        <v>81</v>
      </c>
      <c r="T53" s="866">
        <f t="shared" ref="T53:AN53" si="11">SUM(T49+T50+T52)</f>
        <v>0</v>
      </c>
      <c r="U53" s="866">
        <f t="shared" si="11"/>
        <v>0</v>
      </c>
      <c r="V53" s="866">
        <f t="shared" si="11"/>
        <v>-2</v>
      </c>
      <c r="W53" s="866">
        <f t="shared" si="11"/>
        <v>1</v>
      </c>
      <c r="X53" s="866">
        <f t="shared" si="11"/>
        <v>0</v>
      </c>
      <c r="Y53" s="866">
        <f t="shared" si="11"/>
        <v>0</v>
      </c>
      <c r="Z53" s="866">
        <f t="shared" si="11"/>
        <v>-2</v>
      </c>
      <c r="AA53" s="866">
        <f t="shared" si="11"/>
        <v>-12</v>
      </c>
      <c r="AB53" s="866">
        <f t="shared" si="11"/>
        <v>0</v>
      </c>
      <c r="AC53" s="866">
        <f t="shared" si="11"/>
        <v>1952</v>
      </c>
      <c r="AD53" s="866">
        <f t="shared" si="11"/>
        <v>494</v>
      </c>
      <c r="AE53" s="866">
        <f t="shared" si="11"/>
        <v>0</v>
      </c>
      <c r="AF53" s="866">
        <f t="shared" si="11"/>
        <v>1380</v>
      </c>
      <c r="AG53" s="866">
        <f t="shared" si="11"/>
        <v>1105</v>
      </c>
      <c r="AH53" s="866">
        <f t="shared" si="11"/>
        <v>1139</v>
      </c>
      <c r="AI53" s="866">
        <f t="shared" si="11"/>
        <v>631</v>
      </c>
      <c r="AJ53" s="866">
        <f t="shared" si="11"/>
        <v>0</v>
      </c>
      <c r="AK53" s="866">
        <f t="shared" si="11"/>
        <v>-1</v>
      </c>
      <c r="AL53" s="866" t="e">
        <f t="shared" si="11"/>
        <v>#VALUE!</v>
      </c>
      <c r="AM53" s="866" t="e">
        <f t="shared" si="11"/>
        <v>#VALUE!</v>
      </c>
      <c r="AN53" s="872" t="e">
        <f t="shared" si="11"/>
        <v>#VALUE!</v>
      </c>
    </row>
    <row r="54" spans="1:40" ht="24.95" customHeight="1" thickBot="1">
      <c r="L54" s="417">
        <v>50</v>
      </c>
      <c r="M54" s="417"/>
      <c r="N54" s="417">
        <f t="shared" si="10"/>
        <v>0</v>
      </c>
      <c r="Q54" t="s">
        <v>1</v>
      </c>
      <c r="R54" s="19"/>
      <c r="S54" s="854" t="s">
        <v>168</v>
      </c>
      <c r="T54" s="852">
        <f>'CUSTOMERS REPORT'!B27+'CUSTOMERS REPORT'!B73+'CUSTOMERS REPORT'!B111+'CUSTOMERS REPORT'!B150+'CUSTOMERS REPORT'!B188+'CUSTOMERS REPORT'!B228+'CUSTOMERS REPORT'!B265+'CUSTOMERS REPORT'!B305+'CUSTOMERS REPORT'!B346+'CUSTOMERS REPORT'!B388+'CUSTOMERS REPORT'!B427+'CUSTOMERS REPORT'!B465+'CUSTOMERS REPORT'!B501+'CUSTOMERS REPORT'!B538+'CUSTOMERS REPORT'!B576+'CUSTOMERS REPORT'!B612+'CUSTOMERS REPORT'!B650+'CUSTOMERS REPORT'!B688+'CUSTOMERS REPORT'!B726+'CUSTOMERS REPORT'!B764+'CUSTOMERS REPORT'!B802+'CUSTOMERS REPORT'!B840+'CUSTOMERS REPORT'!B878+'CUSTOMERS REPORT'!B917+'CUSTOMERS REPORT'!B956+'CUSTOMERS REPORT'!B994+'CUSTOMERS REPORT'!B1032+'CUSTOMERS REPORT'!B1070+'CUSTOMERS REPORT'!B1108+'CUSTOMERS REPORT'!B1146+'CUSTOMERS REPORT'!B1183+'CUSTOMERS REPORT'!B1220+'CUSTOMERS REPORT'!B1257+'CUSTOMERS REPORT'!B1294+'CUSTOMERS REPORT'!B1331+'CUSTOMERS REPORT'!B1368+'CUSTOMERS REPORT'!B1405+'CUSTOMERS REPORT'!B1441</f>
        <v>0</v>
      </c>
      <c r="U54" s="852">
        <f>'CUSTOMERS REPORT'!C27+'CUSTOMERS REPORT'!C73+'CUSTOMERS REPORT'!C111+'CUSTOMERS REPORT'!C150+'CUSTOMERS REPORT'!C188+'CUSTOMERS REPORT'!C228+'CUSTOMERS REPORT'!C265+'CUSTOMERS REPORT'!C305+'CUSTOMERS REPORT'!C346+'CUSTOMERS REPORT'!C388+'CUSTOMERS REPORT'!C427+'CUSTOMERS REPORT'!C465+'CUSTOMERS REPORT'!C501+'CUSTOMERS REPORT'!C538+'CUSTOMERS REPORT'!C576+'CUSTOMERS REPORT'!C612+'CUSTOMERS REPORT'!C650+'CUSTOMERS REPORT'!C688+'CUSTOMERS REPORT'!C726+'CUSTOMERS REPORT'!C764+'CUSTOMERS REPORT'!C802+'CUSTOMERS REPORT'!C840+'CUSTOMERS REPORT'!C878+'CUSTOMERS REPORT'!C917+'CUSTOMERS REPORT'!C956+'CUSTOMERS REPORT'!C994+'CUSTOMERS REPORT'!C1032+'CUSTOMERS REPORT'!C1070+'CUSTOMERS REPORT'!C1108+'CUSTOMERS REPORT'!C1146+'CUSTOMERS REPORT'!C1183+'CUSTOMERS REPORT'!C1220+'CUSTOMERS REPORT'!C1257+'CUSTOMERS REPORT'!C1294+'CUSTOMERS REPORT'!C1331+'CUSTOMERS REPORT'!C1368+'CUSTOMERS REPORT'!C1405+'CUSTOMERS REPORT'!C1441</f>
        <v>0</v>
      </c>
      <c r="V54" s="852">
        <f>'CUSTOMERS REPORT'!D27+'CUSTOMERS REPORT'!D73+'CUSTOMERS REPORT'!D111+'CUSTOMERS REPORT'!D150+'CUSTOMERS REPORT'!D188+'CUSTOMERS REPORT'!D228+'CUSTOMERS REPORT'!D265+'CUSTOMERS REPORT'!D305+'CUSTOMERS REPORT'!D346+'CUSTOMERS REPORT'!D388+'CUSTOMERS REPORT'!D427+'CUSTOMERS REPORT'!D465+'CUSTOMERS REPORT'!D501+'CUSTOMERS REPORT'!D538+'CUSTOMERS REPORT'!D576+'CUSTOMERS REPORT'!D612+'CUSTOMERS REPORT'!D650+'CUSTOMERS REPORT'!D688+'CUSTOMERS REPORT'!D726+'CUSTOMERS REPORT'!D764+'CUSTOMERS REPORT'!D802+'CUSTOMERS REPORT'!D840+'CUSTOMERS REPORT'!D878+'CUSTOMERS REPORT'!D917+'CUSTOMERS REPORT'!D956+'CUSTOMERS REPORT'!D994+'CUSTOMERS REPORT'!D1032+'CUSTOMERS REPORT'!D1070+'CUSTOMERS REPORT'!D1108+'CUSTOMERS REPORT'!D1146+'CUSTOMERS REPORT'!D1183+'CUSTOMERS REPORT'!D1220+'CUSTOMERS REPORT'!D1257+'CUSTOMERS REPORT'!D1294+'CUSTOMERS REPORT'!D1331+'CUSTOMERS REPORT'!D1368+'CUSTOMERS REPORT'!D1405+'CUSTOMERS REPORT'!D1441</f>
        <v>0</v>
      </c>
      <c r="W54" s="852">
        <f>'CUSTOMERS REPORT'!E27+'CUSTOMERS REPORT'!E73+'CUSTOMERS REPORT'!E111+'CUSTOMERS REPORT'!E150+'CUSTOMERS REPORT'!E188+'CUSTOMERS REPORT'!E228+'CUSTOMERS REPORT'!E265+'CUSTOMERS REPORT'!E305+'CUSTOMERS REPORT'!E346+'CUSTOMERS REPORT'!E388+'CUSTOMERS REPORT'!E427+'CUSTOMERS REPORT'!E465+'CUSTOMERS REPORT'!E501+'CUSTOMERS REPORT'!E538+'CUSTOMERS REPORT'!E576+'CUSTOMERS REPORT'!E612+'CUSTOMERS REPORT'!E650+'CUSTOMERS REPORT'!E688+'CUSTOMERS REPORT'!E726+'CUSTOMERS REPORT'!E764+'CUSTOMERS REPORT'!E802+'CUSTOMERS REPORT'!E840+'CUSTOMERS REPORT'!E878+'CUSTOMERS REPORT'!E917+'CUSTOMERS REPORT'!E956+'CUSTOMERS REPORT'!E994+'CUSTOMERS REPORT'!E1032+'CUSTOMERS REPORT'!E1070+'CUSTOMERS REPORT'!E1108+'CUSTOMERS REPORT'!E1146+'CUSTOMERS REPORT'!E1183+'CUSTOMERS REPORT'!E1220+'CUSTOMERS REPORT'!E1257+'CUSTOMERS REPORT'!E1294+'CUSTOMERS REPORT'!E1331+'CUSTOMERS REPORT'!E1368+'CUSTOMERS REPORT'!E1405+'CUSTOMERS REPORT'!E1441</f>
        <v>0</v>
      </c>
      <c r="X54" s="852">
        <f>'CUSTOMERS REPORT'!F27+'CUSTOMERS REPORT'!F73+'CUSTOMERS REPORT'!F111+'CUSTOMERS REPORT'!F150+'CUSTOMERS REPORT'!F188+'CUSTOMERS REPORT'!F228+'CUSTOMERS REPORT'!F265+'CUSTOMERS REPORT'!F305+'CUSTOMERS REPORT'!F346+'CUSTOMERS REPORT'!F388+'CUSTOMERS REPORT'!F427+'CUSTOMERS REPORT'!F465+'CUSTOMERS REPORT'!F501+'CUSTOMERS REPORT'!F538+'CUSTOMERS REPORT'!F576+'CUSTOMERS REPORT'!F612+'CUSTOMERS REPORT'!F650+'CUSTOMERS REPORT'!F688+'CUSTOMERS REPORT'!F726+'CUSTOMERS REPORT'!F764+'CUSTOMERS REPORT'!F802+'CUSTOMERS REPORT'!F840+'CUSTOMERS REPORT'!F878+'CUSTOMERS REPORT'!F917+'CUSTOMERS REPORT'!F956+'CUSTOMERS REPORT'!F994+'CUSTOMERS REPORT'!F1032+'CUSTOMERS REPORT'!F1070+'CUSTOMERS REPORT'!F1108+'CUSTOMERS REPORT'!F1146+'CUSTOMERS REPORT'!F1183+'CUSTOMERS REPORT'!F1220+'CUSTOMERS REPORT'!F1257+'CUSTOMERS REPORT'!F1294+'CUSTOMERS REPORT'!F1331+'CUSTOMERS REPORT'!F1368+'CUSTOMERS REPORT'!F1405+'CUSTOMERS REPORT'!F1441</f>
        <v>0</v>
      </c>
      <c r="Y54" s="852">
        <f>'CUSTOMERS REPORT'!G27+'CUSTOMERS REPORT'!G73+'CUSTOMERS REPORT'!G111+'CUSTOMERS REPORT'!G150+'CUSTOMERS REPORT'!G188+'CUSTOMERS REPORT'!G228+'CUSTOMERS REPORT'!G265+'CUSTOMERS REPORT'!G305+'CUSTOMERS REPORT'!G346+'CUSTOMERS REPORT'!G388+'CUSTOMERS REPORT'!G427+'CUSTOMERS REPORT'!G465+'CUSTOMERS REPORT'!G501+'CUSTOMERS REPORT'!G538+'CUSTOMERS REPORT'!G576+'CUSTOMERS REPORT'!G612+'CUSTOMERS REPORT'!G650+'CUSTOMERS REPORT'!G688+'CUSTOMERS REPORT'!G726+'CUSTOMERS REPORT'!G764+'CUSTOMERS REPORT'!G802+'CUSTOMERS REPORT'!G840+'CUSTOMERS REPORT'!G878+'CUSTOMERS REPORT'!G917+'CUSTOMERS REPORT'!G956+'CUSTOMERS REPORT'!G994+'CUSTOMERS REPORT'!G1032+'CUSTOMERS REPORT'!G1070+'CUSTOMERS REPORT'!G1108+'CUSTOMERS REPORT'!G1146+'CUSTOMERS REPORT'!G1183+'CUSTOMERS REPORT'!G1220+'CUSTOMERS REPORT'!G1257+'CUSTOMERS REPORT'!G1294+'CUSTOMERS REPORT'!G1331+'CUSTOMERS REPORT'!G1368+'CUSTOMERS REPORT'!G1405+'CUSTOMERS REPORT'!G1441</f>
        <v>0</v>
      </c>
      <c r="Z54" s="852">
        <f>'CUSTOMERS REPORT'!H27+'CUSTOMERS REPORT'!H73+'CUSTOMERS REPORT'!H111+'CUSTOMERS REPORT'!H150+'CUSTOMERS REPORT'!H188+'CUSTOMERS REPORT'!H228+'CUSTOMERS REPORT'!H265+'CUSTOMERS REPORT'!H305+'CUSTOMERS REPORT'!H346+'CUSTOMERS REPORT'!H388+'CUSTOMERS REPORT'!H427+'CUSTOMERS REPORT'!H465+'CUSTOMERS REPORT'!H501+'CUSTOMERS REPORT'!H538+'CUSTOMERS REPORT'!H576+'CUSTOMERS REPORT'!H612+'CUSTOMERS REPORT'!H650+'CUSTOMERS REPORT'!H688+'CUSTOMERS REPORT'!H726+'CUSTOMERS REPORT'!H764+'CUSTOMERS REPORT'!H802+'CUSTOMERS REPORT'!H840+'CUSTOMERS REPORT'!H878+'CUSTOMERS REPORT'!H917+'CUSTOMERS REPORT'!H956+'CUSTOMERS REPORT'!H994+'CUSTOMERS REPORT'!H1032+'CUSTOMERS REPORT'!H1070+'CUSTOMERS REPORT'!H1108+'CUSTOMERS REPORT'!H1146+'CUSTOMERS REPORT'!H1183+'CUSTOMERS REPORT'!H1220+'CUSTOMERS REPORT'!H1257+'CUSTOMERS REPORT'!H1294+'CUSTOMERS REPORT'!H1331+'CUSTOMERS REPORT'!H1368+'CUSTOMERS REPORT'!H1405+'CUSTOMERS REPORT'!H1441</f>
        <v>0</v>
      </c>
      <c r="AA54" s="852">
        <f>'CUSTOMERS REPORT'!I27+'CUSTOMERS REPORT'!I73+'CUSTOMERS REPORT'!I111+'CUSTOMERS REPORT'!I150+'CUSTOMERS REPORT'!I188+'CUSTOMERS REPORT'!I228+'CUSTOMERS REPORT'!I265+'CUSTOMERS REPORT'!I305+'CUSTOMERS REPORT'!I346+'CUSTOMERS REPORT'!I388+'CUSTOMERS REPORT'!I427+'CUSTOMERS REPORT'!I465+'CUSTOMERS REPORT'!I501+'CUSTOMERS REPORT'!I538+'CUSTOMERS REPORT'!I576+'CUSTOMERS REPORT'!I612+'CUSTOMERS REPORT'!I650+'CUSTOMERS REPORT'!I688+'CUSTOMERS REPORT'!I726+'CUSTOMERS REPORT'!I764+'CUSTOMERS REPORT'!I802+'CUSTOMERS REPORT'!I840+'CUSTOMERS REPORT'!I878+'CUSTOMERS REPORT'!I917+'CUSTOMERS REPORT'!I956+'CUSTOMERS REPORT'!I994+'CUSTOMERS REPORT'!I1032+'CUSTOMERS REPORT'!I1070+'CUSTOMERS REPORT'!I1108+'CUSTOMERS REPORT'!I1146+'CUSTOMERS REPORT'!I1183+'CUSTOMERS REPORT'!I1220+'CUSTOMERS REPORT'!I1257+'CUSTOMERS REPORT'!I1294+'CUSTOMERS REPORT'!I1331+'CUSTOMERS REPORT'!I1368+'CUSTOMERS REPORT'!I1405+'CUSTOMERS REPORT'!I1441</f>
        <v>0</v>
      </c>
      <c r="AB54" s="852">
        <f>'CUSTOMERS REPORT'!J27+'CUSTOMERS REPORT'!J73+'CUSTOMERS REPORT'!J111+'CUSTOMERS REPORT'!J150+'CUSTOMERS REPORT'!J188+'CUSTOMERS REPORT'!J228+'CUSTOMERS REPORT'!J265+'CUSTOMERS REPORT'!J305+'CUSTOMERS REPORT'!J346+'CUSTOMERS REPORT'!J388+'CUSTOMERS REPORT'!J427+'CUSTOMERS REPORT'!J465+'CUSTOMERS REPORT'!J501+'CUSTOMERS REPORT'!J538+'CUSTOMERS REPORT'!J576+'CUSTOMERS REPORT'!J612+'CUSTOMERS REPORT'!J650+'CUSTOMERS REPORT'!J688+'CUSTOMERS REPORT'!J726+'CUSTOMERS REPORT'!J764+'CUSTOMERS REPORT'!J802+'CUSTOMERS REPORT'!J840+'CUSTOMERS REPORT'!J878+'CUSTOMERS REPORT'!J917+'CUSTOMERS REPORT'!J956+'CUSTOMERS REPORT'!J994+'CUSTOMERS REPORT'!J1032+'CUSTOMERS REPORT'!J1070+'CUSTOMERS REPORT'!J1108+'CUSTOMERS REPORT'!J1146+'CUSTOMERS REPORT'!J1183+'CUSTOMERS REPORT'!J1220+'CUSTOMERS REPORT'!J1257+'CUSTOMERS REPORT'!J1294+'CUSTOMERS REPORT'!J1331+'CUSTOMERS REPORT'!J1368+'CUSTOMERS REPORT'!J1405+'CUSTOMERS REPORT'!J1441</f>
        <v>0</v>
      </c>
      <c r="AC54" s="852">
        <f>'CUSTOMERS REPORT'!K27+'CUSTOMERS REPORT'!K73+'CUSTOMERS REPORT'!K111+'CUSTOMERS REPORT'!K150+'CUSTOMERS REPORT'!K188+'CUSTOMERS REPORT'!K228+'CUSTOMERS REPORT'!K265+'CUSTOMERS REPORT'!K305+'CUSTOMERS REPORT'!K346+'CUSTOMERS REPORT'!K388+'CUSTOMERS REPORT'!K427+'CUSTOMERS REPORT'!K465+'CUSTOMERS REPORT'!K501+'CUSTOMERS REPORT'!K538+'CUSTOMERS REPORT'!K576+'CUSTOMERS REPORT'!K612+'CUSTOMERS REPORT'!K650+'CUSTOMERS REPORT'!K688+'CUSTOMERS REPORT'!K726+'CUSTOMERS REPORT'!K764+'CUSTOMERS REPORT'!K802+'CUSTOMERS REPORT'!K840+'CUSTOMERS REPORT'!K878+'CUSTOMERS REPORT'!K917+'CUSTOMERS REPORT'!K956+'CUSTOMERS REPORT'!K994+'CUSTOMERS REPORT'!K1032+'CUSTOMERS REPORT'!K1070+'CUSTOMERS REPORT'!K1108+'CUSTOMERS REPORT'!K1146+'CUSTOMERS REPORT'!K1183+'CUSTOMERS REPORT'!K1220+'CUSTOMERS REPORT'!K1257+'CUSTOMERS REPORT'!K1294+'CUSTOMERS REPORT'!K1331+'CUSTOMERS REPORT'!K1368+'CUSTOMERS REPORT'!K1405+'CUSTOMERS REPORT'!K1441</f>
        <v>0</v>
      </c>
      <c r="AD54" s="852">
        <f>'CUSTOMERS REPORT'!L27+'CUSTOMERS REPORT'!L73+'CUSTOMERS REPORT'!L111+'CUSTOMERS REPORT'!L150+'CUSTOMERS REPORT'!L188+'CUSTOMERS REPORT'!L228+'CUSTOMERS REPORT'!L265+'CUSTOMERS REPORT'!L305+'CUSTOMERS REPORT'!L346+'CUSTOMERS REPORT'!L388+'CUSTOMERS REPORT'!L427+'CUSTOMERS REPORT'!L465+'CUSTOMERS REPORT'!L501+'CUSTOMERS REPORT'!L538+'CUSTOMERS REPORT'!L576+'CUSTOMERS REPORT'!L612+'CUSTOMERS REPORT'!L650+'CUSTOMERS REPORT'!L688+'CUSTOMERS REPORT'!L726+'CUSTOMERS REPORT'!L764+'CUSTOMERS REPORT'!L802+'CUSTOMERS REPORT'!L840+'CUSTOMERS REPORT'!L878+'CUSTOMERS REPORT'!L917+'CUSTOMERS REPORT'!L956+'CUSTOMERS REPORT'!L994+'CUSTOMERS REPORT'!L1032+'CUSTOMERS REPORT'!L1070+'CUSTOMERS REPORT'!L1108+'CUSTOMERS REPORT'!L1146+'CUSTOMERS REPORT'!L1183+'CUSTOMERS REPORT'!L1220+'CUSTOMERS REPORT'!L1257+'CUSTOMERS REPORT'!L1294+'CUSTOMERS REPORT'!L1331+'CUSTOMERS REPORT'!L1368+'CUSTOMERS REPORT'!L1405+'CUSTOMERS REPORT'!L1441</f>
        <v>0</v>
      </c>
      <c r="AE54" s="852">
        <f>'CUSTOMERS REPORT'!M27+'CUSTOMERS REPORT'!M73+'CUSTOMERS REPORT'!M111+'CUSTOMERS REPORT'!M150+'CUSTOMERS REPORT'!M188+'CUSTOMERS REPORT'!M228+'CUSTOMERS REPORT'!M265+'CUSTOMERS REPORT'!M305+'CUSTOMERS REPORT'!M346+'CUSTOMERS REPORT'!M388+'CUSTOMERS REPORT'!M427+'CUSTOMERS REPORT'!M465+'CUSTOMERS REPORT'!M501+'CUSTOMERS REPORT'!M538+'CUSTOMERS REPORT'!M576+'CUSTOMERS REPORT'!M612+'CUSTOMERS REPORT'!M650+'CUSTOMERS REPORT'!M688+'CUSTOMERS REPORT'!M726+'CUSTOMERS REPORT'!M764+'CUSTOMERS REPORT'!M802+'CUSTOMERS REPORT'!M840+'CUSTOMERS REPORT'!M878+'CUSTOMERS REPORT'!M917+'CUSTOMERS REPORT'!M956+'CUSTOMERS REPORT'!M994+'CUSTOMERS REPORT'!M1032+'CUSTOMERS REPORT'!M1070+'CUSTOMERS REPORT'!M1108+'CUSTOMERS REPORT'!M1146+'CUSTOMERS REPORT'!M1183+'CUSTOMERS REPORT'!M1220+'CUSTOMERS REPORT'!M1257+'CUSTOMERS REPORT'!M1294+'CUSTOMERS REPORT'!M1331+'CUSTOMERS REPORT'!M1368+'CUSTOMERS REPORT'!M1405+'CUSTOMERS REPORT'!M1441</f>
        <v>0</v>
      </c>
      <c r="AF54" s="852">
        <f>'CUSTOMERS REPORT'!N27+'CUSTOMERS REPORT'!N73+'CUSTOMERS REPORT'!N111+'CUSTOMERS REPORT'!N150+'CUSTOMERS REPORT'!N188+'CUSTOMERS REPORT'!N228+'CUSTOMERS REPORT'!N265+'CUSTOMERS REPORT'!N305+'CUSTOMERS REPORT'!N346+'CUSTOMERS REPORT'!N388+'CUSTOMERS REPORT'!N427+'CUSTOMERS REPORT'!N465+'CUSTOMERS REPORT'!N501+'CUSTOMERS REPORT'!N538+'CUSTOMERS REPORT'!N576+'CUSTOMERS REPORT'!N612+'CUSTOMERS REPORT'!N650+'CUSTOMERS REPORT'!N688+'CUSTOMERS REPORT'!N726+'CUSTOMERS REPORT'!N764+'CUSTOMERS REPORT'!N802+'CUSTOMERS REPORT'!N840+'CUSTOMERS REPORT'!N878+'CUSTOMERS REPORT'!N917+'CUSTOMERS REPORT'!N956+'CUSTOMERS REPORT'!N994+'CUSTOMERS REPORT'!N1032+'CUSTOMERS REPORT'!N1070+'CUSTOMERS REPORT'!N1108+'CUSTOMERS REPORT'!N1146+'CUSTOMERS REPORT'!N1183+'CUSTOMERS REPORT'!N1220+'CUSTOMERS REPORT'!N1257+'CUSTOMERS REPORT'!N1294+'CUSTOMERS REPORT'!N1331+'CUSTOMERS REPORT'!N1368+'CUSTOMERS REPORT'!N1405+'CUSTOMERS REPORT'!N1441</f>
        <v>0</v>
      </c>
      <c r="AG54" s="852">
        <f>'CUSTOMERS REPORT'!O27+'CUSTOMERS REPORT'!O73+'CUSTOMERS REPORT'!O111+'CUSTOMERS REPORT'!O150+'CUSTOMERS REPORT'!O188+'CUSTOMERS REPORT'!O228+'CUSTOMERS REPORT'!O265+'CUSTOMERS REPORT'!O305+'CUSTOMERS REPORT'!O346+'CUSTOMERS REPORT'!O388+'CUSTOMERS REPORT'!O427+'CUSTOMERS REPORT'!O465+'CUSTOMERS REPORT'!O501+'CUSTOMERS REPORT'!O538+'CUSTOMERS REPORT'!O576+'CUSTOMERS REPORT'!O612+'CUSTOMERS REPORT'!O650+'CUSTOMERS REPORT'!O688+'CUSTOMERS REPORT'!O726+'CUSTOMERS REPORT'!O764+'CUSTOMERS REPORT'!O802+'CUSTOMERS REPORT'!O840+'CUSTOMERS REPORT'!O878+'CUSTOMERS REPORT'!O917+'CUSTOMERS REPORT'!O956+'CUSTOMERS REPORT'!O994+'CUSTOMERS REPORT'!O1032+'CUSTOMERS REPORT'!O1070+'CUSTOMERS REPORT'!O1108+'CUSTOMERS REPORT'!O1146+'CUSTOMERS REPORT'!O1183+'CUSTOMERS REPORT'!O1220+'CUSTOMERS REPORT'!O1257+'CUSTOMERS REPORT'!O1294+'CUSTOMERS REPORT'!O1331+'CUSTOMERS REPORT'!O1368+'CUSTOMERS REPORT'!O1405+'CUSTOMERS REPORT'!O1441</f>
        <v>0</v>
      </c>
      <c r="AH54" s="852">
        <f>'CUSTOMERS REPORT'!P27+'CUSTOMERS REPORT'!P73+'CUSTOMERS REPORT'!P111+'CUSTOMERS REPORT'!P150+'CUSTOMERS REPORT'!P188+'CUSTOMERS REPORT'!P228+'CUSTOMERS REPORT'!P265+'CUSTOMERS REPORT'!P305+'CUSTOMERS REPORT'!P346+'CUSTOMERS REPORT'!P388+'CUSTOMERS REPORT'!P427+'CUSTOMERS REPORT'!P465+'CUSTOMERS REPORT'!P501+'CUSTOMERS REPORT'!P538+'CUSTOMERS REPORT'!P576+'CUSTOMERS REPORT'!P612+'CUSTOMERS REPORT'!P650+'CUSTOMERS REPORT'!P688+'CUSTOMERS REPORT'!P726+'CUSTOMERS REPORT'!P764+'CUSTOMERS REPORT'!P802+'CUSTOMERS REPORT'!P840+'CUSTOMERS REPORT'!P878+'CUSTOMERS REPORT'!P917+'CUSTOMERS REPORT'!P956+'CUSTOMERS REPORT'!P994+'CUSTOMERS REPORT'!P1032+'CUSTOMERS REPORT'!P1070+'CUSTOMERS REPORT'!P1108+'CUSTOMERS REPORT'!P1146+'CUSTOMERS REPORT'!P1183+'CUSTOMERS REPORT'!P1220+'CUSTOMERS REPORT'!P1257+'CUSTOMERS REPORT'!P1294+'CUSTOMERS REPORT'!P1331+'CUSTOMERS REPORT'!P1368+'CUSTOMERS REPORT'!P1405+'CUSTOMERS REPORT'!P1441</f>
        <v>0</v>
      </c>
      <c r="AI54" s="852">
        <f>'CUSTOMERS REPORT'!Q27+'CUSTOMERS REPORT'!Q73+'CUSTOMERS REPORT'!Q111+'CUSTOMERS REPORT'!Q150+'CUSTOMERS REPORT'!Q188+'CUSTOMERS REPORT'!Q228+'CUSTOMERS REPORT'!Q265+'CUSTOMERS REPORT'!Q305+'CUSTOMERS REPORT'!Q346+'CUSTOMERS REPORT'!Q388+'CUSTOMERS REPORT'!Q427+'CUSTOMERS REPORT'!Q465+'CUSTOMERS REPORT'!Q501+'CUSTOMERS REPORT'!Q538+'CUSTOMERS REPORT'!Q576+'CUSTOMERS REPORT'!Q612+'CUSTOMERS REPORT'!Q650+'CUSTOMERS REPORT'!Q688+'CUSTOMERS REPORT'!Q726+'CUSTOMERS REPORT'!Q764+'CUSTOMERS REPORT'!Q802+'CUSTOMERS REPORT'!Q840+'CUSTOMERS REPORT'!Q878+'CUSTOMERS REPORT'!Q917+'CUSTOMERS REPORT'!Q956+'CUSTOMERS REPORT'!Q994+'CUSTOMERS REPORT'!Q1032+'CUSTOMERS REPORT'!Q1070+'CUSTOMERS REPORT'!Q1108+'CUSTOMERS REPORT'!Q1146+'CUSTOMERS REPORT'!Q1183+'CUSTOMERS REPORT'!Q1220+'CUSTOMERS REPORT'!Q1257+'CUSTOMERS REPORT'!Q1294+'CUSTOMERS REPORT'!Q1331+'CUSTOMERS REPORT'!Q1368+'CUSTOMERS REPORT'!Q1405+'CUSTOMERS REPORT'!Q1441</f>
        <v>0</v>
      </c>
      <c r="AJ54" s="852">
        <f>'CUSTOMERS REPORT'!R27+'CUSTOMERS REPORT'!R73+'CUSTOMERS REPORT'!R111+'CUSTOMERS REPORT'!R150+'CUSTOMERS REPORT'!R188+'CUSTOMERS REPORT'!R228+'CUSTOMERS REPORT'!R265+'CUSTOMERS REPORT'!R305+'CUSTOMERS REPORT'!R346+'CUSTOMERS REPORT'!R388+'CUSTOMERS REPORT'!R427+'CUSTOMERS REPORT'!R465+'CUSTOMERS REPORT'!R501+'CUSTOMERS REPORT'!R538+'CUSTOMERS REPORT'!R576+'CUSTOMERS REPORT'!R612+'CUSTOMERS REPORT'!R650+'CUSTOMERS REPORT'!R688+'CUSTOMERS REPORT'!R726+'CUSTOMERS REPORT'!R764+'CUSTOMERS REPORT'!R802+'CUSTOMERS REPORT'!R840+'CUSTOMERS REPORT'!R878+'CUSTOMERS REPORT'!R917+'CUSTOMERS REPORT'!R956+'CUSTOMERS REPORT'!R994+'CUSTOMERS REPORT'!R1032+'CUSTOMERS REPORT'!R1070+'CUSTOMERS REPORT'!R1108+'CUSTOMERS REPORT'!R1146+'CUSTOMERS REPORT'!R1183+'CUSTOMERS REPORT'!R1220+'CUSTOMERS REPORT'!R1257+'CUSTOMERS REPORT'!R1294+'CUSTOMERS REPORT'!R1331+'CUSTOMERS REPORT'!R1368+'CUSTOMERS REPORT'!R1405+'CUSTOMERS REPORT'!R1441</f>
        <v>0</v>
      </c>
      <c r="AK54" s="852">
        <f>'CUSTOMERS REPORT'!S27+'CUSTOMERS REPORT'!S73+'CUSTOMERS REPORT'!S111+'CUSTOMERS REPORT'!S150+'CUSTOMERS REPORT'!S188+'CUSTOMERS REPORT'!S228+'CUSTOMERS REPORT'!S265+'CUSTOMERS REPORT'!S305+'CUSTOMERS REPORT'!S346+'CUSTOMERS REPORT'!S388+'CUSTOMERS REPORT'!S427+'CUSTOMERS REPORT'!S465+'CUSTOMERS REPORT'!S501+'CUSTOMERS REPORT'!S538+'CUSTOMERS REPORT'!S576+'CUSTOMERS REPORT'!S612+'CUSTOMERS REPORT'!S650+'CUSTOMERS REPORT'!S688+'CUSTOMERS REPORT'!S726+'CUSTOMERS REPORT'!S764+'CUSTOMERS REPORT'!S802+'CUSTOMERS REPORT'!S840+'CUSTOMERS REPORT'!S878+'CUSTOMERS REPORT'!S917+'CUSTOMERS REPORT'!S956+'CUSTOMERS REPORT'!S994+'CUSTOMERS REPORT'!S1032+'CUSTOMERS REPORT'!S1070+'CUSTOMERS REPORT'!S1108+'CUSTOMERS REPORT'!S1146+'CUSTOMERS REPORT'!S1183+'CUSTOMERS REPORT'!S1220+'CUSTOMERS REPORT'!S1257+'CUSTOMERS REPORT'!S1294+'CUSTOMERS REPORT'!S1331+'CUSTOMERS REPORT'!S1368+'CUSTOMERS REPORT'!S1405+'CUSTOMERS REPORT'!S1441</f>
        <v>0</v>
      </c>
      <c r="AL54" s="852" t="e">
        <f>'CUSTOMERS REPORT'!T27+'CUSTOMERS REPORT'!T73+'CUSTOMERS REPORT'!T111+'CUSTOMERS REPORT'!T150+'CUSTOMERS REPORT'!T188+'CUSTOMERS REPORT'!T228+'CUSTOMERS REPORT'!T265+'CUSTOMERS REPORT'!T305+'CUSTOMERS REPORT'!T346+'CUSTOMERS REPORT'!T388+'CUSTOMERS REPORT'!T427+'CUSTOMERS REPORT'!T465+'CUSTOMERS REPORT'!T501+'CUSTOMERS REPORT'!T538+'CUSTOMERS REPORT'!T576+'CUSTOMERS REPORT'!T612+'CUSTOMERS REPORT'!T650+'CUSTOMERS REPORT'!T688+'CUSTOMERS REPORT'!T726+'CUSTOMERS REPORT'!T764+'CUSTOMERS REPORT'!T802+'CUSTOMERS REPORT'!T840+'CUSTOMERS REPORT'!T878+'CUSTOMERS REPORT'!T917+'CUSTOMERS REPORT'!T956+'CUSTOMERS REPORT'!T994+'CUSTOMERS REPORT'!T1032+'CUSTOMERS REPORT'!T1070+'CUSTOMERS REPORT'!T1108+'CUSTOMERS REPORT'!T1146+'CUSTOMERS REPORT'!T1183+'CUSTOMERS REPORT'!T1220+'CUSTOMERS REPORT'!T1257+'CUSTOMERS REPORT'!T1294+'CUSTOMERS REPORT'!T1331+'CUSTOMERS REPORT'!T1368+'CUSTOMERS REPORT'!T1405+'CUSTOMERS REPORT'!T1441</f>
        <v>#VALUE!</v>
      </c>
      <c r="AM54" s="852" t="e">
        <f>'CUSTOMERS REPORT'!U27+'CUSTOMERS REPORT'!U73+'CUSTOMERS REPORT'!U111+'CUSTOMERS REPORT'!U150+'CUSTOMERS REPORT'!U188+'CUSTOMERS REPORT'!U228+'CUSTOMERS REPORT'!U265+'CUSTOMERS REPORT'!U305+'CUSTOMERS REPORT'!U346+'CUSTOMERS REPORT'!U388+'CUSTOMERS REPORT'!U427+'CUSTOMERS REPORT'!U465+'CUSTOMERS REPORT'!U501+'CUSTOMERS REPORT'!U538+'CUSTOMERS REPORT'!U576+'CUSTOMERS REPORT'!U612+'CUSTOMERS REPORT'!U650+'CUSTOMERS REPORT'!U688+'CUSTOMERS REPORT'!U726+'CUSTOMERS REPORT'!U764+'CUSTOMERS REPORT'!U802+'CUSTOMERS REPORT'!U840+'CUSTOMERS REPORT'!U878+'CUSTOMERS REPORT'!U917+'CUSTOMERS REPORT'!U956+'CUSTOMERS REPORT'!U994+'CUSTOMERS REPORT'!U1032+'CUSTOMERS REPORT'!U1070+'CUSTOMERS REPORT'!U1108+'CUSTOMERS REPORT'!U1146+'CUSTOMERS REPORT'!U1183+'CUSTOMERS REPORT'!U1220+'CUSTOMERS REPORT'!U1257+'CUSTOMERS REPORT'!U1294+'CUSTOMERS REPORT'!U1331+'CUSTOMERS REPORT'!U1368+'CUSTOMERS REPORT'!U1405+'CUSTOMERS REPORT'!U1441</f>
        <v>#VALUE!</v>
      </c>
      <c r="AN54" s="852" t="e">
        <f>'CUSTOMERS REPORT'!V27+'CUSTOMERS REPORT'!V73+'CUSTOMERS REPORT'!V111+'CUSTOMERS REPORT'!V150+'CUSTOMERS REPORT'!V188+'CUSTOMERS REPORT'!V228+'CUSTOMERS REPORT'!V265+'CUSTOMERS REPORT'!V305+'CUSTOMERS REPORT'!V346+'CUSTOMERS REPORT'!V388+'CUSTOMERS REPORT'!V427+'CUSTOMERS REPORT'!V465+'CUSTOMERS REPORT'!V501+'CUSTOMERS REPORT'!V538+'CUSTOMERS REPORT'!V576+'CUSTOMERS REPORT'!V612+'CUSTOMERS REPORT'!V650+'CUSTOMERS REPORT'!V688+'CUSTOMERS REPORT'!V726+'CUSTOMERS REPORT'!V764+'CUSTOMERS REPORT'!V802+'CUSTOMERS REPORT'!V840+'CUSTOMERS REPORT'!V878+'CUSTOMERS REPORT'!V917+'CUSTOMERS REPORT'!V956+'CUSTOMERS REPORT'!V994+'CUSTOMERS REPORT'!V1032+'CUSTOMERS REPORT'!V1070+'CUSTOMERS REPORT'!V1108+'CUSTOMERS REPORT'!V1146+'CUSTOMERS REPORT'!V1183+'CUSTOMERS REPORT'!V1220+'CUSTOMERS REPORT'!V1257+'CUSTOMERS REPORT'!V1294+'CUSTOMERS REPORT'!V1331+'CUSTOMERS REPORT'!V1368+'CUSTOMERS REPORT'!V1405+'CUSTOMERS REPORT'!V1441</f>
        <v>#VALUE!</v>
      </c>
    </row>
    <row r="55" spans="1:40" ht="24.95" customHeight="1" thickBot="1">
      <c r="L55" s="417">
        <v>20</v>
      </c>
      <c r="M55" s="417"/>
      <c r="N55" s="417">
        <f t="shared" si="10"/>
        <v>0</v>
      </c>
      <c r="R55" s="123">
        <f>'19'!R57</f>
        <v>65</v>
      </c>
      <c r="S55" s="865" t="s">
        <v>169</v>
      </c>
      <c r="T55" s="866">
        <f t="shared" ref="T55:AN55" si="12">T53-T54-T51</f>
        <v>0</v>
      </c>
      <c r="U55" s="866">
        <f t="shared" si="12"/>
        <v>0</v>
      </c>
      <c r="V55" s="866">
        <f t="shared" si="12"/>
        <v>-2</v>
      </c>
      <c r="W55" s="866">
        <f t="shared" si="12"/>
        <v>1</v>
      </c>
      <c r="X55" s="866">
        <f t="shared" si="12"/>
        <v>0</v>
      </c>
      <c r="Y55" s="866">
        <f t="shared" si="12"/>
        <v>0</v>
      </c>
      <c r="Z55" s="866">
        <f t="shared" si="12"/>
        <v>-2</v>
      </c>
      <c r="AA55" s="866">
        <f t="shared" si="12"/>
        <v>-12</v>
      </c>
      <c r="AB55" s="866">
        <f t="shared" si="12"/>
        <v>0</v>
      </c>
      <c r="AC55" s="866">
        <f t="shared" si="12"/>
        <v>1952</v>
      </c>
      <c r="AD55" s="866">
        <f t="shared" si="12"/>
        <v>494</v>
      </c>
      <c r="AE55" s="866">
        <f t="shared" si="12"/>
        <v>0</v>
      </c>
      <c r="AF55" s="866">
        <f>AF53-AF54-AF51</f>
        <v>1380</v>
      </c>
      <c r="AG55" s="866">
        <f t="shared" si="12"/>
        <v>1093</v>
      </c>
      <c r="AH55" s="866">
        <f t="shared" si="12"/>
        <v>1139</v>
      </c>
      <c r="AI55" s="866">
        <f t="shared" si="12"/>
        <v>631</v>
      </c>
      <c r="AJ55" s="866">
        <f t="shared" si="12"/>
        <v>0</v>
      </c>
      <c r="AK55" s="866">
        <f t="shared" si="12"/>
        <v>-1</v>
      </c>
      <c r="AL55" s="866" t="e">
        <f t="shared" si="12"/>
        <v>#VALUE!</v>
      </c>
      <c r="AM55" s="866" t="e">
        <f t="shared" si="12"/>
        <v>#VALUE!</v>
      </c>
      <c r="AN55" s="872" t="e">
        <f t="shared" si="12"/>
        <v>#VALUE!</v>
      </c>
    </row>
    <row r="56" spans="1:40" ht="28.5" thickBot="1">
      <c r="A56" s="114"/>
      <c r="B56" s="120"/>
      <c r="C56" s="115"/>
      <c r="L56" s="417">
        <v>10</v>
      </c>
      <c r="M56" s="417"/>
      <c r="N56" s="417">
        <f t="shared" si="10"/>
        <v>0</v>
      </c>
      <c r="R56" s="123">
        <f>T56+U56+V56+W56+X56+Y56+Z56+AA56+AB56+AC56+AD56+AE56+AF56+AG56+AH56+AI56+AJ56+AK56+AL56+AM56+AN56</f>
        <v>0</v>
      </c>
      <c r="S56" s="874" t="s">
        <v>170</v>
      </c>
      <c r="T56" s="875"/>
      <c r="U56" s="875"/>
      <c r="V56" s="875"/>
      <c r="W56" s="875"/>
      <c r="X56" s="875"/>
      <c r="Y56" s="875"/>
      <c r="Z56" s="876"/>
      <c r="AA56" s="875"/>
      <c r="AB56" s="875"/>
      <c r="AC56" s="875"/>
      <c r="AD56" s="875"/>
      <c r="AE56" s="875"/>
      <c r="AF56" s="875"/>
      <c r="AG56" s="875"/>
      <c r="AH56" s="875"/>
      <c r="AI56" s="875"/>
      <c r="AJ56" s="877"/>
      <c r="AK56" s="877"/>
      <c r="AL56" s="52"/>
      <c r="AM56" s="52"/>
      <c r="AN56" s="928"/>
    </row>
    <row r="57" spans="1:40" ht="27" customHeight="1" thickBot="1">
      <c r="A57" s="114"/>
      <c r="B57" s="131"/>
      <c r="C57" s="115"/>
      <c r="D57" s="115"/>
      <c r="E57" s="19"/>
      <c r="F57" s="19"/>
      <c r="G57" s="19"/>
      <c r="H57" s="19"/>
      <c r="I57" s="19"/>
      <c r="J57" s="19"/>
      <c r="K57" s="19"/>
      <c r="L57" s="418">
        <v>1</v>
      </c>
      <c r="M57" s="418"/>
      <c r="N57" s="417">
        <f t="shared" si="10"/>
        <v>0</v>
      </c>
      <c r="O57" s="19"/>
      <c r="R57" s="1005">
        <f>SUM(R55:R56)</f>
        <v>65</v>
      </c>
      <c r="S57" s="882" t="s">
        <v>23</v>
      </c>
      <c r="T57" s="883" t="e">
        <f t="shared" ref="T57:AI57" si="13">T50/T56</f>
        <v>#DIV/0!</v>
      </c>
      <c r="U57" s="883" t="e">
        <f t="shared" si="13"/>
        <v>#DIV/0!</v>
      </c>
      <c r="V57" s="883" t="e">
        <f t="shared" si="13"/>
        <v>#DIV/0!</v>
      </c>
      <c r="W57" s="883" t="e">
        <f t="shared" si="13"/>
        <v>#DIV/0!</v>
      </c>
      <c r="X57" s="883" t="e">
        <f t="shared" si="13"/>
        <v>#DIV/0!</v>
      </c>
      <c r="Y57" s="883" t="e">
        <f t="shared" si="13"/>
        <v>#DIV/0!</v>
      </c>
      <c r="Z57" s="883" t="e">
        <f t="shared" si="13"/>
        <v>#DIV/0!</v>
      </c>
      <c r="AA57" s="883" t="e">
        <f t="shared" si="13"/>
        <v>#DIV/0!</v>
      </c>
      <c r="AB57" s="883" t="e">
        <f t="shared" si="13"/>
        <v>#DIV/0!</v>
      </c>
      <c r="AC57" s="883" t="e">
        <f t="shared" si="13"/>
        <v>#DIV/0!</v>
      </c>
      <c r="AD57" s="883" t="e">
        <f t="shared" si="13"/>
        <v>#DIV/0!</v>
      </c>
      <c r="AE57" s="883" t="e">
        <f t="shared" si="13"/>
        <v>#DIV/0!</v>
      </c>
      <c r="AF57" s="883" t="e">
        <f t="shared" si="13"/>
        <v>#DIV/0!</v>
      </c>
      <c r="AG57" s="883" t="e">
        <f t="shared" si="13"/>
        <v>#DIV/0!</v>
      </c>
      <c r="AH57" s="883" t="e">
        <f t="shared" si="13"/>
        <v>#DIV/0!</v>
      </c>
      <c r="AI57" s="883" t="e">
        <f t="shared" si="13"/>
        <v>#DIV/0!</v>
      </c>
      <c r="AJ57" s="883" t="e">
        <f>AJ50/AJ56</f>
        <v>#DIV/0!</v>
      </c>
      <c r="AK57" s="883" t="e">
        <f>AK50/AK56</f>
        <v>#DIV/0!</v>
      </c>
      <c r="AL57" s="883" t="e">
        <f t="shared" ref="AL57:AN57" si="14">AL50/AL56</f>
        <v>#DIV/0!</v>
      </c>
      <c r="AM57" s="883" t="e">
        <f t="shared" si="14"/>
        <v>#DIV/0!</v>
      </c>
      <c r="AN57" s="884" t="e">
        <f t="shared" si="14"/>
        <v>#DIV/0!</v>
      </c>
    </row>
    <row r="58" spans="1:40" ht="27" customHeight="1" thickBot="1">
      <c r="A58" s="114"/>
      <c r="B58" s="131"/>
      <c r="C58" s="115"/>
      <c r="D58" s="115" t="s">
        <v>1</v>
      </c>
      <c r="L58" s="1501" t="s">
        <v>171</v>
      </c>
      <c r="M58" s="1501"/>
      <c r="N58" s="419">
        <f>SUM(N50:N57)</f>
        <v>0</v>
      </c>
      <c r="R58" s="19"/>
      <c r="S58" s="878" t="s">
        <v>172</v>
      </c>
      <c r="T58" s="879">
        <f>T54</f>
        <v>0</v>
      </c>
      <c r="U58" s="879">
        <f t="shared" ref="U58:AI58" si="15">U54</f>
        <v>0</v>
      </c>
      <c r="V58" s="879">
        <f t="shared" si="15"/>
        <v>0</v>
      </c>
      <c r="W58" s="879">
        <f t="shared" si="15"/>
        <v>0</v>
      </c>
      <c r="X58" s="879">
        <f t="shared" si="15"/>
        <v>0</v>
      </c>
      <c r="Y58" s="879">
        <f t="shared" si="15"/>
        <v>0</v>
      </c>
      <c r="Z58" s="879">
        <f t="shared" si="15"/>
        <v>0</v>
      </c>
      <c r="AA58" s="879">
        <f t="shared" si="15"/>
        <v>0</v>
      </c>
      <c r="AB58" s="879">
        <f t="shared" si="15"/>
        <v>0</v>
      </c>
      <c r="AC58" s="879">
        <f t="shared" si="15"/>
        <v>0</v>
      </c>
      <c r="AD58" s="879">
        <f t="shared" si="15"/>
        <v>0</v>
      </c>
      <c r="AE58" s="879">
        <f t="shared" si="15"/>
        <v>0</v>
      </c>
      <c r="AF58" s="879">
        <f t="shared" si="15"/>
        <v>0</v>
      </c>
      <c r="AG58" s="879">
        <f t="shared" si="15"/>
        <v>0</v>
      </c>
      <c r="AH58" s="879">
        <f t="shared" si="15"/>
        <v>0</v>
      </c>
      <c r="AI58" s="879">
        <f t="shared" si="15"/>
        <v>0</v>
      </c>
      <c r="AJ58" s="879">
        <f>AJ54</f>
        <v>0</v>
      </c>
      <c r="AK58" s="879">
        <f>AK54</f>
        <v>0</v>
      </c>
      <c r="AL58" s="880"/>
      <c r="AM58" s="880"/>
      <c r="AN58" s="881"/>
    </row>
    <row r="59" spans="1:40" ht="27" customHeight="1">
      <c r="A59" s="114"/>
      <c r="B59" s="132"/>
      <c r="C59" s="115"/>
      <c r="D59" s="115" t="s">
        <v>1</v>
      </c>
      <c r="K59" t="s">
        <v>1</v>
      </c>
      <c r="L59" s="1486" t="s">
        <v>173</v>
      </c>
      <c r="M59" s="1486"/>
      <c r="N59" s="420">
        <f>N58-Q48</f>
        <v>2525070</v>
      </c>
      <c r="R59" s="19"/>
      <c r="S59" s="114"/>
      <c r="T59" s="121"/>
      <c r="U59" s="121"/>
      <c r="V59" s="121"/>
      <c r="W59" s="121"/>
      <c r="X59" s="121"/>
      <c r="Y59" s="121"/>
      <c r="Z59" s="122"/>
      <c r="AA59" s="121"/>
      <c r="AB59" s="121"/>
      <c r="AC59" s="121"/>
      <c r="AD59" s="121"/>
      <c r="AE59" s="121"/>
      <c r="AF59" s="121"/>
      <c r="AG59" s="121"/>
      <c r="AH59" s="119"/>
      <c r="AI59" s="119"/>
    </row>
    <row r="60" spans="1:40" ht="23.25">
      <c r="A60" s="114"/>
      <c r="B60" s="132"/>
      <c r="C60" s="115"/>
      <c r="D60" s="115"/>
      <c r="P60" s="19"/>
      <c r="Q60" s="19"/>
      <c r="R60" s="19"/>
      <c r="S60" s="19"/>
      <c r="U60" t="s">
        <v>1</v>
      </c>
    </row>
    <row r="61" spans="1:40" ht="23.25">
      <c r="A61" s="114"/>
      <c r="B61" s="132"/>
      <c r="C61" s="115"/>
      <c r="D61" s="116"/>
      <c r="M61" t="s">
        <v>1</v>
      </c>
      <c r="P61" s="185"/>
      <c r="Q61" s="186"/>
      <c r="R61" s="19"/>
      <c r="S61" s="19"/>
      <c r="U61" t="s">
        <v>1</v>
      </c>
    </row>
    <row r="62" spans="1:40" ht="20.25">
      <c r="C62" s="116"/>
      <c r="P62" s="19"/>
      <c r="Q62" s="19"/>
      <c r="R62" s="19"/>
      <c r="S62" s="19"/>
    </row>
    <row r="63" spans="1:40">
      <c r="E63" s="19"/>
    </row>
    <row r="64" spans="1:40">
      <c r="E64" s="19"/>
      <c r="J64" t="s">
        <v>3</v>
      </c>
    </row>
    <row r="65" spans="3:5" ht="21">
      <c r="C65" s="251"/>
      <c r="E65" s="19"/>
    </row>
    <row r="66" spans="3:5">
      <c r="E66" s="49"/>
    </row>
    <row r="67" spans="3:5" ht="23.25">
      <c r="E67" s="113"/>
    </row>
  </sheetData>
  <mergeCells count="21">
    <mergeCell ref="L59:M59"/>
    <mergeCell ref="T47:W47"/>
    <mergeCell ref="X47:Z47"/>
    <mergeCell ref="S47:S48"/>
    <mergeCell ref="AJ47:AK47"/>
    <mergeCell ref="AL47:AM47"/>
    <mergeCell ref="AI7:AJ7"/>
    <mergeCell ref="AI20:AJ20"/>
    <mergeCell ref="L58:M58"/>
    <mergeCell ref="A6:Q6"/>
    <mergeCell ref="S6:AE6"/>
    <mergeCell ref="A7:B7"/>
    <mergeCell ref="P7:Q7"/>
    <mergeCell ref="H48:I48"/>
    <mergeCell ref="P24:Q24"/>
    <mergeCell ref="P33:Q33"/>
    <mergeCell ref="P42:Q42"/>
    <mergeCell ref="H46:I46"/>
    <mergeCell ref="H47:I47"/>
    <mergeCell ref="AA47:AB47"/>
    <mergeCell ref="AC47:AI47"/>
  </mergeCells>
  <conditionalFormatting sqref="M48:N48">
    <cfRule type="duplicateValues" dxfId="244" priority="45"/>
    <cfRule type="duplicateValues" dxfId="243" priority="46"/>
    <cfRule type="duplicateValues" dxfId="242" priority="47"/>
    <cfRule type="duplicateValues" dxfId="241" priority="48"/>
  </conditionalFormatting>
  <conditionalFormatting sqref="L48 N48">
    <cfRule type="cellIs" dxfId="240" priority="44" operator="equal">
      <formula>66890</formula>
    </cfRule>
  </conditionalFormatting>
  <conditionalFormatting sqref="N48">
    <cfRule type="cellIs" dxfId="239" priority="43" operator="lessThan">
      <formula>1</formula>
    </cfRule>
  </conditionalFormatting>
  <conditionalFormatting sqref="T57">
    <cfRule type="cellIs" dxfId="238" priority="16" operator="lessThan">
      <formula>63</formula>
    </cfRule>
  </conditionalFormatting>
  <conditionalFormatting sqref="U57">
    <cfRule type="cellIs" dxfId="237" priority="14" operator="lessThan">
      <formula>63</formula>
    </cfRule>
    <cfRule type="cellIs" dxfId="236" priority="15" operator="lessThan">
      <formula>63</formula>
    </cfRule>
  </conditionalFormatting>
  <conditionalFormatting sqref="W57">
    <cfRule type="cellIs" dxfId="235" priority="13" operator="lessThan">
      <formula>140</formula>
    </cfRule>
  </conditionalFormatting>
  <conditionalFormatting sqref="X57">
    <cfRule type="cellIs" dxfId="234" priority="12" operator="lessThan">
      <formula>125</formula>
    </cfRule>
  </conditionalFormatting>
  <conditionalFormatting sqref="Y57">
    <cfRule type="cellIs" dxfId="233" priority="11" operator="lessThan">
      <formula>150</formula>
    </cfRule>
  </conditionalFormatting>
  <conditionalFormatting sqref="Z57">
    <cfRule type="cellIs" dxfId="232" priority="10" operator="lessThan">
      <formula>590</formula>
    </cfRule>
  </conditionalFormatting>
  <conditionalFormatting sqref="AA57">
    <cfRule type="cellIs" dxfId="231" priority="9" operator="lessThan">
      <formula>704</formula>
    </cfRule>
  </conditionalFormatting>
  <conditionalFormatting sqref="AC57">
    <cfRule type="cellIs" dxfId="230" priority="8" operator="lessThan">
      <formula>52</formula>
    </cfRule>
  </conditionalFormatting>
  <conditionalFormatting sqref="AD57">
    <cfRule type="cellIs" dxfId="229" priority="7" operator="lessThan">
      <formula>52</formula>
    </cfRule>
  </conditionalFormatting>
  <conditionalFormatting sqref="AH57">
    <cfRule type="cellIs" dxfId="228" priority="6" operator="lessThan">
      <formula>63</formula>
    </cfRule>
  </conditionalFormatting>
  <conditionalFormatting sqref="AI57">
    <cfRule type="cellIs" dxfId="227" priority="5" operator="lessThan">
      <formula>63</formula>
    </cfRule>
  </conditionalFormatting>
  <conditionalFormatting sqref="AK57">
    <cfRule type="cellIs" dxfId="226" priority="4" operator="lessThan">
      <formula>270</formula>
    </cfRule>
  </conditionalFormatting>
  <conditionalFormatting sqref="AJ57">
    <cfRule type="cellIs" dxfId="225" priority="3" operator="lessThan">
      <formula>270</formula>
    </cfRule>
  </conditionalFormatting>
  <conditionalFormatting sqref="AL57:AN57">
    <cfRule type="cellIs" dxfId="224" priority="1" operator="lessThan">
      <formula>270</formula>
    </cfRule>
  </conditionalFormatting>
  <printOptions horizontalCentered="1" verticalCentered="1"/>
  <pageMargins left="0" right="0.5" top="0" bottom="0" header="0" footer="0"/>
  <pageSetup paperSize="5" scale="45" orientation="landscape" cellComments="asDisplayed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AN67"/>
  <sheetViews>
    <sheetView zoomScale="90" zoomScaleNormal="90" workbookViewId="0"/>
  </sheetViews>
  <sheetFormatPr defaultRowHeight="15"/>
  <cols>
    <col min="1" max="1" width="32.7109375" bestFit="1" customWidth="1"/>
    <col min="2" max="2" width="20.140625" bestFit="1" customWidth="1"/>
    <col min="3" max="4" width="20.7109375" customWidth="1"/>
    <col min="5" max="5" width="4.7109375" customWidth="1"/>
    <col min="6" max="6" width="35.85546875" bestFit="1" customWidth="1"/>
    <col min="7" max="7" width="17.7109375" customWidth="1"/>
    <col min="8" max="9" width="19.140625" bestFit="1" customWidth="1"/>
    <col min="10" max="11" width="17.7109375" customWidth="1"/>
    <col min="12" max="12" width="19.140625" bestFit="1" customWidth="1"/>
    <col min="13" max="14" width="18.7109375" customWidth="1"/>
    <col min="15" max="15" width="7.7109375" customWidth="1"/>
    <col min="16" max="16" width="28.7109375" customWidth="1"/>
    <col min="17" max="17" width="20.7109375" customWidth="1"/>
    <col min="18" max="18" width="13.7109375" bestFit="1" customWidth="1"/>
    <col min="19" max="19" width="32.7109375" customWidth="1"/>
    <col min="20" max="20" width="20.28515625" bestFit="1" customWidth="1"/>
    <col min="21" max="21" width="17.7109375" customWidth="1"/>
    <col min="22" max="22" width="20.28515625" bestFit="1" customWidth="1"/>
    <col min="23" max="23" width="17.7109375" customWidth="1"/>
    <col min="24" max="24" width="20.28515625" bestFit="1" customWidth="1"/>
    <col min="25" max="25" width="14.7109375" customWidth="1"/>
    <col min="26" max="26" width="23.28515625" bestFit="1" customWidth="1"/>
    <col min="27" max="27" width="20.140625" bestFit="1" customWidth="1"/>
    <col min="28" max="28" width="18.140625" bestFit="1" customWidth="1"/>
    <col min="29" max="29" width="20.140625" bestFit="1" customWidth="1"/>
    <col min="30" max="30" width="17.7109375" customWidth="1"/>
    <col min="31" max="31" width="20.140625" bestFit="1" customWidth="1"/>
    <col min="32" max="33" width="20.7109375" customWidth="1"/>
    <col min="34" max="37" width="17.7109375" customWidth="1"/>
    <col min="38" max="40" width="13" hidden="1" customWidth="1"/>
  </cols>
  <sheetData>
    <row r="1" spans="1:36">
      <c r="E1" s="5"/>
    </row>
    <row r="2" spans="1:36">
      <c r="E2" s="5"/>
    </row>
    <row r="3" spans="1:36" ht="15.75" thickBot="1">
      <c r="C3" t="s">
        <v>1</v>
      </c>
      <c r="E3" s="5" t="s">
        <v>1</v>
      </c>
      <c r="F3" t="s">
        <v>1</v>
      </c>
      <c r="N3" t="s">
        <v>1</v>
      </c>
      <c r="S3" t="s">
        <v>1</v>
      </c>
      <c r="U3" t="s">
        <v>1</v>
      </c>
    </row>
    <row r="4" spans="1:36" ht="21.75" thickTop="1">
      <c r="B4" t="s">
        <v>1</v>
      </c>
      <c r="D4" t="s">
        <v>1</v>
      </c>
      <c r="E4" t="s">
        <v>1</v>
      </c>
      <c r="P4" s="617" t="s">
        <v>108</v>
      </c>
      <c r="Q4" s="618">
        <f>'20'!Q4+'21'!Q9+'21'!Q10+'21'!Q19+'21'!Q20+'21'!Q21+'21'!Q22</f>
        <v>0</v>
      </c>
    </row>
    <row r="5" spans="1:36" ht="21.75" thickBot="1">
      <c r="P5" s="619" t="s">
        <v>109</v>
      </c>
      <c r="Q5" s="620">
        <f>'20'!Q5+'21'!Q25+'21'!Q26+'21'!Q27+'21'!Q28+'21'!Q29+'21'!Q30+'21'!Q31</f>
        <v>0</v>
      </c>
    </row>
    <row r="6" spans="1:36" ht="48" thickTop="1" thickBot="1">
      <c r="A6" s="1502">
        <f>'Main Page'!E37</f>
        <v>44886</v>
      </c>
      <c r="B6" s="1507"/>
      <c r="C6" s="1507"/>
      <c r="D6" s="1507"/>
      <c r="E6" s="1507"/>
      <c r="F6" s="1507"/>
      <c r="G6" s="1507"/>
      <c r="H6" s="1507"/>
      <c r="I6" s="1507"/>
      <c r="J6" s="1507"/>
      <c r="K6" s="1507"/>
      <c r="L6" s="1507"/>
      <c r="M6" s="1507"/>
      <c r="N6" s="1507"/>
      <c r="O6" s="1507"/>
      <c r="P6" s="1507"/>
      <c r="Q6" s="1515"/>
      <c r="R6" t="s">
        <v>1</v>
      </c>
      <c r="S6" s="1502">
        <f>A6</f>
        <v>44886</v>
      </c>
      <c r="T6" s="1503"/>
      <c r="U6" s="1503"/>
      <c r="V6" s="1503"/>
      <c r="W6" s="1503"/>
      <c r="X6" s="1503"/>
      <c r="Y6" s="1503"/>
      <c r="Z6" s="1503"/>
      <c r="AA6" s="1503"/>
      <c r="AB6" s="1503"/>
      <c r="AC6" s="1503"/>
      <c r="AD6" s="1503"/>
      <c r="AE6" s="1504"/>
    </row>
    <row r="7" spans="1:36" ht="39.950000000000003" customHeight="1" thickTop="1" thickBot="1">
      <c r="A7" s="1505" t="s">
        <v>110</v>
      </c>
      <c r="B7" s="1506"/>
      <c r="C7" s="367" t="s">
        <v>97</v>
      </c>
      <c r="D7" s="368" t="s">
        <v>74</v>
      </c>
      <c r="F7" s="363" t="s">
        <v>111</v>
      </c>
      <c r="G7" s="364" t="s">
        <v>112</v>
      </c>
      <c r="H7" s="365" t="s">
        <v>113</v>
      </c>
      <c r="I7" s="365" t="s">
        <v>26</v>
      </c>
      <c r="J7" s="365" t="s">
        <v>114</v>
      </c>
      <c r="K7" s="366" t="s">
        <v>115</v>
      </c>
      <c r="L7" s="365" t="s">
        <v>116</v>
      </c>
      <c r="M7" s="365" t="s">
        <v>117</v>
      </c>
      <c r="N7" s="365" t="s">
        <v>118</v>
      </c>
      <c r="P7" s="1510" t="s">
        <v>69</v>
      </c>
      <c r="Q7" s="1511"/>
      <c r="S7" s="380" t="s">
        <v>58</v>
      </c>
      <c r="T7" s="380" t="s">
        <v>59</v>
      </c>
      <c r="U7" s="380" t="s">
        <v>119</v>
      </c>
      <c r="V7" s="380" t="s">
        <v>74</v>
      </c>
      <c r="W7" s="380" t="s">
        <v>120</v>
      </c>
      <c r="X7" s="380" t="s">
        <v>59</v>
      </c>
      <c r="Z7" s="367" t="s">
        <v>121</v>
      </c>
      <c r="AA7" s="367" t="s">
        <v>97</v>
      </c>
      <c r="AB7" s="415" t="s">
        <v>122</v>
      </c>
      <c r="AC7" s="416" t="s">
        <v>90</v>
      </c>
      <c r="AD7" s="367" t="s">
        <v>56</v>
      </c>
      <c r="AE7" s="381" t="s">
        <v>100</v>
      </c>
      <c r="AF7" s="560" t="s">
        <v>122</v>
      </c>
      <c r="AG7" s="570" t="s">
        <v>56</v>
      </c>
      <c r="AI7" s="1487" t="s">
        <v>123</v>
      </c>
      <c r="AJ7" s="1488"/>
    </row>
    <row r="8" spans="1:36" ht="27" customHeight="1" thickTop="1" thickBot="1">
      <c r="A8" s="717" t="s">
        <v>467</v>
      </c>
      <c r="B8" s="233">
        <v>21250</v>
      </c>
      <c r="C8" s="463"/>
      <c r="D8" s="233"/>
      <c r="F8" s="478" t="str">
        <f>'20'!F8</f>
        <v>ISHAQ ANSARI</v>
      </c>
      <c r="G8" s="405">
        <f>'CUSTOMERS REPORT'!Y28</f>
        <v>0</v>
      </c>
      <c r="H8" s="503">
        <f>'CUSTOMERS REPORT'!Z28</f>
        <v>0</v>
      </c>
      <c r="I8" s="405">
        <f>'CUSTOMERS REPORT'!AA28</f>
        <v>0</v>
      </c>
      <c r="J8" s="497">
        <f>'CUSTOMERS REPORT'!AB28</f>
        <v>0</v>
      </c>
      <c r="K8" s="497">
        <f>'CUSTOMERS REPORT'!AC28</f>
        <v>0</v>
      </c>
      <c r="L8" s="508">
        <f>'CUSTOMERS REPORT'!AD28</f>
        <v>0</v>
      </c>
      <c r="M8" s="413">
        <f>'20'!M8+'21'!G8</f>
        <v>0</v>
      </c>
      <c r="N8" s="411">
        <f>'20'!N8+'21'!J8</f>
        <v>0</v>
      </c>
      <c r="P8" s="191" t="s">
        <v>124</v>
      </c>
      <c r="Q8" s="223">
        <f>'20'!Q32</f>
        <v>0</v>
      </c>
      <c r="S8" s="399" t="str">
        <f>'20'!S8</f>
        <v>FLOUR</v>
      </c>
      <c r="T8" s="446">
        <f>'20'!X8</f>
        <v>-30</v>
      </c>
      <c r="U8" s="455"/>
      <c r="V8" s="450">
        <f t="shared" ref="V8:V43" si="0">SUM(T8:U8)</f>
        <v>-30</v>
      </c>
      <c r="W8" s="450">
        <v>26</v>
      </c>
      <c r="X8" s="446">
        <f t="shared" ref="X8:X43" si="1">V8-W8</f>
        <v>-56</v>
      </c>
      <c r="Z8" s="382" t="str">
        <f>'20'!Z8</f>
        <v>GHAZI</v>
      </c>
      <c r="AA8" s="464">
        <f>'20'!AE8</f>
        <v>-300000</v>
      </c>
      <c r="AB8" s="460"/>
      <c r="AC8" s="233">
        <f>AA8+AB8</f>
        <v>-300000</v>
      </c>
      <c r="AD8" s="468"/>
      <c r="AE8" s="463">
        <f t="shared" ref="AE8:AE42" si="2">AC8-AD8</f>
        <v>-300000</v>
      </c>
      <c r="AF8" s="563">
        <f>'20'!AF8+'21'!AB8</f>
        <v>0</v>
      </c>
      <c r="AG8" s="233">
        <f>'20'!AG8+'21'!AD8</f>
        <v>300000</v>
      </c>
      <c r="AI8" s="391" t="s">
        <v>126</v>
      </c>
      <c r="AJ8" s="392">
        <f>'20'!AJ10</f>
        <v>115970</v>
      </c>
    </row>
    <row r="9" spans="1:36" ht="27" customHeight="1" thickTop="1">
      <c r="A9" s="718" t="s">
        <v>493</v>
      </c>
      <c r="B9" s="526">
        <v>300</v>
      </c>
      <c r="C9" s="348"/>
      <c r="D9" s="550"/>
      <c r="F9" s="479" t="str">
        <f>'20'!F9</f>
        <v>MAKKI BAKERY</v>
      </c>
      <c r="G9" s="406">
        <f>'CUSTOMERS REPORT'!Y74</f>
        <v>0</v>
      </c>
      <c r="H9" s="504">
        <f>'CUSTOMERS REPORT'!Z74</f>
        <v>0</v>
      </c>
      <c r="I9" s="406">
        <f>'CUSTOMERS REPORT'!AA74</f>
        <v>0</v>
      </c>
      <c r="J9" s="498">
        <f>'CUSTOMERS REPORT'!AB74</f>
        <v>0</v>
      </c>
      <c r="K9" s="498">
        <f>'CUSTOMERS REPORT'!AC74</f>
        <v>0</v>
      </c>
      <c r="L9" s="509">
        <f>'CUSTOMERS REPORT'!AD74</f>
        <v>0</v>
      </c>
      <c r="M9" s="414">
        <f>'20'!M9+'21'!G9</f>
        <v>0</v>
      </c>
      <c r="N9" s="412">
        <f>'20'!N9+'21'!J9</f>
        <v>0</v>
      </c>
      <c r="P9" s="432"/>
      <c r="Q9" s="436"/>
      <c r="S9" s="400" t="str">
        <f>'20'!S9</f>
        <v>SUGAR</v>
      </c>
      <c r="T9" s="446">
        <f>'20'!X9</f>
        <v>-775</v>
      </c>
      <c r="U9" s="456"/>
      <c r="V9" s="451">
        <f t="shared" si="0"/>
        <v>-775</v>
      </c>
      <c r="W9" s="451">
        <v>455</v>
      </c>
      <c r="X9" s="447">
        <f t="shared" si="1"/>
        <v>-1230</v>
      </c>
      <c r="Z9" s="375" t="str">
        <f>'20'!Z9</f>
        <v>SOHNI</v>
      </c>
      <c r="AA9" s="464">
        <f>'20'!AE9</f>
        <v>120000</v>
      </c>
      <c r="AB9" s="459"/>
      <c r="AC9" s="462">
        <f>AA9+AB9</f>
        <v>120000</v>
      </c>
      <c r="AD9" s="469"/>
      <c r="AE9" s="348">
        <f t="shared" si="2"/>
        <v>120000</v>
      </c>
      <c r="AF9" s="563">
        <f>'20'!AF9+'21'!AB9</f>
        <v>370000</v>
      </c>
      <c r="AG9" s="234">
        <f>'20'!AG9+'21'!AD9</f>
        <v>250000</v>
      </c>
      <c r="AI9" s="393" t="s">
        <v>128</v>
      </c>
      <c r="AJ9" s="394">
        <f>B26</f>
        <v>10500</v>
      </c>
    </row>
    <row r="10" spans="1:36" ht="27" customHeight="1" thickBot="1">
      <c r="A10" s="718" t="s">
        <v>494</v>
      </c>
      <c r="B10" s="528">
        <v>700</v>
      </c>
      <c r="C10" s="350"/>
      <c r="D10" s="550"/>
      <c r="F10" s="479" t="str">
        <f>'20'!F10</f>
        <v>ABID HUSSAIN</v>
      </c>
      <c r="G10" s="406">
        <f>'CUSTOMERS REPORT'!Y112</f>
        <v>0</v>
      </c>
      <c r="H10" s="504">
        <f>'CUSTOMERS REPORT'!Z112</f>
        <v>0</v>
      </c>
      <c r="I10" s="406">
        <f>'CUSTOMERS REPORT'!AA112</f>
        <v>0</v>
      </c>
      <c r="J10" s="498">
        <f>'CUSTOMERS REPORT'!AB112</f>
        <v>0</v>
      </c>
      <c r="K10" s="498">
        <f>'CUSTOMERS REPORT'!AC112</f>
        <v>0</v>
      </c>
      <c r="L10" s="509">
        <f>'CUSTOMERS REPORT'!AD112</f>
        <v>0</v>
      </c>
      <c r="M10" s="414">
        <f>'20'!M10+'21'!G10</f>
        <v>0</v>
      </c>
      <c r="N10" s="412">
        <f>'20'!N10+'21'!J10</f>
        <v>0</v>
      </c>
      <c r="P10" s="433"/>
      <c r="Q10" s="437"/>
      <c r="S10" s="400" t="str">
        <f>'20'!S10</f>
        <v>GHEE</v>
      </c>
      <c r="T10" s="446">
        <f>'20'!X10</f>
        <v>-20</v>
      </c>
      <c r="U10" s="456">
        <v>10</v>
      </c>
      <c r="V10" s="451">
        <f t="shared" si="0"/>
        <v>-10</v>
      </c>
      <c r="W10" s="451">
        <v>5</v>
      </c>
      <c r="X10" s="447">
        <f t="shared" si="1"/>
        <v>-15</v>
      </c>
      <c r="Z10" s="375" t="str">
        <f>'20'!Z10</f>
        <v>HUSSAINI</v>
      </c>
      <c r="AA10" s="464">
        <f>'20'!AE10</f>
        <v>-156100</v>
      </c>
      <c r="AB10" s="460">
        <v>62000</v>
      </c>
      <c r="AC10" s="462">
        <f>AA10+AB10</f>
        <v>-94100</v>
      </c>
      <c r="AD10" s="469"/>
      <c r="AE10" s="348">
        <f t="shared" si="2"/>
        <v>-94100</v>
      </c>
      <c r="AF10" s="563">
        <f>'20'!AF10+'21'!AB10</f>
        <v>62000</v>
      </c>
      <c r="AG10" s="234">
        <f>'20'!AG10+'21'!AD10</f>
        <v>156100</v>
      </c>
      <c r="AI10" s="395" t="s">
        <v>74</v>
      </c>
      <c r="AJ10" s="396">
        <f>AJ8+AJ9</f>
        <v>126470</v>
      </c>
    </row>
    <row r="11" spans="1:36" ht="27" customHeight="1" thickTop="1">
      <c r="A11" s="718"/>
      <c r="B11" s="528"/>
      <c r="C11" s="350"/>
      <c r="D11" s="550"/>
      <c r="F11" s="479" t="str">
        <f>'20'!F11</f>
        <v>SHAHID 5 #</v>
      </c>
      <c r="G11" s="406">
        <f>'CUSTOMERS REPORT'!Y151</f>
        <v>0</v>
      </c>
      <c r="H11" s="504">
        <f>'CUSTOMERS REPORT'!Z151</f>
        <v>0</v>
      </c>
      <c r="I11" s="406">
        <f>'CUSTOMERS REPORT'!AA151</f>
        <v>0</v>
      </c>
      <c r="J11" s="498">
        <f>'CUSTOMERS REPORT'!AB151</f>
        <v>0</v>
      </c>
      <c r="K11" s="498">
        <f>'CUSTOMERS REPORT'!AC151</f>
        <v>0</v>
      </c>
      <c r="L11" s="509">
        <f>'CUSTOMERS REPORT'!AD151</f>
        <v>0</v>
      </c>
      <c r="M11" s="414">
        <f>'20'!M11+'21'!G11</f>
        <v>0</v>
      </c>
      <c r="N11" s="412">
        <f>'20'!N11+'21'!J11</f>
        <v>0</v>
      </c>
      <c r="P11" s="433"/>
      <c r="Q11" s="437"/>
      <c r="S11" s="400" t="str">
        <f>'20'!S11</f>
        <v>YEAST</v>
      </c>
      <c r="T11" s="446">
        <f>'20'!X11</f>
        <v>-66</v>
      </c>
      <c r="U11" s="456"/>
      <c r="V11" s="451">
        <f t="shared" ref="V11:V19" si="3">SUM(T11:U11)</f>
        <v>-66</v>
      </c>
      <c r="W11" s="451">
        <v>13</v>
      </c>
      <c r="X11" s="447">
        <f t="shared" ref="X11:X19" si="4">V11-W11</f>
        <v>-79</v>
      </c>
      <c r="Z11" s="375" t="str">
        <f>'20'!Z11</f>
        <v>IMRAN ALAM</v>
      </c>
      <c r="AA11" s="464">
        <f>'20'!AE11</f>
        <v>-145000</v>
      </c>
      <c r="AB11" s="460"/>
      <c r="AC11" s="462">
        <f t="shared" ref="AC11:AC18" si="5">AA11+AB11</f>
        <v>-145000</v>
      </c>
      <c r="AD11" s="469"/>
      <c r="AE11" s="348">
        <f t="shared" ref="AE11:AE18" si="6">AC11-AD11</f>
        <v>-145000</v>
      </c>
      <c r="AF11" s="563">
        <f>'20'!AF11+'21'!AB11</f>
        <v>0</v>
      </c>
      <c r="AG11" s="234">
        <f>'20'!AG11+'21'!AD11</f>
        <v>145000</v>
      </c>
      <c r="AI11" s="1031"/>
      <c r="AJ11" s="1032"/>
    </row>
    <row r="12" spans="1:36" ht="27" customHeight="1">
      <c r="A12" s="1197"/>
      <c r="B12" s="1198"/>
      <c r="C12" s="350"/>
      <c r="D12" s="550"/>
      <c r="F12" s="479" t="str">
        <f>'20'!F12</f>
        <v>ZULFIQAR</v>
      </c>
      <c r="G12" s="406">
        <f>'CUSTOMERS REPORT'!Y189</f>
        <v>0</v>
      </c>
      <c r="H12" s="504">
        <f>'CUSTOMERS REPORT'!Z189</f>
        <v>0</v>
      </c>
      <c r="I12" s="406">
        <f>'CUSTOMERS REPORT'!AA189</f>
        <v>0</v>
      </c>
      <c r="J12" s="498">
        <f>'CUSTOMERS REPORT'!AB189</f>
        <v>0</v>
      </c>
      <c r="K12" s="498">
        <f>'CUSTOMERS REPORT'!AC189</f>
        <v>0</v>
      </c>
      <c r="L12" s="509">
        <f>'CUSTOMERS REPORT'!AD189</f>
        <v>0</v>
      </c>
      <c r="M12" s="414">
        <f>'20'!M12+'21'!G12</f>
        <v>0</v>
      </c>
      <c r="N12" s="412">
        <f>'20'!N12+'21'!J12</f>
        <v>0</v>
      </c>
      <c r="P12" s="433"/>
      <c r="Q12" s="437"/>
      <c r="S12" s="400" t="str">
        <f>'20'!S12</f>
        <v xml:space="preserve">EKKA </v>
      </c>
      <c r="T12" s="446">
        <f>'20'!X12</f>
        <v>0</v>
      </c>
      <c r="U12" s="456"/>
      <c r="V12" s="451">
        <f t="shared" si="3"/>
        <v>0</v>
      </c>
      <c r="W12" s="451"/>
      <c r="X12" s="447">
        <f t="shared" si="4"/>
        <v>0</v>
      </c>
      <c r="Z12" s="375" t="str">
        <f>'20'!Z12</f>
        <v>ZAHEER</v>
      </c>
      <c r="AA12" s="464">
        <f>'20'!AE12</f>
        <v>0</v>
      </c>
      <c r="AB12" s="460"/>
      <c r="AC12" s="462">
        <f t="shared" si="5"/>
        <v>0</v>
      </c>
      <c r="AD12" s="469"/>
      <c r="AE12" s="348">
        <f t="shared" si="6"/>
        <v>0</v>
      </c>
      <c r="AF12" s="563">
        <f>'20'!AF12+'21'!AB12</f>
        <v>0</v>
      </c>
      <c r="AG12" s="234">
        <f>'20'!AG12+'21'!AD12</f>
        <v>0</v>
      </c>
      <c r="AI12" s="1031"/>
      <c r="AJ12" s="1032"/>
    </row>
    <row r="13" spans="1:36" ht="27" customHeight="1">
      <c r="A13" s="718"/>
      <c r="B13" s="528"/>
      <c r="C13" s="350"/>
      <c r="D13" s="550"/>
      <c r="F13" s="479" t="str">
        <f>'20'!F13</f>
        <v>QASIM ORANGI</v>
      </c>
      <c r="G13" s="406">
        <f>'CUSTOMERS REPORT'!Y229</f>
        <v>0</v>
      </c>
      <c r="H13" s="504">
        <f>'CUSTOMERS REPORT'!Z229</f>
        <v>0</v>
      </c>
      <c r="I13" s="406">
        <f>'CUSTOMERS REPORT'!AA229</f>
        <v>0</v>
      </c>
      <c r="J13" s="498">
        <f>'CUSTOMERS REPORT'!AB229</f>
        <v>0</v>
      </c>
      <c r="K13" s="498">
        <f>'CUSTOMERS REPORT'!AC229</f>
        <v>0</v>
      </c>
      <c r="L13" s="509">
        <f>'CUSTOMERS REPORT'!AD229</f>
        <v>0</v>
      </c>
      <c r="M13" s="414">
        <f>'20'!M13+'21'!G13</f>
        <v>0</v>
      </c>
      <c r="N13" s="412">
        <f>'20'!N13+'21'!J13</f>
        <v>0</v>
      </c>
      <c r="P13" s="433"/>
      <c r="Q13" s="437"/>
      <c r="S13" s="400" t="str">
        <f>'20'!S13</f>
        <v>VANILLA</v>
      </c>
      <c r="T13" s="446">
        <f>'20'!X13</f>
        <v>0</v>
      </c>
      <c r="U13" s="456"/>
      <c r="V13" s="451">
        <f t="shared" si="3"/>
        <v>0</v>
      </c>
      <c r="W13" s="451"/>
      <c r="X13" s="447">
        <f t="shared" si="4"/>
        <v>0</v>
      </c>
      <c r="Z13" s="375" t="str">
        <f>'20'!Z13</f>
        <v>FAISAL</v>
      </c>
      <c r="AA13" s="464">
        <f>'20'!AE13</f>
        <v>-100000</v>
      </c>
      <c r="AB13" s="460"/>
      <c r="AC13" s="462">
        <f t="shared" si="5"/>
        <v>-100000</v>
      </c>
      <c r="AD13" s="469"/>
      <c r="AE13" s="348">
        <f t="shared" si="6"/>
        <v>-100000</v>
      </c>
      <c r="AF13" s="563">
        <f>'20'!AF13+'21'!AB13</f>
        <v>0</v>
      </c>
      <c r="AG13" s="234">
        <f>'20'!AG13+'21'!AD13</f>
        <v>100000</v>
      </c>
      <c r="AI13" s="1031"/>
      <c r="AJ13" s="1032"/>
    </row>
    <row r="14" spans="1:36" ht="27" customHeight="1">
      <c r="A14" s="718"/>
      <c r="B14" s="528"/>
      <c r="C14" s="350"/>
      <c r="D14" s="550"/>
      <c r="F14" s="479" t="str">
        <f>'20'!F14</f>
        <v>BADSHAH KHAN HYD</v>
      </c>
      <c r="G14" s="406">
        <f>'CUSTOMERS REPORT'!Y266</f>
        <v>0</v>
      </c>
      <c r="H14" s="504">
        <f>'CUSTOMERS REPORT'!Z266</f>
        <v>0</v>
      </c>
      <c r="I14" s="406">
        <f>'CUSTOMERS REPORT'!AA266</f>
        <v>0</v>
      </c>
      <c r="J14" s="498">
        <f>'CUSTOMERS REPORT'!AB266</f>
        <v>0</v>
      </c>
      <c r="K14" s="498">
        <f>'CUSTOMERS REPORT'!AC266</f>
        <v>0</v>
      </c>
      <c r="L14" s="509">
        <f>'CUSTOMERS REPORT'!AD266</f>
        <v>0</v>
      </c>
      <c r="M14" s="414">
        <f>'20'!M14+'21'!G14</f>
        <v>0</v>
      </c>
      <c r="N14" s="412">
        <f>'20'!N14+'21'!J14</f>
        <v>0</v>
      </c>
      <c r="P14" s="433"/>
      <c r="Q14" s="437"/>
      <c r="S14" s="400" t="str">
        <f>'20'!S14</f>
        <v>COLOUR</v>
      </c>
      <c r="T14" s="446">
        <f>'20'!X14</f>
        <v>25</v>
      </c>
      <c r="U14" s="456"/>
      <c r="V14" s="451">
        <f t="shared" si="3"/>
        <v>25</v>
      </c>
      <c r="W14" s="451"/>
      <c r="X14" s="447">
        <f t="shared" si="4"/>
        <v>25</v>
      </c>
      <c r="Z14" s="375" t="str">
        <f>'20'!Z14</f>
        <v>RANA EKKA</v>
      </c>
      <c r="AA14" s="464">
        <f>'20'!AE14</f>
        <v>0</v>
      </c>
      <c r="AB14" s="460"/>
      <c r="AC14" s="462">
        <f t="shared" si="5"/>
        <v>0</v>
      </c>
      <c r="AD14" s="469"/>
      <c r="AE14" s="348">
        <f t="shared" si="6"/>
        <v>0</v>
      </c>
      <c r="AF14" s="563">
        <f>'20'!AF14+'21'!AB14</f>
        <v>0</v>
      </c>
      <c r="AG14" s="234">
        <f>'20'!AG14+'21'!AD14</f>
        <v>0</v>
      </c>
      <c r="AI14" s="1031"/>
      <c r="AJ14" s="1032"/>
    </row>
    <row r="15" spans="1:36" ht="27" customHeight="1">
      <c r="A15" s="718"/>
      <c r="B15" s="528"/>
      <c r="C15" s="350"/>
      <c r="D15" s="550"/>
      <c r="F15" s="479" t="str">
        <f>'20'!F15</f>
        <v>SHAMOON</v>
      </c>
      <c r="G15" s="406">
        <f>'CUSTOMERS REPORT'!Y306</f>
        <v>0</v>
      </c>
      <c r="H15" s="504">
        <f>'CUSTOMERS REPORT'!Z306</f>
        <v>0</v>
      </c>
      <c r="I15" s="406">
        <f>'CUSTOMERS REPORT'!AA306</f>
        <v>0</v>
      </c>
      <c r="J15" s="498">
        <f>'CUSTOMERS REPORT'!AB306</f>
        <v>0</v>
      </c>
      <c r="K15" s="498">
        <f>'CUSTOMERS REPORT'!AC306</f>
        <v>0</v>
      </c>
      <c r="L15" s="509">
        <f>'CUSTOMERS REPORT'!AD306</f>
        <v>0</v>
      </c>
      <c r="M15" s="414">
        <f>'20'!M15+'21'!G15</f>
        <v>0</v>
      </c>
      <c r="N15" s="412">
        <f>'20'!N15+'21'!J15</f>
        <v>0</v>
      </c>
      <c r="P15" s="433"/>
      <c r="Q15" s="437"/>
      <c r="S15" s="400" t="str">
        <f>'20'!S15</f>
        <v>TILL</v>
      </c>
      <c r="T15" s="446">
        <f>'20'!X15</f>
        <v>0</v>
      </c>
      <c r="U15" s="456"/>
      <c r="V15" s="451">
        <f t="shared" si="3"/>
        <v>0</v>
      </c>
      <c r="W15" s="451"/>
      <c r="X15" s="447">
        <f t="shared" si="4"/>
        <v>0</v>
      </c>
      <c r="Z15" s="375" t="str">
        <f>'20'!Z15</f>
        <v>sheeba</v>
      </c>
      <c r="AA15" s="464">
        <f>'20'!AE15</f>
        <v>-410250</v>
      </c>
      <c r="AB15" s="460"/>
      <c r="AC15" s="462">
        <f t="shared" si="5"/>
        <v>-410250</v>
      </c>
      <c r="AD15" s="469"/>
      <c r="AE15" s="348">
        <f t="shared" si="6"/>
        <v>-410250</v>
      </c>
      <c r="AF15" s="563">
        <f>'20'!AF15+'21'!AB15</f>
        <v>0</v>
      </c>
      <c r="AG15" s="234">
        <f>'20'!AG15+'21'!AD15</f>
        <v>410250</v>
      </c>
      <c r="AI15" s="1031"/>
      <c r="AJ15" s="1032"/>
    </row>
    <row r="16" spans="1:36" ht="27" customHeight="1">
      <c r="A16" s="718"/>
      <c r="B16" s="528"/>
      <c r="C16" s="350"/>
      <c r="D16" s="550"/>
      <c r="F16" s="479" t="str">
        <f>'20'!F16</f>
        <v>MATEEN</v>
      </c>
      <c r="G16" s="406">
        <f>'CUSTOMERS REPORT'!Y347</f>
        <v>0</v>
      </c>
      <c r="H16" s="504">
        <f>'CUSTOMERS REPORT'!Z347</f>
        <v>0</v>
      </c>
      <c r="I16" s="406">
        <f>'CUSTOMERS REPORT'!AA347</f>
        <v>0</v>
      </c>
      <c r="J16" s="498">
        <f>'CUSTOMERS REPORT'!AB347</f>
        <v>0</v>
      </c>
      <c r="K16" s="498">
        <f>'CUSTOMERS REPORT'!AC347</f>
        <v>0</v>
      </c>
      <c r="L16" s="509">
        <f>'CUSTOMERS REPORT'!AD347</f>
        <v>0</v>
      </c>
      <c r="M16" s="414">
        <f>'20'!M16+'21'!G16</f>
        <v>0</v>
      </c>
      <c r="N16" s="412">
        <f>'20'!N16+'21'!J16</f>
        <v>0</v>
      </c>
      <c r="P16" s="433"/>
      <c r="Q16" s="437"/>
      <c r="S16" s="400" t="str">
        <f>'20'!S16</f>
        <v>ILLAICHI</v>
      </c>
      <c r="T16" s="446">
        <f>'20'!X16</f>
        <v>0</v>
      </c>
      <c r="U16" s="456"/>
      <c r="V16" s="451">
        <f t="shared" si="3"/>
        <v>0</v>
      </c>
      <c r="W16" s="451"/>
      <c r="X16" s="447">
        <f t="shared" si="4"/>
        <v>0</v>
      </c>
      <c r="Z16" s="375" t="str">
        <f>'20'!Z16</f>
        <v>COTTON</v>
      </c>
      <c r="AA16" s="464">
        <f>'20'!AE16</f>
        <v>11400</v>
      </c>
      <c r="AB16" s="460"/>
      <c r="AC16" s="462">
        <f t="shared" si="5"/>
        <v>11400</v>
      </c>
      <c r="AD16" s="469"/>
      <c r="AE16" s="348">
        <f t="shared" si="6"/>
        <v>11400</v>
      </c>
      <c r="AF16" s="563">
        <f>'20'!AF16+'21'!AB16</f>
        <v>26400</v>
      </c>
      <c r="AG16" s="234">
        <f>'20'!AG16+'21'!AD16</f>
        <v>15000</v>
      </c>
      <c r="AI16" s="1031"/>
      <c r="AJ16" s="1032"/>
    </row>
    <row r="17" spans="1:36" ht="27" customHeight="1">
      <c r="A17" s="718"/>
      <c r="B17" s="528"/>
      <c r="C17" s="350"/>
      <c r="D17" s="550"/>
      <c r="F17" s="479" t="str">
        <f>'20'!F17</f>
        <v>AMJAD ORANGI</v>
      </c>
      <c r="G17" s="406">
        <f>'CUSTOMERS REPORT'!Y389</f>
        <v>0</v>
      </c>
      <c r="H17" s="504">
        <f>'CUSTOMERS REPORT'!Z389</f>
        <v>0</v>
      </c>
      <c r="I17" s="406">
        <f>'CUSTOMERS REPORT'!AA389</f>
        <v>0</v>
      </c>
      <c r="J17" s="498">
        <f>'CUSTOMERS REPORT'!AB389</f>
        <v>0</v>
      </c>
      <c r="K17" s="498">
        <f>'CUSTOMERS REPORT'!AC389</f>
        <v>0</v>
      </c>
      <c r="L17" s="509">
        <f>'CUSTOMERS REPORT'!AD389</f>
        <v>0</v>
      </c>
      <c r="M17" s="414">
        <f>'20'!M17+'21'!G17</f>
        <v>0</v>
      </c>
      <c r="N17" s="412">
        <f>'20'!N17+'21'!J17</f>
        <v>0</v>
      </c>
      <c r="P17" s="433"/>
      <c r="Q17" s="437"/>
      <c r="S17" s="400" t="str">
        <f>'20'!S17</f>
        <v>S-THELLI</v>
      </c>
      <c r="T17" s="446">
        <f>'20'!X17</f>
        <v>0</v>
      </c>
      <c r="U17" s="456"/>
      <c r="V17" s="451">
        <f t="shared" si="3"/>
        <v>0</v>
      </c>
      <c r="W17" s="451"/>
      <c r="X17" s="447">
        <f t="shared" si="4"/>
        <v>0</v>
      </c>
      <c r="Z17" s="375" t="str">
        <f>'20'!Z17</f>
        <v>SHAHID UP</v>
      </c>
      <c r="AA17" s="464">
        <f>'20'!AE17</f>
        <v>21250</v>
      </c>
      <c r="AB17" s="460"/>
      <c r="AC17" s="462">
        <f t="shared" si="5"/>
        <v>21250</v>
      </c>
      <c r="AD17" s="469">
        <v>21250</v>
      </c>
      <c r="AE17" s="348">
        <f t="shared" si="6"/>
        <v>0</v>
      </c>
      <c r="AF17" s="563">
        <f>'20'!AF17+'21'!AB17</f>
        <v>21250</v>
      </c>
      <c r="AG17" s="234">
        <f>'20'!AG17+'21'!AD17</f>
        <v>21250</v>
      </c>
      <c r="AI17" s="1031"/>
      <c r="AJ17" s="1032"/>
    </row>
    <row r="18" spans="1:36" ht="27" customHeight="1">
      <c r="A18" s="718"/>
      <c r="B18" s="528"/>
      <c r="C18" s="350"/>
      <c r="D18" s="550"/>
      <c r="F18" s="479" t="str">
        <f>'20'!F18</f>
        <v>HAFIZ DRIVER</v>
      </c>
      <c r="G18" s="406">
        <f>'CUSTOMERS REPORT'!Y428</f>
        <v>0</v>
      </c>
      <c r="H18" s="504">
        <f>'CUSTOMERS REPORT'!Z428</f>
        <v>0</v>
      </c>
      <c r="I18" s="406">
        <f>'CUSTOMERS REPORT'!AA428</f>
        <v>0</v>
      </c>
      <c r="J18" s="498">
        <f>'CUSTOMERS REPORT'!AB428</f>
        <v>0</v>
      </c>
      <c r="K18" s="498">
        <f>'CUSTOMERS REPORT'!AC428</f>
        <v>0</v>
      </c>
      <c r="L18" s="509">
        <f>'CUSTOMERS REPORT'!AD428</f>
        <v>0</v>
      </c>
      <c r="M18" s="414">
        <f>'20'!M18+'21'!G18</f>
        <v>0</v>
      </c>
      <c r="N18" s="412">
        <f>'20'!N18+'21'!J18</f>
        <v>0</v>
      </c>
      <c r="P18" s="433"/>
      <c r="Q18" s="437"/>
      <c r="S18" s="400" t="str">
        <f>'20'!S18</f>
        <v>P-THELLI</v>
      </c>
      <c r="T18" s="446">
        <f>'20'!X18</f>
        <v>0</v>
      </c>
      <c r="U18" s="456"/>
      <c r="V18" s="451">
        <f t="shared" si="3"/>
        <v>0</v>
      </c>
      <c r="W18" s="451"/>
      <c r="X18" s="447">
        <f t="shared" si="4"/>
        <v>0</v>
      </c>
      <c r="Z18" s="375" t="str">
        <f>'20'!Z18</f>
        <v>SALT</v>
      </c>
      <c r="AA18" s="464">
        <f>'20'!AE18</f>
        <v>0</v>
      </c>
      <c r="AB18" s="460"/>
      <c r="AC18" s="462">
        <f t="shared" si="5"/>
        <v>0</v>
      </c>
      <c r="AD18" s="469"/>
      <c r="AE18" s="348">
        <f t="shared" si="6"/>
        <v>0</v>
      </c>
      <c r="AF18" s="563">
        <f>'20'!AF18+'21'!AB18</f>
        <v>1500</v>
      </c>
      <c r="AG18" s="234">
        <f>'20'!AG18+'21'!AD18</f>
        <v>1500</v>
      </c>
      <c r="AI18" s="1031"/>
      <c r="AJ18" s="1032"/>
    </row>
    <row r="19" spans="1:36" ht="27" customHeight="1" thickBot="1">
      <c r="A19" s="719"/>
      <c r="B19" s="529"/>
      <c r="C19" s="350"/>
      <c r="D19" s="550"/>
      <c r="F19" s="479" t="str">
        <f>'20'!F19</f>
        <v>GHULAM QUETTA</v>
      </c>
      <c r="G19" s="406">
        <f>'CUSTOMERS REPORT'!Y466</f>
        <v>0</v>
      </c>
      <c r="H19" s="504">
        <f>'CUSTOMERS REPORT'!Z466</f>
        <v>0</v>
      </c>
      <c r="I19" s="406">
        <f>'CUSTOMERS REPORT'!AA466</f>
        <v>0</v>
      </c>
      <c r="J19" s="498">
        <f>'CUSTOMERS REPORT'!AB466</f>
        <v>0</v>
      </c>
      <c r="K19" s="498">
        <f>'CUSTOMERS REPORT'!AC466</f>
        <v>0</v>
      </c>
      <c r="L19" s="509">
        <f>'CUSTOMERS REPORT'!AD466</f>
        <v>0</v>
      </c>
      <c r="M19" s="414">
        <f>'20'!M19+'21'!G19</f>
        <v>0</v>
      </c>
      <c r="N19" s="412">
        <f>'20'!N19+'21'!J19</f>
        <v>0</v>
      </c>
      <c r="P19" s="433"/>
      <c r="Q19" s="437"/>
      <c r="S19" s="400" t="str">
        <f>'20'!S19</f>
        <v>RUBBER</v>
      </c>
      <c r="T19" s="446">
        <f>'20'!X19</f>
        <v>0</v>
      </c>
      <c r="U19" s="456"/>
      <c r="V19" s="451">
        <f t="shared" si="3"/>
        <v>0</v>
      </c>
      <c r="W19" s="451"/>
      <c r="X19" s="447">
        <f t="shared" si="4"/>
        <v>0</v>
      </c>
      <c r="Z19" s="375" t="str">
        <f>'20'!Z19</f>
        <v>NAVEED</v>
      </c>
      <c r="AA19" s="464">
        <f>'20'!AE19</f>
        <v>0</v>
      </c>
      <c r="AB19" s="460"/>
      <c r="AC19" s="462">
        <f>AA19+AB19</f>
        <v>0</v>
      </c>
      <c r="AD19" s="469"/>
      <c r="AE19" s="348">
        <f t="shared" si="2"/>
        <v>0</v>
      </c>
      <c r="AF19" s="563">
        <f>'20'!AF19+'21'!AB19</f>
        <v>0</v>
      </c>
      <c r="AG19" s="234">
        <f>'20'!AG19+'21'!AD19</f>
        <v>0</v>
      </c>
      <c r="AH19" t="s">
        <v>1</v>
      </c>
    </row>
    <row r="20" spans="1:36" ht="27" customHeight="1" thickTop="1" thickBot="1">
      <c r="A20" s="719"/>
      <c r="B20" s="529"/>
      <c r="C20" s="350"/>
      <c r="D20" s="550"/>
      <c r="F20" s="479" t="str">
        <f>'20'!F20</f>
        <v>HUSSAN GWADAR</v>
      </c>
      <c r="G20" s="406">
        <f>'CUSTOMERS REPORT'!Y502</f>
        <v>0</v>
      </c>
      <c r="H20" s="504">
        <f>'CUSTOMERS REPORT'!Z502</f>
        <v>0</v>
      </c>
      <c r="I20" s="406">
        <f>'CUSTOMERS REPORT'!AA502</f>
        <v>0</v>
      </c>
      <c r="J20" s="498">
        <f>'CUSTOMERS REPORT'!AB502</f>
        <v>0</v>
      </c>
      <c r="K20" s="498">
        <f>'CUSTOMERS REPORT'!AC502</f>
        <v>0</v>
      </c>
      <c r="L20" s="509">
        <f>'CUSTOMERS REPORT'!AD502</f>
        <v>0</v>
      </c>
      <c r="M20" s="414">
        <f>'20'!M20+'21'!G20</f>
        <v>0</v>
      </c>
      <c r="N20" s="412">
        <f>'20'!N20+'21'!J20</f>
        <v>0</v>
      </c>
      <c r="P20" s="433"/>
      <c r="Q20" s="437"/>
      <c r="S20" s="400" t="str">
        <f>'20'!S20</f>
        <v>SALT</v>
      </c>
      <c r="T20" s="446">
        <f>'20'!X20</f>
        <v>250</v>
      </c>
      <c r="U20" s="456"/>
      <c r="V20" s="451">
        <f t="shared" si="0"/>
        <v>250</v>
      </c>
      <c r="W20" s="451"/>
      <c r="X20" s="447">
        <f t="shared" si="1"/>
        <v>250</v>
      </c>
      <c r="Z20" s="375" t="str">
        <f>'20'!Z20</f>
        <v>YOUSUF BHAI</v>
      </c>
      <c r="AA20" s="464">
        <f>'20'!AE20</f>
        <v>-53300</v>
      </c>
      <c r="AB20" s="460"/>
      <c r="AC20" s="462">
        <f t="shared" ref="AC20:AC25" si="7">AA20+AB21</f>
        <v>-53300</v>
      </c>
      <c r="AD20" s="469"/>
      <c r="AE20" s="348">
        <f t="shared" si="2"/>
        <v>-53300</v>
      </c>
      <c r="AF20" s="563">
        <f>'20'!AF20+'21'!AB20</f>
        <v>301100</v>
      </c>
      <c r="AG20" s="234">
        <f>'20'!AG20+'21'!AD20</f>
        <v>354400</v>
      </c>
      <c r="AI20" s="1487" t="s">
        <v>132</v>
      </c>
      <c r="AJ20" s="1488"/>
    </row>
    <row r="21" spans="1:36" ht="27" customHeight="1" thickTop="1" thickBot="1">
      <c r="A21" s="720"/>
      <c r="B21" s="530"/>
      <c r="C21" s="531"/>
      <c r="D21" s="553"/>
      <c r="F21" s="479" t="str">
        <f>'20'!F21</f>
        <v>AQASH S KOT</v>
      </c>
      <c r="G21" s="406">
        <f>'CUSTOMERS REPORT'!Y539</f>
        <v>0</v>
      </c>
      <c r="H21" s="504">
        <f>'CUSTOMERS REPORT'!Z539</f>
        <v>0</v>
      </c>
      <c r="I21" s="406">
        <f>'CUSTOMERS REPORT'!AA539</f>
        <v>0</v>
      </c>
      <c r="J21" s="498">
        <f>'CUSTOMERS REPORT'!AB539</f>
        <v>0</v>
      </c>
      <c r="K21" s="498">
        <f>'CUSTOMERS REPORT'!AC539</f>
        <v>0</v>
      </c>
      <c r="L21" s="509">
        <f>'CUSTOMERS REPORT'!AD539</f>
        <v>0</v>
      </c>
      <c r="M21" s="414">
        <f>'20'!M21+'21'!G21</f>
        <v>0</v>
      </c>
      <c r="N21" s="412">
        <f>'20'!N21+'21'!J21</f>
        <v>0</v>
      </c>
      <c r="P21" s="433"/>
      <c r="Q21" s="435"/>
      <c r="S21" s="400" t="str">
        <f>'20'!S21</f>
        <v>TAPE</v>
      </c>
      <c r="T21" s="446">
        <f>'20'!X21</f>
        <v>0</v>
      </c>
      <c r="U21" s="456"/>
      <c r="V21" s="451">
        <f t="shared" si="0"/>
        <v>0</v>
      </c>
      <c r="W21" s="451"/>
      <c r="X21" s="447">
        <f t="shared" si="1"/>
        <v>0</v>
      </c>
      <c r="Z21" s="375" t="str">
        <f>'20'!Z21</f>
        <v>SULEMAN  PRINT</v>
      </c>
      <c r="AA21" s="464">
        <f>'20'!AE21</f>
        <v>-312000</v>
      </c>
      <c r="AB21" s="460"/>
      <c r="AC21" s="462">
        <f t="shared" si="7"/>
        <v>-312000</v>
      </c>
      <c r="AD21" s="469"/>
      <c r="AE21" s="348">
        <f t="shared" si="2"/>
        <v>-312000</v>
      </c>
      <c r="AF21" s="563">
        <f>'20'!AF21+'21'!AB21</f>
        <v>0</v>
      </c>
      <c r="AG21" s="234">
        <f>'20'!AG21+'21'!AD21</f>
        <v>312000</v>
      </c>
      <c r="AI21" s="391" t="s">
        <v>126</v>
      </c>
      <c r="AJ21" s="392">
        <f>'20'!AJ23</f>
        <v>117000</v>
      </c>
    </row>
    <row r="22" spans="1:36" ht="27" customHeight="1" thickTop="1" thickBot="1">
      <c r="A22" s="486" t="s">
        <v>74</v>
      </c>
      <c r="B22" s="533">
        <f>SUM(B8:B21)</f>
        <v>22250</v>
      </c>
      <c r="C22" s="534">
        <f>'20'!D22</f>
        <v>2170220</v>
      </c>
      <c r="D22" s="535">
        <f t="shared" ref="D22" si="8">B22+C22</f>
        <v>2192470</v>
      </c>
      <c r="F22" s="479" t="str">
        <f>'20'!F22</f>
        <v>SALEEM T JAM</v>
      </c>
      <c r="G22" s="406">
        <f>'CUSTOMERS REPORT'!Y577</f>
        <v>0</v>
      </c>
      <c r="H22" s="504">
        <f>'CUSTOMERS REPORT'!Z577</f>
        <v>0</v>
      </c>
      <c r="I22" s="406">
        <f>'CUSTOMERS REPORT'!AA577</f>
        <v>0</v>
      </c>
      <c r="J22" s="498">
        <f>'CUSTOMERS REPORT'!AB577</f>
        <v>0</v>
      </c>
      <c r="K22" s="498">
        <f>'CUSTOMERS REPORT'!AC577</f>
        <v>0</v>
      </c>
      <c r="L22" s="509">
        <f>'CUSTOMERS REPORT'!AD577</f>
        <v>0</v>
      </c>
      <c r="M22" s="414">
        <f>'20'!M22+'21'!G22</f>
        <v>0</v>
      </c>
      <c r="N22" s="412">
        <f>'20'!N22+'21'!J22</f>
        <v>0</v>
      </c>
      <c r="P22" s="433"/>
      <c r="Q22" s="438"/>
      <c r="S22" s="400" t="str">
        <f>'20'!S22</f>
        <v>COTTON</v>
      </c>
      <c r="T22" s="446">
        <f>'20'!X22</f>
        <v>220</v>
      </c>
      <c r="U22" s="456"/>
      <c r="V22" s="451">
        <f t="shared" si="0"/>
        <v>220</v>
      </c>
      <c r="W22" s="451"/>
      <c r="X22" s="447">
        <f t="shared" si="1"/>
        <v>220</v>
      </c>
      <c r="Z22" s="375" t="str">
        <f>'20'!Z22</f>
        <v>IRFAN VANILA</v>
      </c>
      <c r="AA22" s="464">
        <f>'20'!AE22</f>
        <v>-110000</v>
      </c>
      <c r="AB22" s="460"/>
      <c r="AC22" s="462">
        <f>AA22+AB22</f>
        <v>-110000</v>
      </c>
      <c r="AD22" s="469"/>
      <c r="AE22" s="348">
        <f t="shared" si="2"/>
        <v>-110000</v>
      </c>
      <c r="AF22" s="563">
        <f>'20'!AF22+'21'!AB22</f>
        <v>0</v>
      </c>
      <c r="AG22" s="234">
        <f>'20'!AG22+'21'!AD22</f>
        <v>110000</v>
      </c>
      <c r="AI22" s="393">
        <f>R56</f>
        <v>13</v>
      </c>
      <c r="AJ22" s="394">
        <f>R56*1800</f>
        <v>23400</v>
      </c>
    </row>
    <row r="23" spans="1:36" ht="27" customHeight="1" thickTop="1" thickBot="1">
      <c r="A23" s="715" t="str">
        <f>'20'!A23</f>
        <v>OFFICE FOOD</v>
      </c>
      <c r="B23" s="462">
        <v>150</v>
      </c>
      <c r="C23" s="536">
        <f>'20'!D23</f>
        <v>1930</v>
      </c>
      <c r="D23" s="537">
        <f t="shared" ref="D23:D48" si="9">B23+C23</f>
        <v>2080</v>
      </c>
      <c r="F23" s="479" t="str">
        <f>'20'!F23</f>
        <v>JAMSHAD BADEEN</v>
      </c>
      <c r="G23" s="406">
        <f>'CUSTOMERS REPORT'!Y613</f>
        <v>0</v>
      </c>
      <c r="H23" s="504">
        <f>'CUSTOMERS REPORT'!Z613</f>
        <v>0</v>
      </c>
      <c r="I23" s="406">
        <f>'CUSTOMERS REPORT'!AA613</f>
        <v>0</v>
      </c>
      <c r="J23" s="498">
        <f>'CUSTOMERS REPORT'!AB613</f>
        <v>0</v>
      </c>
      <c r="K23" s="498">
        <f>'CUSTOMERS REPORT'!AC613</f>
        <v>0</v>
      </c>
      <c r="L23" s="509">
        <f>'CUSTOMERS REPORT'!AD613</f>
        <v>0</v>
      </c>
      <c r="M23" s="414">
        <f>'20'!M23+'21'!G23</f>
        <v>0</v>
      </c>
      <c r="N23" s="412">
        <f>'20'!N23+'21'!J23</f>
        <v>0</v>
      </c>
      <c r="P23" s="190" t="s">
        <v>48</v>
      </c>
      <c r="Q23" s="439">
        <f>SUM(Q8:Q22)</f>
        <v>0</v>
      </c>
      <c r="S23" s="400" t="str">
        <f>'20'!S23</f>
        <v>WHITE 6</v>
      </c>
      <c r="T23" s="446">
        <f>'20'!X23</f>
        <v>0</v>
      </c>
      <c r="U23" s="456"/>
      <c r="V23" s="451">
        <f t="shared" si="0"/>
        <v>0</v>
      </c>
      <c r="W23" s="451"/>
      <c r="X23" s="447">
        <f t="shared" si="1"/>
        <v>0</v>
      </c>
      <c r="Z23" s="375" t="str">
        <f>'20'!Z23</f>
        <v>IRANI GHEE</v>
      </c>
      <c r="AA23" s="464">
        <f>'20'!AE23</f>
        <v>0</v>
      </c>
      <c r="AB23" s="460"/>
      <c r="AC23" s="462">
        <f>AA23+AB23</f>
        <v>0</v>
      </c>
      <c r="AD23" s="469"/>
      <c r="AE23" s="348">
        <f t="shared" si="2"/>
        <v>0</v>
      </c>
      <c r="AF23" s="563">
        <f>'20'!AF23+'21'!AB23</f>
        <v>0</v>
      </c>
      <c r="AG23" s="234">
        <f>'20'!AG23+'21'!AD23</f>
        <v>0</v>
      </c>
      <c r="AI23" s="395" t="s">
        <v>74</v>
      </c>
      <c r="AJ23" s="396">
        <f>AJ21+AJ22</f>
        <v>140400</v>
      </c>
    </row>
    <row r="24" spans="1:36" ht="27" customHeight="1" thickTop="1" thickBot="1">
      <c r="A24" s="715" t="str">
        <f>'20'!A24</f>
        <v>LABOUR FOOD EXP</v>
      </c>
      <c r="B24" s="234">
        <v>2000</v>
      </c>
      <c r="C24" s="348">
        <f>'20'!D24</f>
        <v>16000</v>
      </c>
      <c r="D24" s="234">
        <f t="shared" si="9"/>
        <v>18000</v>
      </c>
      <c r="F24" s="479" t="str">
        <f>'20'!F24</f>
        <v>SARFAZ MP</v>
      </c>
      <c r="G24" s="406">
        <f>'CUSTOMERS REPORT'!Y651</f>
        <v>0</v>
      </c>
      <c r="H24" s="504">
        <f>'CUSTOMERS REPORT'!Z651</f>
        <v>0</v>
      </c>
      <c r="I24" s="406">
        <f>'CUSTOMERS REPORT'!AA651</f>
        <v>0</v>
      </c>
      <c r="J24" s="498">
        <f>'CUSTOMERS REPORT'!AB651</f>
        <v>0</v>
      </c>
      <c r="K24" s="498">
        <f>'CUSTOMERS REPORT'!AC651</f>
        <v>0</v>
      </c>
      <c r="L24" s="509">
        <f>'CUSTOMERS REPORT'!AD651</f>
        <v>0</v>
      </c>
      <c r="M24" s="414">
        <f>'20'!M24+'21'!G24</f>
        <v>0</v>
      </c>
      <c r="N24" s="412">
        <f>'20'!N24+'21'!J24</f>
        <v>0</v>
      </c>
      <c r="P24" s="1514" t="s">
        <v>137</v>
      </c>
      <c r="Q24" s="1514"/>
      <c r="R24" t="s">
        <v>1</v>
      </c>
      <c r="S24" s="400" t="str">
        <f>'20'!S24</f>
        <v>ORANGE</v>
      </c>
      <c r="T24" s="446">
        <f>'20'!X24</f>
        <v>0</v>
      </c>
      <c r="U24" s="456"/>
      <c r="V24" s="451">
        <f t="shared" si="0"/>
        <v>0</v>
      </c>
      <c r="W24" s="451"/>
      <c r="X24" s="447">
        <f t="shared" si="1"/>
        <v>0</v>
      </c>
      <c r="Z24" s="375">
        <f>'20'!Z24</f>
        <v>0</v>
      </c>
      <c r="AA24" s="464">
        <f>'20'!AE24</f>
        <v>0</v>
      </c>
      <c r="AB24" s="460"/>
      <c r="AC24" s="462">
        <f t="shared" si="7"/>
        <v>0</v>
      </c>
      <c r="AD24" s="469"/>
      <c r="AE24" s="348">
        <f t="shared" si="2"/>
        <v>0</v>
      </c>
      <c r="AF24" s="563">
        <f>'20'!AF24+'21'!AB24</f>
        <v>0</v>
      </c>
      <c r="AG24" s="234">
        <f>'20'!AG24+'21'!AD24</f>
        <v>0</v>
      </c>
    </row>
    <row r="25" spans="1:36" ht="27" customHeight="1" thickTop="1" thickBot="1">
      <c r="A25" s="715" t="str">
        <f>'20'!A25</f>
        <v>OFFICE SALARY</v>
      </c>
      <c r="B25" s="234">
        <f>ATTENDANCE!AQ28</f>
        <v>0</v>
      </c>
      <c r="C25" s="348">
        <f>'20'!D25</f>
        <v>32000</v>
      </c>
      <c r="D25" s="234">
        <f t="shared" si="9"/>
        <v>32000</v>
      </c>
      <c r="F25" s="479" t="str">
        <f>'20'!F25</f>
        <v>AFZAL MATLI</v>
      </c>
      <c r="G25" s="406">
        <f>'CUSTOMERS REPORT'!Y689</f>
        <v>0</v>
      </c>
      <c r="H25" s="504">
        <f>'CUSTOMERS REPORT'!Z689</f>
        <v>0</v>
      </c>
      <c r="I25" s="406">
        <f>'CUSTOMERS REPORT'!AA689</f>
        <v>0</v>
      </c>
      <c r="J25" s="498">
        <f>'CUSTOMERS REPORT'!AB689</f>
        <v>0</v>
      </c>
      <c r="K25" s="498">
        <f>'CUSTOMERS REPORT'!AC689</f>
        <v>0</v>
      </c>
      <c r="L25" s="509">
        <f>'CUSTOMERS REPORT'!AD689</f>
        <v>0</v>
      </c>
      <c r="M25" s="414">
        <f>'20'!M25+'21'!G25</f>
        <v>0</v>
      </c>
      <c r="N25" s="412">
        <f>'20'!N25+'21'!J25</f>
        <v>0</v>
      </c>
      <c r="P25" s="434"/>
      <c r="Q25" s="440"/>
      <c r="S25" s="400" t="str">
        <f>'20'!S25</f>
        <v>MAKKI 7</v>
      </c>
      <c r="T25" s="446">
        <f>'20'!X25</f>
        <v>0</v>
      </c>
      <c r="U25" s="456"/>
      <c r="V25" s="451">
        <f t="shared" si="0"/>
        <v>0</v>
      </c>
      <c r="W25" s="451"/>
      <c r="X25" s="447">
        <f t="shared" si="1"/>
        <v>0</v>
      </c>
      <c r="Z25" s="375">
        <f>'20'!Z25</f>
        <v>0</v>
      </c>
      <c r="AA25" s="464">
        <f>'20'!AE25</f>
        <v>0</v>
      </c>
      <c r="AB25" s="745"/>
      <c r="AC25" s="462">
        <f t="shared" si="7"/>
        <v>0</v>
      </c>
      <c r="AD25" s="469"/>
      <c r="AE25" s="348">
        <f t="shared" si="2"/>
        <v>0</v>
      </c>
      <c r="AF25" s="563">
        <f>'20'!AF25+'21'!AB25</f>
        <v>0</v>
      </c>
      <c r="AG25" s="234">
        <f>'20'!AG25+'21'!AD25</f>
        <v>0</v>
      </c>
      <c r="AI25" s="397" t="s">
        <v>59</v>
      </c>
      <c r="AJ25" s="398">
        <f>AJ23-AJ10</f>
        <v>13930</v>
      </c>
    </row>
    <row r="26" spans="1:36" ht="27" customHeight="1" thickTop="1">
      <c r="A26" s="715" t="str">
        <f>'20'!A26</f>
        <v>LABOUR SALARY</v>
      </c>
      <c r="B26" s="234">
        <f>SUM('SALERY SHEET'!AR97:AS97)</f>
        <v>10500</v>
      </c>
      <c r="C26" s="348">
        <f>'20'!D26</f>
        <v>115970</v>
      </c>
      <c r="D26" s="234">
        <f t="shared" si="9"/>
        <v>126470</v>
      </c>
      <c r="F26" s="479" t="str">
        <f>'20'!F26</f>
        <v xml:space="preserve">ABDUL RASHEED </v>
      </c>
      <c r="G26" s="406">
        <f>'CUSTOMERS REPORT'!Y727</f>
        <v>0</v>
      </c>
      <c r="H26" s="504">
        <f>'CUSTOMERS REPORT'!Z727</f>
        <v>0</v>
      </c>
      <c r="I26" s="406">
        <f>'CUSTOMERS REPORT'!AA727</f>
        <v>0</v>
      </c>
      <c r="J26" s="498">
        <f>'CUSTOMERS REPORT'!AB727</f>
        <v>0</v>
      </c>
      <c r="K26" s="498">
        <f>'CUSTOMERS REPORT'!AC727</f>
        <v>0</v>
      </c>
      <c r="L26" s="509">
        <f>'CUSTOMERS REPORT'!AD727</f>
        <v>0</v>
      </c>
      <c r="M26" s="414">
        <f>'20'!M26+'21'!G26</f>
        <v>0</v>
      </c>
      <c r="N26" s="412">
        <f>'20'!N26+'21'!J26</f>
        <v>0</v>
      </c>
      <c r="P26" s="433"/>
      <c r="Q26" s="438"/>
      <c r="R26" t="s">
        <v>1</v>
      </c>
      <c r="S26" s="400" t="str">
        <f>'20'!S26</f>
        <v>BLUE 125 GM</v>
      </c>
      <c r="T26" s="446">
        <f>'20'!X26</f>
        <v>0</v>
      </c>
      <c r="U26" s="456"/>
      <c r="V26" s="451">
        <f t="shared" si="0"/>
        <v>0</v>
      </c>
      <c r="W26" s="451"/>
      <c r="X26" s="447">
        <f t="shared" si="1"/>
        <v>0</v>
      </c>
      <c r="Z26" s="375">
        <f>'20'!Z26</f>
        <v>0</v>
      </c>
      <c r="AA26" s="464">
        <f>'20'!AE26</f>
        <v>0</v>
      </c>
      <c r="AB26" s="460"/>
      <c r="AC26" s="462">
        <f t="shared" ref="AC26:AC41" si="10">AA26+AB26</f>
        <v>0</v>
      </c>
      <c r="AD26" s="469"/>
      <c r="AE26" s="348">
        <f t="shared" si="2"/>
        <v>0</v>
      </c>
      <c r="AF26" s="563">
        <f>'20'!AF26+'21'!AB26</f>
        <v>0</v>
      </c>
      <c r="AG26" s="234">
        <f>'20'!AG26+'21'!AD26</f>
        <v>0</v>
      </c>
    </row>
    <row r="27" spans="1:36" ht="27" customHeight="1">
      <c r="A27" s="715" t="str">
        <f>'20'!A27</f>
        <v>SHAHZORE</v>
      </c>
      <c r="B27" s="234"/>
      <c r="C27" s="348">
        <f>'20'!D27</f>
        <v>0</v>
      </c>
      <c r="D27" s="234">
        <f t="shared" si="9"/>
        <v>0</v>
      </c>
      <c r="F27" s="479" t="str">
        <f>'20'!F27</f>
        <v>SALEEM ORANGI</v>
      </c>
      <c r="G27" s="406">
        <f>'CUSTOMERS REPORT'!Y765</f>
        <v>0</v>
      </c>
      <c r="H27" s="504">
        <f>'CUSTOMERS REPORT'!Z765</f>
        <v>0</v>
      </c>
      <c r="I27" s="406">
        <f>'CUSTOMERS REPORT'!AA765</f>
        <v>0</v>
      </c>
      <c r="J27" s="498">
        <f>'CUSTOMERS REPORT'!AB765</f>
        <v>0</v>
      </c>
      <c r="K27" s="498">
        <f>'CUSTOMERS REPORT'!AC765</f>
        <v>0</v>
      </c>
      <c r="L27" s="509">
        <f>'CUSTOMERS REPORT'!AD765</f>
        <v>0</v>
      </c>
      <c r="M27" s="414">
        <f>'20'!M27+'21'!G27</f>
        <v>0</v>
      </c>
      <c r="N27" s="412">
        <f>'20'!N27+'21'!J27</f>
        <v>0</v>
      </c>
      <c r="P27" s="433"/>
      <c r="Q27" s="435"/>
      <c r="R27" t="s">
        <v>1</v>
      </c>
      <c r="S27" s="400" t="str">
        <f>'20'!S27</f>
        <v>MAKKI 5</v>
      </c>
      <c r="T27" s="446">
        <f>'20'!X27</f>
        <v>0</v>
      </c>
      <c r="U27" s="456"/>
      <c r="V27" s="451">
        <f t="shared" si="0"/>
        <v>0</v>
      </c>
      <c r="W27" s="451"/>
      <c r="X27" s="447">
        <f t="shared" si="1"/>
        <v>0</v>
      </c>
      <c r="Z27" s="375">
        <f>'20'!Z27</f>
        <v>0</v>
      </c>
      <c r="AA27" s="464">
        <f>'20'!AE27</f>
        <v>0</v>
      </c>
      <c r="AB27" s="460"/>
      <c r="AC27" s="462">
        <f t="shared" si="10"/>
        <v>0</v>
      </c>
      <c r="AD27" s="469"/>
      <c r="AE27" s="348">
        <f t="shared" si="2"/>
        <v>0</v>
      </c>
      <c r="AF27" s="563">
        <f>'20'!AF27+'21'!AB27</f>
        <v>0</v>
      </c>
      <c r="AG27" s="234">
        <f>'20'!AG27+'21'!AD27</f>
        <v>0</v>
      </c>
    </row>
    <row r="28" spans="1:36" ht="27" customHeight="1">
      <c r="A28" s="715" t="str">
        <f>'20'!A28</f>
        <v>GENERATOR</v>
      </c>
      <c r="B28" s="234"/>
      <c r="C28" s="348">
        <f>'20'!D28</f>
        <v>28700</v>
      </c>
      <c r="D28" s="234">
        <f t="shared" si="9"/>
        <v>28700</v>
      </c>
      <c r="F28" s="479" t="str">
        <f>'20'!F28</f>
        <v>AYAZ OUSTA</v>
      </c>
      <c r="G28" s="406">
        <f>'CUSTOMERS REPORT'!Y803</f>
        <v>0</v>
      </c>
      <c r="H28" s="504">
        <f>'CUSTOMERS REPORT'!Z803</f>
        <v>0</v>
      </c>
      <c r="I28" s="406">
        <f>'CUSTOMERS REPORT'!AA803</f>
        <v>0</v>
      </c>
      <c r="J28" s="498">
        <f>'CUSTOMERS REPORT'!AB803</f>
        <v>0</v>
      </c>
      <c r="K28" s="498">
        <f>'CUSTOMERS REPORT'!AC803</f>
        <v>0</v>
      </c>
      <c r="L28" s="509">
        <f>'CUSTOMERS REPORT'!AD803</f>
        <v>0</v>
      </c>
      <c r="M28" s="414">
        <f>'20'!M28+'21'!G28</f>
        <v>0</v>
      </c>
      <c r="N28" s="412">
        <f>'20'!N28+'21'!J28</f>
        <v>0</v>
      </c>
      <c r="P28" s="433"/>
      <c r="Q28" s="438"/>
      <c r="S28" s="400" t="str">
        <f>'20'!S28</f>
        <v>MAKKI 2 PES</v>
      </c>
      <c r="T28" s="446">
        <f>'20'!X28</f>
        <v>0</v>
      </c>
      <c r="U28" s="456"/>
      <c r="V28" s="451">
        <f t="shared" si="0"/>
        <v>0</v>
      </c>
      <c r="W28" s="451"/>
      <c r="X28" s="447">
        <f t="shared" si="1"/>
        <v>0</v>
      </c>
      <c r="Z28" s="375">
        <f>'20'!Z28</f>
        <v>0</v>
      </c>
      <c r="AA28" s="464">
        <f>'20'!AE28</f>
        <v>0</v>
      </c>
      <c r="AB28" s="460"/>
      <c r="AC28" s="462">
        <f t="shared" si="10"/>
        <v>0</v>
      </c>
      <c r="AD28" s="469"/>
      <c r="AE28" s="348">
        <f t="shared" si="2"/>
        <v>0</v>
      </c>
      <c r="AF28" s="563">
        <f>'20'!AF28+'21'!AB28</f>
        <v>0</v>
      </c>
      <c r="AG28" s="234">
        <f>'20'!AG28+'21'!AD28</f>
        <v>0</v>
      </c>
    </row>
    <row r="29" spans="1:36" ht="27" customHeight="1">
      <c r="A29" s="715" t="str">
        <f>'20'!A29</f>
        <v>PATROL FAW</v>
      </c>
      <c r="B29" s="234">
        <v>220</v>
      </c>
      <c r="C29" s="348">
        <f>'20'!D29</f>
        <v>30050</v>
      </c>
      <c r="D29" s="234">
        <f t="shared" si="9"/>
        <v>30270</v>
      </c>
      <c r="F29" s="479" t="str">
        <f>'20'!F29</f>
        <v>AZHAR BADEEN</v>
      </c>
      <c r="G29" s="406">
        <f>'CUSTOMERS REPORT'!Y841</f>
        <v>0</v>
      </c>
      <c r="H29" s="504">
        <f>'CUSTOMERS REPORT'!Z841</f>
        <v>0</v>
      </c>
      <c r="I29" s="406">
        <f>'CUSTOMERS REPORT'!AA841</f>
        <v>0</v>
      </c>
      <c r="J29" s="498">
        <f>'CUSTOMERS REPORT'!AB841</f>
        <v>0</v>
      </c>
      <c r="K29" s="498">
        <f>'CUSTOMERS REPORT'!AC841</f>
        <v>0</v>
      </c>
      <c r="L29" s="509">
        <f>'CUSTOMERS REPORT'!AD841</f>
        <v>0</v>
      </c>
      <c r="M29" s="414">
        <f>'20'!M29+'21'!G29</f>
        <v>0</v>
      </c>
      <c r="N29" s="412">
        <f>'20'!N29+'21'!J29</f>
        <v>0</v>
      </c>
      <c r="P29" s="433"/>
      <c r="Q29" s="441"/>
      <c r="S29" s="400" t="str">
        <f>'20'!S29</f>
        <v xml:space="preserve">PRIME </v>
      </c>
      <c r="T29" s="446">
        <f>'20'!X29</f>
        <v>0</v>
      </c>
      <c r="U29" s="456"/>
      <c r="V29" s="451">
        <f t="shared" si="0"/>
        <v>0</v>
      </c>
      <c r="W29" s="451"/>
      <c r="X29" s="447">
        <f t="shared" si="1"/>
        <v>0</v>
      </c>
      <c r="Z29" s="375">
        <f>'20'!Z29</f>
        <v>0</v>
      </c>
      <c r="AA29" s="464">
        <f>'20'!AE29</f>
        <v>0</v>
      </c>
      <c r="AB29" s="460"/>
      <c r="AC29" s="462">
        <f t="shared" si="10"/>
        <v>0</v>
      </c>
      <c r="AD29" s="469"/>
      <c r="AE29" s="348">
        <f t="shared" si="2"/>
        <v>0</v>
      </c>
      <c r="AF29" s="563">
        <f>'20'!AF29+'21'!AB29</f>
        <v>0</v>
      </c>
      <c r="AG29" s="234">
        <f>'20'!AG29+'21'!AD29</f>
        <v>0</v>
      </c>
    </row>
    <row r="30" spans="1:36" ht="27" customHeight="1">
      <c r="A30" s="715" t="str">
        <f>'20'!A30</f>
        <v>FOTON DIESEL</v>
      </c>
      <c r="B30" s="234"/>
      <c r="C30" s="348">
        <f>'20'!D30</f>
        <v>15800</v>
      </c>
      <c r="D30" s="234">
        <f t="shared" si="9"/>
        <v>15800</v>
      </c>
      <c r="F30" s="479" t="str">
        <f>'20'!F30</f>
        <v>FAISAL HUB</v>
      </c>
      <c r="G30" s="406">
        <f>'CUSTOMERS REPORT'!Y879</f>
        <v>0</v>
      </c>
      <c r="H30" s="504">
        <f>'CUSTOMERS REPORT'!Z879</f>
        <v>0</v>
      </c>
      <c r="I30" s="406">
        <f>'CUSTOMERS REPORT'!AA879</f>
        <v>0</v>
      </c>
      <c r="J30" s="498">
        <f>'CUSTOMERS REPORT'!AB879</f>
        <v>0</v>
      </c>
      <c r="K30" s="498">
        <f>'CUSTOMERS REPORT'!AC879</f>
        <v>0</v>
      </c>
      <c r="L30" s="509">
        <f>'CUSTOMERS REPORT'!AD879</f>
        <v>0</v>
      </c>
      <c r="M30" s="414">
        <f>'20'!M30+'21'!G30</f>
        <v>0</v>
      </c>
      <c r="N30" s="412">
        <f>'20'!N30+'21'!J30</f>
        <v>0</v>
      </c>
      <c r="P30" s="433"/>
      <c r="Q30" s="442"/>
      <c r="S30" s="400" t="str">
        <f>'20'!S30</f>
        <v>PRIMR 15</v>
      </c>
      <c r="T30" s="446">
        <f>'20'!X30</f>
        <v>0</v>
      </c>
      <c r="U30" s="456"/>
      <c r="V30" s="451">
        <f t="shared" si="0"/>
        <v>0</v>
      </c>
      <c r="W30" s="451"/>
      <c r="X30" s="447">
        <f t="shared" si="1"/>
        <v>0</v>
      </c>
      <c r="Z30" s="375">
        <f>'20'!Z30</f>
        <v>0</v>
      </c>
      <c r="AA30" s="464">
        <f>'20'!AE30</f>
        <v>0</v>
      </c>
      <c r="AB30" s="460"/>
      <c r="AC30" s="462">
        <f t="shared" si="10"/>
        <v>0</v>
      </c>
      <c r="AD30" s="469"/>
      <c r="AE30" s="348">
        <f t="shared" si="2"/>
        <v>0</v>
      </c>
      <c r="AF30" s="563">
        <f>'20'!AF30+'21'!AB30</f>
        <v>0</v>
      </c>
      <c r="AG30" s="234">
        <f>'20'!AG30+'21'!AD30</f>
        <v>0</v>
      </c>
    </row>
    <row r="31" spans="1:36" ht="27" customHeight="1" thickBot="1">
      <c r="A31" s="715" t="str">
        <f>'20'!A31</f>
        <v>UTILITY BILLS</v>
      </c>
      <c r="B31" s="234"/>
      <c r="C31" s="348">
        <f>'20'!D31</f>
        <v>44420</v>
      </c>
      <c r="D31" s="234">
        <f t="shared" si="9"/>
        <v>44420</v>
      </c>
      <c r="F31" s="479" t="str">
        <f>'20'!F31</f>
        <v>ABDUL RAHMAN</v>
      </c>
      <c r="G31" s="406">
        <f>'CUSTOMERS REPORT'!Y918</f>
        <v>0</v>
      </c>
      <c r="H31" s="504">
        <f>'CUSTOMERS REPORT'!Z918</f>
        <v>0</v>
      </c>
      <c r="I31" s="406">
        <f>'CUSTOMERS REPORT'!AA918</f>
        <v>0</v>
      </c>
      <c r="J31" s="498">
        <f>'CUSTOMERS REPORT'!AB918</f>
        <v>0</v>
      </c>
      <c r="K31" s="498">
        <f>'CUSTOMERS REPORT'!AC918</f>
        <v>0</v>
      </c>
      <c r="L31" s="509">
        <f>'CUSTOMERS REPORT'!AD918</f>
        <v>0</v>
      </c>
      <c r="M31" s="414">
        <f>'20'!M31+'21'!G31</f>
        <v>0</v>
      </c>
      <c r="N31" s="412">
        <f>'20'!N31+'21'!J31</f>
        <v>0</v>
      </c>
      <c r="P31" s="433"/>
      <c r="Q31" s="435"/>
      <c r="S31" s="400" t="str">
        <f>'20'!S31</f>
        <v>KARACHI</v>
      </c>
      <c r="T31" s="446">
        <f>'20'!X31</f>
        <v>0</v>
      </c>
      <c r="U31" s="456"/>
      <c r="V31" s="451">
        <f t="shared" si="0"/>
        <v>0</v>
      </c>
      <c r="W31" s="451"/>
      <c r="X31" s="447">
        <f t="shared" si="1"/>
        <v>0</v>
      </c>
      <c r="Z31" s="375">
        <f>'20'!Z31</f>
        <v>0</v>
      </c>
      <c r="AA31" s="464">
        <f>'20'!AE31</f>
        <v>0</v>
      </c>
      <c r="AB31" s="460"/>
      <c r="AC31" s="462">
        <f t="shared" si="10"/>
        <v>0</v>
      </c>
      <c r="AD31" s="469"/>
      <c r="AE31" s="348">
        <f t="shared" si="2"/>
        <v>0</v>
      </c>
      <c r="AF31" s="563">
        <f>'20'!AF31+'21'!AB31</f>
        <v>0</v>
      </c>
      <c r="AG31" s="234">
        <f>'20'!AG31+'21'!AD31</f>
        <v>0</v>
      </c>
      <c r="AI31" t="s">
        <v>1</v>
      </c>
    </row>
    <row r="32" spans="1:36" ht="27" customHeight="1" thickTop="1" thickBot="1">
      <c r="A32" s="715" t="str">
        <f>'20'!A32</f>
        <v>WOOD</v>
      </c>
      <c r="B32" s="234"/>
      <c r="C32" s="348">
        <f>'20'!D32</f>
        <v>0</v>
      </c>
      <c r="D32" s="234">
        <f t="shared" si="9"/>
        <v>0</v>
      </c>
      <c r="F32" s="479" t="str">
        <f>'20'!F32</f>
        <v>HAJI JAN GIWANI</v>
      </c>
      <c r="G32" s="406">
        <f>'CUSTOMERS REPORT'!Y957</f>
        <v>0</v>
      </c>
      <c r="H32" s="504">
        <f>'CUSTOMERS REPORT'!Z957</f>
        <v>0</v>
      </c>
      <c r="I32" s="406">
        <f>'CUSTOMERS REPORT'!AA957</f>
        <v>0</v>
      </c>
      <c r="J32" s="498">
        <f>'CUSTOMERS REPORT'!AB957</f>
        <v>0</v>
      </c>
      <c r="K32" s="498">
        <f>'CUSTOMERS REPORT'!AC957</f>
        <v>0</v>
      </c>
      <c r="L32" s="509">
        <f>'CUSTOMERS REPORT'!AD957</f>
        <v>0</v>
      </c>
      <c r="M32" s="414">
        <f>'20'!M32+'21'!G32</f>
        <v>0</v>
      </c>
      <c r="N32" s="412">
        <f>'20'!N32+'21'!J32</f>
        <v>0</v>
      </c>
      <c r="P32" s="190" t="s">
        <v>51</v>
      </c>
      <c r="Q32" s="439">
        <f>Q23-Q25-Q26-Q27-Q28-Q29-Q30-Q31</f>
        <v>0</v>
      </c>
      <c r="R32" t="s">
        <v>1</v>
      </c>
      <c r="S32" s="400" t="str">
        <f>'20'!S32</f>
        <v>MARVI</v>
      </c>
      <c r="T32" s="446">
        <f>'20'!X32</f>
        <v>0</v>
      </c>
      <c r="U32" s="456"/>
      <c r="V32" s="451">
        <f t="shared" si="0"/>
        <v>0</v>
      </c>
      <c r="W32" s="451"/>
      <c r="X32" s="447">
        <f t="shared" si="1"/>
        <v>0</v>
      </c>
      <c r="Z32" s="375">
        <f>'20'!Z32</f>
        <v>0</v>
      </c>
      <c r="AA32" s="464">
        <f>'20'!AE32</f>
        <v>0</v>
      </c>
      <c r="AB32" s="460"/>
      <c r="AC32" s="462">
        <f t="shared" si="10"/>
        <v>0</v>
      </c>
      <c r="AD32" s="469"/>
      <c r="AE32" s="348">
        <f t="shared" si="2"/>
        <v>0</v>
      </c>
      <c r="AF32" s="563">
        <f>'20'!AF32+'21'!AB32</f>
        <v>0</v>
      </c>
      <c r="AG32" s="234">
        <f>'20'!AG32+'21'!AD32</f>
        <v>0</v>
      </c>
    </row>
    <row r="33" spans="1:40" ht="27" customHeight="1" thickTop="1" thickBot="1">
      <c r="A33" s="716" t="str">
        <f>'20'!A33</f>
        <v>TOLL</v>
      </c>
      <c r="B33" s="551"/>
      <c r="C33" s="348">
        <f>'20'!D33</f>
        <v>200</v>
      </c>
      <c r="D33" s="234">
        <f t="shared" si="9"/>
        <v>200</v>
      </c>
      <c r="F33" s="479" t="str">
        <f>'20'!F33</f>
        <v>ALI QURESHI HYD</v>
      </c>
      <c r="G33" s="406">
        <f>'CUSTOMERS REPORT'!Y995</f>
        <v>0</v>
      </c>
      <c r="H33" s="504">
        <f>'CUSTOMERS REPORT'!Z995</f>
        <v>0</v>
      </c>
      <c r="I33" s="406">
        <f>'CUSTOMERS REPORT'!AA995</f>
        <v>0</v>
      </c>
      <c r="J33" s="498">
        <f>'CUSTOMERS REPORT'!AB995</f>
        <v>0</v>
      </c>
      <c r="K33" s="498">
        <f>'CUSTOMERS REPORT'!AC995</f>
        <v>0</v>
      </c>
      <c r="L33" s="509">
        <f>'CUSTOMERS REPORT'!AD995</f>
        <v>0</v>
      </c>
      <c r="M33" s="414">
        <f>'20'!M33+'21'!G33</f>
        <v>0</v>
      </c>
      <c r="N33" s="412">
        <f>'20'!N33+'21'!J33</f>
        <v>0</v>
      </c>
      <c r="P33" s="1499" t="s">
        <v>149</v>
      </c>
      <c r="Q33" s="1500"/>
      <c r="S33" s="400" t="str">
        <f>'20'!S33</f>
        <v>TS</v>
      </c>
      <c r="T33" s="446">
        <f>'20'!X33</f>
        <v>0</v>
      </c>
      <c r="U33" s="456"/>
      <c r="V33" s="451">
        <f t="shared" si="0"/>
        <v>0</v>
      </c>
      <c r="W33" s="451"/>
      <c r="X33" s="447">
        <f t="shared" si="1"/>
        <v>0</v>
      </c>
      <c r="Z33" s="375">
        <f>'20'!Z33</f>
        <v>0</v>
      </c>
      <c r="AA33" s="464">
        <f>'20'!AE33</f>
        <v>0</v>
      </c>
      <c r="AB33" s="460">
        <f>'SHAKEEL RUSK'!D28+'SHAKEEL RUSK'!G28</f>
        <v>0</v>
      </c>
      <c r="AC33" s="462">
        <f t="shared" si="10"/>
        <v>0</v>
      </c>
      <c r="AD33" s="469"/>
      <c r="AE33" s="348">
        <f t="shared" si="2"/>
        <v>0</v>
      </c>
      <c r="AF33" s="563">
        <f>'20'!AF33+'21'!AB33</f>
        <v>0</v>
      </c>
      <c r="AG33" s="234">
        <f>'20'!AG33+'21'!AD33</f>
        <v>0</v>
      </c>
    </row>
    <row r="34" spans="1:40" ht="27" customHeight="1" thickTop="1" thickBot="1">
      <c r="A34" s="715" t="str">
        <f>'20'!A34</f>
        <v>FLOUR / SHGER</v>
      </c>
      <c r="B34" s="538"/>
      <c r="C34" s="348">
        <f>'20'!D34</f>
        <v>620</v>
      </c>
      <c r="D34" s="234">
        <f t="shared" si="9"/>
        <v>620</v>
      </c>
      <c r="F34" s="479" t="str">
        <f>'20'!F34</f>
        <v>ALI RAZA KAND KOT</v>
      </c>
      <c r="G34" s="406">
        <f>'CUSTOMERS REPORT'!Y1033</f>
        <v>0</v>
      </c>
      <c r="H34" s="504">
        <f>'CUSTOMERS REPORT'!Z1033</f>
        <v>0</v>
      </c>
      <c r="I34" s="406">
        <f>'CUSTOMERS REPORT'!AA1033</f>
        <v>0</v>
      </c>
      <c r="J34" s="498">
        <f>'CUSTOMERS REPORT'!AB1033</f>
        <v>0</v>
      </c>
      <c r="K34" s="498">
        <f>'CUSTOMERS REPORT'!AC1033</f>
        <v>0</v>
      </c>
      <c r="L34" s="509">
        <f>'CUSTOMERS REPORT'!AD1033</f>
        <v>0</v>
      </c>
      <c r="M34" s="414">
        <f>'20'!M34+'21'!G34</f>
        <v>0</v>
      </c>
      <c r="N34" s="412">
        <f>'20'!N34+'21'!J34</f>
        <v>0</v>
      </c>
      <c r="P34" s="220" t="s">
        <v>150</v>
      </c>
      <c r="Q34" s="223">
        <f>'20'!Q34</f>
        <v>0</v>
      </c>
      <c r="S34" s="400" t="str">
        <f>'20'!S34</f>
        <v>MAXI</v>
      </c>
      <c r="T34" s="446">
        <f>'20'!X34</f>
        <v>0</v>
      </c>
      <c r="U34" s="457"/>
      <c r="V34" s="452">
        <f t="shared" si="0"/>
        <v>0</v>
      </c>
      <c r="W34" s="452"/>
      <c r="X34" s="448">
        <f t="shared" si="1"/>
        <v>0</v>
      </c>
      <c r="Z34" s="375">
        <f>'20'!Z34</f>
        <v>0</v>
      </c>
      <c r="AA34" s="464">
        <f>'20'!AE34</f>
        <v>0</v>
      </c>
      <c r="AB34" s="460"/>
      <c r="AC34" s="462">
        <f t="shared" si="10"/>
        <v>0</v>
      </c>
      <c r="AD34" s="469"/>
      <c r="AE34" s="348">
        <f t="shared" si="2"/>
        <v>0</v>
      </c>
      <c r="AF34" s="563">
        <f>'20'!AF34+'21'!AB34</f>
        <v>0</v>
      </c>
      <c r="AG34" s="234">
        <f>'20'!AG34+'21'!AD34</f>
        <v>0</v>
      </c>
    </row>
    <row r="35" spans="1:40" ht="27" customHeight="1" thickTop="1">
      <c r="A35" s="716" t="str">
        <f>'20'!A35</f>
        <v>OVEN &amp; PP MACHINE</v>
      </c>
      <c r="B35" s="529"/>
      <c r="C35" s="348">
        <f>'20'!D35</f>
        <v>0</v>
      </c>
      <c r="D35" s="529">
        <f t="shared" si="9"/>
        <v>0</v>
      </c>
      <c r="F35" s="479" t="str">
        <f>'20'!F35</f>
        <v>IQBAL MORO</v>
      </c>
      <c r="G35" s="407">
        <f>'CUSTOMERS REPORT'!Y1071</f>
        <v>0</v>
      </c>
      <c r="H35" s="505">
        <f>'CUSTOMERS REPORT'!Z1071</f>
        <v>0</v>
      </c>
      <c r="I35" s="407">
        <f>'CUSTOMERS REPORT'!AA1071</f>
        <v>0</v>
      </c>
      <c r="J35" s="499">
        <f>'CUSTOMERS REPORT'!AB1071</f>
        <v>0</v>
      </c>
      <c r="K35" s="499">
        <f>'CUSTOMERS REPORT'!AC1071</f>
        <v>0</v>
      </c>
      <c r="L35" s="510">
        <f>'CUSTOMERS REPORT'!AD1071</f>
        <v>0</v>
      </c>
      <c r="M35" s="414">
        <f>'20'!M35+'21'!G35</f>
        <v>0</v>
      </c>
      <c r="N35" s="412">
        <f>'20'!N35+'21'!J35</f>
        <v>0</v>
      </c>
      <c r="P35" s="252" t="s">
        <v>151</v>
      </c>
      <c r="Q35" s="443">
        <f>'20'!Q35</f>
        <v>0</v>
      </c>
      <c r="R35" t="s">
        <v>1</v>
      </c>
      <c r="S35" s="400" t="str">
        <f>'20'!S35</f>
        <v>M A WHITE</v>
      </c>
      <c r="T35" s="446">
        <f>'20'!X35</f>
        <v>0</v>
      </c>
      <c r="U35" s="457"/>
      <c r="V35" s="452">
        <f t="shared" si="0"/>
        <v>0</v>
      </c>
      <c r="W35" s="452"/>
      <c r="X35" s="448">
        <f t="shared" si="1"/>
        <v>0</v>
      </c>
      <c r="Z35" s="375">
        <f>'20'!Z35</f>
        <v>0</v>
      </c>
      <c r="AA35" s="464">
        <f>'20'!AE35</f>
        <v>0</v>
      </c>
      <c r="AB35" s="460"/>
      <c r="AC35" s="462">
        <f t="shared" si="10"/>
        <v>0</v>
      </c>
      <c r="AD35" s="469"/>
      <c r="AE35" s="348">
        <f t="shared" si="2"/>
        <v>0</v>
      </c>
      <c r="AF35" s="563">
        <f>'20'!AF35+'21'!AB35</f>
        <v>0</v>
      </c>
      <c r="AG35" s="234">
        <f>'20'!AG35+'21'!AD35</f>
        <v>0</v>
      </c>
    </row>
    <row r="36" spans="1:40" ht="27" customHeight="1">
      <c r="A36" s="716" t="str">
        <f>'20'!A36</f>
        <v>zakat</v>
      </c>
      <c r="B36" s="539"/>
      <c r="C36" s="348">
        <f>'20'!D36</f>
        <v>0</v>
      </c>
      <c r="D36" s="529">
        <f t="shared" si="9"/>
        <v>0</v>
      </c>
      <c r="F36" s="479" t="str">
        <f>'20'!F36</f>
        <v>SARFARAZ T ADAM</v>
      </c>
      <c r="G36" s="407">
        <f>'CUSTOMERS REPORT'!Y1109</f>
        <v>0</v>
      </c>
      <c r="H36" s="505">
        <f>'CUSTOMERS REPORT'!Z1109</f>
        <v>0</v>
      </c>
      <c r="I36" s="407">
        <f>'CUSTOMERS REPORT'!AA1109</f>
        <v>0</v>
      </c>
      <c r="J36" s="499">
        <f>'CUSTOMERS REPORT'!AB1109</f>
        <v>0</v>
      </c>
      <c r="K36" s="499">
        <f>'CUSTOMERS REPORT'!AC1109</f>
        <v>0</v>
      </c>
      <c r="L36" s="510">
        <f>'CUSTOMERS REPORT'!AD1109</f>
        <v>0</v>
      </c>
      <c r="M36" s="414">
        <f>'20'!M36+'21'!G36</f>
        <v>0</v>
      </c>
      <c r="N36" s="412">
        <f>'20'!N36+'21'!J36</f>
        <v>0</v>
      </c>
      <c r="P36" s="372" t="s">
        <v>152</v>
      </c>
      <c r="Q36" s="444">
        <f>J48</f>
        <v>0</v>
      </c>
      <c r="R36" t="s">
        <v>1</v>
      </c>
      <c r="S36" s="400" t="str">
        <f>'20'!S36</f>
        <v>M A ORING</v>
      </c>
      <c r="T36" s="446">
        <f>'20'!X36</f>
        <v>0</v>
      </c>
      <c r="U36" s="456"/>
      <c r="V36" s="451">
        <f t="shared" si="0"/>
        <v>0</v>
      </c>
      <c r="W36" s="452"/>
      <c r="X36" s="448">
        <f t="shared" si="1"/>
        <v>0</v>
      </c>
      <c r="Z36" s="375">
        <f>'20'!Z36</f>
        <v>0</v>
      </c>
      <c r="AA36" s="464">
        <f>'20'!AE36</f>
        <v>0</v>
      </c>
      <c r="AB36" s="460"/>
      <c r="AC36" s="462">
        <f t="shared" si="10"/>
        <v>0</v>
      </c>
      <c r="AD36" s="469"/>
      <c r="AE36" s="348">
        <f t="shared" si="2"/>
        <v>0</v>
      </c>
      <c r="AF36" s="563">
        <f>'20'!AF36+'21'!AB36</f>
        <v>0</v>
      </c>
      <c r="AG36" s="234">
        <f>'20'!AG36+'21'!AD36</f>
        <v>0</v>
      </c>
    </row>
    <row r="37" spans="1:40" ht="27" customHeight="1">
      <c r="A37" s="716" t="str">
        <f>'20'!A37</f>
        <v>javeed manghopir</v>
      </c>
      <c r="B37" s="234"/>
      <c r="C37" s="348">
        <f>'20'!D37</f>
        <v>0</v>
      </c>
      <c r="D37" s="234">
        <f t="shared" si="9"/>
        <v>0</v>
      </c>
      <c r="F37" s="479" t="str">
        <f>'20'!F37</f>
        <v>MUMTAZ K N SHAH</v>
      </c>
      <c r="G37" s="406">
        <f>'CUSTOMERS REPORT'!Y1147</f>
        <v>0</v>
      </c>
      <c r="H37" s="504">
        <f>'CUSTOMERS REPORT'!Z1147</f>
        <v>0</v>
      </c>
      <c r="I37" s="406">
        <f>'CUSTOMERS REPORT'!AA1147</f>
        <v>0</v>
      </c>
      <c r="J37" s="498">
        <f>'CUSTOMERS REPORT'!AB1147</f>
        <v>0</v>
      </c>
      <c r="K37" s="498">
        <f>'CUSTOMERS REPORT'!AC1147</f>
        <v>0</v>
      </c>
      <c r="L37" s="509">
        <f>'CUSTOMERS REPORT'!AD1147</f>
        <v>0</v>
      </c>
      <c r="M37" s="414">
        <f>'20'!M37+'21'!G37</f>
        <v>0</v>
      </c>
      <c r="N37" s="412">
        <f>'20'!N37+'21'!J37</f>
        <v>0</v>
      </c>
      <c r="P37" s="373" t="s">
        <v>153</v>
      </c>
      <c r="Q37" s="445">
        <f>Q34+Q35+Q36</f>
        <v>0</v>
      </c>
      <c r="R37" t="s">
        <v>1</v>
      </c>
      <c r="S37" s="400">
        <f>'20'!S37</f>
        <v>0</v>
      </c>
      <c r="T37" s="446">
        <f>'20'!X37</f>
        <v>0</v>
      </c>
      <c r="U37" s="456"/>
      <c r="V37" s="451">
        <f t="shared" si="0"/>
        <v>0</v>
      </c>
      <c r="W37" s="452"/>
      <c r="X37" s="448">
        <f t="shared" si="1"/>
        <v>0</v>
      </c>
      <c r="Z37" s="375">
        <f>'20'!Z37</f>
        <v>0</v>
      </c>
      <c r="AA37" s="464">
        <f>'20'!AE37</f>
        <v>0</v>
      </c>
      <c r="AB37" s="460"/>
      <c r="AC37" s="462">
        <f t="shared" si="10"/>
        <v>0</v>
      </c>
      <c r="AD37" s="469"/>
      <c r="AE37" s="348">
        <f t="shared" si="2"/>
        <v>0</v>
      </c>
      <c r="AF37" s="563">
        <f>'20'!AF37+'21'!AB37</f>
        <v>0</v>
      </c>
      <c r="AG37" s="234">
        <f>'20'!AG37+'21'!AD37</f>
        <v>0</v>
      </c>
    </row>
    <row r="38" spans="1:40" ht="27" customHeight="1">
      <c r="A38" s="716" t="str">
        <f>'20'!A38</f>
        <v>EXSIS CASH</v>
      </c>
      <c r="B38" s="234"/>
      <c r="C38" s="348">
        <f>'20'!D38</f>
        <v>0</v>
      </c>
      <c r="D38" s="234">
        <f t="shared" si="9"/>
        <v>0</v>
      </c>
      <c r="F38" s="479" t="str">
        <f>'20'!F38</f>
        <v>GHULAM RASOOL QU</v>
      </c>
      <c r="G38" s="408">
        <f>'CUSTOMERS REPORT'!Y1184</f>
        <v>0</v>
      </c>
      <c r="H38" s="506">
        <f>'CUSTOMERS REPORT'!Z1184</f>
        <v>0</v>
      </c>
      <c r="I38" s="408">
        <f>'CUSTOMERS REPORT'!AA1184</f>
        <v>0</v>
      </c>
      <c r="J38" s="500">
        <f>'CUSTOMERS REPORT'!AB1184</f>
        <v>0</v>
      </c>
      <c r="K38" s="500">
        <f>'CUSTOMERS REPORT'!AC1184</f>
        <v>0</v>
      </c>
      <c r="L38" s="511">
        <f>'CUSTOMERS REPORT'!AD1184</f>
        <v>0</v>
      </c>
      <c r="M38" s="414">
        <f>'20'!M38+'21'!G38</f>
        <v>0</v>
      </c>
      <c r="N38" s="412">
        <f>'20'!N38+'21'!J38</f>
        <v>0</v>
      </c>
      <c r="P38" s="373" t="s">
        <v>154</v>
      </c>
      <c r="Q38" s="445">
        <f>D48</f>
        <v>2560190</v>
      </c>
      <c r="S38" s="400">
        <f>'20'!S38</f>
        <v>0</v>
      </c>
      <c r="T38" s="446">
        <f>'20'!X38</f>
        <v>0</v>
      </c>
      <c r="U38" s="456"/>
      <c r="V38" s="451">
        <f t="shared" si="0"/>
        <v>0</v>
      </c>
      <c r="W38" s="452"/>
      <c r="X38" s="448">
        <f t="shared" si="1"/>
        <v>0</v>
      </c>
      <c r="Z38" s="375">
        <f>'20'!Z38</f>
        <v>0</v>
      </c>
      <c r="AA38" s="464">
        <f>'20'!AE38</f>
        <v>0</v>
      </c>
      <c r="AB38" s="460"/>
      <c r="AC38" s="462">
        <f t="shared" si="10"/>
        <v>0</v>
      </c>
      <c r="AD38" s="469"/>
      <c r="AE38" s="348">
        <f t="shared" si="2"/>
        <v>0</v>
      </c>
      <c r="AF38" s="563">
        <f>'20'!AF38+'21'!AB38</f>
        <v>0</v>
      </c>
      <c r="AG38" s="234">
        <f>'20'!AG38+'21'!AD38</f>
        <v>0</v>
      </c>
    </row>
    <row r="39" spans="1:40" ht="27" customHeight="1">
      <c r="A39" s="715" t="str">
        <f>'20'!A39</f>
        <v>SHORT CASH</v>
      </c>
      <c r="B39" s="234"/>
      <c r="C39" s="348">
        <f>'20'!D39</f>
        <v>1950</v>
      </c>
      <c r="D39" s="234">
        <f t="shared" si="9"/>
        <v>1950</v>
      </c>
      <c r="F39" s="479" t="str">
        <f>'20'!F39</f>
        <v>SHAMSHAD UNCLE</v>
      </c>
      <c r="G39" s="406">
        <f>'CUSTOMERS REPORT'!Y1221</f>
        <v>0</v>
      </c>
      <c r="H39" s="504">
        <f>'CUSTOMERS REPORT'!Z1221</f>
        <v>0</v>
      </c>
      <c r="I39" s="406">
        <f>'CUSTOMERS REPORT'!AA1221</f>
        <v>0</v>
      </c>
      <c r="J39" s="498">
        <f>'CUSTOMERS REPORT'!AB1221</f>
        <v>0</v>
      </c>
      <c r="K39" s="498">
        <f>'CUSTOMERS REPORT'!AC1221</f>
        <v>0</v>
      </c>
      <c r="L39" s="509">
        <f>'CUSTOMERS REPORT'!AD1221</f>
        <v>0</v>
      </c>
      <c r="M39" s="414">
        <f>'20'!M39+'21'!G39</f>
        <v>0</v>
      </c>
      <c r="N39" s="412">
        <f>'20'!N39+'21'!J39</f>
        <v>0</v>
      </c>
      <c r="P39" s="373" t="s">
        <v>109</v>
      </c>
      <c r="Q39" s="445">
        <f>'20'!Q39+'21'!Q25+'21'!Q26+'21'!Q27+'21'!Q28+'21'!Q29+'21'!Q30+'21'!Q31</f>
        <v>0</v>
      </c>
      <c r="R39" t="s">
        <v>1</v>
      </c>
      <c r="S39" s="400">
        <f>'20'!S39</f>
        <v>0</v>
      </c>
      <c r="T39" s="446">
        <f>'20'!X39</f>
        <v>0</v>
      </c>
      <c r="U39" s="456"/>
      <c r="V39" s="451">
        <f t="shared" si="0"/>
        <v>0</v>
      </c>
      <c r="W39" s="452"/>
      <c r="X39" s="448">
        <f t="shared" si="1"/>
        <v>0</v>
      </c>
      <c r="Z39" s="375">
        <f>'20'!Z39</f>
        <v>0</v>
      </c>
      <c r="AA39" s="464">
        <f>'20'!AE39</f>
        <v>0</v>
      </c>
      <c r="AB39" s="460"/>
      <c r="AC39" s="462">
        <f t="shared" si="10"/>
        <v>0</v>
      </c>
      <c r="AD39" s="469"/>
      <c r="AE39" s="348">
        <f t="shared" si="2"/>
        <v>0</v>
      </c>
      <c r="AF39" s="563">
        <f>'20'!AF39+'21'!AB39</f>
        <v>0</v>
      </c>
      <c r="AG39" s="234">
        <f>'20'!AG39+'21'!AD39</f>
        <v>0</v>
      </c>
    </row>
    <row r="40" spans="1:40" ht="27" customHeight="1" thickBot="1">
      <c r="A40" s="715" t="str">
        <f>'20'!A40</f>
        <v>ASSETS</v>
      </c>
      <c r="B40" s="234"/>
      <c r="C40" s="548">
        <f>'20'!D40</f>
        <v>0</v>
      </c>
      <c r="D40" s="234">
        <f t="shared" si="9"/>
        <v>0</v>
      </c>
      <c r="F40" s="479" t="str">
        <f>'20'!F40</f>
        <v>IBRAHEEM D.G KHAN</v>
      </c>
      <c r="G40" s="406">
        <f>'CUSTOMERS REPORT'!Y1258</f>
        <v>0</v>
      </c>
      <c r="H40" s="504">
        <f>'CUSTOMERS REPORT'!Z1258</f>
        <v>0</v>
      </c>
      <c r="I40" s="406">
        <f>'CUSTOMERS REPORT'!AA1258</f>
        <v>0</v>
      </c>
      <c r="J40" s="498">
        <f>'CUSTOMERS REPORT'!AB1258</f>
        <v>0</v>
      </c>
      <c r="K40" s="498">
        <f>'CUSTOMERS REPORT'!AC1258</f>
        <v>0</v>
      </c>
      <c r="L40" s="509">
        <f>'CUSTOMERS REPORT'!AD1258</f>
        <v>0</v>
      </c>
      <c r="M40" s="414">
        <f>'20'!M40+'21'!G40</f>
        <v>0</v>
      </c>
      <c r="N40" s="412">
        <f>'20'!N40+'21'!J40</f>
        <v>0</v>
      </c>
      <c r="P40" s="374" t="s">
        <v>155</v>
      </c>
      <c r="Q40" s="445">
        <f>Q48</f>
        <v>-2560190</v>
      </c>
      <c r="S40" s="400">
        <f>'20'!S40</f>
        <v>0</v>
      </c>
      <c r="T40" s="446">
        <f>'20'!X40</f>
        <v>0</v>
      </c>
      <c r="U40" s="456"/>
      <c r="V40" s="451">
        <f t="shared" si="0"/>
        <v>0</v>
      </c>
      <c r="W40" s="452"/>
      <c r="X40" s="448">
        <f t="shared" si="1"/>
        <v>0</v>
      </c>
      <c r="Z40" s="375">
        <f>'20'!Z40</f>
        <v>0</v>
      </c>
      <c r="AA40" s="464">
        <f>'20'!AE40</f>
        <v>0</v>
      </c>
      <c r="AB40" s="460"/>
      <c r="AC40" s="462">
        <f t="shared" si="10"/>
        <v>0</v>
      </c>
      <c r="AD40" s="469"/>
      <c r="AE40" s="348">
        <f t="shared" si="2"/>
        <v>0</v>
      </c>
      <c r="AF40" s="563">
        <f>'20'!AF40+'21'!AB40</f>
        <v>0</v>
      </c>
      <c r="AG40" s="234">
        <f>'20'!AG40+'21'!AD40</f>
        <v>0</v>
      </c>
    </row>
    <row r="41" spans="1:40" ht="27" customHeight="1" thickTop="1" thickBot="1">
      <c r="A41" s="715" t="str">
        <f>'20'!A41</f>
        <v>BIKE.INSTALMINT</v>
      </c>
      <c r="B41" s="234"/>
      <c r="C41" s="348">
        <f>'20'!D41</f>
        <v>0</v>
      </c>
      <c r="D41" s="234">
        <f t="shared" si="9"/>
        <v>0</v>
      </c>
      <c r="E41" t="s">
        <v>1</v>
      </c>
      <c r="F41" s="479" t="str">
        <f>'20'!F41</f>
        <v>PISHAWAR</v>
      </c>
      <c r="G41" s="409">
        <f>'CUSTOMERS REPORT'!Y1295</f>
        <v>0</v>
      </c>
      <c r="H41" s="507">
        <f>'CUSTOMERS REPORT'!Z1295</f>
        <v>0</v>
      </c>
      <c r="I41" s="409">
        <f>'CUSTOMERS REPORT'!AA1295</f>
        <v>0</v>
      </c>
      <c r="J41" s="501">
        <f>'CUSTOMERS REPORT'!AB1295</f>
        <v>0</v>
      </c>
      <c r="K41" s="501">
        <f>'CUSTOMERS REPORT'!AC1295</f>
        <v>0</v>
      </c>
      <c r="L41" s="512">
        <f>'CUSTOMERS REPORT'!AD1295</f>
        <v>0</v>
      </c>
      <c r="M41" s="414">
        <f>'20'!M41+'21'!G41</f>
        <v>0</v>
      </c>
      <c r="N41" s="412">
        <f>'20'!N41+'21'!J41</f>
        <v>0</v>
      </c>
      <c r="P41" s="221" t="s">
        <v>51</v>
      </c>
      <c r="Q41" s="223">
        <f>Q37-Q38-Q39-Q40</f>
        <v>0</v>
      </c>
      <c r="S41" s="400">
        <f>'20'!S41</f>
        <v>0</v>
      </c>
      <c r="T41" s="446">
        <f>'20'!X41</f>
        <v>0</v>
      </c>
      <c r="U41" s="456"/>
      <c r="V41" s="451">
        <f t="shared" si="0"/>
        <v>0</v>
      </c>
      <c r="W41" s="452"/>
      <c r="X41" s="448">
        <f t="shared" si="1"/>
        <v>0</v>
      </c>
      <c r="Z41" s="375">
        <f>'20'!Z41</f>
        <v>0</v>
      </c>
      <c r="AA41" s="464">
        <f>'20'!AE41</f>
        <v>0</v>
      </c>
      <c r="AB41" s="460"/>
      <c r="AC41" s="462">
        <f t="shared" si="10"/>
        <v>0</v>
      </c>
      <c r="AD41" s="469"/>
      <c r="AE41" s="348">
        <f t="shared" si="2"/>
        <v>0</v>
      </c>
      <c r="AF41" s="563">
        <f>'20'!AF41+'21'!AB41</f>
        <v>0</v>
      </c>
      <c r="AG41" s="234">
        <f>'20'!AG41+'21'!AD41</f>
        <v>0</v>
      </c>
    </row>
    <row r="42" spans="1:40" ht="27" customHeight="1" thickTop="1" thickBot="1">
      <c r="A42" s="715" t="str">
        <f>'20'!A42</f>
        <v>B.C</v>
      </c>
      <c r="B42" s="529"/>
      <c r="C42" s="348">
        <f>'20'!D42</f>
        <v>0</v>
      </c>
      <c r="D42" s="529">
        <f t="shared" si="9"/>
        <v>0</v>
      </c>
      <c r="F42" s="479" t="str">
        <f>'20'!F42</f>
        <v>HUZAFA KOTRI</v>
      </c>
      <c r="G42" s="409">
        <f>'CUSTOMERS REPORT'!Y1332</f>
        <v>0</v>
      </c>
      <c r="H42" s="507">
        <f>'CUSTOMERS REPORT'!Z1332</f>
        <v>0</v>
      </c>
      <c r="I42" s="409">
        <f>'CUSTOMERS REPORT'!AA1332</f>
        <v>0</v>
      </c>
      <c r="J42" s="501">
        <f>'CUSTOMERS REPORT'!AB1332</f>
        <v>0</v>
      </c>
      <c r="K42" s="501">
        <f>'CUSTOMERS REPORT'!AC1332</f>
        <v>0</v>
      </c>
      <c r="L42" s="512">
        <f>'CUSTOMERS REPORT'!AD1332</f>
        <v>0</v>
      </c>
      <c r="M42" s="414">
        <f>'20'!M42+'21'!G42</f>
        <v>0</v>
      </c>
      <c r="N42" s="412">
        <f>'20'!N42+'21'!J42</f>
        <v>0</v>
      </c>
      <c r="P42" s="1499" t="s">
        <v>157</v>
      </c>
      <c r="Q42" s="1500"/>
      <c r="S42" s="400">
        <f>'20'!S42</f>
        <v>0</v>
      </c>
      <c r="T42" s="446">
        <f>'20'!X42</f>
        <v>0</v>
      </c>
      <c r="U42" s="458"/>
      <c r="V42" s="453">
        <f t="shared" si="0"/>
        <v>0</v>
      </c>
      <c r="W42" s="454"/>
      <c r="X42" s="449">
        <f t="shared" si="1"/>
        <v>0</v>
      </c>
      <c r="Z42" s="375">
        <f>'20'!Z42</f>
        <v>0</v>
      </c>
      <c r="AA42" s="464">
        <f>'20'!AE42</f>
        <v>0</v>
      </c>
      <c r="AB42" s="461"/>
      <c r="AC42" s="462">
        <f>AA42+AB42</f>
        <v>0</v>
      </c>
      <c r="AD42" s="470"/>
      <c r="AE42" s="348">
        <f t="shared" si="2"/>
        <v>0</v>
      </c>
      <c r="AF42" s="563">
        <f>'20'!AF42+'21'!AB42</f>
        <v>0</v>
      </c>
      <c r="AG42" s="572">
        <f>'20'!AG42+'21'!AD42</f>
        <v>0</v>
      </c>
    </row>
    <row r="43" spans="1:40" ht="27" customHeight="1" thickTop="1" thickBot="1">
      <c r="A43" s="715" t="str">
        <f>'20'!A43</f>
        <v>AQEEL</v>
      </c>
      <c r="B43" s="539"/>
      <c r="C43" s="348">
        <f>'20'!D43</f>
        <v>0</v>
      </c>
      <c r="D43" s="529">
        <f t="shared" si="9"/>
        <v>0</v>
      </c>
      <c r="F43" s="479" t="str">
        <f>'20'!F43</f>
        <v>ZAHID LAHORE</v>
      </c>
      <c r="G43" s="409">
        <f>'CUSTOMERS REPORT'!Y1369</f>
        <v>0</v>
      </c>
      <c r="H43" s="507">
        <f>'CUSTOMERS REPORT'!Z1369</f>
        <v>0</v>
      </c>
      <c r="I43" s="409">
        <f>'CUSTOMERS REPORT'!AA1369</f>
        <v>0</v>
      </c>
      <c r="J43" s="501">
        <f>'CUSTOMERS REPORT'!AB1369</f>
        <v>0</v>
      </c>
      <c r="K43" s="501">
        <f>'CUSTOMERS REPORT'!AC1369</f>
        <v>0</v>
      </c>
      <c r="L43" s="512">
        <f>'CUSTOMERS REPORT'!AD1369</f>
        <v>0</v>
      </c>
      <c r="M43" s="414">
        <f>'20'!M43+'21'!G43</f>
        <v>0</v>
      </c>
      <c r="N43" s="412">
        <f>'20'!N43+'21'!J43</f>
        <v>0</v>
      </c>
      <c r="P43" s="220" t="s">
        <v>124</v>
      </c>
      <c r="Q43" s="223">
        <f>'20'!Q48</f>
        <v>-2525070</v>
      </c>
      <c r="R43" t="s">
        <v>1</v>
      </c>
      <c r="S43" s="400">
        <f>'20'!S43</f>
        <v>0</v>
      </c>
      <c r="T43" s="446">
        <f>'20'!X43</f>
        <v>0</v>
      </c>
      <c r="U43" s="358"/>
      <c r="V43" s="453">
        <f t="shared" si="0"/>
        <v>0</v>
      </c>
      <c r="W43" s="403"/>
      <c r="X43" s="449">
        <f t="shared" si="1"/>
        <v>0</v>
      </c>
      <c r="Z43" s="383"/>
      <c r="AA43" s="356">
        <f>SUM(AA8:AA42)</f>
        <v>-1434000</v>
      </c>
      <c r="AB43" s="385">
        <f>SUM(AB9:AB42)</f>
        <v>62000</v>
      </c>
      <c r="AC43" s="357" t="s">
        <v>74</v>
      </c>
      <c r="AD43" s="387">
        <f>SUM(AD8:AD42)</f>
        <v>21250</v>
      </c>
      <c r="AE43" s="358">
        <f>SUM(AE8:AE42)</f>
        <v>-1393250</v>
      </c>
      <c r="AF43" s="565">
        <f>SUM(AF8:AF42)</f>
        <v>782250</v>
      </c>
      <c r="AG43" s="571">
        <f>SUM(AG8:AG42)</f>
        <v>2175500</v>
      </c>
    </row>
    <row r="44" spans="1:40" ht="27" customHeight="1" thickTop="1">
      <c r="A44" s="715" t="str">
        <f>'20'!A44</f>
        <v>M.YOUSUF</v>
      </c>
      <c r="B44" s="234"/>
      <c r="C44" s="348">
        <f>'20'!D44</f>
        <v>40000</v>
      </c>
      <c r="D44" s="234">
        <f t="shared" si="9"/>
        <v>40000</v>
      </c>
      <c r="F44" s="479" t="str">
        <f>'20'!F44</f>
        <v>CASH SALE</v>
      </c>
      <c r="G44" s="409">
        <f>'CUSTOMERS REPORT'!Y1406</f>
        <v>0</v>
      </c>
      <c r="H44" s="507">
        <f>'CUSTOMERS REPORT'!Z1406</f>
        <v>0</v>
      </c>
      <c r="I44" s="409">
        <f>'CUSTOMERS REPORT'!AA1406</f>
        <v>0</v>
      </c>
      <c r="J44" s="501">
        <f>'CUSTOMERS REPORT'!AB1406</f>
        <v>0</v>
      </c>
      <c r="K44" s="501">
        <f>'CUSTOMERS REPORT'!AC1406</f>
        <v>0</v>
      </c>
      <c r="L44" s="512">
        <f>'CUSTOMERS REPORT'!AD1406</f>
        <v>0</v>
      </c>
      <c r="M44" s="414">
        <f>'20'!M44+'21'!G44</f>
        <v>0</v>
      </c>
      <c r="N44" s="412">
        <f>'20'!N44+'21'!J44</f>
        <v>0</v>
      </c>
      <c r="P44" s="222" t="s">
        <v>114</v>
      </c>
      <c r="Q44" s="377">
        <f>J46</f>
        <v>0</v>
      </c>
      <c r="S44" s="400"/>
      <c r="T44" s="348"/>
      <c r="U44" s="306"/>
      <c r="V44" s="349"/>
      <c r="W44" s="351"/>
      <c r="X44" s="350"/>
      <c r="Z44" s="375"/>
      <c r="AA44" s="339"/>
      <c r="AB44" s="386">
        <f>'20'!AB45</f>
        <v>720250</v>
      </c>
      <c r="AC44" s="340" t="s">
        <v>126</v>
      </c>
      <c r="AD44" s="388">
        <f>'20'!AD45</f>
        <v>2154250</v>
      </c>
      <c r="AE44" s="341"/>
      <c r="AF44" s="561"/>
      <c r="AG44" s="83" t="s">
        <v>1</v>
      </c>
    </row>
    <row r="45" spans="1:40" ht="27" customHeight="1" thickBot="1">
      <c r="A45" s="715" t="str">
        <f>'20'!A45</f>
        <v>SHAKEEL</v>
      </c>
      <c r="B45" s="234"/>
      <c r="C45" s="348">
        <f>'20'!D45</f>
        <v>27210</v>
      </c>
      <c r="D45" s="234">
        <f t="shared" si="9"/>
        <v>27210</v>
      </c>
      <c r="F45" s="479" t="str">
        <f>'20'!F45</f>
        <v xml:space="preserve">FREE </v>
      </c>
      <c r="G45" s="410">
        <f>'CUSTOMERS REPORT'!Y1442</f>
        <v>0</v>
      </c>
      <c r="H45" s="362">
        <f>'CUSTOMERS REPORT'!Z1442</f>
        <v>0</v>
      </c>
      <c r="I45" s="410">
        <f>'CUSTOMERS REPORT'!AA1442</f>
        <v>0</v>
      </c>
      <c r="J45" s="502">
        <f>'CUSTOMERS REPORT'!AB1442</f>
        <v>0</v>
      </c>
      <c r="K45" s="502">
        <f>'CUSTOMERS REPORT'!AC1442</f>
        <v>0</v>
      </c>
      <c r="L45" s="513">
        <f>'CUSTOMERS REPORT'!AD1442</f>
        <v>0</v>
      </c>
      <c r="M45" s="414">
        <f>'20'!M45+'21'!G45</f>
        <v>0</v>
      </c>
      <c r="N45" s="412">
        <f>'20'!N45+'21'!J45</f>
        <v>0</v>
      </c>
      <c r="P45" s="222" t="s">
        <v>153</v>
      </c>
      <c r="Q45" s="378">
        <f>Q43+Q44</f>
        <v>-2525070</v>
      </c>
      <c r="S45" s="401"/>
      <c r="T45" s="352"/>
      <c r="U45" s="307"/>
      <c r="V45" s="353"/>
      <c r="W45" s="354"/>
      <c r="X45" s="355"/>
      <c r="Z45" s="384"/>
      <c r="AA45" s="359"/>
      <c r="AB45" s="390">
        <f>SUM(AB43:AB44)</f>
        <v>782250</v>
      </c>
      <c r="AC45" s="360" t="s">
        <v>74</v>
      </c>
      <c r="AD45" s="389">
        <f>SUM(AD43:AD44)</f>
        <v>2175500</v>
      </c>
      <c r="AE45" s="361"/>
      <c r="AF45" s="562"/>
      <c r="AG45" s="573"/>
    </row>
    <row r="46" spans="1:40" ht="27" customHeight="1" thickTop="1" thickBot="1">
      <c r="A46" s="715" t="str">
        <f>'20'!A46</f>
        <v>ZAHID HUSSAN</v>
      </c>
      <c r="B46" s="234"/>
      <c r="C46" s="348">
        <f>'20'!D46</f>
        <v>0</v>
      </c>
      <c r="D46" s="234">
        <f t="shared" si="9"/>
        <v>0</v>
      </c>
      <c r="F46" s="369"/>
      <c r="G46" s="424">
        <f>SUM(G8:G45)</f>
        <v>0</v>
      </c>
      <c r="H46" s="1497" t="s">
        <v>160</v>
      </c>
      <c r="I46" s="1498"/>
      <c r="J46" s="421">
        <f>SUM(J8:J45)</f>
        <v>0</v>
      </c>
      <c r="K46" s="427">
        <f>SUM(K8:K45)</f>
        <v>0</v>
      </c>
      <c r="L46" s="431">
        <f>SUM(L8:L45)</f>
        <v>0</v>
      </c>
      <c r="M46" s="429">
        <f>SUM(M8:M45)</f>
        <v>0</v>
      </c>
      <c r="N46" s="430">
        <f>SUM(N8:N45)</f>
        <v>0</v>
      </c>
      <c r="P46" s="222" t="s">
        <v>154</v>
      </c>
      <c r="Q46" s="378">
        <f>B48</f>
        <v>35120</v>
      </c>
    </row>
    <row r="47" spans="1:40" ht="27" customHeight="1" thickBot="1">
      <c r="A47" s="715" t="str">
        <f>'20'!A47</f>
        <v xml:space="preserve">INVESTOR </v>
      </c>
      <c r="B47" s="540"/>
      <c r="C47" s="348">
        <f>'20'!D47</f>
        <v>0</v>
      </c>
      <c r="D47" s="542">
        <f t="shared" si="9"/>
        <v>0</v>
      </c>
      <c r="F47" s="370"/>
      <c r="G47" s="425">
        <f>'20'!G48</f>
        <v>0</v>
      </c>
      <c r="H47" s="1512" t="s">
        <v>162</v>
      </c>
      <c r="I47" s="1513"/>
      <c r="J47" s="423">
        <f>'20'!J48</f>
        <v>0</v>
      </c>
      <c r="K47" s="423">
        <f>'20'!K48</f>
        <v>0</v>
      </c>
      <c r="L47" s="343"/>
      <c r="M47" s="344"/>
      <c r="N47" s="345"/>
      <c r="P47" s="375" t="s">
        <v>163</v>
      </c>
      <c r="Q47" s="378">
        <f>Q9+Q10+Q19+Q20+Q21+Q22</f>
        <v>0</v>
      </c>
      <c r="R47" s="19"/>
      <c r="S47" s="1489" t="s">
        <v>92</v>
      </c>
      <c r="T47" s="1516" t="s">
        <v>95</v>
      </c>
      <c r="U47" s="1518"/>
      <c r="V47" s="1518"/>
      <c r="W47" s="1517"/>
      <c r="X47" s="1516" t="s">
        <v>7</v>
      </c>
      <c r="Y47" s="1518"/>
      <c r="Z47" s="1517"/>
      <c r="AA47" s="1516" t="s">
        <v>8</v>
      </c>
      <c r="AB47" s="1517"/>
      <c r="AC47" s="1516" t="s">
        <v>9</v>
      </c>
      <c r="AD47" s="1518"/>
      <c r="AE47" s="1518"/>
      <c r="AF47" s="1518"/>
      <c r="AG47" s="1518"/>
      <c r="AH47" s="1518"/>
      <c r="AI47" s="1518"/>
      <c r="AJ47" s="1405" t="s">
        <v>10</v>
      </c>
      <c r="AK47" s="1406"/>
      <c r="AL47" s="1400" t="s">
        <v>289</v>
      </c>
      <c r="AM47" s="1401"/>
      <c r="AN47" s="842" t="s">
        <v>290</v>
      </c>
    </row>
    <row r="48" spans="1:40" ht="27" customHeight="1" thickTop="1" thickBot="1">
      <c r="A48" s="192" t="s">
        <v>74</v>
      </c>
      <c r="B48" s="544">
        <f>SUM(B22:B47)</f>
        <v>35120</v>
      </c>
      <c r="C48" s="543">
        <f>'20'!D48</f>
        <v>2525070</v>
      </c>
      <c r="D48" s="544">
        <f t="shared" si="9"/>
        <v>2560190</v>
      </c>
      <c r="F48" s="371"/>
      <c r="G48" s="426">
        <f>G46+G47</f>
        <v>0</v>
      </c>
      <c r="H48" s="1495" t="s">
        <v>164</v>
      </c>
      <c r="I48" s="1496"/>
      <c r="J48" s="422">
        <f>J46+J47</f>
        <v>0</v>
      </c>
      <c r="K48" s="428">
        <f>K46+K47</f>
        <v>0</v>
      </c>
      <c r="L48" s="346"/>
      <c r="M48" s="347"/>
      <c r="N48" s="622">
        <f>G48-J48</f>
        <v>0</v>
      </c>
      <c r="P48" s="376" t="s">
        <v>155</v>
      </c>
      <c r="Q48" s="379">
        <f>Q45-Q46-Q47</f>
        <v>-2560190</v>
      </c>
      <c r="R48" s="19"/>
      <c r="S48" s="1490"/>
      <c r="T48" s="482" t="s">
        <v>12</v>
      </c>
      <c r="U48" s="482" t="s">
        <v>13</v>
      </c>
      <c r="V48" s="482" t="s">
        <v>14</v>
      </c>
      <c r="W48" s="958" t="s">
        <v>263</v>
      </c>
      <c r="X48" s="482" t="s">
        <v>12</v>
      </c>
      <c r="Y48" s="482" t="s">
        <v>13</v>
      </c>
      <c r="Z48" s="482" t="s">
        <v>282</v>
      </c>
      <c r="AA48" s="482" t="s">
        <v>12</v>
      </c>
      <c r="AB48" s="482" t="s">
        <v>16</v>
      </c>
      <c r="AC48" s="482" t="s">
        <v>17</v>
      </c>
      <c r="AD48" s="482" t="s">
        <v>18</v>
      </c>
      <c r="AE48" s="482" t="s">
        <v>19</v>
      </c>
      <c r="AF48" s="484" t="s">
        <v>96</v>
      </c>
      <c r="AG48" s="484" t="s">
        <v>257</v>
      </c>
      <c r="AH48" s="482" t="s">
        <v>254</v>
      </c>
      <c r="AI48" s="482" t="s">
        <v>20</v>
      </c>
      <c r="AJ48" s="483" t="s">
        <v>14</v>
      </c>
      <c r="AK48" s="482" t="s">
        <v>13</v>
      </c>
      <c r="AL48" s="846" t="s">
        <v>284</v>
      </c>
      <c r="AM48" s="846" t="s">
        <v>288</v>
      </c>
      <c r="AN48" s="966" t="s">
        <v>291</v>
      </c>
    </row>
    <row r="49" spans="1:40" ht="24.95" customHeight="1" thickTop="1" thickBot="1">
      <c r="R49" s="19"/>
      <c r="S49" s="865" t="s">
        <v>165</v>
      </c>
      <c r="T49" s="866">
        <f>'20'!T55</f>
        <v>0</v>
      </c>
      <c r="U49" s="866">
        <f>'20'!U55</f>
        <v>0</v>
      </c>
      <c r="V49" s="866">
        <f>'20'!V55</f>
        <v>-2</v>
      </c>
      <c r="W49" s="866">
        <f>'20'!W55</f>
        <v>1</v>
      </c>
      <c r="X49" s="866">
        <f>'20'!X55</f>
        <v>0</v>
      </c>
      <c r="Y49" s="866">
        <f>'20'!Y55</f>
        <v>0</v>
      </c>
      <c r="Z49" s="866">
        <f>'20'!Z55</f>
        <v>-2</v>
      </c>
      <c r="AA49" s="866">
        <f>'20'!AA55</f>
        <v>-12</v>
      </c>
      <c r="AB49" s="866">
        <f>'20'!AB55</f>
        <v>0</v>
      </c>
      <c r="AC49" s="866">
        <f>'20'!AC55</f>
        <v>1952</v>
      </c>
      <c r="AD49" s="866">
        <f>'20'!AD55</f>
        <v>494</v>
      </c>
      <c r="AE49" s="866">
        <f>'20'!AE55</f>
        <v>0</v>
      </c>
      <c r="AF49" s="866">
        <f>'20'!AF55</f>
        <v>1380</v>
      </c>
      <c r="AG49" s="866">
        <f>'20'!AG55</f>
        <v>1093</v>
      </c>
      <c r="AH49" s="866">
        <f>'20'!AH55</f>
        <v>1139</v>
      </c>
      <c r="AI49" s="866">
        <f>'20'!AI55</f>
        <v>631</v>
      </c>
      <c r="AJ49" s="866">
        <f>'20'!AJ55</f>
        <v>0</v>
      </c>
      <c r="AK49" s="866">
        <f>'20'!AK55</f>
        <v>-1</v>
      </c>
      <c r="AL49" s="866" t="e">
        <f>'20'!AL55</f>
        <v>#VALUE!</v>
      </c>
      <c r="AM49" s="866" t="e">
        <f>'20'!AM55</f>
        <v>#VALUE!</v>
      </c>
      <c r="AN49" s="866" t="e">
        <f>'20'!AN55</f>
        <v>#VALUE!</v>
      </c>
    </row>
    <row r="50" spans="1:40" ht="24.95" customHeight="1" thickBot="1">
      <c r="C50" t="s">
        <v>1</v>
      </c>
      <c r="L50" s="417">
        <v>5000</v>
      </c>
      <c r="M50" s="417"/>
      <c r="N50" s="417">
        <f t="shared" ref="N50:N57" si="11">L50*M50</f>
        <v>0</v>
      </c>
      <c r="R50" s="19"/>
      <c r="S50" s="854" t="s">
        <v>166</v>
      </c>
      <c r="T50" s="852"/>
      <c r="U50" s="852"/>
      <c r="V50" s="852"/>
      <c r="W50" s="852">
        <v>18</v>
      </c>
      <c r="X50" s="852"/>
      <c r="Y50" s="852"/>
      <c r="Z50" s="852"/>
      <c r="AA50" s="852">
        <v>1280</v>
      </c>
      <c r="AB50" s="852"/>
      <c r="AC50" s="852">
        <v>227</v>
      </c>
      <c r="AD50" s="852"/>
      <c r="AE50" s="852"/>
      <c r="AF50" s="852">
        <v>605</v>
      </c>
      <c r="AG50" s="855"/>
      <c r="AH50" s="852"/>
      <c r="AI50" s="852"/>
      <c r="AJ50" s="848"/>
      <c r="AK50" s="848"/>
      <c r="AL50" s="849"/>
      <c r="AM50" s="849"/>
      <c r="AN50" s="930"/>
    </row>
    <row r="51" spans="1:40" ht="24.95" customHeight="1" thickBot="1">
      <c r="L51" s="417">
        <v>1000</v>
      </c>
      <c r="M51" s="417"/>
      <c r="N51" s="417">
        <f t="shared" si="11"/>
        <v>0</v>
      </c>
      <c r="R51" s="19"/>
      <c r="S51" s="867" t="s">
        <v>91</v>
      </c>
      <c r="T51" s="868"/>
      <c r="U51" s="868"/>
      <c r="V51" s="868">
        <v>3</v>
      </c>
      <c r="W51" s="868"/>
      <c r="X51" s="868"/>
      <c r="Y51" s="868"/>
      <c r="Z51" s="868">
        <v>1</v>
      </c>
      <c r="AA51" s="868">
        <v>17</v>
      </c>
      <c r="AB51" s="868"/>
      <c r="AC51" s="868"/>
      <c r="AD51" s="868"/>
      <c r="AE51" s="868"/>
      <c r="AF51" s="868"/>
      <c r="AG51" s="869">
        <v>2</v>
      </c>
      <c r="AH51" s="868"/>
      <c r="AI51" s="870"/>
      <c r="AJ51" s="868"/>
      <c r="AK51" s="868"/>
      <c r="AL51" s="849"/>
      <c r="AM51" s="849"/>
      <c r="AN51" s="850"/>
    </row>
    <row r="52" spans="1:40" ht="24.95" customHeight="1" thickBot="1">
      <c r="L52" s="417">
        <v>500</v>
      </c>
      <c r="M52" s="417"/>
      <c r="N52" s="417">
        <f t="shared" si="11"/>
        <v>0</v>
      </c>
      <c r="O52" t="s">
        <v>1</v>
      </c>
      <c r="R52" s="19"/>
      <c r="S52" s="856" t="s">
        <v>167</v>
      </c>
      <c r="T52" s="857"/>
      <c r="U52" s="857"/>
      <c r="V52" s="857"/>
      <c r="W52" s="857"/>
      <c r="X52" s="857"/>
      <c r="Y52" s="857"/>
      <c r="Z52" s="857"/>
      <c r="AA52" s="857"/>
      <c r="AB52" s="857"/>
      <c r="AC52" s="857"/>
      <c r="AD52" s="857"/>
      <c r="AE52" s="857"/>
      <c r="AF52" s="857"/>
      <c r="AG52" s="858"/>
      <c r="AH52" s="859"/>
      <c r="AI52" s="860"/>
      <c r="AJ52" s="851"/>
      <c r="AK52" s="851"/>
      <c r="AL52" s="849"/>
      <c r="AM52" s="849"/>
      <c r="AN52" s="850"/>
    </row>
    <row r="53" spans="1:40" ht="24.95" customHeight="1" thickBot="1">
      <c r="L53" s="417">
        <v>100</v>
      </c>
      <c r="M53" s="417"/>
      <c r="N53" s="417">
        <f t="shared" si="11"/>
        <v>0</v>
      </c>
      <c r="R53" s="19"/>
      <c r="S53" s="871" t="s">
        <v>81</v>
      </c>
      <c r="T53" s="1023">
        <f t="shared" ref="T53:AN53" si="12">SUM(T49+T50+T52)</f>
        <v>0</v>
      </c>
      <c r="U53" s="866">
        <f t="shared" si="12"/>
        <v>0</v>
      </c>
      <c r="V53" s="866">
        <f t="shared" si="12"/>
        <v>-2</v>
      </c>
      <c r="W53" s="866">
        <f t="shared" si="12"/>
        <v>19</v>
      </c>
      <c r="X53" s="866">
        <f t="shared" si="12"/>
        <v>0</v>
      </c>
      <c r="Y53" s="866">
        <f t="shared" si="12"/>
        <v>0</v>
      </c>
      <c r="Z53" s="866">
        <f t="shared" si="12"/>
        <v>-2</v>
      </c>
      <c r="AA53" s="866">
        <f t="shared" si="12"/>
        <v>1268</v>
      </c>
      <c r="AB53" s="866">
        <f t="shared" si="12"/>
        <v>0</v>
      </c>
      <c r="AC53" s="866">
        <f t="shared" si="12"/>
        <v>2179</v>
      </c>
      <c r="AD53" s="866">
        <f t="shared" si="12"/>
        <v>494</v>
      </c>
      <c r="AE53" s="866">
        <f t="shared" si="12"/>
        <v>0</v>
      </c>
      <c r="AF53" s="866">
        <f t="shared" si="12"/>
        <v>1985</v>
      </c>
      <c r="AG53" s="866">
        <f t="shared" si="12"/>
        <v>1093</v>
      </c>
      <c r="AH53" s="866">
        <f t="shared" si="12"/>
        <v>1139</v>
      </c>
      <c r="AI53" s="866">
        <f t="shared" si="12"/>
        <v>631</v>
      </c>
      <c r="AJ53" s="866">
        <f t="shared" si="12"/>
        <v>0</v>
      </c>
      <c r="AK53" s="866">
        <f t="shared" si="12"/>
        <v>-1</v>
      </c>
      <c r="AL53" s="866" t="e">
        <f t="shared" si="12"/>
        <v>#VALUE!</v>
      </c>
      <c r="AM53" s="866" t="e">
        <f t="shared" si="12"/>
        <v>#VALUE!</v>
      </c>
      <c r="AN53" s="872" t="e">
        <f t="shared" si="12"/>
        <v>#VALUE!</v>
      </c>
    </row>
    <row r="54" spans="1:40" ht="24.95" customHeight="1" thickBot="1">
      <c r="L54" s="417">
        <v>50</v>
      </c>
      <c r="M54" s="417"/>
      <c r="N54" s="417">
        <f t="shared" si="11"/>
        <v>0</v>
      </c>
      <c r="R54" s="19"/>
      <c r="S54" s="854" t="s">
        <v>168</v>
      </c>
      <c r="T54" s="852">
        <f>'CUSTOMERS REPORT'!B28+'CUSTOMERS REPORT'!B74+'CUSTOMERS REPORT'!B112+'CUSTOMERS REPORT'!B151+'CUSTOMERS REPORT'!B189+'CUSTOMERS REPORT'!B229+'CUSTOMERS REPORT'!B266+'CUSTOMERS REPORT'!B306+'CUSTOMERS REPORT'!B347+'CUSTOMERS REPORT'!B389+'CUSTOMERS REPORT'!B428+'CUSTOMERS REPORT'!B466+'CUSTOMERS REPORT'!B502+'CUSTOMERS REPORT'!B539+'CUSTOMERS REPORT'!B577+'CUSTOMERS REPORT'!B613+'CUSTOMERS REPORT'!B651+'CUSTOMERS REPORT'!B689+'CUSTOMERS REPORT'!B727+'CUSTOMERS REPORT'!B765+'CUSTOMERS REPORT'!B803+'CUSTOMERS REPORT'!B841+'CUSTOMERS REPORT'!B879+'CUSTOMERS REPORT'!B918+'CUSTOMERS REPORT'!B957+'CUSTOMERS REPORT'!B995+'CUSTOMERS REPORT'!B1033+'CUSTOMERS REPORT'!B1071+'CUSTOMERS REPORT'!B1109+'CUSTOMERS REPORT'!B1147+'CUSTOMERS REPORT'!B1184+'CUSTOMERS REPORT'!B1221+'CUSTOMERS REPORT'!B1258+'CUSTOMERS REPORT'!B1295+'CUSTOMERS REPORT'!B1332+'CUSTOMERS REPORT'!B1369+'CUSTOMERS REPORT'!B1406+'CUSTOMERS REPORT'!B1442</f>
        <v>0</v>
      </c>
      <c r="U54" s="852">
        <f>'CUSTOMERS REPORT'!C28+'CUSTOMERS REPORT'!C74+'CUSTOMERS REPORT'!C112+'CUSTOMERS REPORT'!C151+'CUSTOMERS REPORT'!C189+'CUSTOMERS REPORT'!C229+'CUSTOMERS REPORT'!C266+'CUSTOMERS REPORT'!C306+'CUSTOMERS REPORT'!C347+'CUSTOMERS REPORT'!C389+'CUSTOMERS REPORT'!C428+'CUSTOMERS REPORT'!C466+'CUSTOMERS REPORT'!C502+'CUSTOMERS REPORT'!C539+'CUSTOMERS REPORT'!C577+'CUSTOMERS REPORT'!C613+'CUSTOMERS REPORT'!C651+'CUSTOMERS REPORT'!C689+'CUSTOMERS REPORT'!C727+'CUSTOMERS REPORT'!C765+'CUSTOMERS REPORT'!C803+'CUSTOMERS REPORT'!C841+'CUSTOMERS REPORT'!C879+'CUSTOMERS REPORT'!C918+'CUSTOMERS REPORT'!C957+'CUSTOMERS REPORT'!C995+'CUSTOMERS REPORT'!C1033+'CUSTOMERS REPORT'!C1071+'CUSTOMERS REPORT'!C1109+'CUSTOMERS REPORT'!C1147+'CUSTOMERS REPORT'!C1184+'CUSTOMERS REPORT'!C1221+'CUSTOMERS REPORT'!C1258+'CUSTOMERS REPORT'!C1295+'CUSTOMERS REPORT'!C1332+'CUSTOMERS REPORT'!C1369+'CUSTOMERS REPORT'!C1406+'CUSTOMERS REPORT'!C1442</f>
        <v>0</v>
      </c>
      <c r="V54" s="852">
        <f>'CUSTOMERS REPORT'!D28+'CUSTOMERS REPORT'!D74+'CUSTOMERS REPORT'!D112+'CUSTOMERS REPORT'!D151+'CUSTOMERS REPORT'!D189+'CUSTOMERS REPORT'!D229+'CUSTOMERS REPORT'!D266+'CUSTOMERS REPORT'!D306+'CUSTOMERS REPORT'!D347+'CUSTOMERS REPORT'!D389+'CUSTOMERS REPORT'!D428+'CUSTOMERS REPORT'!D466+'CUSTOMERS REPORT'!D502+'CUSTOMERS REPORT'!D539+'CUSTOMERS REPORT'!D577+'CUSTOMERS REPORT'!D613+'CUSTOMERS REPORT'!D651+'CUSTOMERS REPORT'!D689+'CUSTOMERS REPORT'!D727+'CUSTOMERS REPORT'!D765+'CUSTOMERS REPORT'!D803+'CUSTOMERS REPORT'!D841+'CUSTOMERS REPORT'!D879+'CUSTOMERS REPORT'!D918+'CUSTOMERS REPORT'!D957+'CUSTOMERS REPORT'!D995+'CUSTOMERS REPORT'!D1033+'CUSTOMERS REPORT'!D1071+'CUSTOMERS REPORT'!D1109+'CUSTOMERS REPORT'!D1147+'CUSTOMERS REPORT'!D1184+'CUSTOMERS REPORT'!D1221+'CUSTOMERS REPORT'!D1258+'CUSTOMERS REPORT'!D1295+'CUSTOMERS REPORT'!D1332+'CUSTOMERS REPORT'!D1369+'CUSTOMERS REPORT'!D1406+'CUSTOMERS REPORT'!D1442</f>
        <v>0</v>
      </c>
      <c r="W54" s="852">
        <f>'CUSTOMERS REPORT'!E28+'CUSTOMERS REPORT'!E74+'CUSTOMERS REPORT'!E112+'CUSTOMERS REPORT'!E151+'CUSTOMERS REPORT'!E189+'CUSTOMERS REPORT'!E229+'CUSTOMERS REPORT'!E266+'CUSTOMERS REPORT'!E306+'CUSTOMERS REPORT'!E347+'CUSTOMERS REPORT'!E389+'CUSTOMERS REPORT'!E428+'CUSTOMERS REPORT'!E466+'CUSTOMERS REPORT'!E502+'CUSTOMERS REPORT'!E539+'CUSTOMERS REPORT'!E577+'CUSTOMERS REPORT'!E613+'CUSTOMERS REPORT'!E651+'CUSTOMERS REPORT'!E689+'CUSTOMERS REPORT'!E727+'CUSTOMERS REPORT'!E765+'CUSTOMERS REPORT'!E803+'CUSTOMERS REPORT'!E841+'CUSTOMERS REPORT'!E879+'CUSTOMERS REPORT'!E918+'CUSTOMERS REPORT'!E957+'CUSTOMERS REPORT'!E995+'CUSTOMERS REPORT'!E1033+'CUSTOMERS REPORT'!E1071+'CUSTOMERS REPORT'!E1109+'CUSTOMERS REPORT'!E1147+'CUSTOMERS REPORT'!E1184+'CUSTOMERS REPORT'!E1221+'CUSTOMERS REPORT'!E1258+'CUSTOMERS REPORT'!E1295+'CUSTOMERS REPORT'!E1332+'CUSTOMERS REPORT'!E1369+'CUSTOMERS REPORT'!E1406+'CUSTOMERS REPORT'!E1442</f>
        <v>0</v>
      </c>
      <c r="X54" s="852">
        <f>'CUSTOMERS REPORT'!F28+'CUSTOMERS REPORT'!F74+'CUSTOMERS REPORT'!F112+'CUSTOMERS REPORT'!F151+'CUSTOMERS REPORT'!F189+'CUSTOMERS REPORT'!F229+'CUSTOMERS REPORT'!F266+'CUSTOMERS REPORT'!F306+'CUSTOMERS REPORT'!F347+'CUSTOMERS REPORT'!F389+'CUSTOMERS REPORT'!F428+'CUSTOMERS REPORT'!F466+'CUSTOMERS REPORT'!F502+'CUSTOMERS REPORT'!F539+'CUSTOMERS REPORT'!F577+'CUSTOMERS REPORT'!F613+'CUSTOMERS REPORT'!F651+'CUSTOMERS REPORT'!F689+'CUSTOMERS REPORT'!F727+'CUSTOMERS REPORT'!F765+'CUSTOMERS REPORT'!F803+'CUSTOMERS REPORT'!F841+'CUSTOMERS REPORT'!F879+'CUSTOMERS REPORT'!F918+'CUSTOMERS REPORT'!F957+'CUSTOMERS REPORT'!F995+'CUSTOMERS REPORT'!F1033+'CUSTOMERS REPORT'!F1071+'CUSTOMERS REPORT'!F1109+'CUSTOMERS REPORT'!F1147+'CUSTOMERS REPORT'!F1184+'CUSTOMERS REPORT'!F1221+'CUSTOMERS REPORT'!F1258+'CUSTOMERS REPORT'!F1295+'CUSTOMERS REPORT'!F1332+'CUSTOMERS REPORT'!F1369+'CUSTOMERS REPORT'!F1406+'CUSTOMERS REPORT'!F1442</f>
        <v>0</v>
      </c>
      <c r="Y54" s="852">
        <f>'CUSTOMERS REPORT'!G28+'CUSTOMERS REPORT'!G74+'CUSTOMERS REPORT'!G112+'CUSTOMERS REPORT'!G151+'CUSTOMERS REPORT'!G189+'CUSTOMERS REPORT'!G229+'CUSTOMERS REPORT'!G266+'CUSTOMERS REPORT'!G306+'CUSTOMERS REPORT'!G347+'CUSTOMERS REPORT'!G389+'CUSTOMERS REPORT'!G428+'CUSTOMERS REPORT'!G466+'CUSTOMERS REPORT'!G502+'CUSTOMERS REPORT'!G539+'CUSTOMERS REPORT'!G577+'CUSTOMERS REPORT'!G613+'CUSTOMERS REPORT'!G651+'CUSTOMERS REPORT'!G689+'CUSTOMERS REPORT'!G727+'CUSTOMERS REPORT'!G765+'CUSTOMERS REPORT'!G803+'CUSTOMERS REPORT'!G841+'CUSTOMERS REPORT'!G879+'CUSTOMERS REPORT'!G918+'CUSTOMERS REPORT'!G957+'CUSTOMERS REPORT'!G995+'CUSTOMERS REPORT'!G1033+'CUSTOMERS REPORT'!G1071+'CUSTOMERS REPORT'!G1109+'CUSTOMERS REPORT'!G1147+'CUSTOMERS REPORT'!G1184+'CUSTOMERS REPORT'!G1221+'CUSTOMERS REPORT'!G1258+'CUSTOMERS REPORT'!G1295+'CUSTOMERS REPORT'!G1332+'CUSTOMERS REPORT'!G1369+'CUSTOMERS REPORT'!G1406+'CUSTOMERS REPORT'!G1442</f>
        <v>0</v>
      </c>
      <c r="Z54" s="852">
        <f>'CUSTOMERS REPORT'!H28+'CUSTOMERS REPORT'!H74+'CUSTOMERS REPORT'!H112+'CUSTOMERS REPORT'!H151+'CUSTOMERS REPORT'!H189+'CUSTOMERS REPORT'!H229+'CUSTOMERS REPORT'!H266+'CUSTOMERS REPORT'!H306+'CUSTOMERS REPORT'!H347+'CUSTOMERS REPORT'!H389+'CUSTOMERS REPORT'!H428+'CUSTOMERS REPORT'!H466+'CUSTOMERS REPORT'!H502+'CUSTOMERS REPORT'!H539+'CUSTOMERS REPORT'!H577+'CUSTOMERS REPORT'!H613+'CUSTOMERS REPORT'!H651+'CUSTOMERS REPORT'!H689+'CUSTOMERS REPORT'!H727+'CUSTOMERS REPORT'!H765+'CUSTOMERS REPORT'!H803+'CUSTOMERS REPORT'!H841+'CUSTOMERS REPORT'!H879+'CUSTOMERS REPORT'!H918+'CUSTOMERS REPORT'!H957+'CUSTOMERS REPORT'!H995+'CUSTOMERS REPORT'!H1033+'CUSTOMERS REPORT'!H1071+'CUSTOMERS REPORT'!H1109+'CUSTOMERS REPORT'!H1147+'CUSTOMERS REPORT'!H1184+'CUSTOMERS REPORT'!H1221+'CUSTOMERS REPORT'!H1258+'CUSTOMERS REPORT'!H1295+'CUSTOMERS REPORT'!H1332+'CUSTOMERS REPORT'!H1369+'CUSTOMERS REPORT'!H1406+'CUSTOMERS REPORT'!H1442</f>
        <v>0</v>
      </c>
      <c r="AA54" s="852">
        <f>'CUSTOMERS REPORT'!I28+'CUSTOMERS REPORT'!I74+'CUSTOMERS REPORT'!I112+'CUSTOMERS REPORT'!I151+'CUSTOMERS REPORT'!I189+'CUSTOMERS REPORT'!I229+'CUSTOMERS REPORT'!I266+'CUSTOMERS REPORT'!I306+'CUSTOMERS REPORT'!I347+'CUSTOMERS REPORT'!I389+'CUSTOMERS REPORT'!I428+'CUSTOMERS REPORT'!I466+'CUSTOMERS REPORT'!I502+'CUSTOMERS REPORT'!I539+'CUSTOMERS REPORT'!I577+'CUSTOMERS REPORT'!I613+'CUSTOMERS REPORT'!I651+'CUSTOMERS REPORT'!I689+'CUSTOMERS REPORT'!I727+'CUSTOMERS REPORT'!I765+'CUSTOMERS REPORT'!I803+'CUSTOMERS REPORT'!I841+'CUSTOMERS REPORT'!I879+'CUSTOMERS REPORT'!I918+'CUSTOMERS REPORT'!I957+'CUSTOMERS REPORT'!I995+'CUSTOMERS REPORT'!I1033+'CUSTOMERS REPORT'!I1071+'CUSTOMERS REPORT'!I1109+'CUSTOMERS REPORT'!I1147+'CUSTOMERS REPORT'!I1184+'CUSTOMERS REPORT'!I1221+'CUSTOMERS REPORT'!I1258+'CUSTOMERS REPORT'!I1295+'CUSTOMERS REPORT'!I1332+'CUSTOMERS REPORT'!I1369+'CUSTOMERS REPORT'!I1406+'CUSTOMERS REPORT'!I1442</f>
        <v>0</v>
      </c>
      <c r="AB54" s="852">
        <f>'CUSTOMERS REPORT'!J28+'CUSTOMERS REPORT'!J74+'CUSTOMERS REPORT'!J112+'CUSTOMERS REPORT'!J151+'CUSTOMERS REPORT'!J189+'CUSTOMERS REPORT'!J229+'CUSTOMERS REPORT'!J266+'CUSTOMERS REPORT'!J306+'CUSTOMERS REPORT'!J347+'CUSTOMERS REPORT'!J389+'CUSTOMERS REPORT'!J428+'CUSTOMERS REPORT'!J466+'CUSTOMERS REPORT'!J502+'CUSTOMERS REPORT'!J539+'CUSTOMERS REPORT'!J577+'CUSTOMERS REPORT'!J613+'CUSTOMERS REPORT'!J651+'CUSTOMERS REPORT'!J689+'CUSTOMERS REPORT'!J727+'CUSTOMERS REPORT'!J765+'CUSTOMERS REPORT'!J803+'CUSTOMERS REPORT'!J841+'CUSTOMERS REPORT'!J879+'CUSTOMERS REPORT'!J918+'CUSTOMERS REPORT'!J957+'CUSTOMERS REPORT'!J995+'CUSTOMERS REPORT'!J1033+'CUSTOMERS REPORT'!J1071+'CUSTOMERS REPORT'!J1109+'CUSTOMERS REPORT'!J1147+'CUSTOMERS REPORT'!J1184+'CUSTOMERS REPORT'!J1221+'CUSTOMERS REPORT'!J1258+'CUSTOMERS REPORT'!J1295+'CUSTOMERS REPORT'!J1332+'CUSTOMERS REPORT'!J1369+'CUSTOMERS REPORT'!J1406+'CUSTOMERS REPORT'!J1442</f>
        <v>0</v>
      </c>
      <c r="AC54" s="852">
        <f>'CUSTOMERS REPORT'!K28+'CUSTOMERS REPORT'!K74+'CUSTOMERS REPORT'!K112+'CUSTOMERS REPORT'!K151+'CUSTOMERS REPORT'!K189+'CUSTOMERS REPORT'!K229+'CUSTOMERS REPORT'!K266+'CUSTOMERS REPORT'!K306+'CUSTOMERS REPORT'!K347+'CUSTOMERS REPORT'!K389+'CUSTOMERS REPORT'!K428+'CUSTOMERS REPORT'!K466+'CUSTOMERS REPORT'!K502+'CUSTOMERS REPORT'!K539+'CUSTOMERS REPORT'!K577+'CUSTOMERS REPORT'!K613+'CUSTOMERS REPORT'!K651+'CUSTOMERS REPORT'!K689+'CUSTOMERS REPORT'!K727+'CUSTOMERS REPORT'!K765+'CUSTOMERS REPORT'!K803+'CUSTOMERS REPORT'!K841+'CUSTOMERS REPORT'!K879+'CUSTOMERS REPORT'!K918+'CUSTOMERS REPORT'!K957+'CUSTOMERS REPORT'!K995+'CUSTOMERS REPORT'!K1033+'CUSTOMERS REPORT'!K1071+'CUSTOMERS REPORT'!K1109+'CUSTOMERS REPORT'!K1147+'CUSTOMERS REPORT'!K1184+'CUSTOMERS REPORT'!K1221+'CUSTOMERS REPORT'!K1258+'CUSTOMERS REPORT'!K1295+'CUSTOMERS REPORT'!K1332+'CUSTOMERS REPORT'!K1369+'CUSTOMERS REPORT'!K1406+'CUSTOMERS REPORT'!K1442</f>
        <v>0</v>
      </c>
      <c r="AD54" s="852">
        <f>'CUSTOMERS REPORT'!L28+'CUSTOMERS REPORT'!L74+'CUSTOMERS REPORT'!L112+'CUSTOMERS REPORT'!L151+'CUSTOMERS REPORT'!L189+'CUSTOMERS REPORT'!L229+'CUSTOMERS REPORT'!L266+'CUSTOMERS REPORT'!L306+'CUSTOMERS REPORT'!L347+'CUSTOMERS REPORT'!L389+'CUSTOMERS REPORT'!L428+'CUSTOMERS REPORT'!L466+'CUSTOMERS REPORT'!L502+'CUSTOMERS REPORT'!L539+'CUSTOMERS REPORT'!L577+'CUSTOMERS REPORT'!L613+'CUSTOMERS REPORT'!L651+'CUSTOMERS REPORT'!L689+'CUSTOMERS REPORT'!L727+'CUSTOMERS REPORT'!L765+'CUSTOMERS REPORT'!L803+'CUSTOMERS REPORT'!L841+'CUSTOMERS REPORT'!L879+'CUSTOMERS REPORT'!L918+'CUSTOMERS REPORT'!L957+'CUSTOMERS REPORT'!L995+'CUSTOMERS REPORT'!L1033+'CUSTOMERS REPORT'!L1071+'CUSTOMERS REPORT'!L1109+'CUSTOMERS REPORT'!L1147+'CUSTOMERS REPORT'!L1184+'CUSTOMERS REPORT'!L1221+'CUSTOMERS REPORT'!L1258+'CUSTOMERS REPORT'!L1295+'CUSTOMERS REPORT'!L1332+'CUSTOMERS REPORT'!L1369+'CUSTOMERS REPORT'!L1406+'CUSTOMERS REPORT'!L1442</f>
        <v>0</v>
      </c>
      <c r="AE54" s="852">
        <f>'CUSTOMERS REPORT'!M28+'CUSTOMERS REPORT'!M74+'CUSTOMERS REPORT'!M112+'CUSTOMERS REPORT'!M151+'CUSTOMERS REPORT'!M189+'CUSTOMERS REPORT'!M229+'CUSTOMERS REPORT'!M266+'CUSTOMERS REPORT'!M306+'CUSTOMERS REPORT'!M347+'CUSTOMERS REPORT'!M389+'CUSTOMERS REPORT'!M428+'CUSTOMERS REPORT'!M466+'CUSTOMERS REPORT'!M502+'CUSTOMERS REPORT'!M539+'CUSTOMERS REPORT'!M577+'CUSTOMERS REPORT'!M613+'CUSTOMERS REPORT'!M651+'CUSTOMERS REPORT'!M689+'CUSTOMERS REPORT'!M727+'CUSTOMERS REPORT'!M765+'CUSTOMERS REPORT'!M803+'CUSTOMERS REPORT'!M841+'CUSTOMERS REPORT'!M879+'CUSTOMERS REPORT'!M918+'CUSTOMERS REPORT'!M957+'CUSTOMERS REPORT'!M995+'CUSTOMERS REPORT'!M1033+'CUSTOMERS REPORT'!M1071+'CUSTOMERS REPORT'!M1109+'CUSTOMERS REPORT'!M1147+'CUSTOMERS REPORT'!M1184+'CUSTOMERS REPORT'!M1221+'CUSTOMERS REPORT'!M1258+'CUSTOMERS REPORT'!M1295+'CUSTOMERS REPORT'!M1332+'CUSTOMERS REPORT'!M1369+'CUSTOMERS REPORT'!M1406+'CUSTOMERS REPORT'!M1442</f>
        <v>0</v>
      </c>
      <c r="AF54" s="852">
        <f>'CUSTOMERS REPORT'!N28+'CUSTOMERS REPORT'!N74+'CUSTOMERS REPORT'!N112+'CUSTOMERS REPORT'!N151+'CUSTOMERS REPORT'!N189+'CUSTOMERS REPORT'!N229+'CUSTOMERS REPORT'!N266+'CUSTOMERS REPORT'!N306+'CUSTOMERS REPORT'!N347+'CUSTOMERS REPORT'!N389+'CUSTOMERS REPORT'!N428+'CUSTOMERS REPORT'!N466+'CUSTOMERS REPORT'!N502+'CUSTOMERS REPORT'!N539+'CUSTOMERS REPORT'!N577+'CUSTOMERS REPORT'!N613+'CUSTOMERS REPORT'!N651+'CUSTOMERS REPORT'!N689+'CUSTOMERS REPORT'!N727+'CUSTOMERS REPORT'!N765+'CUSTOMERS REPORT'!N803+'CUSTOMERS REPORT'!N841+'CUSTOMERS REPORT'!N879+'CUSTOMERS REPORT'!N918+'CUSTOMERS REPORT'!N957+'CUSTOMERS REPORT'!N995+'CUSTOMERS REPORT'!N1033+'CUSTOMERS REPORT'!N1071+'CUSTOMERS REPORT'!N1109+'CUSTOMERS REPORT'!N1147+'CUSTOMERS REPORT'!N1184+'CUSTOMERS REPORT'!N1221+'CUSTOMERS REPORT'!N1258+'CUSTOMERS REPORT'!N1295+'CUSTOMERS REPORT'!N1332+'CUSTOMERS REPORT'!N1369+'CUSTOMERS REPORT'!N1406+'CUSTOMERS REPORT'!N1442</f>
        <v>0</v>
      </c>
      <c r="AG54" s="852">
        <f>'CUSTOMERS REPORT'!O28+'CUSTOMERS REPORT'!O74+'CUSTOMERS REPORT'!O112+'CUSTOMERS REPORT'!O151+'CUSTOMERS REPORT'!O189+'CUSTOMERS REPORT'!O229+'CUSTOMERS REPORT'!O266+'CUSTOMERS REPORT'!O306+'CUSTOMERS REPORT'!O347+'CUSTOMERS REPORT'!O389+'CUSTOMERS REPORT'!O428+'CUSTOMERS REPORT'!O466+'CUSTOMERS REPORT'!O502+'CUSTOMERS REPORT'!O539+'CUSTOMERS REPORT'!O577+'CUSTOMERS REPORT'!O613+'CUSTOMERS REPORT'!O651+'CUSTOMERS REPORT'!O689+'CUSTOMERS REPORT'!O727+'CUSTOMERS REPORT'!O765+'CUSTOMERS REPORT'!O803+'CUSTOMERS REPORT'!O841+'CUSTOMERS REPORT'!O879+'CUSTOMERS REPORT'!O918+'CUSTOMERS REPORT'!O957+'CUSTOMERS REPORT'!O995+'CUSTOMERS REPORT'!O1033+'CUSTOMERS REPORT'!O1071+'CUSTOMERS REPORT'!O1109+'CUSTOMERS REPORT'!O1147+'CUSTOMERS REPORT'!O1184+'CUSTOMERS REPORT'!O1221+'CUSTOMERS REPORT'!O1258+'CUSTOMERS REPORT'!O1295+'CUSTOMERS REPORT'!O1332+'CUSTOMERS REPORT'!O1369+'CUSTOMERS REPORT'!O1406+'CUSTOMERS REPORT'!O1442</f>
        <v>0</v>
      </c>
      <c r="AH54" s="852">
        <f>'CUSTOMERS REPORT'!P28+'CUSTOMERS REPORT'!P74+'CUSTOMERS REPORT'!P112+'CUSTOMERS REPORT'!P151+'CUSTOMERS REPORT'!P189+'CUSTOMERS REPORT'!P229+'CUSTOMERS REPORT'!P266+'CUSTOMERS REPORT'!P306+'CUSTOMERS REPORT'!P347+'CUSTOMERS REPORT'!P389+'CUSTOMERS REPORT'!P428+'CUSTOMERS REPORT'!P466+'CUSTOMERS REPORT'!P502+'CUSTOMERS REPORT'!P539+'CUSTOMERS REPORT'!P577+'CUSTOMERS REPORT'!P613+'CUSTOMERS REPORT'!P651+'CUSTOMERS REPORT'!P689+'CUSTOMERS REPORT'!P727+'CUSTOMERS REPORT'!P765+'CUSTOMERS REPORT'!P803+'CUSTOMERS REPORT'!P841+'CUSTOMERS REPORT'!P879+'CUSTOMERS REPORT'!P918+'CUSTOMERS REPORT'!P957+'CUSTOMERS REPORT'!P995+'CUSTOMERS REPORT'!P1033+'CUSTOMERS REPORT'!P1071+'CUSTOMERS REPORT'!P1109+'CUSTOMERS REPORT'!P1147+'CUSTOMERS REPORT'!P1184+'CUSTOMERS REPORT'!P1221+'CUSTOMERS REPORT'!P1258+'CUSTOMERS REPORT'!P1295+'CUSTOMERS REPORT'!P1332+'CUSTOMERS REPORT'!P1369+'CUSTOMERS REPORT'!P1406+'CUSTOMERS REPORT'!P1442</f>
        <v>0</v>
      </c>
      <c r="AI54" s="852">
        <f>'CUSTOMERS REPORT'!Q28+'CUSTOMERS REPORT'!Q74+'CUSTOMERS REPORT'!Q112+'CUSTOMERS REPORT'!Q151+'CUSTOMERS REPORT'!Q189+'CUSTOMERS REPORT'!Q229+'CUSTOMERS REPORT'!Q266+'CUSTOMERS REPORT'!Q306+'CUSTOMERS REPORT'!Q347+'CUSTOMERS REPORT'!Q389+'CUSTOMERS REPORT'!Q428+'CUSTOMERS REPORT'!Q466+'CUSTOMERS REPORT'!Q502+'CUSTOMERS REPORT'!Q539+'CUSTOMERS REPORT'!Q577+'CUSTOMERS REPORT'!Q613+'CUSTOMERS REPORT'!Q651+'CUSTOMERS REPORT'!Q689+'CUSTOMERS REPORT'!Q727+'CUSTOMERS REPORT'!Q765+'CUSTOMERS REPORT'!Q803+'CUSTOMERS REPORT'!Q841+'CUSTOMERS REPORT'!Q879+'CUSTOMERS REPORT'!Q918+'CUSTOMERS REPORT'!Q957+'CUSTOMERS REPORT'!Q995+'CUSTOMERS REPORT'!Q1033+'CUSTOMERS REPORT'!Q1071+'CUSTOMERS REPORT'!Q1109+'CUSTOMERS REPORT'!Q1147+'CUSTOMERS REPORT'!Q1184+'CUSTOMERS REPORT'!Q1221+'CUSTOMERS REPORT'!Q1258+'CUSTOMERS REPORT'!Q1295+'CUSTOMERS REPORT'!Q1332+'CUSTOMERS REPORT'!Q1369+'CUSTOMERS REPORT'!Q1406+'CUSTOMERS REPORT'!Q1442</f>
        <v>0</v>
      </c>
      <c r="AJ54" s="852">
        <f>'CUSTOMERS REPORT'!R28+'CUSTOMERS REPORT'!R74+'CUSTOMERS REPORT'!R112+'CUSTOMERS REPORT'!R151+'CUSTOMERS REPORT'!R189+'CUSTOMERS REPORT'!R229+'CUSTOMERS REPORT'!R266+'CUSTOMERS REPORT'!R306+'CUSTOMERS REPORT'!R347+'CUSTOMERS REPORT'!R389+'CUSTOMERS REPORT'!R428+'CUSTOMERS REPORT'!R466+'CUSTOMERS REPORT'!R502+'CUSTOMERS REPORT'!R539+'CUSTOMERS REPORT'!R577+'CUSTOMERS REPORT'!R613+'CUSTOMERS REPORT'!R651+'CUSTOMERS REPORT'!R689+'CUSTOMERS REPORT'!R727+'CUSTOMERS REPORT'!R765+'CUSTOMERS REPORT'!R803+'CUSTOMERS REPORT'!R841+'CUSTOMERS REPORT'!R879+'CUSTOMERS REPORT'!R918+'CUSTOMERS REPORT'!R957+'CUSTOMERS REPORT'!R995+'CUSTOMERS REPORT'!R1033+'CUSTOMERS REPORT'!R1071+'CUSTOMERS REPORT'!R1109+'CUSTOMERS REPORT'!R1147+'CUSTOMERS REPORT'!R1184+'CUSTOMERS REPORT'!R1221+'CUSTOMERS REPORT'!R1258+'CUSTOMERS REPORT'!R1295+'CUSTOMERS REPORT'!R1332+'CUSTOMERS REPORT'!R1369+'CUSTOMERS REPORT'!R1406+'CUSTOMERS REPORT'!R1442</f>
        <v>0</v>
      </c>
      <c r="AK54" s="852">
        <f>'CUSTOMERS REPORT'!S28+'CUSTOMERS REPORT'!S74+'CUSTOMERS REPORT'!S112+'CUSTOMERS REPORT'!S151+'CUSTOMERS REPORT'!S189+'CUSTOMERS REPORT'!S229+'CUSTOMERS REPORT'!S266+'CUSTOMERS REPORT'!S306+'CUSTOMERS REPORT'!S347+'CUSTOMERS REPORT'!S389+'CUSTOMERS REPORT'!S428+'CUSTOMERS REPORT'!S466+'CUSTOMERS REPORT'!S502+'CUSTOMERS REPORT'!S539+'CUSTOMERS REPORT'!S577+'CUSTOMERS REPORT'!S613+'CUSTOMERS REPORT'!S651+'CUSTOMERS REPORT'!S689+'CUSTOMERS REPORT'!S727+'CUSTOMERS REPORT'!S765+'CUSTOMERS REPORT'!S803+'CUSTOMERS REPORT'!S841+'CUSTOMERS REPORT'!S879+'CUSTOMERS REPORT'!S918+'CUSTOMERS REPORT'!S957+'CUSTOMERS REPORT'!S995+'CUSTOMERS REPORT'!S1033+'CUSTOMERS REPORT'!S1071+'CUSTOMERS REPORT'!S1109+'CUSTOMERS REPORT'!S1147+'CUSTOMERS REPORT'!S1184+'CUSTOMERS REPORT'!S1221+'CUSTOMERS REPORT'!S1258+'CUSTOMERS REPORT'!S1295+'CUSTOMERS REPORT'!S1332+'CUSTOMERS REPORT'!S1369+'CUSTOMERS REPORT'!S1406+'CUSTOMERS REPORT'!S1442</f>
        <v>0</v>
      </c>
      <c r="AL54" s="852">
        <f>'CUSTOMERS REPORT'!T28+'CUSTOMERS REPORT'!T74+'CUSTOMERS REPORT'!T112+'CUSTOMERS REPORT'!T151+'CUSTOMERS REPORT'!T189+'CUSTOMERS REPORT'!T229+'CUSTOMERS REPORT'!T266+'CUSTOMERS REPORT'!T306+'CUSTOMERS REPORT'!T347+'CUSTOMERS REPORT'!T389+'CUSTOMERS REPORT'!T428+'CUSTOMERS REPORT'!T466+'CUSTOMERS REPORT'!T502+'CUSTOMERS REPORT'!T539+'CUSTOMERS REPORT'!T577+'CUSTOMERS REPORT'!T613+'CUSTOMERS REPORT'!T651+'CUSTOMERS REPORT'!T689+'CUSTOMERS REPORT'!T727+'CUSTOMERS REPORT'!T765+'CUSTOMERS REPORT'!T803+'CUSTOMERS REPORT'!T841+'CUSTOMERS REPORT'!T879+'CUSTOMERS REPORT'!T918+'CUSTOMERS REPORT'!T957+'CUSTOMERS REPORT'!T995+'CUSTOMERS REPORT'!T1033+'CUSTOMERS REPORT'!T1071+'CUSTOMERS REPORT'!T1109+'CUSTOMERS REPORT'!T1147+'CUSTOMERS REPORT'!T1184+'CUSTOMERS REPORT'!T1221+'CUSTOMERS REPORT'!T1258+'CUSTOMERS REPORT'!T1295+'CUSTOMERS REPORT'!T1332+'CUSTOMERS REPORT'!T1369+'CUSTOMERS REPORT'!T1406+'CUSTOMERS REPORT'!T1442</f>
        <v>0</v>
      </c>
      <c r="AM54" s="852">
        <f>'CUSTOMERS REPORT'!U28+'CUSTOMERS REPORT'!U74+'CUSTOMERS REPORT'!U112+'CUSTOMERS REPORT'!U151+'CUSTOMERS REPORT'!U189+'CUSTOMERS REPORT'!U229+'CUSTOMERS REPORT'!U266+'CUSTOMERS REPORT'!U306+'CUSTOMERS REPORT'!U347+'CUSTOMERS REPORT'!U389+'CUSTOMERS REPORT'!U428+'CUSTOMERS REPORT'!U466+'CUSTOMERS REPORT'!U502+'CUSTOMERS REPORT'!U539+'CUSTOMERS REPORT'!U577+'CUSTOMERS REPORT'!U613+'CUSTOMERS REPORT'!U651+'CUSTOMERS REPORT'!U689+'CUSTOMERS REPORT'!U727+'CUSTOMERS REPORT'!U765+'CUSTOMERS REPORT'!U803+'CUSTOMERS REPORT'!U841+'CUSTOMERS REPORT'!U879+'CUSTOMERS REPORT'!U918+'CUSTOMERS REPORT'!U957+'CUSTOMERS REPORT'!U995+'CUSTOMERS REPORT'!U1033+'CUSTOMERS REPORT'!U1071+'CUSTOMERS REPORT'!U1109+'CUSTOMERS REPORT'!U1147+'CUSTOMERS REPORT'!U1184+'CUSTOMERS REPORT'!U1221+'CUSTOMERS REPORT'!U1258+'CUSTOMERS REPORT'!U1295+'CUSTOMERS REPORT'!U1332+'CUSTOMERS REPORT'!U1369+'CUSTOMERS REPORT'!U1406+'CUSTOMERS REPORT'!U1442</f>
        <v>0</v>
      </c>
      <c r="AN54" s="852">
        <f>'CUSTOMERS REPORT'!V28+'CUSTOMERS REPORT'!V74+'CUSTOMERS REPORT'!V112+'CUSTOMERS REPORT'!V151+'CUSTOMERS REPORT'!V189+'CUSTOMERS REPORT'!V229+'CUSTOMERS REPORT'!V266+'CUSTOMERS REPORT'!V306+'CUSTOMERS REPORT'!V347+'CUSTOMERS REPORT'!V389+'CUSTOMERS REPORT'!V428+'CUSTOMERS REPORT'!V466+'CUSTOMERS REPORT'!V502+'CUSTOMERS REPORT'!V539+'CUSTOMERS REPORT'!V577+'CUSTOMERS REPORT'!V613+'CUSTOMERS REPORT'!V651+'CUSTOMERS REPORT'!V689+'CUSTOMERS REPORT'!V727+'CUSTOMERS REPORT'!V765+'CUSTOMERS REPORT'!V803+'CUSTOMERS REPORT'!V841+'CUSTOMERS REPORT'!V879+'CUSTOMERS REPORT'!V918+'CUSTOMERS REPORT'!V957+'CUSTOMERS REPORT'!V995+'CUSTOMERS REPORT'!V1033+'CUSTOMERS REPORT'!V1071+'CUSTOMERS REPORT'!V1109+'CUSTOMERS REPORT'!V1147+'CUSTOMERS REPORT'!V1184+'CUSTOMERS REPORT'!V1221+'CUSTOMERS REPORT'!V1258+'CUSTOMERS REPORT'!V1295+'CUSTOMERS REPORT'!V1332+'CUSTOMERS REPORT'!V1369+'CUSTOMERS REPORT'!V1406+'CUSTOMERS REPORT'!V1442</f>
        <v>0</v>
      </c>
    </row>
    <row r="55" spans="1:40" ht="24.95" customHeight="1" thickBot="1">
      <c r="L55" s="417">
        <v>20</v>
      </c>
      <c r="M55" s="417"/>
      <c r="N55" s="417">
        <f t="shared" si="11"/>
        <v>0</v>
      </c>
      <c r="R55" s="123">
        <f>'20'!R57</f>
        <v>65</v>
      </c>
      <c r="S55" s="865" t="s">
        <v>169</v>
      </c>
      <c r="T55" s="866">
        <f t="shared" ref="T55:AN55" si="13">T53-T54-T51</f>
        <v>0</v>
      </c>
      <c r="U55" s="866">
        <f t="shared" si="13"/>
        <v>0</v>
      </c>
      <c r="V55" s="866">
        <f t="shared" si="13"/>
        <v>-5</v>
      </c>
      <c r="W55" s="866">
        <f t="shared" si="13"/>
        <v>19</v>
      </c>
      <c r="X55" s="866">
        <f t="shared" si="13"/>
        <v>0</v>
      </c>
      <c r="Y55" s="866">
        <f t="shared" si="13"/>
        <v>0</v>
      </c>
      <c r="Z55" s="866">
        <f t="shared" si="13"/>
        <v>-3</v>
      </c>
      <c r="AA55" s="866">
        <f t="shared" si="13"/>
        <v>1251</v>
      </c>
      <c r="AB55" s="866">
        <f t="shared" si="13"/>
        <v>0</v>
      </c>
      <c r="AC55" s="866">
        <f t="shared" si="13"/>
        <v>2179</v>
      </c>
      <c r="AD55" s="866">
        <f t="shared" si="13"/>
        <v>494</v>
      </c>
      <c r="AE55" s="866">
        <f t="shared" si="13"/>
        <v>0</v>
      </c>
      <c r="AF55" s="866">
        <f>AF53-AF54-AF51</f>
        <v>1985</v>
      </c>
      <c r="AG55" s="866">
        <f t="shared" si="13"/>
        <v>1091</v>
      </c>
      <c r="AH55" s="866">
        <f t="shared" si="13"/>
        <v>1139</v>
      </c>
      <c r="AI55" s="866">
        <f t="shared" si="13"/>
        <v>631</v>
      </c>
      <c r="AJ55" s="866">
        <f t="shared" si="13"/>
        <v>0</v>
      </c>
      <c r="AK55" s="866">
        <f t="shared" si="13"/>
        <v>-1</v>
      </c>
      <c r="AL55" s="866" t="e">
        <f t="shared" si="13"/>
        <v>#VALUE!</v>
      </c>
      <c r="AM55" s="866" t="e">
        <f t="shared" si="13"/>
        <v>#VALUE!</v>
      </c>
      <c r="AN55" s="872" t="e">
        <f t="shared" si="13"/>
        <v>#VALUE!</v>
      </c>
    </row>
    <row r="56" spans="1:40" ht="28.5" thickBot="1">
      <c r="A56" s="114"/>
      <c r="B56" s="120"/>
      <c r="C56" s="115"/>
      <c r="L56" s="417">
        <v>10</v>
      </c>
      <c r="M56" s="417"/>
      <c r="N56" s="417">
        <f t="shared" si="11"/>
        <v>0</v>
      </c>
      <c r="R56" s="123">
        <f>T56+U56+V56+W56+X56+Y56+Z56+AA56+AB56+AC56+AD56+AE56+AF56+AG56+AH56+AI56+AJ56+AK56+AL56+AM56+AN56</f>
        <v>13</v>
      </c>
      <c r="S56" s="874" t="s">
        <v>170</v>
      </c>
      <c r="T56" s="875"/>
      <c r="U56" s="875"/>
      <c r="V56" s="875"/>
      <c r="W56" s="875">
        <v>0.3</v>
      </c>
      <c r="X56" s="875"/>
      <c r="Y56" s="875"/>
      <c r="Z56" s="876"/>
      <c r="AA56" s="875">
        <v>2</v>
      </c>
      <c r="AB56" s="875"/>
      <c r="AC56" s="875">
        <v>2.7</v>
      </c>
      <c r="AD56" s="875"/>
      <c r="AE56" s="875"/>
      <c r="AF56" s="875">
        <v>8</v>
      </c>
      <c r="AG56" s="875"/>
      <c r="AH56" s="875"/>
      <c r="AI56" s="875"/>
      <c r="AJ56" s="877"/>
      <c r="AK56" s="877"/>
      <c r="AL56" s="52"/>
      <c r="AM56" s="52"/>
      <c r="AN56" s="928"/>
    </row>
    <row r="57" spans="1:40" ht="27" customHeight="1" thickBot="1">
      <c r="A57" s="114"/>
      <c r="B57" s="131"/>
      <c r="C57" s="115"/>
      <c r="D57" s="115"/>
      <c r="E57" s="19"/>
      <c r="F57" s="19"/>
      <c r="G57" s="19"/>
      <c r="H57" s="19"/>
      <c r="I57" s="19"/>
      <c r="J57" s="19"/>
      <c r="K57" s="19"/>
      <c r="L57" s="418">
        <v>1</v>
      </c>
      <c r="M57" s="418"/>
      <c r="N57" s="417">
        <f t="shared" si="11"/>
        <v>0</v>
      </c>
      <c r="O57" s="19"/>
      <c r="R57" s="123">
        <f>SUM(R55:R56)</f>
        <v>78</v>
      </c>
      <c r="S57" s="882" t="s">
        <v>23</v>
      </c>
      <c r="T57" s="883" t="e">
        <f t="shared" ref="T57:AI57" si="14">T50/T56</f>
        <v>#DIV/0!</v>
      </c>
      <c r="U57" s="883" t="e">
        <f t="shared" si="14"/>
        <v>#DIV/0!</v>
      </c>
      <c r="V57" s="883" t="e">
        <f t="shared" si="14"/>
        <v>#DIV/0!</v>
      </c>
      <c r="W57" s="883">
        <f t="shared" si="14"/>
        <v>60</v>
      </c>
      <c r="X57" s="883" t="e">
        <f t="shared" si="14"/>
        <v>#DIV/0!</v>
      </c>
      <c r="Y57" s="883" t="e">
        <f t="shared" si="14"/>
        <v>#DIV/0!</v>
      </c>
      <c r="Z57" s="883" t="e">
        <f t="shared" si="14"/>
        <v>#DIV/0!</v>
      </c>
      <c r="AA57" s="883">
        <f t="shared" si="14"/>
        <v>640</v>
      </c>
      <c r="AB57" s="883" t="e">
        <f t="shared" si="14"/>
        <v>#DIV/0!</v>
      </c>
      <c r="AC57" s="883">
        <f t="shared" si="14"/>
        <v>84.074074074074062</v>
      </c>
      <c r="AD57" s="883" t="e">
        <f t="shared" si="14"/>
        <v>#DIV/0!</v>
      </c>
      <c r="AE57" s="883" t="e">
        <f t="shared" si="14"/>
        <v>#DIV/0!</v>
      </c>
      <c r="AF57" s="883">
        <f t="shared" si="14"/>
        <v>75.625</v>
      </c>
      <c r="AG57" s="883" t="e">
        <f t="shared" si="14"/>
        <v>#DIV/0!</v>
      </c>
      <c r="AH57" s="883" t="e">
        <f t="shared" si="14"/>
        <v>#DIV/0!</v>
      </c>
      <c r="AI57" s="883" t="e">
        <f t="shared" si="14"/>
        <v>#DIV/0!</v>
      </c>
      <c r="AJ57" s="883" t="e">
        <f>AJ50/AJ56</f>
        <v>#DIV/0!</v>
      </c>
      <c r="AK57" s="883" t="e">
        <f>AK50/AK56</f>
        <v>#DIV/0!</v>
      </c>
      <c r="AL57" s="883" t="e">
        <f t="shared" ref="AL57:AN57" si="15">AL50/AL56</f>
        <v>#DIV/0!</v>
      </c>
      <c r="AM57" s="883" t="e">
        <f t="shared" si="15"/>
        <v>#DIV/0!</v>
      </c>
      <c r="AN57" s="884" t="e">
        <f t="shared" si="15"/>
        <v>#DIV/0!</v>
      </c>
    </row>
    <row r="58" spans="1:40" ht="27" customHeight="1" thickBot="1">
      <c r="A58" s="114"/>
      <c r="B58" s="131"/>
      <c r="C58" s="115"/>
      <c r="D58" s="115" t="s">
        <v>1</v>
      </c>
      <c r="L58" s="1501" t="s">
        <v>171</v>
      </c>
      <c r="M58" s="1501"/>
      <c r="N58" s="419">
        <f>SUM(N50:N57)</f>
        <v>0</v>
      </c>
      <c r="R58" s="19"/>
      <c r="S58" s="878" t="s">
        <v>172</v>
      </c>
      <c r="T58" s="879">
        <f>T54</f>
        <v>0</v>
      </c>
      <c r="U58" s="879">
        <f t="shared" ref="U58:AI58" si="16">U54</f>
        <v>0</v>
      </c>
      <c r="V58" s="879">
        <f t="shared" si="16"/>
        <v>0</v>
      </c>
      <c r="W58" s="879">
        <f t="shared" si="16"/>
        <v>0</v>
      </c>
      <c r="X58" s="879">
        <f t="shared" si="16"/>
        <v>0</v>
      </c>
      <c r="Y58" s="879">
        <f t="shared" si="16"/>
        <v>0</v>
      </c>
      <c r="Z58" s="879">
        <f t="shared" si="16"/>
        <v>0</v>
      </c>
      <c r="AA58" s="879">
        <f t="shared" si="16"/>
        <v>0</v>
      </c>
      <c r="AB58" s="879">
        <f t="shared" si="16"/>
        <v>0</v>
      </c>
      <c r="AC58" s="879">
        <f t="shared" si="16"/>
        <v>0</v>
      </c>
      <c r="AD58" s="879">
        <f t="shared" si="16"/>
        <v>0</v>
      </c>
      <c r="AE58" s="879">
        <f t="shared" si="16"/>
        <v>0</v>
      </c>
      <c r="AF58" s="879">
        <f t="shared" si="16"/>
        <v>0</v>
      </c>
      <c r="AG58" s="879">
        <f t="shared" si="16"/>
        <v>0</v>
      </c>
      <c r="AH58" s="879">
        <f t="shared" si="16"/>
        <v>0</v>
      </c>
      <c r="AI58" s="879">
        <f t="shared" si="16"/>
        <v>0</v>
      </c>
      <c r="AJ58" s="879">
        <f>AJ54</f>
        <v>0</v>
      </c>
      <c r="AK58" s="879">
        <f>AK54</f>
        <v>0</v>
      </c>
      <c r="AL58" s="880"/>
      <c r="AM58" s="880"/>
      <c r="AN58" s="881"/>
    </row>
    <row r="59" spans="1:40" ht="27" customHeight="1">
      <c r="A59" s="114"/>
      <c r="B59" s="132"/>
      <c r="C59" s="115"/>
      <c r="D59" s="115" t="s">
        <v>1</v>
      </c>
      <c r="K59" t="s">
        <v>1</v>
      </c>
      <c r="L59" s="1486" t="s">
        <v>173</v>
      </c>
      <c r="M59" s="1486"/>
      <c r="N59" s="420">
        <f>N58-Q48</f>
        <v>2560190</v>
      </c>
      <c r="R59" s="19"/>
      <c r="S59" s="114"/>
      <c r="T59" s="121"/>
      <c r="U59" s="121"/>
      <c r="V59" s="121"/>
      <c r="W59" s="121"/>
      <c r="X59" s="121"/>
      <c r="Y59" s="121"/>
      <c r="Z59" s="122"/>
      <c r="AA59" s="121"/>
      <c r="AB59" s="121"/>
      <c r="AC59" s="121"/>
      <c r="AD59" s="121"/>
      <c r="AE59" s="121"/>
      <c r="AF59" s="121"/>
      <c r="AG59" s="121"/>
      <c r="AH59" s="119"/>
      <c r="AI59" s="119"/>
    </row>
    <row r="60" spans="1:40" ht="23.25">
      <c r="A60" s="114"/>
      <c r="B60" s="132"/>
      <c r="C60" s="115"/>
      <c r="D60" s="115"/>
      <c r="P60" s="19"/>
      <c r="Q60" s="19"/>
      <c r="R60" s="19"/>
      <c r="S60" s="19"/>
      <c r="T60" t="s">
        <v>1</v>
      </c>
      <c r="U60" t="s">
        <v>1</v>
      </c>
    </row>
    <row r="61" spans="1:40" ht="23.25">
      <c r="A61" s="114"/>
      <c r="B61" s="132"/>
      <c r="C61" s="115"/>
      <c r="D61" s="116"/>
      <c r="M61" t="s">
        <v>1</v>
      </c>
      <c r="P61" s="185"/>
      <c r="Q61" s="186"/>
      <c r="R61" s="19"/>
      <c r="S61" s="19"/>
    </row>
    <row r="62" spans="1:40" ht="20.25">
      <c r="C62" s="116"/>
      <c r="P62" s="19"/>
      <c r="Q62" s="19"/>
      <c r="R62" s="19"/>
      <c r="S62" s="19"/>
    </row>
    <row r="63" spans="1:40">
      <c r="E63" s="19"/>
    </row>
    <row r="64" spans="1:40">
      <c r="E64" s="19"/>
      <c r="J64" t="s">
        <v>3</v>
      </c>
    </row>
    <row r="65" spans="3:5" ht="21">
      <c r="C65" s="251"/>
      <c r="E65" s="19"/>
    </row>
    <row r="66" spans="3:5">
      <c r="E66" s="49"/>
    </row>
    <row r="67" spans="3:5" ht="23.25">
      <c r="E67" s="113"/>
    </row>
  </sheetData>
  <mergeCells count="21">
    <mergeCell ref="L58:M58"/>
    <mergeCell ref="L59:M59"/>
    <mergeCell ref="T47:W47"/>
    <mergeCell ref="X47:Z47"/>
    <mergeCell ref="S47:S48"/>
    <mergeCell ref="AI7:AJ7"/>
    <mergeCell ref="AI20:AJ20"/>
    <mergeCell ref="A6:Q6"/>
    <mergeCell ref="S6:AE6"/>
    <mergeCell ref="A7:B7"/>
    <mergeCell ref="P7:Q7"/>
    <mergeCell ref="AJ47:AK47"/>
    <mergeCell ref="AL47:AM47"/>
    <mergeCell ref="H48:I48"/>
    <mergeCell ref="P24:Q24"/>
    <mergeCell ref="P33:Q33"/>
    <mergeCell ref="P42:Q42"/>
    <mergeCell ref="H46:I46"/>
    <mergeCell ref="H47:I47"/>
    <mergeCell ref="AA47:AB47"/>
    <mergeCell ref="AC47:AI47"/>
  </mergeCells>
  <conditionalFormatting sqref="M48:N48">
    <cfRule type="duplicateValues" dxfId="223" priority="29"/>
    <cfRule type="duplicateValues" dxfId="222" priority="30"/>
    <cfRule type="duplicateValues" dxfId="221" priority="31"/>
    <cfRule type="duplicateValues" dxfId="220" priority="32"/>
  </conditionalFormatting>
  <conditionalFormatting sqref="L48 N48">
    <cfRule type="cellIs" dxfId="219" priority="28" operator="equal">
      <formula>66890</formula>
    </cfRule>
  </conditionalFormatting>
  <conditionalFormatting sqref="N48">
    <cfRule type="cellIs" dxfId="218" priority="27" operator="lessThan">
      <formula>1</formula>
    </cfRule>
  </conditionalFormatting>
  <conditionalFormatting sqref="T57">
    <cfRule type="cellIs" dxfId="217" priority="16" operator="lessThan">
      <formula>63</formula>
    </cfRule>
  </conditionalFormatting>
  <conditionalFormatting sqref="U57">
    <cfRule type="cellIs" dxfId="216" priority="14" operator="lessThan">
      <formula>63</formula>
    </cfRule>
    <cfRule type="cellIs" dxfId="215" priority="15" operator="lessThan">
      <formula>63</formula>
    </cfRule>
  </conditionalFormatting>
  <conditionalFormatting sqref="W57">
    <cfRule type="cellIs" dxfId="214" priority="13" operator="lessThan">
      <formula>140</formula>
    </cfRule>
  </conditionalFormatting>
  <conditionalFormatting sqref="X57">
    <cfRule type="cellIs" dxfId="213" priority="12" operator="lessThan">
      <formula>125</formula>
    </cfRule>
  </conditionalFormatting>
  <conditionalFormatting sqref="Y57">
    <cfRule type="cellIs" dxfId="212" priority="11" operator="lessThan">
      <formula>150</formula>
    </cfRule>
  </conditionalFormatting>
  <conditionalFormatting sqref="Z57">
    <cfRule type="cellIs" dxfId="211" priority="10" operator="lessThan">
      <formula>590</formula>
    </cfRule>
  </conditionalFormatting>
  <conditionalFormatting sqref="AA57">
    <cfRule type="cellIs" dxfId="210" priority="9" operator="lessThan">
      <formula>704</formula>
    </cfRule>
  </conditionalFormatting>
  <conditionalFormatting sqref="AC57">
    <cfRule type="cellIs" dxfId="209" priority="8" operator="lessThan">
      <formula>52</formula>
    </cfRule>
  </conditionalFormatting>
  <conditionalFormatting sqref="AD57">
    <cfRule type="cellIs" dxfId="208" priority="7" operator="lessThan">
      <formula>52</formula>
    </cfRule>
  </conditionalFormatting>
  <conditionalFormatting sqref="AH57">
    <cfRule type="cellIs" dxfId="207" priority="6" operator="lessThan">
      <formula>63</formula>
    </cfRule>
  </conditionalFormatting>
  <conditionalFormatting sqref="AI57">
    <cfRule type="cellIs" dxfId="206" priority="5" operator="lessThan">
      <formula>63</formula>
    </cfRule>
  </conditionalFormatting>
  <conditionalFormatting sqref="AK57">
    <cfRule type="cellIs" dxfId="205" priority="4" operator="lessThan">
      <formula>270</formula>
    </cfRule>
  </conditionalFormatting>
  <conditionalFormatting sqref="AJ57">
    <cfRule type="cellIs" dxfId="204" priority="3" operator="lessThan">
      <formula>270</formula>
    </cfRule>
  </conditionalFormatting>
  <conditionalFormatting sqref="AL57:AN57">
    <cfRule type="cellIs" dxfId="203" priority="1" operator="lessThan">
      <formula>270</formula>
    </cfRule>
  </conditionalFormatting>
  <printOptions horizontalCentered="1" verticalCentered="1"/>
  <pageMargins left="0" right="0.5" top="0" bottom="0" header="0" footer="0"/>
  <pageSetup paperSize="5" scale="47" orientation="landscape" cellComments="asDisplayed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AN67"/>
  <sheetViews>
    <sheetView topLeftCell="R7" zoomScale="90" zoomScaleNormal="90" workbookViewId="0">
      <selection activeCell="AE7" sqref="AE7"/>
    </sheetView>
  </sheetViews>
  <sheetFormatPr defaultRowHeight="15"/>
  <cols>
    <col min="1" max="1" width="32.7109375" bestFit="1" customWidth="1"/>
    <col min="2" max="2" width="17.7109375" customWidth="1"/>
    <col min="3" max="4" width="20.7109375" customWidth="1"/>
    <col min="5" max="5" width="4.7109375" customWidth="1"/>
    <col min="6" max="6" width="35.85546875" bestFit="1" customWidth="1"/>
    <col min="7" max="7" width="17.7109375" customWidth="1"/>
    <col min="8" max="9" width="19.140625" bestFit="1" customWidth="1"/>
    <col min="10" max="11" width="17.7109375" customWidth="1"/>
    <col min="12" max="12" width="19.140625" bestFit="1" customWidth="1"/>
    <col min="13" max="14" width="18.7109375" customWidth="1"/>
    <col min="15" max="15" width="7.7109375" customWidth="1"/>
    <col min="16" max="16" width="28.7109375" customWidth="1"/>
    <col min="17" max="17" width="22.28515625" bestFit="1" customWidth="1"/>
    <col min="18" max="18" width="11.5703125" bestFit="1" customWidth="1"/>
    <col min="19" max="19" width="32.7109375" customWidth="1"/>
    <col min="20" max="20" width="20.28515625" bestFit="1" customWidth="1"/>
    <col min="21" max="21" width="17.7109375" customWidth="1"/>
    <col min="22" max="22" width="20.28515625" bestFit="1" customWidth="1"/>
    <col min="23" max="23" width="17.7109375" customWidth="1"/>
    <col min="24" max="24" width="20.28515625" bestFit="1" customWidth="1"/>
    <col min="25" max="25" width="14.7109375" customWidth="1"/>
    <col min="26" max="26" width="23.7109375" bestFit="1" customWidth="1"/>
    <col min="27" max="27" width="20.140625" bestFit="1" customWidth="1"/>
    <col min="28" max="28" width="17.7109375" customWidth="1"/>
    <col min="29" max="29" width="20.140625" bestFit="1" customWidth="1"/>
    <col min="30" max="30" width="17.7109375" customWidth="1"/>
    <col min="31" max="31" width="20.140625" bestFit="1" customWidth="1"/>
    <col min="32" max="33" width="20.7109375" customWidth="1"/>
    <col min="34" max="37" width="17.7109375" customWidth="1"/>
    <col min="38" max="39" width="0" hidden="1" customWidth="1"/>
    <col min="40" max="40" width="13" hidden="1" customWidth="1"/>
  </cols>
  <sheetData>
    <row r="1" spans="1:36">
      <c r="E1" s="5"/>
    </row>
    <row r="2" spans="1:36">
      <c r="E2" s="5"/>
    </row>
    <row r="3" spans="1:36" ht="15.75" thickBot="1">
      <c r="C3" t="s">
        <v>1</v>
      </c>
      <c r="E3" s="5" t="s">
        <v>1</v>
      </c>
      <c r="F3" t="s">
        <v>1</v>
      </c>
      <c r="N3" t="s">
        <v>1</v>
      </c>
      <c r="S3" t="s">
        <v>1</v>
      </c>
      <c r="U3" t="s">
        <v>1</v>
      </c>
    </row>
    <row r="4" spans="1:36" ht="21.75" thickTop="1">
      <c r="B4" t="s">
        <v>1</v>
      </c>
      <c r="D4" t="s">
        <v>1</v>
      </c>
      <c r="E4" t="s">
        <v>1</v>
      </c>
      <c r="P4" s="617" t="s">
        <v>108</v>
      </c>
      <c r="Q4" s="618">
        <f>'21'!Q4+'22'!Q9+'22'!Q10+'22'!Q19+'22'!Q20+'22'!Q21+'22'!Q22</f>
        <v>0</v>
      </c>
    </row>
    <row r="5" spans="1:36" ht="21.75" thickBot="1">
      <c r="P5" s="619" t="s">
        <v>109</v>
      </c>
      <c r="Q5" s="620">
        <f>'21'!Q5+'22'!Q25+'22'!Q26+'22'!Q27+'22'!Q28+'22'!Q29+'22'!Q30+'22'!Q31</f>
        <v>0</v>
      </c>
      <c r="AH5" t="s">
        <v>1</v>
      </c>
    </row>
    <row r="6" spans="1:36" ht="48" thickTop="1" thickBot="1">
      <c r="A6" s="1502">
        <f>'Main Page'!E38</f>
        <v>44887</v>
      </c>
      <c r="B6" s="1507"/>
      <c r="C6" s="1507"/>
      <c r="D6" s="1507"/>
      <c r="E6" s="1507"/>
      <c r="F6" s="1507"/>
      <c r="G6" s="1507"/>
      <c r="H6" s="1507"/>
      <c r="I6" s="1507"/>
      <c r="J6" s="1507"/>
      <c r="K6" s="1507"/>
      <c r="L6" s="1507"/>
      <c r="M6" s="1507"/>
      <c r="N6" s="1507"/>
      <c r="O6" s="1507"/>
      <c r="P6" s="1507"/>
      <c r="Q6" s="1515"/>
      <c r="R6" t="s">
        <v>1</v>
      </c>
      <c r="S6" s="1502">
        <f>A6</f>
        <v>44887</v>
      </c>
      <c r="T6" s="1503"/>
      <c r="U6" s="1503"/>
      <c r="V6" s="1503"/>
      <c r="W6" s="1503"/>
      <c r="X6" s="1503"/>
      <c r="Y6" s="1503"/>
      <c r="Z6" s="1503"/>
      <c r="AA6" s="1503"/>
      <c r="AB6" s="1503"/>
      <c r="AC6" s="1503"/>
      <c r="AD6" s="1503"/>
      <c r="AE6" s="1504"/>
    </row>
    <row r="7" spans="1:36" ht="39.950000000000003" customHeight="1" thickTop="1" thickBot="1">
      <c r="A7" s="1505" t="s">
        <v>110</v>
      </c>
      <c r="B7" s="1506"/>
      <c r="C7" s="367" t="s">
        <v>97</v>
      </c>
      <c r="D7" s="368" t="s">
        <v>74</v>
      </c>
      <c r="F7" s="363" t="s">
        <v>111</v>
      </c>
      <c r="G7" s="364" t="s">
        <v>112</v>
      </c>
      <c r="H7" s="365" t="s">
        <v>113</v>
      </c>
      <c r="I7" s="365" t="s">
        <v>26</v>
      </c>
      <c r="J7" s="365" t="s">
        <v>114</v>
      </c>
      <c r="K7" s="366" t="s">
        <v>115</v>
      </c>
      <c r="L7" s="365" t="s">
        <v>116</v>
      </c>
      <c r="M7" s="365" t="s">
        <v>117</v>
      </c>
      <c r="N7" s="365" t="s">
        <v>118</v>
      </c>
      <c r="P7" s="1510" t="s">
        <v>69</v>
      </c>
      <c r="Q7" s="1511"/>
      <c r="S7" s="380" t="s">
        <v>58</v>
      </c>
      <c r="T7" s="380" t="s">
        <v>59</v>
      </c>
      <c r="U7" s="380" t="s">
        <v>119</v>
      </c>
      <c r="V7" s="380" t="s">
        <v>74</v>
      </c>
      <c r="W7" s="380" t="s">
        <v>120</v>
      </c>
      <c r="X7" s="380" t="s">
        <v>59</v>
      </c>
      <c r="Z7" s="367" t="s">
        <v>121</v>
      </c>
      <c r="AA7" s="367" t="s">
        <v>97</v>
      </c>
      <c r="AB7" s="415" t="s">
        <v>122</v>
      </c>
      <c r="AC7" s="416" t="s">
        <v>90</v>
      </c>
      <c r="AD7" s="367" t="s">
        <v>56</v>
      </c>
      <c r="AE7" s="381" t="s">
        <v>100</v>
      </c>
      <c r="AF7" s="560" t="s">
        <v>122</v>
      </c>
      <c r="AG7" s="570" t="s">
        <v>56</v>
      </c>
      <c r="AI7" s="1487" t="s">
        <v>123</v>
      </c>
      <c r="AJ7" s="1488"/>
    </row>
    <row r="8" spans="1:36" ht="27" customHeight="1" thickTop="1" thickBot="1">
      <c r="A8" s="717" t="s">
        <v>482</v>
      </c>
      <c r="B8" s="233">
        <v>194000</v>
      </c>
      <c r="C8" s="463"/>
      <c r="D8" s="233"/>
      <c r="F8" s="478" t="str">
        <f>'21'!F8</f>
        <v>ISHAQ ANSARI</v>
      </c>
      <c r="G8" s="405">
        <f>'CUSTOMERS REPORT'!Y29</f>
        <v>0</v>
      </c>
      <c r="H8" s="503">
        <f>'CUSTOMERS REPORT'!Z29</f>
        <v>0</v>
      </c>
      <c r="I8" s="405">
        <f>'CUSTOMERS REPORT'!AA29</f>
        <v>0</v>
      </c>
      <c r="J8" s="497">
        <f>'CUSTOMERS REPORT'!AB29</f>
        <v>0</v>
      </c>
      <c r="K8" s="497">
        <f>'CUSTOMERS REPORT'!AC29</f>
        <v>0</v>
      </c>
      <c r="L8" s="508">
        <f>'CUSTOMERS REPORT'!AD29</f>
        <v>0</v>
      </c>
      <c r="M8" s="413">
        <f>'21'!M8+'22'!G8</f>
        <v>0</v>
      </c>
      <c r="N8" s="411">
        <f>'21'!N8+'22'!J8</f>
        <v>0</v>
      </c>
      <c r="P8" s="191" t="s">
        <v>124</v>
      </c>
      <c r="Q8" s="223">
        <f>'21'!Q32</f>
        <v>0</v>
      </c>
      <c r="S8" s="399" t="str">
        <f>'21'!S8</f>
        <v>FLOUR</v>
      </c>
      <c r="T8" s="446">
        <f>'21'!X8</f>
        <v>-56</v>
      </c>
      <c r="U8" s="455">
        <v>100</v>
      </c>
      <c r="V8" s="450">
        <f t="shared" ref="V8:V43" si="0">SUM(T8:U8)</f>
        <v>44</v>
      </c>
      <c r="W8" s="450">
        <v>26</v>
      </c>
      <c r="X8" s="446">
        <f t="shared" ref="X8:X43" si="1">V8-W8</f>
        <v>18</v>
      </c>
      <c r="Z8" s="382" t="str">
        <f>'21'!Z8</f>
        <v>GHAZI</v>
      </c>
      <c r="AA8" s="464">
        <f>'21'!AE8</f>
        <v>-300000</v>
      </c>
      <c r="AB8" s="459">
        <v>347500</v>
      </c>
      <c r="AC8" s="233">
        <f t="shared" ref="AC8:AC41" si="2">AA8+AB8</f>
        <v>47500</v>
      </c>
      <c r="AD8" s="468"/>
      <c r="AE8" s="463">
        <f t="shared" ref="AE8:AE42" si="3">AC8-AD8</f>
        <v>47500</v>
      </c>
      <c r="AF8" s="563">
        <f>'21'!AF8+'22'!AB8</f>
        <v>347500</v>
      </c>
      <c r="AG8" s="233">
        <f>'21'!AG8+'22'!AD8</f>
        <v>300000</v>
      </c>
      <c r="AH8" s="616">
        <f>AF8-AG8</f>
        <v>47500</v>
      </c>
      <c r="AI8" s="391" t="s">
        <v>126</v>
      </c>
      <c r="AJ8" s="392">
        <f>'21'!AJ10</f>
        <v>126470</v>
      </c>
    </row>
    <row r="9" spans="1:36" ht="27" customHeight="1" thickTop="1">
      <c r="A9" s="718" t="s">
        <v>484</v>
      </c>
      <c r="B9" s="526">
        <v>11400</v>
      </c>
      <c r="C9" s="348"/>
      <c r="D9" s="550"/>
      <c r="F9" s="479" t="str">
        <f>'21'!F9</f>
        <v>MAKKI BAKERY</v>
      </c>
      <c r="G9" s="406">
        <f>'CUSTOMERS REPORT'!Y75</f>
        <v>0</v>
      </c>
      <c r="H9" s="504">
        <f>'CUSTOMERS REPORT'!Z75</f>
        <v>0</v>
      </c>
      <c r="I9" s="406">
        <f>'CUSTOMERS REPORT'!AA75</f>
        <v>0</v>
      </c>
      <c r="J9" s="498">
        <f>'CUSTOMERS REPORT'!AB75</f>
        <v>0</v>
      </c>
      <c r="K9" s="498">
        <f>'CUSTOMERS REPORT'!AC75</f>
        <v>0</v>
      </c>
      <c r="L9" s="509">
        <f>'CUSTOMERS REPORT'!AD75</f>
        <v>0</v>
      </c>
      <c r="M9" s="414">
        <f>'21'!M9+'22'!G9</f>
        <v>0</v>
      </c>
      <c r="N9" s="412">
        <f>'21'!N9+'22'!J9</f>
        <v>0</v>
      </c>
      <c r="P9" s="432"/>
      <c r="Q9" s="436"/>
      <c r="S9" s="400" t="str">
        <f>'21'!S9</f>
        <v>SUGAR</v>
      </c>
      <c r="T9" s="446">
        <f>'21'!X9</f>
        <v>-1230</v>
      </c>
      <c r="U9" s="456"/>
      <c r="V9" s="451">
        <f t="shared" si="0"/>
        <v>-1230</v>
      </c>
      <c r="W9" s="451">
        <v>455</v>
      </c>
      <c r="X9" s="447">
        <f t="shared" si="1"/>
        <v>-1685</v>
      </c>
      <c r="Z9" s="375" t="str">
        <f>'21'!Z9</f>
        <v>SOHNI</v>
      </c>
      <c r="AA9" s="464">
        <f>'21'!AE9</f>
        <v>120000</v>
      </c>
      <c r="AB9" s="460"/>
      <c r="AC9" s="462">
        <f t="shared" si="2"/>
        <v>120000</v>
      </c>
      <c r="AD9" s="469"/>
      <c r="AE9" s="348">
        <f t="shared" si="3"/>
        <v>120000</v>
      </c>
      <c r="AF9" s="563">
        <f>'21'!AF9+'22'!AB9</f>
        <v>370000</v>
      </c>
      <c r="AG9" s="234">
        <f>'21'!AG9+'22'!AD9</f>
        <v>250000</v>
      </c>
      <c r="AH9" s="616">
        <f t="shared" ref="AH9:AH23" si="4">AF9-AG9</f>
        <v>120000</v>
      </c>
      <c r="AI9" s="393" t="s">
        <v>128</v>
      </c>
      <c r="AJ9" s="394">
        <f>B26</f>
        <v>0</v>
      </c>
    </row>
    <row r="10" spans="1:36" ht="27" customHeight="1" thickBot="1">
      <c r="A10" s="718" t="s">
        <v>495</v>
      </c>
      <c r="B10" s="528">
        <v>23200</v>
      </c>
      <c r="C10" s="350"/>
      <c r="D10" s="550"/>
      <c r="F10" s="479" t="str">
        <f>'21'!F10</f>
        <v>ABID HUSSAIN</v>
      </c>
      <c r="G10" s="406">
        <f>'CUSTOMERS REPORT'!Y113</f>
        <v>0</v>
      </c>
      <c r="H10" s="504">
        <f>'CUSTOMERS REPORT'!Z113</f>
        <v>0</v>
      </c>
      <c r="I10" s="406">
        <f>'CUSTOMERS REPORT'!AA113</f>
        <v>0</v>
      </c>
      <c r="J10" s="498">
        <f>'CUSTOMERS REPORT'!AB113</f>
        <v>0</v>
      </c>
      <c r="K10" s="498">
        <f>'CUSTOMERS REPORT'!AC113</f>
        <v>0</v>
      </c>
      <c r="L10" s="509">
        <f>'CUSTOMERS REPORT'!AD113</f>
        <v>0</v>
      </c>
      <c r="M10" s="414">
        <f>'21'!M10+'22'!G10</f>
        <v>0</v>
      </c>
      <c r="N10" s="412">
        <f>'21'!N10+'22'!J10</f>
        <v>0</v>
      </c>
      <c r="P10" s="433"/>
      <c r="Q10" s="437"/>
      <c r="S10" s="400" t="str">
        <f>'21'!S10</f>
        <v>GHEE</v>
      </c>
      <c r="T10" s="446">
        <f>'21'!X10</f>
        <v>-15</v>
      </c>
      <c r="U10" s="456"/>
      <c r="V10" s="451">
        <f t="shared" si="0"/>
        <v>-15</v>
      </c>
      <c r="W10" s="451">
        <v>7</v>
      </c>
      <c r="X10" s="447">
        <f t="shared" si="1"/>
        <v>-22</v>
      </c>
      <c r="Z10" s="375" t="str">
        <f>'21'!Z10</f>
        <v>HUSSAINI</v>
      </c>
      <c r="AA10" s="464">
        <f>'21'!AE10</f>
        <v>-94100</v>
      </c>
      <c r="AB10" s="460"/>
      <c r="AC10" s="462">
        <f t="shared" si="2"/>
        <v>-94100</v>
      </c>
      <c r="AD10" s="469"/>
      <c r="AE10" s="348">
        <f t="shared" si="3"/>
        <v>-94100</v>
      </c>
      <c r="AF10" s="563">
        <f>'21'!AF10+'22'!AB10</f>
        <v>62000</v>
      </c>
      <c r="AG10" s="234">
        <f>'21'!AG10+'22'!AD10</f>
        <v>156100</v>
      </c>
      <c r="AH10" s="616">
        <f t="shared" si="4"/>
        <v>-94100</v>
      </c>
      <c r="AI10" s="395" t="s">
        <v>74</v>
      </c>
      <c r="AJ10" s="396">
        <f>AJ8+AJ9</f>
        <v>126470</v>
      </c>
    </row>
    <row r="11" spans="1:36" ht="27" customHeight="1" thickTop="1">
      <c r="A11" s="718" t="s">
        <v>497</v>
      </c>
      <c r="B11" s="528">
        <v>220</v>
      </c>
      <c r="C11" s="350"/>
      <c r="D11" s="550"/>
      <c r="F11" s="479" t="str">
        <f>'21'!F11</f>
        <v>SHAHID 5 #</v>
      </c>
      <c r="G11" s="406">
        <f>'CUSTOMERS REPORT'!Y152</f>
        <v>0</v>
      </c>
      <c r="H11" s="504">
        <f>'CUSTOMERS REPORT'!Z152</f>
        <v>0</v>
      </c>
      <c r="I11" s="406">
        <f>'CUSTOMERS REPORT'!AA152</f>
        <v>0</v>
      </c>
      <c r="J11" s="498">
        <f>'CUSTOMERS REPORT'!AB152</f>
        <v>0</v>
      </c>
      <c r="K11" s="498">
        <f>'CUSTOMERS REPORT'!AC152</f>
        <v>0</v>
      </c>
      <c r="L11" s="509">
        <f>'CUSTOMERS REPORT'!AD152</f>
        <v>0</v>
      </c>
      <c r="M11" s="414">
        <f>'21'!M11+'22'!G11</f>
        <v>0</v>
      </c>
      <c r="N11" s="412">
        <f>'21'!N11+'22'!J11</f>
        <v>0</v>
      </c>
      <c r="P11" s="433"/>
      <c r="Q11" s="437"/>
      <c r="S11" s="400" t="str">
        <f>'21'!S11</f>
        <v>YEAST</v>
      </c>
      <c r="T11" s="446">
        <f>'21'!X11</f>
        <v>-79</v>
      </c>
      <c r="U11" s="456"/>
      <c r="V11" s="451">
        <f t="shared" ref="V11:V20" si="5">SUM(T11:U11)</f>
        <v>-79</v>
      </c>
      <c r="W11" s="451">
        <v>13</v>
      </c>
      <c r="X11" s="447">
        <f t="shared" ref="X11:X20" si="6">V11-W11</f>
        <v>-92</v>
      </c>
      <c r="Z11" s="375" t="str">
        <f>'21'!Z11</f>
        <v>IMRAN ALAM</v>
      </c>
      <c r="AA11" s="464">
        <f>'21'!AE11</f>
        <v>-145000</v>
      </c>
      <c r="AB11" s="460"/>
      <c r="AC11" s="462">
        <f t="shared" ref="AC11:AC25" si="7">AA11+AB11</f>
        <v>-145000</v>
      </c>
      <c r="AD11" s="469">
        <v>194000</v>
      </c>
      <c r="AE11" s="348">
        <f t="shared" ref="AE11:AE25" si="8">AC11-AD11</f>
        <v>-339000</v>
      </c>
      <c r="AF11" s="563">
        <f>'21'!AF11+'22'!AB11</f>
        <v>0</v>
      </c>
      <c r="AG11" s="234">
        <f>'21'!AG11+'22'!AD11</f>
        <v>339000</v>
      </c>
      <c r="AH11" s="616"/>
      <c r="AI11" s="1031"/>
      <c r="AJ11" s="1032"/>
    </row>
    <row r="12" spans="1:36" ht="27" customHeight="1">
      <c r="A12" s="718" t="s">
        <v>496</v>
      </c>
      <c r="B12" s="528">
        <v>100</v>
      </c>
      <c r="C12" s="350"/>
      <c r="D12" s="550"/>
      <c r="F12" s="479" t="str">
        <f>'21'!F12</f>
        <v>ZULFIQAR</v>
      </c>
      <c r="G12" s="406">
        <f>'CUSTOMERS REPORT'!Y190</f>
        <v>0</v>
      </c>
      <c r="H12" s="504">
        <f>'CUSTOMERS REPORT'!Z190</f>
        <v>0</v>
      </c>
      <c r="I12" s="406">
        <f>'CUSTOMERS REPORT'!AA190</f>
        <v>0</v>
      </c>
      <c r="J12" s="498">
        <f>'CUSTOMERS REPORT'!AB190</f>
        <v>0</v>
      </c>
      <c r="K12" s="498">
        <f>'CUSTOMERS REPORT'!AC190</f>
        <v>0</v>
      </c>
      <c r="L12" s="509">
        <f>'CUSTOMERS REPORT'!AD190</f>
        <v>0</v>
      </c>
      <c r="M12" s="414">
        <f>'21'!M12+'22'!G12</f>
        <v>0</v>
      </c>
      <c r="N12" s="412">
        <f>'21'!N12+'22'!J12</f>
        <v>0</v>
      </c>
      <c r="P12" s="433"/>
      <c r="Q12" s="437"/>
      <c r="S12" s="400" t="str">
        <f>'21'!S12</f>
        <v xml:space="preserve">EKKA </v>
      </c>
      <c r="T12" s="446">
        <f>'21'!X12</f>
        <v>0</v>
      </c>
      <c r="U12" s="456"/>
      <c r="V12" s="451">
        <f t="shared" si="5"/>
        <v>0</v>
      </c>
      <c r="W12" s="451"/>
      <c r="X12" s="447">
        <f t="shared" si="6"/>
        <v>0</v>
      </c>
      <c r="Z12" s="375" t="str">
        <f>'21'!Z12</f>
        <v>ZAHEER</v>
      </c>
      <c r="AA12" s="464">
        <f>'21'!AE12</f>
        <v>0</v>
      </c>
      <c r="AB12" s="460"/>
      <c r="AC12" s="462">
        <f t="shared" si="7"/>
        <v>0</v>
      </c>
      <c r="AD12" s="469">
        <v>23200</v>
      </c>
      <c r="AE12" s="348">
        <f t="shared" si="8"/>
        <v>-23200</v>
      </c>
      <c r="AF12" s="563">
        <f>'21'!AF12+'22'!AB12</f>
        <v>0</v>
      </c>
      <c r="AG12" s="234">
        <f>'21'!AG12+'22'!AD12</f>
        <v>23200</v>
      </c>
      <c r="AH12" s="616"/>
      <c r="AI12" s="1031"/>
      <c r="AJ12" s="1032"/>
    </row>
    <row r="13" spans="1:36" ht="27" customHeight="1">
      <c r="A13" s="718"/>
      <c r="B13" s="528"/>
      <c r="C13" s="350"/>
      <c r="D13" s="550"/>
      <c r="F13" s="479" t="str">
        <f>'21'!F13</f>
        <v>QASIM ORANGI</v>
      </c>
      <c r="G13" s="406">
        <f>'CUSTOMERS REPORT'!Y230</f>
        <v>0</v>
      </c>
      <c r="H13" s="504">
        <f>'CUSTOMERS REPORT'!Z230</f>
        <v>0</v>
      </c>
      <c r="I13" s="406">
        <f>'CUSTOMERS REPORT'!AA230</f>
        <v>0</v>
      </c>
      <c r="J13" s="498">
        <f>'CUSTOMERS REPORT'!AB230</f>
        <v>0</v>
      </c>
      <c r="K13" s="498">
        <f>'CUSTOMERS REPORT'!AC230</f>
        <v>0</v>
      </c>
      <c r="L13" s="509">
        <f>'CUSTOMERS REPORT'!AD230</f>
        <v>0</v>
      </c>
      <c r="M13" s="414">
        <f>'21'!M13+'22'!G13</f>
        <v>0</v>
      </c>
      <c r="N13" s="412">
        <f>'21'!N13+'22'!J13</f>
        <v>0</v>
      </c>
      <c r="P13" s="433"/>
      <c r="Q13" s="437"/>
      <c r="S13" s="400" t="str">
        <f>'21'!S13</f>
        <v>VANILLA</v>
      </c>
      <c r="T13" s="446">
        <f>'21'!X13</f>
        <v>0</v>
      </c>
      <c r="U13" s="456"/>
      <c r="V13" s="451">
        <f t="shared" si="5"/>
        <v>0</v>
      </c>
      <c r="W13" s="451"/>
      <c r="X13" s="447">
        <f t="shared" si="6"/>
        <v>0</v>
      </c>
      <c r="Z13" s="375" t="str">
        <f>'21'!Z13</f>
        <v>FAISAL</v>
      </c>
      <c r="AA13" s="464">
        <f>'21'!AE13</f>
        <v>-100000</v>
      </c>
      <c r="AB13" s="460"/>
      <c r="AC13" s="462">
        <f t="shared" si="7"/>
        <v>-100000</v>
      </c>
      <c r="AD13" s="469"/>
      <c r="AE13" s="348">
        <f t="shared" si="8"/>
        <v>-100000</v>
      </c>
      <c r="AF13" s="563">
        <f>'21'!AF13+'22'!AB13</f>
        <v>0</v>
      </c>
      <c r="AG13" s="234">
        <f>'21'!AG13+'22'!AD13</f>
        <v>100000</v>
      </c>
      <c r="AH13" s="616"/>
      <c r="AI13" s="1031"/>
      <c r="AJ13" s="1032"/>
    </row>
    <row r="14" spans="1:36" ht="27" customHeight="1">
      <c r="A14" s="718"/>
      <c r="B14" s="528"/>
      <c r="C14" s="350"/>
      <c r="D14" s="550"/>
      <c r="F14" s="479" t="str">
        <f>'21'!F14</f>
        <v>BADSHAH KHAN HYD</v>
      </c>
      <c r="G14" s="406">
        <f>'CUSTOMERS REPORT'!Y267</f>
        <v>0</v>
      </c>
      <c r="H14" s="504">
        <f>'CUSTOMERS REPORT'!Z267</f>
        <v>0</v>
      </c>
      <c r="I14" s="406">
        <f>'CUSTOMERS REPORT'!AA267</f>
        <v>0</v>
      </c>
      <c r="J14" s="498">
        <f>'CUSTOMERS REPORT'!AB267</f>
        <v>0</v>
      </c>
      <c r="K14" s="498">
        <f>'CUSTOMERS REPORT'!AC267</f>
        <v>0</v>
      </c>
      <c r="L14" s="509">
        <f>'CUSTOMERS REPORT'!AD267</f>
        <v>0</v>
      </c>
      <c r="M14" s="414">
        <f>'21'!M14+'22'!G14</f>
        <v>0</v>
      </c>
      <c r="N14" s="412">
        <f>'21'!N14+'22'!J14</f>
        <v>0</v>
      </c>
      <c r="P14" s="433"/>
      <c r="Q14" s="437"/>
      <c r="S14" s="400" t="str">
        <f>'21'!S14</f>
        <v>COLOUR</v>
      </c>
      <c r="T14" s="446">
        <f>'21'!X14</f>
        <v>25</v>
      </c>
      <c r="U14" s="456"/>
      <c r="V14" s="451">
        <f t="shared" si="5"/>
        <v>25</v>
      </c>
      <c r="W14" s="451"/>
      <c r="X14" s="447">
        <f t="shared" si="6"/>
        <v>25</v>
      </c>
      <c r="Z14" s="375" t="str">
        <f>'21'!Z14</f>
        <v>RANA EKKA</v>
      </c>
      <c r="AA14" s="464">
        <f>'21'!AE14</f>
        <v>0</v>
      </c>
      <c r="AB14" s="460"/>
      <c r="AC14" s="462">
        <f t="shared" si="7"/>
        <v>0</v>
      </c>
      <c r="AD14" s="469"/>
      <c r="AE14" s="348">
        <f t="shared" si="8"/>
        <v>0</v>
      </c>
      <c r="AF14" s="563">
        <f>'21'!AF14+'22'!AB14</f>
        <v>0</v>
      </c>
      <c r="AG14" s="234">
        <f>'21'!AG14+'22'!AD14</f>
        <v>0</v>
      </c>
      <c r="AH14" s="616"/>
      <c r="AI14" s="1031"/>
      <c r="AJ14" s="1032"/>
    </row>
    <row r="15" spans="1:36" ht="27" customHeight="1">
      <c r="A15" s="718"/>
      <c r="B15" s="528"/>
      <c r="C15" s="350"/>
      <c r="D15" s="550"/>
      <c r="F15" s="479" t="str">
        <f>'21'!F15</f>
        <v>SHAMOON</v>
      </c>
      <c r="G15" s="406">
        <f>'CUSTOMERS REPORT'!Y307</f>
        <v>0</v>
      </c>
      <c r="H15" s="504">
        <f>'CUSTOMERS REPORT'!Z307</f>
        <v>0</v>
      </c>
      <c r="I15" s="406">
        <f>'CUSTOMERS REPORT'!AA307</f>
        <v>0</v>
      </c>
      <c r="J15" s="498">
        <f>'CUSTOMERS REPORT'!AB307</f>
        <v>0</v>
      </c>
      <c r="K15" s="498">
        <f>'CUSTOMERS REPORT'!AC307</f>
        <v>0</v>
      </c>
      <c r="L15" s="509">
        <f>'CUSTOMERS REPORT'!AD307</f>
        <v>0</v>
      </c>
      <c r="M15" s="414">
        <f>'21'!M15+'22'!G15</f>
        <v>0</v>
      </c>
      <c r="N15" s="412">
        <f>'21'!N15+'22'!J15</f>
        <v>0</v>
      </c>
      <c r="P15" s="433"/>
      <c r="Q15" s="437"/>
      <c r="S15" s="400" t="str">
        <f>'21'!S15</f>
        <v>TILL</v>
      </c>
      <c r="T15" s="446">
        <f>'21'!X15</f>
        <v>0</v>
      </c>
      <c r="U15" s="456"/>
      <c r="V15" s="451">
        <f t="shared" si="5"/>
        <v>0</v>
      </c>
      <c r="W15" s="451"/>
      <c r="X15" s="447">
        <f t="shared" si="6"/>
        <v>0</v>
      </c>
      <c r="Z15" s="375" t="str">
        <f>'21'!Z15</f>
        <v>sheeba</v>
      </c>
      <c r="AA15" s="464">
        <f>'21'!AE15</f>
        <v>-410250</v>
      </c>
      <c r="AB15" s="460"/>
      <c r="AC15" s="462">
        <f t="shared" si="7"/>
        <v>-410250</v>
      </c>
      <c r="AD15" s="469"/>
      <c r="AE15" s="348">
        <f t="shared" si="8"/>
        <v>-410250</v>
      </c>
      <c r="AF15" s="563">
        <f>'21'!AF15+'22'!AB15</f>
        <v>0</v>
      </c>
      <c r="AG15" s="234">
        <f>'21'!AG15+'22'!AD15</f>
        <v>410250</v>
      </c>
      <c r="AH15" s="616"/>
      <c r="AI15" s="1031"/>
      <c r="AJ15" s="1032"/>
    </row>
    <row r="16" spans="1:36" ht="27" customHeight="1">
      <c r="A16" s="718"/>
      <c r="B16" s="528"/>
      <c r="C16" s="350"/>
      <c r="D16" s="550"/>
      <c r="F16" s="479" t="str">
        <f>'21'!F16</f>
        <v>MATEEN</v>
      </c>
      <c r="G16" s="406">
        <f>'CUSTOMERS REPORT'!Y348</f>
        <v>0</v>
      </c>
      <c r="H16" s="504">
        <f>'CUSTOMERS REPORT'!Z348</f>
        <v>0</v>
      </c>
      <c r="I16" s="406">
        <f>'CUSTOMERS REPORT'!AA348</f>
        <v>0</v>
      </c>
      <c r="J16" s="498">
        <f>'CUSTOMERS REPORT'!AB348</f>
        <v>0</v>
      </c>
      <c r="K16" s="498">
        <f>'CUSTOMERS REPORT'!AC348</f>
        <v>0</v>
      </c>
      <c r="L16" s="509">
        <f>'CUSTOMERS REPORT'!AD348</f>
        <v>0</v>
      </c>
      <c r="M16" s="414">
        <f>'21'!M16+'22'!G16</f>
        <v>0</v>
      </c>
      <c r="N16" s="412">
        <f>'21'!N16+'22'!J16</f>
        <v>0</v>
      </c>
      <c r="P16" s="433"/>
      <c r="Q16" s="437"/>
      <c r="S16" s="400" t="str">
        <f>'21'!S16</f>
        <v>ILLAICHI</v>
      </c>
      <c r="T16" s="446">
        <f>'21'!X16</f>
        <v>0</v>
      </c>
      <c r="U16" s="456"/>
      <c r="V16" s="451">
        <f t="shared" si="5"/>
        <v>0</v>
      </c>
      <c r="W16" s="451"/>
      <c r="X16" s="447">
        <f t="shared" si="6"/>
        <v>0</v>
      </c>
      <c r="Z16" s="375" t="str">
        <f>'21'!Z16</f>
        <v>COTTON</v>
      </c>
      <c r="AA16" s="464">
        <f>'21'!AE16</f>
        <v>11400</v>
      </c>
      <c r="AB16" s="460"/>
      <c r="AC16" s="462">
        <f t="shared" si="7"/>
        <v>11400</v>
      </c>
      <c r="AD16" s="469">
        <v>11400</v>
      </c>
      <c r="AE16" s="348">
        <f t="shared" si="8"/>
        <v>0</v>
      </c>
      <c r="AF16" s="563">
        <f>'21'!AF16+'22'!AB16</f>
        <v>26400</v>
      </c>
      <c r="AG16" s="234">
        <f>'21'!AG16+'22'!AD16</f>
        <v>26400</v>
      </c>
      <c r="AH16" s="616"/>
      <c r="AI16" s="1031"/>
      <c r="AJ16" s="1032"/>
    </row>
    <row r="17" spans="1:36" ht="27" customHeight="1">
      <c r="A17" s="718"/>
      <c r="B17" s="528"/>
      <c r="C17" s="350"/>
      <c r="D17" s="550"/>
      <c r="F17" s="479" t="str">
        <f>'21'!F17</f>
        <v>AMJAD ORANGI</v>
      </c>
      <c r="G17" s="406">
        <f>'CUSTOMERS REPORT'!Y390</f>
        <v>0</v>
      </c>
      <c r="H17" s="504">
        <f>'CUSTOMERS REPORT'!Z390</f>
        <v>0</v>
      </c>
      <c r="I17" s="406">
        <f>'CUSTOMERS REPORT'!AA390</f>
        <v>0</v>
      </c>
      <c r="J17" s="498">
        <f>'CUSTOMERS REPORT'!AB390</f>
        <v>0</v>
      </c>
      <c r="K17" s="498">
        <f>'CUSTOMERS REPORT'!AC390</f>
        <v>0</v>
      </c>
      <c r="L17" s="509">
        <f>'CUSTOMERS REPORT'!AD390</f>
        <v>0</v>
      </c>
      <c r="M17" s="414">
        <f>'21'!M17+'22'!G17</f>
        <v>0</v>
      </c>
      <c r="N17" s="412">
        <f>'21'!N17+'22'!J17</f>
        <v>0</v>
      </c>
      <c r="P17" s="433"/>
      <c r="Q17" s="437"/>
      <c r="S17" s="400" t="str">
        <f>'21'!S17</f>
        <v>S-THELLI</v>
      </c>
      <c r="T17" s="446">
        <f>'21'!X17</f>
        <v>0</v>
      </c>
      <c r="U17" s="456"/>
      <c r="V17" s="451">
        <f t="shared" si="5"/>
        <v>0</v>
      </c>
      <c r="W17" s="451"/>
      <c r="X17" s="447">
        <f t="shared" si="6"/>
        <v>0</v>
      </c>
      <c r="Z17" s="375" t="str">
        <f>'21'!Z17</f>
        <v>SHAHID UP</v>
      </c>
      <c r="AA17" s="464">
        <f>'21'!AE17</f>
        <v>0</v>
      </c>
      <c r="AB17" s="460"/>
      <c r="AC17" s="462">
        <f t="shared" si="7"/>
        <v>0</v>
      </c>
      <c r="AD17" s="469"/>
      <c r="AE17" s="348">
        <f t="shared" si="8"/>
        <v>0</v>
      </c>
      <c r="AF17" s="563">
        <f>'21'!AF17+'22'!AB17</f>
        <v>21250</v>
      </c>
      <c r="AG17" s="234">
        <f>'21'!AG17+'22'!AD17</f>
        <v>21250</v>
      </c>
      <c r="AH17" s="616"/>
      <c r="AI17" s="1031"/>
      <c r="AJ17" s="1032"/>
    </row>
    <row r="18" spans="1:36" ht="27" customHeight="1">
      <c r="A18" s="718"/>
      <c r="B18" s="528"/>
      <c r="C18" s="350"/>
      <c r="D18" s="550"/>
      <c r="F18" s="479" t="str">
        <f>'21'!F18</f>
        <v>HAFIZ DRIVER</v>
      </c>
      <c r="G18" s="406">
        <f>'CUSTOMERS REPORT'!Y429</f>
        <v>0</v>
      </c>
      <c r="H18" s="504">
        <f>'CUSTOMERS REPORT'!Z429</f>
        <v>0</v>
      </c>
      <c r="I18" s="406">
        <f>'CUSTOMERS REPORT'!AA429</f>
        <v>0</v>
      </c>
      <c r="J18" s="498">
        <f>'CUSTOMERS REPORT'!AB429</f>
        <v>0</v>
      </c>
      <c r="K18" s="498">
        <f>'CUSTOMERS REPORT'!AC429</f>
        <v>0</v>
      </c>
      <c r="L18" s="509">
        <f>'CUSTOMERS REPORT'!AD429</f>
        <v>0</v>
      </c>
      <c r="M18" s="414">
        <f>'21'!M18+'22'!G18</f>
        <v>0</v>
      </c>
      <c r="N18" s="412">
        <f>'21'!N18+'22'!J18</f>
        <v>0</v>
      </c>
      <c r="P18" s="433"/>
      <c r="Q18" s="437"/>
      <c r="S18" s="400" t="str">
        <f>'21'!S18</f>
        <v>P-THELLI</v>
      </c>
      <c r="T18" s="446">
        <f>'21'!X18</f>
        <v>0</v>
      </c>
      <c r="U18" s="456"/>
      <c r="V18" s="451">
        <f t="shared" si="5"/>
        <v>0</v>
      </c>
      <c r="W18" s="451"/>
      <c r="X18" s="447">
        <f t="shared" si="6"/>
        <v>0</v>
      </c>
      <c r="Z18" s="375" t="str">
        <f>'21'!Z18</f>
        <v>SALT</v>
      </c>
      <c r="AA18" s="464">
        <f>'21'!AE18</f>
        <v>0</v>
      </c>
      <c r="AB18" s="460"/>
      <c r="AC18" s="462">
        <f t="shared" si="7"/>
        <v>0</v>
      </c>
      <c r="AD18" s="469"/>
      <c r="AE18" s="348">
        <f t="shared" si="8"/>
        <v>0</v>
      </c>
      <c r="AF18" s="563">
        <f>'21'!AF18+'22'!AB18</f>
        <v>1500</v>
      </c>
      <c r="AG18" s="234">
        <f>'21'!AG18+'22'!AD18</f>
        <v>1500</v>
      </c>
      <c r="AH18" s="616"/>
      <c r="AI18" s="1031"/>
      <c r="AJ18" s="1032"/>
    </row>
    <row r="19" spans="1:36" ht="27" customHeight="1" thickBot="1">
      <c r="A19" s="719"/>
      <c r="B19" s="529"/>
      <c r="C19" s="350"/>
      <c r="D19" s="550"/>
      <c r="F19" s="479" t="str">
        <f>'21'!F19</f>
        <v>GHULAM QUETTA</v>
      </c>
      <c r="G19" s="406">
        <f>'CUSTOMERS REPORT'!Y467</f>
        <v>0</v>
      </c>
      <c r="H19" s="504">
        <f>'CUSTOMERS REPORT'!Z467</f>
        <v>0</v>
      </c>
      <c r="I19" s="406">
        <f>'CUSTOMERS REPORT'!AA467</f>
        <v>0</v>
      </c>
      <c r="J19" s="498">
        <f>'CUSTOMERS REPORT'!AB467</f>
        <v>0</v>
      </c>
      <c r="K19" s="498">
        <f>'CUSTOMERS REPORT'!AC467</f>
        <v>0</v>
      </c>
      <c r="L19" s="509">
        <f>'CUSTOMERS REPORT'!AD467</f>
        <v>0</v>
      </c>
      <c r="M19" s="414">
        <f>'21'!M19+'22'!G19</f>
        <v>0</v>
      </c>
      <c r="N19" s="412">
        <f>'21'!N19+'22'!J19</f>
        <v>0</v>
      </c>
      <c r="P19" s="433"/>
      <c r="Q19" s="437"/>
      <c r="S19" s="400" t="str">
        <f>'21'!S19</f>
        <v>RUBBER</v>
      </c>
      <c r="T19" s="446">
        <f>'21'!X19</f>
        <v>0</v>
      </c>
      <c r="U19" s="456"/>
      <c r="V19" s="451">
        <f t="shared" si="5"/>
        <v>0</v>
      </c>
      <c r="W19" s="451"/>
      <c r="X19" s="447">
        <f t="shared" si="6"/>
        <v>0</v>
      </c>
      <c r="Z19" s="375" t="str">
        <f>'21'!Z19</f>
        <v>NAVEED</v>
      </c>
      <c r="AA19" s="464">
        <f>'21'!AE19</f>
        <v>0</v>
      </c>
      <c r="AB19" s="460"/>
      <c r="AC19" s="462">
        <f t="shared" si="7"/>
        <v>0</v>
      </c>
      <c r="AD19" s="469"/>
      <c r="AE19" s="348">
        <f t="shared" si="8"/>
        <v>0</v>
      </c>
      <c r="AF19" s="563">
        <f>'21'!AF19+'22'!AB19</f>
        <v>0</v>
      </c>
      <c r="AG19" s="234">
        <f>'21'!AG19+'22'!AD19</f>
        <v>0</v>
      </c>
      <c r="AH19" s="616">
        <f t="shared" si="4"/>
        <v>0</v>
      </c>
    </row>
    <row r="20" spans="1:36" ht="27" customHeight="1" thickTop="1" thickBot="1">
      <c r="A20" s="719"/>
      <c r="B20" s="529"/>
      <c r="C20" s="350"/>
      <c r="D20" s="550"/>
      <c r="F20" s="479" t="str">
        <f>'21'!F20</f>
        <v>HUSSAN GWADAR</v>
      </c>
      <c r="G20" s="406">
        <f>'CUSTOMERS REPORT'!Y503</f>
        <v>0</v>
      </c>
      <c r="H20" s="504">
        <f>'CUSTOMERS REPORT'!Z503</f>
        <v>0</v>
      </c>
      <c r="I20" s="406">
        <f>'CUSTOMERS REPORT'!AA503</f>
        <v>0</v>
      </c>
      <c r="J20" s="498">
        <f>'CUSTOMERS REPORT'!AB503</f>
        <v>0</v>
      </c>
      <c r="K20" s="498">
        <f>'CUSTOMERS REPORT'!AC503</f>
        <v>0</v>
      </c>
      <c r="L20" s="509">
        <f>'CUSTOMERS REPORT'!AD503</f>
        <v>0</v>
      </c>
      <c r="M20" s="414">
        <f>'21'!M20+'22'!G20</f>
        <v>0</v>
      </c>
      <c r="N20" s="412">
        <f>'21'!N20+'22'!J20</f>
        <v>0</v>
      </c>
      <c r="P20" s="433"/>
      <c r="Q20" s="437"/>
      <c r="S20" s="400" t="str">
        <f>'21'!S20</f>
        <v>SALT</v>
      </c>
      <c r="T20" s="446">
        <f>'21'!X20</f>
        <v>250</v>
      </c>
      <c r="U20" s="456"/>
      <c r="V20" s="451">
        <f t="shared" si="5"/>
        <v>250</v>
      </c>
      <c r="W20" s="451"/>
      <c r="X20" s="447">
        <f t="shared" si="6"/>
        <v>250</v>
      </c>
      <c r="Z20" s="375" t="str">
        <f>'21'!Z20</f>
        <v>YOUSUF BHAI</v>
      </c>
      <c r="AA20" s="464">
        <f>'21'!AE20</f>
        <v>-53300</v>
      </c>
      <c r="AB20" s="460"/>
      <c r="AC20" s="462">
        <f t="shared" si="7"/>
        <v>-53300</v>
      </c>
      <c r="AD20" s="469"/>
      <c r="AE20" s="348">
        <f t="shared" si="8"/>
        <v>-53300</v>
      </c>
      <c r="AF20" s="563">
        <f>'21'!AF20+'22'!AB20</f>
        <v>301100</v>
      </c>
      <c r="AG20" s="234">
        <f>'21'!AG20+'22'!AD20</f>
        <v>354400</v>
      </c>
      <c r="AH20" s="616">
        <f t="shared" si="4"/>
        <v>-53300</v>
      </c>
      <c r="AI20" s="1487" t="s">
        <v>132</v>
      </c>
      <c r="AJ20" s="1488"/>
    </row>
    <row r="21" spans="1:36" ht="27" customHeight="1" thickTop="1" thickBot="1">
      <c r="A21" s="720"/>
      <c r="B21" s="530"/>
      <c r="C21" s="531"/>
      <c r="D21" s="553"/>
      <c r="F21" s="479" t="str">
        <f>'21'!F21</f>
        <v>AQASH S KOT</v>
      </c>
      <c r="G21" s="406">
        <f>'CUSTOMERS REPORT'!Y540</f>
        <v>0</v>
      </c>
      <c r="H21" s="504">
        <f>'CUSTOMERS REPORT'!Z540</f>
        <v>0</v>
      </c>
      <c r="I21" s="406">
        <f>'CUSTOMERS REPORT'!AA540</f>
        <v>0</v>
      </c>
      <c r="J21" s="498">
        <f>'CUSTOMERS REPORT'!AB540</f>
        <v>0</v>
      </c>
      <c r="K21" s="498">
        <f>'CUSTOMERS REPORT'!AC540</f>
        <v>0</v>
      </c>
      <c r="L21" s="509">
        <f>'CUSTOMERS REPORT'!AD540</f>
        <v>0</v>
      </c>
      <c r="M21" s="414">
        <f>'21'!M21+'22'!G21</f>
        <v>0</v>
      </c>
      <c r="N21" s="412">
        <f>'21'!N21+'22'!J21</f>
        <v>0</v>
      </c>
      <c r="P21" s="433"/>
      <c r="Q21" s="435"/>
      <c r="S21" s="400" t="str">
        <f>'21'!S21</f>
        <v>TAPE</v>
      </c>
      <c r="T21" s="446">
        <f>'21'!X21</f>
        <v>0</v>
      </c>
      <c r="U21" s="456"/>
      <c r="V21" s="451">
        <f t="shared" si="0"/>
        <v>0</v>
      </c>
      <c r="W21" s="451"/>
      <c r="X21" s="447">
        <f t="shared" si="1"/>
        <v>0</v>
      </c>
      <c r="Z21" s="375" t="str">
        <f>'21'!Z21</f>
        <v>SULEMAN  PRINT</v>
      </c>
      <c r="AA21" s="464">
        <f>'21'!AE21</f>
        <v>-312000</v>
      </c>
      <c r="AB21" s="460"/>
      <c r="AC21" s="462">
        <f t="shared" si="7"/>
        <v>-312000</v>
      </c>
      <c r="AD21" s="469"/>
      <c r="AE21" s="348">
        <f t="shared" si="8"/>
        <v>-312000</v>
      </c>
      <c r="AF21" s="563">
        <f>'21'!AF21+'22'!AB21</f>
        <v>0</v>
      </c>
      <c r="AG21" s="234">
        <f>'21'!AG21+'22'!AD21</f>
        <v>312000</v>
      </c>
      <c r="AH21" s="616">
        <f t="shared" si="4"/>
        <v>-312000</v>
      </c>
      <c r="AI21" s="391" t="s">
        <v>126</v>
      </c>
      <c r="AJ21" s="392">
        <f>'21'!AJ23</f>
        <v>140400</v>
      </c>
    </row>
    <row r="22" spans="1:36" ht="27" customHeight="1" thickTop="1" thickBot="1">
      <c r="A22" s="486" t="s">
        <v>74</v>
      </c>
      <c r="B22" s="533">
        <f>SUM(B8:B21)</f>
        <v>228920</v>
      </c>
      <c r="C22" s="534">
        <f>'21'!D22</f>
        <v>2192470</v>
      </c>
      <c r="D22" s="535">
        <f t="shared" ref="D22" si="9">B22+C22</f>
        <v>2421390</v>
      </c>
      <c r="F22" s="479" t="str">
        <f>'21'!F22</f>
        <v>SALEEM T JAM</v>
      </c>
      <c r="G22" s="406">
        <f>'CUSTOMERS REPORT'!Y578</f>
        <v>0</v>
      </c>
      <c r="H22" s="504">
        <f>'CUSTOMERS REPORT'!Z578</f>
        <v>0</v>
      </c>
      <c r="I22" s="406">
        <f>'CUSTOMERS REPORT'!AA578</f>
        <v>0</v>
      </c>
      <c r="J22" s="498">
        <f>'CUSTOMERS REPORT'!AB578</f>
        <v>0</v>
      </c>
      <c r="K22" s="498">
        <f>'CUSTOMERS REPORT'!AC578</f>
        <v>0</v>
      </c>
      <c r="L22" s="509">
        <f>'CUSTOMERS REPORT'!AD578</f>
        <v>0</v>
      </c>
      <c r="M22" s="414">
        <f>'21'!M22+'22'!G22</f>
        <v>0</v>
      </c>
      <c r="N22" s="412">
        <f>'21'!N22+'22'!J22</f>
        <v>0</v>
      </c>
      <c r="P22" s="433"/>
      <c r="Q22" s="438"/>
      <c r="S22" s="400" t="str">
        <f>'21'!S22</f>
        <v>COTTON</v>
      </c>
      <c r="T22" s="446">
        <f>'21'!X22</f>
        <v>220</v>
      </c>
      <c r="U22" s="456"/>
      <c r="V22" s="451">
        <f t="shared" si="0"/>
        <v>220</v>
      </c>
      <c r="W22" s="451"/>
      <c r="X22" s="447">
        <f t="shared" si="1"/>
        <v>220</v>
      </c>
      <c r="Z22" s="375" t="str">
        <f>'21'!Z22</f>
        <v>IRFAN VANILA</v>
      </c>
      <c r="AA22" s="464">
        <f>'21'!AE22</f>
        <v>-110000</v>
      </c>
      <c r="AB22" s="460"/>
      <c r="AC22" s="462">
        <f t="shared" si="7"/>
        <v>-110000</v>
      </c>
      <c r="AD22" s="469"/>
      <c r="AE22" s="348">
        <f t="shared" si="8"/>
        <v>-110000</v>
      </c>
      <c r="AF22" s="563">
        <f>'21'!AF22+'22'!AB22</f>
        <v>0</v>
      </c>
      <c r="AG22" s="234">
        <f>'21'!AG22+'22'!AD22</f>
        <v>110000</v>
      </c>
      <c r="AH22" s="616">
        <f t="shared" si="4"/>
        <v>-110000</v>
      </c>
      <c r="AI22" s="393">
        <f>R56</f>
        <v>13</v>
      </c>
      <c r="AJ22" s="394">
        <f>R56*1800</f>
        <v>23400</v>
      </c>
    </row>
    <row r="23" spans="1:36" ht="27" customHeight="1" thickTop="1" thickBot="1">
      <c r="A23" s="715" t="str">
        <f>'21'!A23</f>
        <v>OFFICE FOOD</v>
      </c>
      <c r="B23" s="462">
        <v>540</v>
      </c>
      <c r="C23" s="536">
        <f>'21'!D23</f>
        <v>2080</v>
      </c>
      <c r="D23" s="537">
        <f t="shared" ref="D23:D48" si="10">B23+C23</f>
        <v>2620</v>
      </c>
      <c r="F23" s="479" t="str">
        <f>'21'!F23</f>
        <v>JAMSHAD BADEEN</v>
      </c>
      <c r="G23" s="406">
        <f>'CUSTOMERS REPORT'!Y614</f>
        <v>0</v>
      </c>
      <c r="H23" s="504">
        <f>'CUSTOMERS REPORT'!Z614</f>
        <v>0</v>
      </c>
      <c r="I23" s="406">
        <f>'CUSTOMERS REPORT'!AA614</f>
        <v>0</v>
      </c>
      <c r="J23" s="498">
        <f>'CUSTOMERS REPORT'!AB614</f>
        <v>0</v>
      </c>
      <c r="K23" s="498">
        <f>'CUSTOMERS REPORT'!AC614</f>
        <v>0</v>
      </c>
      <c r="L23" s="509">
        <f>'CUSTOMERS REPORT'!AD614</f>
        <v>0</v>
      </c>
      <c r="M23" s="414">
        <f>'21'!M23+'22'!G23</f>
        <v>0</v>
      </c>
      <c r="N23" s="412">
        <f>'21'!N23+'22'!J23</f>
        <v>0</v>
      </c>
      <c r="P23" s="190" t="s">
        <v>48</v>
      </c>
      <c r="Q23" s="439">
        <f>SUM(Q8:Q22)</f>
        <v>0</v>
      </c>
      <c r="S23" s="400" t="str">
        <f>'21'!S23</f>
        <v>WHITE 6</v>
      </c>
      <c r="T23" s="446">
        <f>'21'!X23</f>
        <v>0</v>
      </c>
      <c r="U23" s="456"/>
      <c r="V23" s="451">
        <f t="shared" si="0"/>
        <v>0</v>
      </c>
      <c r="W23" s="451"/>
      <c r="X23" s="447">
        <f t="shared" si="1"/>
        <v>0</v>
      </c>
      <c r="Z23" s="375" t="str">
        <f>'21'!Z23</f>
        <v>IRANI GHEE</v>
      </c>
      <c r="AA23" s="464">
        <f>'21'!AE23</f>
        <v>0</v>
      </c>
      <c r="AB23" s="460"/>
      <c r="AC23" s="462">
        <f t="shared" si="7"/>
        <v>0</v>
      </c>
      <c r="AD23" s="469"/>
      <c r="AE23" s="348">
        <f t="shared" si="8"/>
        <v>0</v>
      </c>
      <c r="AF23" s="563">
        <f>'21'!AF23+'22'!AB23</f>
        <v>0</v>
      </c>
      <c r="AG23" s="234">
        <f>'21'!AG23+'22'!AD23</f>
        <v>0</v>
      </c>
      <c r="AH23" s="616">
        <f t="shared" si="4"/>
        <v>0</v>
      </c>
      <c r="AI23" s="395" t="s">
        <v>74</v>
      </c>
      <c r="AJ23" s="396">
        <f>AJ21+AJ22</f>
        <v>163800</v>
      </c>
    </row>
    <row r="24" spans="1:36" ht="27" customHeight="1" thickTop="1" thickBot="1">
      <c r="A24" s="715" t="str">
        <f>'21'!A24</f>
        <v>LABOUR FOOD EXP</v>
      </c>
      <c r="B24" s="234">
        <v>9000</v>
      </c>
      <c r="C24" s="348">
        <f>'21'!D24</f>
        <v>18000</v>
      </c>
      <c r="D24" s="234">
        <f t="shared" si="10"/>
        <v>27000</v>
      </c>
      <c r="F24" s="479" t="str">
        <f>'21'!F24</f>
        <v>SARFAZ MP</v>
      </c>
      <c r="G24" s="406">
        <f>'CUSTOMERS REPORT'!Y652</f>
        <v>0</v>
      </c>
      <c r="H24" s="504">
        <f>'CUSTOMERS REPORT'!Z652</f>
        <v>0</v>
      </c>
      <c r="I24" s="406">
        <f>'CUSTOMERS REPORT'!AA652</f>
        <v>0</v>
      </c>
      <c r="J24" s="498">
        <f>'CUSTOMERS REPORT'!AB652</f>
        <v>0</v>
      </c>
      <c r="K24" s="498">
        <f>'CUSTOMERS REPORT'!AC652</f>
        <v>0</v>
      </c>
      <c r="L24" s="509">
        <f>'CUSTOMERS REPORT'!AD652</f>
        <v>0</v>
      </c>
      <c r="M24" s="414">
        <f>'21'!M24+'22'!G24</f>
        <v>0</v>
      </c>
      <c r="N24" s="412">
        <f>'21'!N24+'22'!J24</f>
        <v>0</v>
      </c>
      <c r="P24" s="1514" t="s">
        <v>137</v>
      </c>
      <c r="Q24" s="1514"/>
      <c r="R24" t="s">
        <v>1</v>
      </c>
      <c r="S24" s="400" t="str">
        <f>'21'!S24</f>
        <v>ORANGE</v>
      </c>
      <c r="T24" s="446">
        <f>'21'!X24</f>
        <v>0</v>
      </c>
      <c r="U24" s="456"/>
      <c r="V24" s="451">
        <f t="shared" si="0"/>
        <v>0</v>
      </c>
      <c r="W24" s="451"/>
      <c r="X24" s="447">
        <f t="shared" si="1"/>
        <v>0</v>
      </c>
      <c r="Z24" s="375">
        <f>'21'!Z24</f>
        <v>0</v>
      </c>
      <c r="AA24" s="464">
        <f>'21'!AE24</f>
        <v>0</v>
      </c>
      <c r="AB24" s="460"/>
      <c r="AC24" s="462">
        <f t="shared" si="7"/>
        <v>0</v>
      </c>
      <c r="AD24" s="469"/>
      <c r="AE24" s="348">
        <f t="shared" si="8"/>
        <v>0</v>
      </c>
      <c r="AF24" s="563">
        <f>'21'!AF24+'22'!AB24</f>
        <v>0</v>
      </c>
      <c r="AG24" s="234">
        <f>'21'!AG24+'22'!AD24</f>
        <v>0</v>
      </c>
    </row>
    <row r="25" spans="1:36" ht="27" customHeight="1" thickTop="1" thickBot="1">
      <c r="A25" s="715" t="str">
        <f>'21'!A25</f>
        <v>OFFICE SALARY</v>
      </c>
      <c r="B25" s="234">
        <f>ATTENDANCE!AS28</f>
        <v>0</v>
      </c>
      <c r="C25" s="348">
        <f>'21'!D25</f>
        <v>32000</v>
      </c>
      <c r="D25" s="234">
        <f t="shared" si="10"/>
        <v>32000</v>
      </c>
      <c r="F25" s="479" t="str">
        <f>'21'!F25</f>
        <v>AFZAL MATLI</v>
      </c>
      <c r="G25" s="406">
        <f>'CUSTOMERS REPORT'!Y690</f>
        <v>0</v>
      </c>
      <c r="H25" s="504">
        <f>'CUSTOMERS REPORT'!Z690</f>
        <v>0</v>
      </c>
      <c r="I25" s="406">
        <f>'CUSTOMERS REPORT'!AA690</f>
        <v>0</v>
      </c>
      <c r="J25" s="498">
        <f>'CUSTOMERS REPORT'!AB690</f>
        <v>0</v>
      </c>
      <c r="K25" s="498">
        <f>'CUSTOMERS REPORT'!AC690</f>
        <v>0</v>
      </c>
      <c r="L25" s="509">
        <f>'CUSTOMERS REPORT'!AD690</f>
        <v>0</v>
      </c>
      <c r="M25" s="414">
        <f>'21'!M25+'22'!G25</f>
        <v>0</v>
      </c>
      <c r="N25" s="412">
        <f>'21'!N25+'22'!J25</f>
        <v>0</v>
      </c>
      <c r="P25" s="434"/>
      <c r="Q25" s="440"/>
      <c r="S25" s="400" t="str">
        <f>'21'!S25</f>
        <v>MAKKI 7</v>
      </c>
      <c r="T25" s="446">
        <f>'21'!X25</f>
        <v>0</v>
      </c>
      <c r="U25" s="456"/>
      <c r="V25" s="451">
        <f t="shared" si="0"/>
        <v>0</v>
      </c>
      <c r="W25" s="451"/>
      <c r="X25" s="447">
        <f t="shared" si="1"/>
        <v>0</v>
      </c>
      <c r="Z25" s="375">
        <f>'21'!Z25</f>
        <v>0</v>
      </c>
      <c r="AA25" s="464">
        <f>'21'!AE25</f>
        <v>0</v>
      </c>
      <c r="AB25" s="460"/>
      <c r="AC25" s="462">
        <f t="shared" si="7"/>
        <v>0</v>
      </c>
      <c r="AD25" s="469"/>
      <c r="AE25" s="348">
        <f t="shared" si="8"/>
        <v>0</v>
      </c>
      <c r="AF25" s="563">
        <f>'21'!AF25+'22'!AB25</f>
        <v>0</v>
      </c>
      <c r="AG25" s="234">
        <f>'21'!AG25+'22'!AD25</f>
        <v>0</v>
      </c>
      <c r="AI25" s="397" t="s">
        <v>59</v>
      </c>
      <c r="AJ25" s="398">
        <f>AJ23-AJ10</f>
        <v>37330</v>
      </c>
    </row>
    <row r="26" spans="1:36" ht="27" customHeight="1" thickTop="1">
      <c r="A26" s="715" t="str">
        <f>'21'!A26</f>
        <v>LABOUR SALARY</v>
      </c>
      <c r="B26" s="234">
        <f>SUM('SALERY SHEET'!AT97:AU97)</f>
        <v>0</v>
      </c>
      <c r="C26" s="348">
        <f>'21'!D26</f>
        <v>126470</v>
      </c>
      <c r="D26" s="234">
        <f t="shared" si="10"/>
        <v>126470</v>
      </c>
      <c r="F26" s="479" t="str">
        <f>'21'!F26</f>
        <v xml:space="preserve">ABDUL RASHEED </v>
      </c>
      <c r="G26" s="406">
        <f>'CUSTOMERS REPORT'!Y728</f>
        <v>0</v>
      </c>
      <c r="H26" s="504">
        <f>'CUSTOMERS REPORT'!Z728</f>
        <v>0</v>
      </c>
      <c r="I26" s="406">
        <f>'CUSTOMERS REPORT'!AA728</f>
        <v>0</v>
      </c>
      <c r="J26" s="498">
        <f>'CUSTOMERS REPORT'!AB728</f>
        <v>0</v>
      </c>
      <c r="K26" s="498">
        <f>'CUSTOMERS REPORT'!AC728</f>
        <v>0</v>
      </c>
      <c r="L26" s="509">
        <f>'CUSTOMERS REPORT'!AD728</f>
        <v>0</v>
      </c>
      <c r="M26" s="414">
        <f>'21'!M26+'22'!G26</f>
        <v>0</v>
      </c>
      <c r="N26" s="412">
        <f>'21'!N26+'22'!J26</f>
        <v>0</v>
      </c>
      <c r="P26" s="433"/>
      <c r="Q26" s="438"/>
      <c r="R26" t="s">
        <v>1</v>
      </c>
      <c r="S26" s="400" t="str">
        <f>'21'!S26</f>
        <v>BLUE 125 GM</v>
      </c>
      <c r="T26" s="446">
        <f>'21'!X26</f>
        <v>0</v>
      </c>
      <c r="U26" s="456"/>
      <c r="V26" s="451">
        <f t="shared" si="0"/>
        <v>0</v>
      </c>
      <c r="W26" s="451"/>
      <c r="X26" s="447">
        <f t="shared" si="1"/>
        <v>0</v>
      </c>
      <c r="Z26" s="375">
        <f>'21'!Z26</f>
        <v>0</v>
      </c>
      <c r="AA26" s="464">
        <f>'21'!AE26</f>
        <v>0</v>
      </c>
      <c r="AB26" s="460"/>
      <c r="AC26" s="462">
        <f t="shared" si="2"/>
        <v>0</v>
      </c>
      <c r="AD26" s="469"/>
      <c r="AE26" s="348">
        <f t="shared" si="3"/>
        <v>0</v>
      </c>
      <c r="AF26" s="563">
        <f>'21'!AF26+'22'!AB26</f>
        <v>0</v>
      </c>
      <c r="AG26" s="234">
        <f>'21'!AG26+'22'!AD26</f>
        <v>0</v>
      </c>
    </row>
    <row r="27" spans="1:36" ht="27" customHeight="1">
      <c r="A27" s="715" t="str">
        <f>'21'!A27</f>
        <v>SHAHZORE</v>
      </c>
      <c r="B27" s="234"/>
      <c r="C27" s="348">
        <f>'21'!D27</f>
        <v>0</v>
      </c>
      <c r="D27" s="234">
        <f t="shared" si="10"/>
        <v>0</v>
      </c>
      <c r="F27" s="479" t="str">
        <f>'21'!F27</f>
        <v>SALEEM ORANGI</v>
      </c>
      <c r="G27" s="406">
        <f>'CUSTOMERS REPORT'!Y766</f>
        <v>0</v>
      </c>
      <c r="H27" s="504">
        <f>'CUSTOMERS REPORT'!Z766</f>
        <v>0</v>
      </c>
      <c r="I27" s="406">
        <f>'CUSTOMERS REPORT'!AA766</f>
        <v>0</v>
      </c>
      <c r="J27" s="498">
        <f>'CUSTOMERS REPORT'!AB766</f>
        <v>0</v>
      </c>
      <c r="K27" s="498">
        <f>'CUSTOMERS REPORT'!AC766</f>
        <v>0</v>
      </c>
      <c r="L27" s="509">
        <f>'CUSTOMERS REPORT'!AD766</f>
        <v>0</v>
      </c>
      <c r="M27" s="414">
        <f>'21'!M27+'22'!G27</f>
        <v>0</v>
      </c>
      <c r="N27" s="412">
        <f>'21'!N27+'22'!J27</f>
        <v>0</v>
      </c>
      <c r="P27" s="433"/>
      <c r="Q27" s="435"/>
      <c r="R27" t="s">
        <v>1</v>
      </c>
      <c r="S27" s="400" t="str">
        <f>'21'!S27</f>
        <v>MAKKI 5</v>
      </c>
      <c r="T27" s="446">
        <f>'21'!X27</f>
        <v>0</v>
      </c>
      <c r="U27" s="456"/>
      <c r="V27" s="451">
        <f t="shared" si="0"/>
        <v>0</v>
      </c>
      <c r="W27" s="451"/>
      <c r="X27" s="447">
        <f t="shared" si="1"/>
        <v>0</v>
      </c>
      <c r="Z27" s="375">
        <f>'21'!Z27</f>
        <v>0</v>
      </c>
      <c r="AA27" s="464">
        <f>'21'!AE27</f>
        <v>0</v>
      </c>
      <c r="AB27" s="460"/>
      <c r="AC27" s="462">
        <f t="shared" si="2"/>
        <v>0</v>
      </c>
      <c r="AD27" s="469"/>
      <c r="AE27" s="348">
        <f t="shared" si="3"/>
        <v>0</v>
      </c>
      <c r="AF27" s="563">
        <f>'21'!AF27+'22'!AB27</f>
        <v>0</v>
      </c>
      <c r="AG27" s="234">
        <f>'21'!AG27+'22'!AD27</f>
        <v>0</v>
      </c>
    </row>
    <row r="28" spans="1:36" ht="27" customHeight="1">
      <c r="A28" s="715" t="str">
        <f>'21'!A28</f>
        <v>GENERATOR</v>
      </c>
      <c r="B28" s="234"/>
      <c r="C28" s="348">
        <f>'21'!D28</f>
        <v>28700</v>
      </c>
      <c r="D28" s="234">
        <f t="shared" si="10"/>
        <v>28700</v>
      </c>
      <c r="F28" s="479" t="str">
        <f>'21'!F28</f>
        <v>AYAZ OUSTA</v>
      </c>
      <c r="G28" s="406">
        <f>'CUSTOMERS REPORT'!Y804</f>
        <v>0</v>
      </c>
      <c r="H28" s="504">
        <f>'CUSTOMERS REPORT'!Z804</f>
        <v>0</v>
      </c>
      <c r="I28" s="406">
        <f>'CUSTOMERS REPORT'!AA804</f>
        <v>0</v>
      </c>
      <c r="J28" s="498">
        <f>'CUSTOMERS REPORT'!AB804</f>
        <v>0</v>
      </c>
      <c r="K28" s="498">
        <f>'CUSTOMERS REPORT'!AC804</f>
        <v>0</v>
      </c>
      <c r="L28" s="509">
        <f>'CUSTOMERS REPORT'!AD804</f>
        <v>0</v>
      </c>
      <c r="M28" s="414">
        <f>'21'!M28+'22'!G28</f>
        <v>0</v>
      </c>
      <c r="N28" s="412">
        <f>'21'!N28+'22'!J28</f>
        <v>0</v>
      </c>
      <c r="P28" s="433"/>
      <c r="Q28" s="438"/>
      <c r="S28" s="400" t="str">
        <f>'21'!S28</f>
        <v>MAKKI 2 PES</v>
      </c>
      <c r="T28" s="446">
        <f>'21'!X28</f>
        <v>0</v>
      </c>
      <c r="U28" s="456"/>
      <c r="V28" s="451">
        <f t="shared" si="0"/>
        <v>0</v>
      </c>
      <c r="W28" s="451"/>
      <c r="X28" s="447">
        <f t="shared" si="1"/>
        <v>0</v>
      </c>
      <c r="Z28" s="375">
        <f>'21'!Z28</f>
        <v>0</v>
      </c>
      <c r="AA28" s="464">
        <f>'21'!AE28</f>
        <v>0</v>
      </c>
      <c r="AB28" s="460"/>
      <c r="AC28" s="462">
        <f t="shared" si="2"/>
        <v>0</v>
      </c>
      <c r="AD28" s="469"/>
      <c r="AE28" s="348">
        <f t="shared" si="3"/>
        <v>0</v>
      </c>
      <c r="AF28" s="563">
        <f>'21'!AF28+'22'!AB28</f>
        <v>0</v>
      </c>
      <c r="AG28" s="234">
        <f>'21'!AG28+'22'!AD28</f>
        <v>0</v>
      </c>
    </row>
    <row r="29" spans="1:36" ht="27" customHeight="1">
      <c r="A29" s="715" t="str">
        <f>'21'!A29</f>
        <v>PATROL FAW</v>
      </c>
      <c r="B29" s="234"/>
      <c r="C29" s="348">
        <f>'21'!D29</f>
        <v>30270</v>
      </c>
      <c r="D29" s="234">
        <f t="shared" si="10"/>
        <v>30270</v>
      </c>
      <c r="F29" s="479" t="str">
        <f>'21'!F29</f>
        <v>AZHAR BADEEN</v>
      </c>
      <c r="G29" s="406">
        <f>'CUSTOMERS REPORT'!Y842</f>
        <v>0</v>
      </c>
      <c r="H29" s="504">
        <f>'CUSTOMERS REPORT'!Z842</f>
        <v>0</v>
      </c>
      <c r="I29" s="406">
        <f>'CUSTOMERS REPORT'!AA842</f>
        <v>0</v>
      </c>
      <c r="J29" s="498">
        <f>'CUSTOMERS REPORT'!AB842</f>
        <v>0</v>
      </c>
      <c r="K29" s="498">
        <f>'CUSTOMERS REPORT'!AC842</f>
        <v>0</v>
      </c>
      <c r="L29" s="509">
        <f>'CUSTOMERS REPORT'!AD842</f>
        <v>0</v>
      </c>
      <c r="M29" s="414">
        <f>'21'!M29+'22'!G29</f>
        <v>0</v>
      </c>
      <c r="N29" s="412">
        <f>'21'!N29+'22'!J29</f>
        <v>0</v>
      </c>
      <c r="P29" s="433"/>
      <c r="Q29" s="441"/>
      <c r="S29" s="400" t="str">
        <f>'21'!S29</f>
        <v xml:space="preserve">PRIME </v>
      </c>
      <c r="T29" s="446">
        <f>'21'!X29</f>
        <v>0</v>
      </c>
      <c r="U29" s="456"/>
      <c r="V29" s="451">
        <f t="shared" si="0"/>
        <v>0</v>
      </c>
      <c r="W29" s="451"/>
      <c r="X29" s="447">
        <f t="shared" si="1"/>
        <v>0</v>
      </c>
      <c r="Z29" s="375">
        <f>'21'!Z29</f>
        <v>0</v>
      </c>
      <c r="AA29" s="464">
        <f>'21'!AE29</f>
        <v>0</v>
      </c>
      <c r="AB29" s="460"/>
      <c r="AC29" s="462">
        <f t="shared" si="2"/>
        <v>0</v>
      </c>
      <c r="AD29" s="469"/>
      <c r="AE29" s="348">
        <f t="shared" si="3"/>
        <v>0</v>
      </c>
      <c r="AF29" s="563">
        <f>'21'!AF29+'22'!AB29</f>
        <v>0</v>
      </c>
      <c r="AG29" s="234">
        <f>'21'!AG29+'22'!AD29</f>
        <v>0</v>
      </c>
    </row>
    <row r="30" spans="1:36" ht="27" customHeight="1">
      <c r="A30" s="715" t="str">
        <f>'21'!A30</f>
        <v>FOTON DIESEL</v>
      </c>
      <c r="B30" s="234"/>
      <c r="C30" s="348">
        <f>'21'!D30</f>
        <v>15800</v>
      </c>
      <c r="D30" s="234">
        <f t="shared" si="10"/>
        <v>15800</v>
      </c>
      <c r="F30" s="479" t="str">
        <f>'21'!F30</f>
        <v>FAISAL HUB</v>
      </c>
      <c r="G30" s="406">
        <f>'CUSTOMERS REPORT'!Y880</f>
        <v>0</v>
      </c>
      <c r="H30" s="504">
        <f>'CUSTOMERS REPORT'!Z880</f>
        <v>0</v>
      </c>
      <c r="I30" s="406">
        <f>'CUSTOMERS REPORT'!AA880</f>
        <v>0</v>
      </c>
      <c r="J30" s="498">
        <f>'CUSTOMERS REPORT'!AB880</f>
        <v>0</v>
      </c>
      <c r="K30" s="498">
        <f>'CUSTOMERS REPORT'!AC880</f>
        <v>0</v>
      </c>
      <c r="L30" s="509">
        <f>'CUSTOMERS REPORT'!AD880</f>
        <v>0</v>
      </c>
      <c r="M30" s="414">
        <f>'21'!M30+'22'!G30</f>
        <v>0</v>
      </c>
      <c r="N30" s="412">
        <f>'21'!N30+'22'!J30</f>
        <v>0</v>
      </c>
      <c r="P30" s="433"/>
      <c r="Q30" s="442"/>
      <c r="S30" s="400" t="str">
        <f>'21'!S30</f>
        <v>PRIMR 15</v>
      </c>
      <c r="T30" s="446">
        <f>'21'!X30</f>
        <v>0</v>
      </c>
      <c r="U30" s="456"/>
      <c r="V30" s="451">
        <f t="shared" si="0"/>
        <v>0</v>
      </c>
      <c r="W30" s="451"/>
      <c r="X30" s="447">
        <f t="shared" si="1"/>
        <v>0</v>
      </c>
      <c r="Z30" s="375">
        <f>'21'!Z30</f>
        <v>0</v>
      </c>
      <c r="AA30" s="464">
        <f>'21'!AE30</f>
        <v>0</v>
      </c>
      <c r="AB30" s="460"/>
      <c r="AC30" s="462">
        <f t="shared" si="2"/>
        <v>0</v>
      </c>
      <c r="AD30" s="469"/>
      <c r="AE30" s="348">
        <f t="shared" si="3"/>
        <v>0</v>
      </c>
      <c r="AF30" s="563">
        <f>'21'!AF30+'22'!AB30</f>
        <v>0</v>
      </c>
      <c r="AG30" s="234">
        <f>'21'!AG30+'22'!AD30</f>
        <v>0</v>
      </c>
    </row>
    <row r="31" spans="1:36" ht="27" customHeight="1" thickBot="1">
      <c r="A31" s="715" t="str">
        <f>'21'!A31</f>
        <v>UTILITY BILLS</v>
      </c>
      <c r="B31" s="234"/>
      <c r="C31" s="348">
        <f>'21'!D31</f>
        <v>44420</v>
      </c>
      <c r="D31" s="234">
        <f t="shared" si="10"/>
        <v>44420</v>
      </c>
      <c r="F31" s="479" t="str">
        <f>'21'!F31</f>
        <v>ABDUL RAHMAN</v>
      </c>
      <c r="G31" s="406">
        <f>'CUSTOMERS REPORT'!Y919</f>
        <v>0</v>
      </c>
      <c r="H31" s="504">
        <f>'CUSTOMERS REPORT'!Z919</f>
        <v>0</v>
      </c>
      <c r="I31" s="406">
        <f>'CUSTOMERS REPORT'!AA919</f>
        <v>0</v>
      </c>
      <c r="J31" s="498">
        <f>'CUSTOMERS REPORT'!AB919</f>
        <v>0</v>
      </c>
      <c r="K31" s="498">
        <f>'CUSTOMERS REPORT'!AC919</f>
        <v>0</v>
      </c>
      <c r="L31" s="509">
        <f>'CUSTOMERS REPORT'!AD919</f>
        <v>0</v>
      </c>
      <c r="M31" s="414">
        <f>'21'!M31+'22'!G31</f>
        <v>0</v>
      </c>
      <c r="N31" s="412">
        <f>'21'!N31+'22'!J31</f>
        <v>0</v>
      </c>
      <c r="P31" s="433"/>
      <c r="Q31" s="435"/>
      <c r="S31" s="400" t="str">
        <f>'21'!S31</f>
        <v>KARACHI</v>
      </c>
      <c r="T31" s="446">
        <f>'21'!X31</f>
        <v>0</v>
      </c>
      <c r="U31" s="456"/>
      <c r="V31" s="451">
        <f t="shared" si="0"/>
        <v>0</v>
      </c>
      <c r="W31" s="451"/>
      <c r="X31" s="447">
        <f t="shared" si="1"/>
        <v>0</v>
      </c>
      <c r="Z31" s="375">
        <f>'21'!Z31</f>
        <v>0</v>
      </c>
      <c r="AA31" s="464">
        <f>'21'!AE31</f>
        <v>0</v>
      </c>
      <c r="AB31" s="460"/>
      <c r="AC31" s="462">
        <f t="shared" si="2"/>
        <v>0</v>
      </c>
      <c r="AD31" s="469"/>
      <c r="AE31" s="348">
        <f t="shared" si="3"/>
        <v>0</v>
      </c>
      <c r="AF31" s="563">
        <f>'21'!AF31+'22'!AB31</f>
        <v>0</v>
      </c>
      <c r="AG31" s="234">
        <f>'21'!AG31+'22'!AD31</f>
        <v>0</v>
      </c>
      <c r="AI31" t="s">
        <v>1</v>
      </c>
    </row>
    <row r="32" spans="1:36" ht="27" customHeight="1" thickTop="1" thickBot="1">
      <c r="A32" s="715" t="str">
        <f>'21'!A32</f>
        <v>WOOD</v>
      </c>
      <c r="B32" s="234"/>
      <c r="C32" s="348">
        <f>'21'!D32</f>
        <v>0</v>
      </c>
      <c r="D32" s="234">
        <f t="shared" si="10"/>
        <v>0</v>
      </c>
      <c r="F32" s="479" t="str">
        <f>'21'!F32</f>
        <v>HAJI JAN GIWANI</v>
      </c>
      <c r="G32" s="406">
        <f>'CUSTOMERS REPORT'!Y958</f>
        <v>0</v>
      </c>
      <c r="H32" s="504">
        <f>'CUSTOMERS REPORT'!Z958</f>
        <v>0</v>
      </c>
      <c r="I32" s="406">
        <f>'CUSTOMERS REPORT'!AA958</f>
        <v>0</v>
      </c>
      <c r="J32" s="498">
        <f>'CUSTOMERS REPORT'!AB958</f>
        <v>0</v>
      </c>
      <c r="K32" s="498">
        <f>'CUSTOMERS REPORT'!AC958</f>
        <v>0</v>
      </c>
      <c r="L32" s="509">
        <f>'CUSTOMERS REPORT'!AD958</f>
        <v>0</v>
      </c>
      <c r="M32" s="414">
        <f>'21'!M32+'22'!G32</f>
        <v>0</v>
      </c>
      <c r="N32" s="412">
        <f>'21'!N32+'22'!J32</f>
        <v>0</v>
      </c>
      <c r="P32" s="190" t="s">
        <v>51</v>
      </c>
      <c r="Q32" s="439">
        <f>Q23-Q25-Q26-Q27-Q28-Q29-Q30-Q31</f>
        <v>0</v>
      </c>
      <c r="R32" t="s">
        <v>1</v>
      </c>
      <c r="S32" s="400" t="str">
        <f>'21'!S32</f>
        <v>MARVI</v>
      </c>
      <c r="T32" s="446">
        <f>'21'!X32</f>
        <v>0</v>
      </c>
      <c r="U32" s="456"/>
      <c r="V32" s="451">
        <f t="shared" si="0"/>
        <v>0</v>
      </c>
      <c r="W32" s="451"/>
      <c r="X32" s="447">
        <f t="shared" si="1"/>
        <v>0</v>
      </c>
      <c r="Z32" s="375">
        <f>'21'!Z32</f>
        <v>0</v>
      </c>
      <c r="AA32" s="464">
        <f>'21'!AE32</f>
        <v>0</v>
      </c>
      <c r="AB32" s="460">
        <f>'AQEEL RUSK'!AN29</f>
        <v>0</v>
      </c>
      <c r="AC32" s="462">
        <f t="shared" si="2"/>
        <v>0</v>
      </c>
      <c r="AD32" s="469"/>
      <c r="AE32" s="348">
        <f t="shared" si="3"/>
        <v>0</v>
      </c>
      <c r="AF32" s="563">
        <f>'21'!AF32+'22'!AB32</f>
        <v>0</v>
      </c>
      <c r="AG32" s="234">
        <f>'21'!AG32+'22'!AD32</f>
        <v>0</v>
      </c>
    </row>
    <row r="33" spans="1:40" ht="27" customHeight="1" thickTop="1" thickBot="1">
      <c r="A33" s="716" t="str">
        <f>'21'!A33</f>
        <v>TOLL</v>
      </c>
      <c r="B33" s="234"/>
      <c r="C33" s="348">
        <f>'21'!D33</f>
        <v>200</v>
      </c>
      <c r="D33" s="234">
        <f t="shared" si="10"/>
        <v>200</v>
      </c>
      <c r="F33" s="479" t="str">
        <f>'21'!F33</f>
        <v>ALI QURESHI HYD</v>
      </c>
      <c r="G33" s="406">
        <f>'CUSTOMERS REPORT'!Y996</f>
        <v>0</v>
      </c>
      <c r="H33" s="504">
        <f>'CUSTOMERS REPORT'!Z996</f>
        <v>0</v>
      </c>
      <c r="I33" s="406">
        <f>'CUSTOMERS REPORT'!AA996</f>
        <v>0</v>
      </c>
      <c r="J33" s="498">
        <f>'CUSTOMERS REPORT'!AB996</f>
        <v>0</v>
      </c>
      <c r="K33" s="498">
        <f>'CUSTOMERS REPORT'!AC996</f>
        <v>0</v>
      </c>
      <c r="L33" s="509">
        <f>'CUSTOMERS REPORT'!AD996</f>
        <v>0</v>
      </c>
      <c r="M33" s="414">
        <f>'21'!M33+'22'!G33</f>
        <v>0</v>
      </c>
      <c r="N33" s="412">
        <f>'21'!N33+'22'!J33</f>
        <v>0</v>
      </c>
      <c r="P33" s="1499" t="s">
        <v>149</v>
      </c>
      <c r="Q33" s="1500"/>
      <c r="S33" s="400" t="str">
        <f>'21'!S33</f>
        <v>TS</v>
      </c>
      <c r="T33" s="446">
        <f>'21'!X33</f>
        <v>0</v>
      </c>
      <c r="U33" s="456"/>
      <c r="V33" s="451">
        <f t="shared" si="0"/>
        <v>0</v>
      </c>
      <c r="W33" s="451"/>
      <c r="X33" s="447">
        <f t="shared" si="1"/>
        <v>0</v>
      </c>
      <c r="Z33" s="375">
        <f>'21'!Z33</f>
        <v>0</v>
      </c>
      <c r="AA33" s="464">
        <f>'21'!AE33</f>
        <v>0</v>
      </c>
      <c r="AB33" s="460">
        <f>'SHAKEEL RUSK'!D29+'SHAKEEL RUSK'!G29</f>
        <v>0</v>
      </c>
      <c r="AC33" s="462">
        <f t="shared" si="2"/>
        <v>0</v>
      </c>
      <c r="AD33" s="469"/>
      <c r="AE33" s="348">
        <f t="shared" si="3"/>
        <v>0</v>
      </c>
      <c r="AF33" s="563">
        <f>'21'!AF33+'22'!AB33</f>
        <v>0</v>
      </c>
      <c r="AG33" s="234">
        <f>'21'!AG33+'22'!AD33</f>
        <v>0</v>
      </c>
    </row>
    <row r="34" spans="1:40" ht="27" customHeight="1" thickTop="1" thickBot="1">
      <c r="A34" s="716" t="str">
        <f>'21'!A34</f>
        <v>FLOUR / SHGER</v>
      </c>
      <c r="B34" s="234">
        <v>500</v>
      </c>
      <c r="C34" s="348">
        <f>'21'!D34</f>
        <v>620</v>
      </c>
      <c r="D34" s="234">
        <f t="shared" si="10"/>
        <v>1120</v>
      </c>
      <c r="F34" s="479" t="str">
        <f>'21'!F34</f>
        <v>ALI RAZA KAND KOT</v>
      </c>
      <c r="G34" s="406">
        <f>'CUSTOMERS REPORT'!Y1034</f>
        <v>0</v>
      </c>
      <c r="H34" s="504">
        <f>'CUSTOMERS REPORT'!Z1034</f>
        <v>0</v>
      </c>
      <c r="I34" s="406">
        <f>'CUSTOMERS REPORT'!AA1034</f>
        <v>0</v>
      </c>
      <c r="J34" s="498">
        <f>'CUSTOMERS REPORT'!AB1034</f>
        <v>0</v>
      </c>
      <c r="K34" s="498">
        <f>'CUSTOMERS REPORT'!AC1034</f>
        <v>0</v>
      </c>
      <c r="L34" s="509">
        <f>'CUSTOMERS REPORT'!AD1034</f>
        <v>0</v>
      </c>
      <c r="M34" s="414">
        <f>'21'!M34+'22'!G34</f>
        <v>0</v>
      </c>
      <c r="N34" s="412">
        <f>'21'!N34+'22'!J34</f>
        <v>0</v>
      </c>
      <c r="P34" s="220" t="s">
        <v>150</v>
      </c>
      <c r="Q34" s="223">
        <f>'21'!Q34</f>
        <v>0</v>
      </c>
      <c r="S34" s="400" t="str">
        <f>'21'!S34</f>
        <v>MAXI</v>
      </c>
      <c r="T34" s="446">
        <f>'21'!X34</f>
        <v>0</v>
      </c>
      <c r="U34" s="457"/>
      <c r="V34" s="452">
        <f t="shared" si="0"/>
        <v>0</v>
      </c>
      <c r="W34" s="452"/>
      <c r="X34" s="448">
        <f t="shared" si="1"/>
        <v>0</v>
      </c>
      <c r="Z34" s="375">
        <f>'21'!Z34</f>
        <v>0</v>
      </c>
      <c r="AA34" s="464">
        <f>'21'!AE34</f>
        <v>0</v>
      </c>
      <c r="AB34" s="460"/>
      <c r="AC34" s="462">
        <f t="shared" si="2"/>
        <v>0</v>
      </c>
      <c r="AD34" s="469"/>
      <c r="AE34" s="348">
        <f t="shared" si="3"/>
        <v>0</v>
      </c>
      <c r="AF34" s="563">
        <f>'21'!AF34+'22'!AB34</f>
        <v>0</v>
      </c>
      <c r="AG34" s="234">
        <f>'21'!AG34+'22'!AD34</f>
        <v>0</v>
      </c>
    </row>
    <row r="35" spans="1:40" ht="27" customHeight="1" thickTop="1">
      <c r="A35" s="716" t="str">
        <f>'21'!A35</f>
        <v>OVEN &amp; PP MACHINE</v>
      </c>
      <c r="B35" s="234"/>
      <c r="C35" s="348">
        <f>'21'!D35</f>
        <v>0</v>
      </c>
      <c r="D35" s="529">
        <f t="shared" si="10"/>
        <v>0</v>
      </c>
      <c r="F35" s="479" t="str">
        <f>'21'!F35</f>
        <v>IQBAL MORO</v>
      </c>
      <c r="G35" s="407">
        <f>'CUSTOMERS REPORT'!Y1072</f>
        <v>0</v>
      </c>
      <c r="H35" s="505">
        <f>'CUSTOMERS REPORT'!Z1072</f>
        <v>0</v>
      </c>
      <c r="I35" s="407">
        <f>'CUSTOMERS REPORT'!AA1072</f>
        <v>0</v>
      </c>
      <c r="J35" s="499">
        <f>'CUSTOMERS REPORT'!AB1072</f>
        <v>0</v>
      </c>
      <c r="K35" s="499">
        <f>'CUSTOMERS REPORT'!AC1072</f>
        <v>0</v>
      </c>
      <c r="L35" s="510">
        <f>'CUSTOMERS REPORT'!AD1072</f>
        <v>0</v>
      </c>
      <c r="M35" s="414">
        <f>'21'!M35+'22'!G35</f>
        <v>0</v>
      </c>
      <c r="N35" s="412">
        <f>'21'!N35+'22'!J35</f>
        <v>0</v>
      </c>
      <c r="P35" s="252" t="s">
        <v>151</v>
      </c>
      <c r="Q35" s="443">
        <f>'21'!Q35</f>
        <v>0</v>
      </c>
      <c r="R35" t="s">
        <v>1</v>
      </c>
      <c r="S35" s="400" t="str">
        <f>'21'!S35</f>
        <v>M A WHITE</v>
      </c>
      <c r="T35" s="446">
        <f>'21'!X35</f>
        <v>0</v>
      </c>
      <c r="U35" s="457"/>
      <c r="V35" s="452">
        <f t="shared" si="0"/>
        <v>0</v>
      </c>
      <c r="W35" s="452"/>
      <c r="X35" s="448">
        <f t="shared" si="1"/>
        <v>0</v>
      </c>
      <c r="Z35" s="375">
        <f>'21'!Z35</f>
        <v>0</v>
      </c>
      <c r="AA35" s="464">
        <f>'21'!AE35</f>
        <v>0</v>
      </c>
      <c r="AB35" s="460"/>
      <c r="AC35" s="462">
        <f t="shared" si="2"/>
        <v>0</v>
      </c>
      <c r="AD35" s="469"/>
      <c r="AE35" s="348">
        <f t="shared" si="3"/>
        <v>0</v>
      </c>
      <c r="AF35" s="563">
        <f>'21'!AF35+'22'!AB35</f>
        <v>0</v>
      </c>
      <c r="AG35" s="234">
        <f>'21'!AG35+'22'!AD35</f>
        <v>0</v>
      </c>
    </row>
    <row r="36" spans="1:40" ht="27" customHeight="1">
      <c r="A36" s="716" t="str">
        <f>'21'!A36</f>
        <v>zakat</v>
      </c>
      <c r="B36" s="234"/>
      <c r="C36" s="348">
        <f>'21'!D36</f>
        <v>0</v>
      </c>
      <c r="D36" s="529">
        <f t="shared" si="10"/>
        <v>0</v>
      </c>
      <c r="F36" s="479" t="str">
        <f>'21'!F36</f>
        <v>SARFARAZ T ADAM</v>
      </c>
      <c r="G36" s="407">
        <f>'CUSTOMERS REPORT'!Y1110</f>
        <v>0</v>
      </c>
      <c r="H36" s="505">
        <f>'CUSTOMERS REPORT'!Z1110</f>
        <v>0</v>
      </c>
      <c r="I36" s="407">
        <f>'CUSTOMERS REPORT'!AA1110</f>
        <v>0</v>
      </c>
      <c r="J36" s="499">
        <f>'CUSTOMERS REPORT'!AB1110</f>
        <v>0</v>
      </c>
      <c r="K36" s="499">
        <f>'CUSTOMERS REPORT'!AC1110</f>
        <v>0</v>
      </c>
      <c r="L36" s="510">
        <f>'CUSTOMERS REPORT'!AD1110</f>
        <v>0</v>
      </c>
      <c r="M36" s="414">
        <f>'21'!M36+'22'!G36</f>
        <v>0</v>
      </c>
      <c r="N36" s="412">
        <f>'21'!N36+'22'!J36</f>
        <v>0</v>
      </c>
      <c r="P36" s="372" t="s">
        <v>152</v>
      </c>
      <c r="Q36" s="444">
        <f>J48</f>
        <v>0</v>
      </c>
      <c r="R36" t="s">
        <v>1</v>
      </c>
      <c r="S36" s="400" t="str">
        <f>'21'!S36</f>
        <v>M A ORING</v>
      </c>
      <c r="T36" s="446">
        <f>'21'!X36</f>
        <v>0</v>
      </c>
      <c r="U36" s="456"/>
      <c r="V36" s="451">
        <f t="shared" si="0"/>
        <v>0</v>
      </c>
      <c r="W36" s="452"/>
      <c r="X36" s="448">
        <f t="shared" si="1"/>
        <v>0</v>
      </c>
      <c r="Z36" s="375">
        <f>'21'!Z36</f>
        <v>0</v>
      </c>
      <c r="AA36" s="464">
        <f>'21'!AE36</f>
        <v>0</v>
      </c>
      <c r="AB36" s="460"/>
      <c r="AC36" s="462">
        <f t="shared" si="2"/>
        <v>0</v>
      </c>
      <c r="AD36" s="469"/>
      <c r="AE36" s="348">
        <f t="shared" si="3"/>
        <v>0</v>
      </c>
      <c r="AF36" s="563">
        <f>'21'!AF36+'22'!AB36</f>
        <v>0</v>
      </c>
      <c r="AG36" s="234">
        <f>'21'!AG36+'22'!AD36</f>
        <v>0</v>
      </c>
    </row>
    <row r="37" spans="1:40" ht="27" customHeight="1">
      <c r="A37" s="716" t="str">
        <f>'21'!A37</f>
        <v>javeed manghopir</v>
      </c>
      <c r="B37" s="234"/>
      <c r="C37" s="348">
        <f>'21'!D37</f>
        <v>0</v>
      </c>
      <c r="D37" s="234">
        <f t="shared" si="10"/>
        <v>0</v>
      </c>
      <c r="F37" s="479" t="str">
        <f>'21'!F37</f>
        <v>MUMTAZ K N SHAH</v>
      </c>
      <c r="G37" s="406">
        <f>'CUSTOMERS REPORT'!Y1148</f>
        <v>0</v>
      </c>
      <c r="H37" s="504">
        <f>'CUSTOMERS REPORT'!Z1148</f>
        <v>0</v>
      </c>
      <c r="I37" s="406">
        <f>'CUSTOMERS REPORT'!AA1148</f>
        <v>0</v>
      </c>
      <c r="J37" s="498">
        <f>'CUSTOMERS REPORT'!AB1148</f>
        <v>0</v>
      </c>
      <c r="K37" s="498">
        <f>'CUSTOMERS REPORT'!AC1148</f>
        <v>0</v>
      </c>
      <c r="L37" s="509">
        <f>'CUSTOMERS REPORT'!AD1148</f>
        <v>0</v>
      </c>
      <c r="M37" s="414">
        <f>'21'!M37+'22'!G37</f>
        <v>0</v>
      </c>
      <c r="N37" s="412">
        <f>'21'!N37+'22'!J37</f>
        <v>0</v>
      </c>
      <c r="P37" s="373" t="s">
        <v>153</v>
      </c>
      <c r="Q37" s="445">
        <f>Q34+Q35+Q36</f>
        <v>0</v>
      </c>
      <c r="R37" t="s">
        <v>1</v>
      </c>
      <c r="S37" s="400">
        <f>'21'!S37</f>
        <v>0</v>
      </c>
      <c r="T37" s="446">
        <f>'21'!X37</f>
        <v>0</v>
      </c>
      <c r="U37" s="456"/>
      <c r="V37" s="451">
        <f t="shared" si="0"/>
        <v>0</v>
      </c>
      <c r="W37" s="452"/>
      <c r="X37" s="448">
        <f t="shared" si="1"/>
        <v>0</v>
      </c>
      <c r="Z37" s="375">
        <f>'21'!Z37</f>
        <v>0</v>
      </c>
      <c r="AA37" s="464">
        <f>'21'!AE37</f>
        <v>0</v>
      </c>
      <c r="AB37" s="460"/>
      <c r="AC37" s="462">
        <f t="shared" si="2"/>
        <v>0</v>
      </c>
      <c r="AD37" s="469"/>
      <c r="AE37" s="348">
        <f t="shared" si="3"/>
        <v>0</v>
      </c>
      <c r="AF37" s="563">
        <f>'21'!AF37+'22'!AB37</f>
        <v>0</v>
      </c>
      <c r="AG37" s="234">
        <f>'21'!AG37+'22'!AD37</f>
        <v>0</v>
      </c>
    </row>
    <row r="38" spans="1:40" ht="27" customHeight="1">
      <c r="A38" s="715" t="str">
        <f>'21'!A38</f>
        <v>EXSIS CASH</v>
      </c>
      <c r="B38" s="234"/>
      <c r="C38" s="348">
        <f>'21'!D38</f>
        <v>0</v>
      </c>
      <c r="D38" s="234">
        <f t="shared" si="10"/>
        <v>0</v>
      </c>
      <c r="F38" s="479" t="str">
        <f>'21'!F38</f>
        <v>GHULAM RASOOL QU</v>
      </c>
      <c r="G38" s="408">
        <f>'CUSTOMERS REPORT'!Y1185</f>
        <v>0</v>
      </c>
      <c r="H38" s="506">
        <f>'CUSTOMERS REPORT'!Z1185</f>
        <v>0</v>
      </c>
      <c r="I38" s="408">
        <f>'CUSTOMERS REPORT'!AA1185</f>
        <v>0</v>
      </c>
      <c r="J38" s="500">
        <f>'CUSTOMERS REPORT'!AB1185</f>
        <v>0</v>
      </c>
      <c r="K38" s="500">
        <f>'CUSTOMERS REPORT'!AC1185</f>
        <v>0</v>
      </c>
      <c r="L38" s="511">
        <f>'CUSTOMERS REPORT'!AD1185</f>
        <v>0</v>
      </c>
      <c r="M38" s="414">
        <f>'21'!M38+'22'!G38</f>
        <v>0</v>
      </c>
      <c r="N38" s="412">
        <f>'21'!N38+'22'!J38</f>
        <v>0</v>
      </c>
      <c r="P38" s="373" t="s">
        <v>154</v>
      </c>
      <c r="Q38" s="445">
        <f>D48</f>
        <v>2839150</v>
      </c>
      <c r="S38" s="400">
        <f>'21'!S38</f>
        <v>0</v>
      </c>
      <c r="T38" s="446">
        <f>'21'!X38</f>
        <v>0</v>
      </c>
      <c r="U38" s="456"/>
      <c r="V38" s="451">
        <f t="shared" si="0"/>
        <v>0</v>
      </c>
      <c r="W38" s="452"/>
      <c r="X38" s="448">
        <f t="shared" si="1"/>
        <v>0</v>
      </c>
      <c r="Z38" s="375">
        <f>'21'!Z38</f>
        <v>0</v>
      </c>
      <c r="AA38" s="464">
        <f>'21'!AE38</f>
        <v>0</v>
      </c>
      <c r="AB38" s="460"/>
      <c r="AC38" s="462">
        <f t="shared" si="2"/>
        <v>0</v>
      </c>
      <c r="AD38" s="469"/>
      <c r="AE38" s="348">
        <f t="shared" si="3"/>
        <v>0</v>
      </c>
      <c r="AF38" s="563">
        <f>'21'!AF38+'22'!AB38</f>
        <v>0</v>
      </c>
      <c r="AG38" s="234">
        <f>'21'!AG38+'22'!AD38</f>
        <v>0</v>
      </c>
    </row>
    <row r="39" spans="1:40" ht="27" customHeight="1">
      <c r="A39" s="715" t="str">
        <f>'21'!A39</f>
        <v>SHORT CASH</v>
      </c>
      <c r="B39" s="234"/>
      <c r="C39" s="548">
        <f>'21'!D39</f>
        <v>1950</v>
      </c>
      <c r="D39" s="234">
        <f t="shared" si="10"/>
        <v>1950</v>
      </c>
      <c r="F39" s="479" t="str">
        <f>'21'!F39</f>
        <v>SHAMSHAD UNCLE</v>
      </c>
      <c r="G39" s="406">
        <f>'CUSTOMERS REPORT'!Y1222</f>
        <v>0</v>
      </c>
      <c r="H39" s="504">
        <f>'CUSTOMERS REPORT'!Z1222</f>
        <v>0</v>
      </c>
      <c r="I39" s="406">
        <f>'CUSTOMERS REPORT'!AA1222</f>
        <v>0</v>
      </c>
      <c r="J39" s="498">
        <f>'CUSTOMERS REPORT'!AB1222</f>
        <v>0</v>
      </c>
      <c r="K39" s="498">
        <f>'CUSTOMERS REPORT'!AC1222</f>
        <v>0</v>
      </c>
      <c r="L39" s="509">
        <f>'CUSTOMERS REPORT'!AD1222</f>
        <v>0</v>
      </c>
      <c r="M39" s="414">
        <f>'21'!M39+'22'!G39</f>
        <v>0</v>
      </c>
      <c r="N39" s="412">
        <f>'21'!N39+'22'!J39</f>
        <v>0</v>
      </c>
      <c r="P39" s="373" t="s">
        <v>109</v>
      </c>
      <c r="Q39" s="445">
        <f>'21'!Q39+'22'!Q25+'22'!Q26+'22'!Q27+'22'!Q28+'22'!Q29+'22'!Q30+'22'!Q31</f>
        <v>0</v>
      </c>
      <c r="R39" t="s">
        <v>1</v>
      </c>
      <c r="S39" s="400">
        <f>'21'!S39</f>
        <v>0</v>
      </c>
      <c r="T39" s="446">
        <f>'21'!X39</f>
        <v>0</v>
      </c>
      <c r="U39" s="456"/>
      <c r="V39" s="451">
        <f t="shared" si="0"/>
        <v>0</v>
      </c>
      <c r="W39" s="452"/>
      <c r="X39" s="448">
        <f t="shared" si="1"/>
        <v>0</v>
      </c>
      <c r="Z39" s="375">
        <f>'21'!Z39</f>
        <v>0</v>
      </c>
      <c r="AA39" s="464">
        <f>'21'!AE39</f>
        <v>0</v>
      </c>
      <c r="AB39" s="460"/>
      <c r="AC39" s="462">
        <f t="shared" si="2"/>
        <v>0</v>
      </c>
      <c r="AD39" s="469"/>
      <c r="AE39" s="348">
        <f t="shared" si="3"/>
        <v>0</v>
      </c>
      <c r="AF39" s="563">
        <f>'21'!AF39+'22'!AB39</f>
        <v>0</v>
      </c>
      <c r="AG39" s="234">
        <f>'21'!AG39+'22'!AD39</f>
        <v>0</v>
      </c>
    </row>
    <row r="40" spans="1:40" ht="27" customHeight="1" thickBot="1">
      <c r="A40" s="715" t="str">
        <f>'21'!A40</f>
        <v>ASSETS</v>
      </c>
      <c r="B40" s="234"/>
      <c r="C40" s="348">
        <f>'21'!D40</f>
        <v>0</v>
      </c>
      <c r="D40" s="234">
        <f t="shared" si="10"/>
        <v>0</v>
      </c>
      <c r="F40" s="479" t="str">
        <f>'21'!F40</f>
        <v>IBRAHEEM D.G KHAN</v>
      </c>
      <c r="G40" s="406">
        <f>'CUSTOMERS REPORT'!Y1259</f>
        <v>0</v>
      </c>
      <c r="H40" s="504">
        <f>'CUSTOMERS REPORT'!Z1259</f>
        <v>0</v>
      </c>
      <c r="I40" s="406">
        <f>'CUSTOMERS REPORT'!AA1259</f>
        <v>0</v>
      </c>
      <c r="J40" s="498">
        <f>'CUSTOMERS REPORT'!AB1259</f>
        <v>0</v>
      </c>
      <c r="K40" s="498">
        <f>'CUSTOMERS REPORT'!AC1259</f>
        <v>0</v>
      </c>
      <c r="L40" s="509">
        <f>'CUSTOMERS REPORT'!AD1259</f>
        <v>0</v>
      </c>
      <c r="M40" s="414">
        <f>'21'!M40+'22'!G40</f>
        <v>0</v>
      </c>
      <c r="N40" s="412">
        <f>'21'!N40+'22'!J40</f>
        <v>0</v>
      </c>
      <c r="P40" s="374" t="s">
        <v>155</v>
      </c>
      <c r="Q40" s="445">
        <f>Q48</f>
        <v>-2839150</v>
      </c>
      <c r="S40" s="400">
        <f>'21'!S40</f>
        <v>0</v>
      </c>
      <c r="T40" s="446">
        <f>'21'!X40</f>
        <v>0</v>
      </c>
      <c r="U40" s="456"/>
      <c r="V40" s="451">
        <f t="shared" si="0"/>
        <v>0</v>
      </c>
      <c r="W40" s="452"/>
      <c r="X40" s="448">
        <f t="shared" si="1"/>
        <v>0</v>
      </c>
      <c r="Z40" s="375">
        <f>'21'!Z40</f>
        <v>0</v>
      </c>
      <c r="AA40" s="464">
        <f>'21'!AE40</f>
        <v>0</v>
      </c>
      <c r="AB40" s="460"/>
      <c r="AC40" s="462">
        <f t="shared" si="2"/>
        <v>0</v>
      </c>
      <c r="AD40" s="469"/>
      <c r="AE40" s="348">
        <f t="shared" si="3"/>
        <v>0</v>
      </c>
      <c r="AF40" s="563">
        <f>'21'!AF40+'22'!AB40</f>
        <v>0</v>
      </c>
      <c r="AG40" s="234">
        <f>'21'!AG40+'22'!AD40</f>
        <v>0</v>
      </c>
    </row>
    <row r="41" spans="1:40" ht="27" customHeight="1" thickTop="1" thickBot="1">
      <c r="A41" s="715" t="str">
        <f>'21'!A41</f>
        <v>BIKE.INSTALMINT</v>
      </c>
      <c r="B41" s="234"/>
      <c r="C41" s="348">
        <f>'21'!D41</f>
        <v>0</v>
      </c>
      <c r="D41" s="234">
        <f t="shared" si="10"/>
        <v>0</v>
      </c>
      <c r="E41" t="s">
        <v>1</v>
      </c>
      <c r="F41" s="479" t="str">
        <f>'21'!F41</f>
        <v>PISHAWAR</v>
      </c>
      <c r="G41" s="409">
        <f>'CUSTOMERS REPORT'!Y1296</f>
        <v>0</v>
      </c>
      <c r="H41" s="507">
        <f>'CUSTOMERS REPORT'!Z1296</f>
        <v>0</v>
      </c>
      <c r="I41" s="409">
        <f>'CUSTOMERS REPORT'!AA1296</f>
        <v>0</v>
      </c>
      <c r="J41" s="501">
        <f>'CUSTOMERS REPORT'!AB1296</f>
        <v>0</v>
      </c>
      <c r="K41" s="501">
        <f>'CUSTOMERS REPORT'!AC1296</f>
        <v>0</v>
      </c>
      <c r="L41" s="512">
        <f>'CUSTOMERS REPORT'!AD1296</f>
        <v>0</v>
      </c>
      <c r="M41" s="414">
        <f>'21'!M41+'22'!G41</f>
        <v>0</v>
      </c>
      <c r="N41" s="412">
        <f>'21'!N41+'22'!J41</f>
        <v>0</v>
      </c>
      <c r="P41" s="221" t="s">
        <v>51</v>
      </c>
      <c r="Q41" s="223">
        <f>Q37-Q38-Q39-Q40</f>
        <v>0</v>
      </c>
      <c r="S41" s="400">
        <f>'21'!S41</f>
        <v>0</v>
      </c>
      <c r="T41" s="446">
        <f>'21'!X41</f>
        <v>0</v>
      </c>
      <c r="U41" s="456"/>
      <c r="V41" s="451">
        <f t="shared" si="0"/>
        <v>0</v>
      </c>
      <c r="W41" s="452"/>
      <c r="X41" s="448">
        <f t="shared" si="1"/>
        <v>0</v>
      </c>
      <c r="Z41" s="375">
        <f>'21'!Z41</f>
        <v>0</v>
      </c>
      <c r="AA41" s="464">
        <f>'21'!AE41</f>
        <v>0</v>
      </c>
      <c r="AB41" s="460"/>
      <c r="AC41" s="462">
        <f t="shared" si="2"/>
        <v>0</v>
      </c>
      <c r="AD41" s="469"/>
      <c r="AE41" s="348">
        <f t="shared" si="3"/>
        <v>0</v>
      </c>
      <c r="AF41" s="563">
        <f>'21'!AF41+'22'!AB41</f>
        <v>0</v>
      </c>
      <c r="AG41" s="234">
        <f>'21'!AG41+'22'!AD41</f>
        <v>0</v>
      </c>
    </row>
    <row r="42" spans="1:40" ht="27" customHeight="1" thickTop="1" thickBot="1">
      <c r="A42" s="715" t="str">
        <f>'21'!A42</f>
        <v>B.C</v>
      </c>
      <c r="B42" s="234"/>
      <c r="C42" s="348">
        <f>'21'!D42</f>
        <v>0</v>
      </c>
      <c r="D42" s="529">
        <f t="shared" si="10"/>
        <v>0</v>
      </c>
      <c r="F42" s="479" t="str">
        <f>'21'!F42</f>
        <v>HUZAFA KOTRI</v>
      </c>
      <c r="G42" s="409">
        <f>'CUSTOMERS REPORT'!Y1333</f>
        <v>0</v>
      </c>
      <c r="H42" s="507">
        <f>'CUSTOMERS REPORT'!Z1333</f>
        <v>0</v>
      </c>
      <c r="I42" s="409">
        <f>'CUSTOMERS REPORT'!AA1333</f>
        <v>0</v>
      </c>
      <c r="J42" s="501">
        <f>'CUSTOMERS REPORT'!AB1333</f>
        <v>0</v>
      </c>
      <c r="K42" s="501">
        <f>'CUSTOMERS REPORT'!AC1333</f>
        <v>0</v>
      </c>
      <c r="L42" s="512">
        <f>'CUSTOMERS REPORT'!AD1333</f>
        <v>0</v>
      </c>
      <c r="M42" s="414">
        <f>'21'!M42+'22'!G42</f>
        <v>0</v>
      </c>
      <c r="N42" s="412">
        <f>'21'!N42+'22'!J42</f>
        <v>0</v>
      </c>
      <c r="P42" s="1499" t="s">
        <v>157</v>
      </c>
      <c r="Q42" s="1500"/>
      <c r="S42" s="400">
        <f>'21'!S42</f>
        <v>0</v>
      </c>
      <c r="T42" s="446">
        <f>'21'!X42</f>
        <v>0</v>
      </c>
      <c r="U42" s="458"/>
      <c r="V42" s="453">
        <f t="shared" si="0"/>
        <v>0</v>
      </c>
      <c r="W42" s="454"/>
      <c r="X42" s="449">
        <f t="shared" si="1"/>
        <v>0</v>
      </c>
      <c r="Z42" s="375">
        <f>'21'!Z42</f>
        <v>0</v>
      </c>
      <c r="AA42" s="464">
        <f>'21'!AE42</f>
        <v>0</v>
      </c>
      <c r="AB42" s="461"/>
      <c r="AC42" s="462">
        <f>AA42+AB42</f>
        <v>0</v>
      </c>
      <c r="AD42" s="470"/>
      <c r="AE42" s="348">
        <f t="shared" si="3"/>
        <v>0</v>
      </c>
      <c r="AF42" s="564">
        <f>'21'!AF42+'22'!AB42</f>
        <v>0</v>
      </c>
      <c r="AG42" s="572">
        <f>'21'!AG42+'22'!AD42</f>
        <v>0</v>
      </c>
    </row>
    <row r="43" spans="1:40" ht="27" customHeight="1" thickTop="1" thickBot="1">
      <c r="A43" s="715" t="str">
        <f>'21'!A43</f>
        <v>AQEEL</v>
      </c>
      <c r="B43" s="234"/>
      <c r="C43" s="348">
        <f>'21'!D43</f>
        <v>0</v>
      </c>
      <c r="D43" s="529">
        <f t="shared" si="10"/>
        <v>0</v>
      </c>
      <c r="F43" s="479" t="str">
        <f>'21'!F43</f>
        <v>ZAHID LAHORE</v>
      </c>
      <c r="G43" s="409">
        <f>'CUSTOMERS REPORT'!Y1370</f>
        <v>0</v>
      </c>
      <c r="H43" s="507">
        <f>'CUSTOMERS REPORT'!Z1370</f>
        <v>0</v>
      </c>
      <c r="I43" s="409">
        <f>'CUSTOMERS REPORT'!AA1370</f>
        <v>0</v>
      </c>
      <c r="J43" s="501">
        <f>'CUSTOMERS REPORT'!AB1370</f>
        <v>0</v>
      </c>
      <c r="K43" s="501">
        <f>'CUSTOMERS REPORT'!AC1370</f>
        <v>0</v>
      </c>
      <c r="L43" s="512">
        <f>'CUSTOMERS REPORT'!AD1370</f>
        <v>0</v>
      </c>
      <c r="M43" s="414">
        <f>'21'!M43+'22'!G43</f>
        <v>0</v>
      </c>
      <c r="N43" s="412">
        <f>'21'!N43+'22'!J43</f>
        <v>0</v>
      </c>
      <c r="P43" s="220" t="s">
        <v>124</v>
      </c>
      <c r="Q43" s="223">
        <f>'21'!Q48</f>
        <v>-2560190</v>
      </c>
      <c r="R43" t="s">
        <v>1</v>
      </c>
      <c r="S43" s="400">
        <f>'21'!S43</f>
        <v>0</v>
      </c>
      <c r="T43" s="446">
        <f>'21'!X43</f>
        <v>0</v>
      </c>
      <c r="U43" s="358"/>
      <c r="V43" s="453">
        <f t="shared" si="0"/>
        <v>0</v>
      </c>
      <c r="W43" s="403"/>
      <c r="X43" s="449">
        <f t="shared" si="1"/>
        <v>0</v>
      </c>
      <c r="Z43" s="383"/>
      <c r="AA43" s="356">
        <f>SUM(AA8:AA42)</f>
        <v>-1393250</v>
      </c>
      <c r="AB43" s="385">
        <f>SUM(AB8:AB42)</f>
        <v>347500</v>
      </c>
      <c r="AC43" s="357" t="s">
        <v>74</v>
      </c>
      <c r="AD43" s="387">
        <f>SUM(AD8:AD42)</f>
        <v>228600</v>
      </c>
      <c r="AE43" s="358">
        <f>SUM(AE8:AE42)</f>
        <v>-1274350</v>
      </c>
      <c r="AF43" s="565">
        <f>SUM(AF8:AF42)</f>
        <v>1129750</v>
      </c>
      <c r="AG43" s="571">
        <f>SUM(AG8:AG42)</f>
        <v>2404100</v>
      </c>
    </row>
    <row r="44" spans="1:40" ht="27" customHeight="1" thickTop="1">
      <c r="A44" s="715" t="str">
        <f>'21'!A44</f>
        <v>M.YOUSUF</v>
      </c>
      <c r="B44" s="234">
        <v>20000</v>
      </c>
      <c r="C44" s="348">
        <f>'21'!D44</f>
        <v>40000</v>
      </c>
      <c r="D44" s="234">
        <f t="shared" si="10"/>
        <v>60000</v>
      </c>
      <c r="F44" s="479" t="str">
        <f>'21'!F44</f>
        <v>CASH SALE</v>
      </c>
      <c r="G44" s="409">
        <f>'CUSTOMERS REPORT'!Y1407</f>
        <v>0</v>
      </c>
      <c r="H44" s="507">
        <f>'CUSTOMERS REPORT'!Z1407</f>
        <v>0</v>
      </c>
      <c r="I44" s="409">
        <f>'CUSTOMERS REPORT'!AA1407</f>
        <v>0</v>
      </c>
      <c r="J44" s="501">
        <f>'CUSTOMERS REPORT'!AB1407</f>
        <v>0</v>
      </c>
      <c r="K44" s="501">
        <f>'CUSTOMERS REPORT'!AC1407</f>
        <v>0</v>
      </c>
      <c r="L44" s="512">
        <f>'CUSTOMERS REPORT'!AD1407</f>
        <v>0</v>
      </c>
      <c r="M44" s="414">
        <f>'21'!M44+'22'!G44</f>
        <v>0</v>
      </c>
      <c r="N44" s="412">
        <f>'21'!N44+'22'!J44</f>
        <v>0</v>
      </c>
      <c r="P44" s="222" t="s">
        <v>114</v>
      </c>
      <c r="Q44" s="377">
        <f>J46</f>
        <v>0</v>
      </c>
      <c r="S44" s="400"/>
      <c r="T44" s="348"/>
      <c r="U44" s="306"/>
      <c r="V44" s="349"/>
      <c r="W44" s="351"/>
      <c r="X44" s="350"/>
      <c r="Z44" s="375"/>
      <c r="AA44" s="339"/>
      <c r="AB44" s="386">
        <f>'21'!AB45</f>
        <v>782250</v>
      </c>
      <c r="AC44" s="340" t="s">
        <v>126</v>
      </c>
      <c r="AD44" s="388">
        <f>'21'!AD45</f>
        <v>2175500</v>
      </c>
      <c r="AE44" s="341"/>
      <c r="AF44" s="561"/>
      <c r="AG44" s="83" t="s">
        <v>1</v>
      </c>
    </row>
    <row r="45" spans="1:40" ht="27" customHeight="1" thickBot="1">
      <c r="A45" s="715" t="str">
        <f>'21'!A45</f>
        <v>SHAKEEL</v>
      </c>
      <c r="B45" s="234">
        <v>20000</v>
      </c>
      <c r="C45" s="348">
        <f>'21'!D45</f>
        <v>27210</v>
      </c>
      <c r="D45" s="234">
        <f t="shared" si="10"/>
        <v>47210</v>
      </c>
      <c r="F45" s="479" t="str">
        <f>'21'!F45</f>
        <v xml:space="preserve">FREE </v>
      </c>
      <c r="G45" s="410">
        <f>'CUSTOMERS REPORT'!Y1443</f>
        <v>0</v>
      </c>
      <c r="H45" s="362">
        <f>'CUSTOMERS REPORT'!Z1443</f>
        <v>0</v>
      </c>
      <c r="I45" s="410">
        <f>'CUSTOMERS REPORT'!AA1443</f>
        <v>0</v>
      </c>
      <c r="J45" s="502">
        <f>'CUSTOMERS REPORT'!AB1443</f>
        <v>0</v>
      </c>
      <c r="K45" s="502">
        <f>'CUSTOMERS REPORT'!AC1443</f>
        <v>0</v>
      </c>
      <c r="L45" s="513">
        <f>'CUSTOMERS REPORT'!AD1443</f>
        <v>0</v>
      </c>
      <c r="M45" s="414">
        <f>'21'!M45+'22'!G45</f>
        <v>0</v>
      </c>
      <c r="N45" s="412">
        <f>'21'!N45+'22'!J45</f>
        <v>0</v>
      </c>
      <c r="P45" s="222" t="s">
        <v>153</v>
      </c>
      <c r="Q45" s="378">
        <f>Q43+Q44</f>
        <v>-2560190</v>
      </c>
      <c r="S45" s="401"/>
      <c r="T45" s="352"/>
      <c r="U45" s="307"/>
      <c r="V45" s="353"/>
      <c r="W45" s="354"/>
      <c r="X45" s="355"/>
      <c r="Z45" s="384"/>
      <c r="AA45" s="359"/>
      <c r="AB45" s="390">
        <f>SUM(AB43:AB44)</f>
        <v>1129750</v>
      </c>
      <c r="AC45" s="360" t="s">
        <v>74</v>
      </c>
      <c r="AD45" s="389">
        <f>SUM(AD43:AD44)</f>
        <v>2404100</v>
      </c>
      <c r="AE45" s="361"/>
      <c r="AF45" s="562"/>
      <c r="AG45" s="573"/>
    </row>
    <row r="46" spans="1:40" ht="27" customHeight="1" thickTop="1" thickBot="1">
      <c r="A46" s="715" t="str">
        <f>'21'!A46</f>
        <v>ZAHID HUSSAN</v>
      </c>
      <c r="B46" s="234"/>
      <c r="C46" s="348">
        <f>'21'!D46</f>
        <v>0</v>
      </c>
      <c r="D46" s="234">
        <f t="shared" si="10"/>
        <v>0</v>
      </c>
      <c r="F46" s="369"/>
      <c r="G46" s="424">
        <f>SUM(G8:G45)</f>
        <v>0</v>
      </c>
      <c r="H46" s="1497" t="s">
        <v>160</v>
      </c>
      <c r="I46" s="1498"/>
      <c r="J46" s="421">
        <f>SUM(J8:J45)</f>
        <v>0</v>
      </c>
      <c r="K46" s="427">
        <f>SUM(K8:K45)</f>
        <v>0</v>
      </c>
      <c r="L46" s="431">
        <f>SUM(L8:L45)</f>
        <v>0</v>
      </c>
      <c r="M46" s="429">
        <f>SUM(M8:M45)</f>
        <v>0</v>
      </c>
      <c r="N46" s="430">
        <f>SUM(N8:N45)</f>
        <v>0</v>
      </c>
      <c r="P46" s="222" t="s">
        <v>154</v>
      </c>
      <c r="Q46" s="378">
        <f>B48</f>
        <v>278960</v>
      </c>
    </row>
    <row r="47" spans="1:40" ht="27" customHeight="1" thickBot="1">
      <c r="A47" s="715" t="str">
        <f>'21'!A47</f>
        <v xml:space="preserve">INVESTOR </v>
      </c>
      <c r="B47" s="540"/>
      <c r="C47" s="348">
        <f>'21'!D47</f>
        <v>0</v>
      </c>
      <c r="D47" s="542">
        <f t="shared" si="10"/>
        <v>0</v>
      </c>
      <c r="F47" s="370"/>
      <c r="G47" s="425">
        <f>'21'!G48</f>
        <v>0</v>
      </c>
      <c r="H47" s="1512" t="s">
        <v>162</v>
      </c>
      <c r="I47" s="1513"/>
      <c r="J47" s="423">
        <f>'21'!J48</f>
        <v>0</v>
      </c>
      <c r="K47" s="423">
        <f>'21'!K48</f>
        <v>0</v>
      </c>
      <c r="L47" s="343"/>
      <c r="M47" s="344"/>
      <c r="N47" s="345"/>
      <c r="P47" s="375" t="s">
        <v>163</v>
      </c>
      <c r="Q47" s="378">
        <f>Q9+Q10+Q19+Q20+Q21+Q22</f>
        <v>0</v>
      </c>
      <c r="R47" s="19"/>
      <c r="S47" s="1489" t="s">
        <v>92</v>
      </c>
      <c r="T47" s="1516" t="s">
        <v>95</v>
      </c>
      <c r="U47" s="1518"/>
      <c r="V47" s="1518"/>
      <c r="W47" s="1517"/>
      <c r="X47" s="1516" t="s">
        <v>7</v>
      </c>
      <c r="Y47" s="1518"/>
      <c r="Z47" s="1517"/>
      <c r="AA47" s="1516" t="s">
        <v>8</v>
      </c>
      <c r="AB47" s="1517"/>
      <c r="AC47" s="1516" t="s">
        <v>9</v>
      </c>
      <c r="AD47" s="1518"/>
      <c r="AE47" s="1518"/>
      <c r="AF47" s="1518"/>
      <c r="AG47" s="1518"/>
      <c r="AH47" s="1518"/>
      <c r="AI47" s="1518"/>
      <c r="AJ47" s="1405" t="s">
        <v>10</v>
      </c>
      <c r="AK47" s="1406"/>
      <c r="AL47" s="1400" t="s">
        <v>289</v>
      </c>
      <c r="AM47" s="1401"/>
      <c r="AN47" s="842" t="s">
        <v>290</v>
      </c>
    </row>
    <row r="48" spans="1:40" ht="27" customHeight="1" thickTop="1" thickBot="1">
      <c r="A48" s="192" t="s">
        <v>74</v>
      </c>
      <c r="B48" s="544">
        <f>SUM(B22:B47)</f>
        <v>278960</v>
      </c>
      <c r="C48" s="543">
        <f>'21'!D48</f>
        <v>2560190</v>
      </c>
      <c r="D48" s="544">
        <f t="shared" si="10"/>
        <v>2839150</v>
      </c>
      <c r="F48" s="371"/>
      <c r="G48" s="426">
        <f>G46+G47</f>
        <v>0</v>
      </c>
      <c r="H48" s="1495" t="s">
        <v>164</v>
      </c>
      <c r="I48" s="1496"/>
      <c r="J48" s="422">
        <f>J46+J47</f>
        <v>0</v>
      </c>
      <c r="K48" s="428">
        <f>K46+K47</f>
        <v>0</v>
      </c>
      <c r="L48" s="346"/>
      <c r="M48" s="347"/>
      <c r="N48" s="622">
        <f>G48-J48</f>
        <v>0</v>
      </c>
      <c r="P48" s="376" t="s">
        <v>155</v>
      </c>
      <c r="Q48" s="379">
        <f>Q45-Q46-Q47</f>
        <v>-2839150</v>
      </c>
      <c r="R48" s="19"/>
      <c r="S48" s="1490"/>
      <c r="T48" s="482" t="s">
        <v>12</v>
      </c>
      <c r="U48" s="482" t="s">
        <v>13</v>
      </c>
      <c r="V48" s="482" t="s">
        <v>14</v>
      </c>
      <c r="W48" s="958" t="s">
        <v>263</v>
      </c>
      <c r="X48" s="482" t="s">
        <v>12</v>
      </c>
      <c r="Y48" s="482" t="s">
        <v>13</v>
      </c>
      <c r="Z48" s="482" t="s">
        <v>282</v>
      </c>
      <c r="AA48" s="482" t="s">
        <v>12</v>
      </c>
      <c r="AB48" s="482" t="s">
        <v>16</v>
      </c>
      <c r="AC48" s="482" t="s">
        <v>17</v>
      </c>
      <c r="AD48" s="482" t="s">
        <v>18</v>
      </c>
      <c r="AE48" s="482" t="s">
        <v>19</v>
      </c>
      <c r="AF48" s="484" t="s">
        <v>96</v>
      </c>
      <c r="AG48" s="484" t="s">
        <v>257</v>
      </c>
      <c r="AH48" s="482" t="s">
        <v>254</v>
      </c>
      <c r="AI48" s="482" t="s">
        <v>20</v>
      </c>
      <c r="AJ48" s="483" t="s">
        <v>14</v>
      </c>
      <c r="AK48" s="482" t="s">
        <v>13</v>
      </c>
      <c r="AL48" s="846" t="s">
        <v>284</v>
      </c>
      <c r="AM48" s="846" t="s">
        <v>288</v>
      </c>
      <c r="AN48" s="966" t="s">
        <v>291</v>
      </c>
    </row>
    <row r="49" spans="1:40" ht="24.95" customHeight="1" thickTop="1" thickBot="1">
      <c r="R49" s="19"/>
      <c r="S49" s="865" t="s">
        <v>165</v>
      </c>
      <c r="T49" s="866">
        <f>'21'!T55</f>
        <v>0</v>
      </c>
      <c r="U49" s="866">
        <f>'21'!U55</f>
        <v>0</v>
      </c>
      <c r="V49" s="866">
        <f>'21'!V55</f>
        <v>-5</v>
      </c>
      <c r="W49" s="866">
        <f>'21'!W55</f>
        <v>19</v>
      </c>
      <c r="X49" s="866">
        <f>'21'!X55</f>
        <v>0</v>
      </c>
      <c r="Y49" s="866">
        <f>'21'!Y55</f>
        <v>0</v>
      </c>
      <c r="Z49" s="866">
        <f>'21'!Z55</f>
        <v>-3</v>
      </c>
      <c r="AA49" s="866">
        <f>'21'!AA55</f>
        <v>1251</v>
      </c>
      <c r="AB49" s="866">
        <f>'21'!AB55</f>
        <v>0</v>
      </c>
      <c r="AC49" s="866">
        <f>'21'!AC55</f>
        <v>2179</v>
      </c>
      <c r="AD49" s="866">
        <f>'21'!AD55</f>
        <v>494</v>
      </c>
      <c r="AE49" s="866">
        <f>'21'!AE55</f>
        <v>0</v>
      </c>
      <c r="AF49" s="866">
        <f>'21'!AF55</f>
        <v>1985</v>
      </c>
      <c r="AG49" s="866">
        <f>'21'!AG55</f>
        <v>1091</v>
      </c>
      <c r="AH49" s="866">
        <f>'21'!AH55</f>
        <v>1139</v>
      </c>
      <c r="AI49" s="866">
        <f>'21'!AI55</f>
        <v>631</v>
      </c>
      <c r="AJ49" s="866">
        <f>'21'!AJ55</f>
        <v>0</v>
      </c>
      <c r="AK49" s="866">
        <f>'21'!AK55</f>
        <v>-1</v>
      </c>
      <c r="AL49" s="866" t="e">
        <f>'21'!AL55</f>
        <v>#VALUE!</v>
      </c>
      <c r="AM49" s="866" t="e">
        <f>'21'!AM55</f>
        <v>#VALUE!</v>
      </c>
      <c r="AN49" s="866" t="e">
        <f>'21'!AN55</f>
        <v>#VALUE!</v>
      </c>
    </row>
    <row r="50" spans="1:40" ht="24.95" customHeight="1" thickBot="1">
      <c r="C50" t="s">
        <v>1</v>
      </c>
      <c r="L50" s="417">
        <v>5000</v>
      </c>
      <c r="M50" s="417"/>
      <c r="N50" s="417">
        <f t="shared" ref="N50:N57" si="11">L50*M50</f>
        <v>0</v>
      </c>
      <c r="R50" s="19"/>
      <c r="S50" s="854" t="s">
        <v>166</v>
      </c>
      <c r="T50" s="852"/>
      <c r="U50" s="852"/>
      <c r="V50" s="852">
        <v>65</v>
      </c>
      <c r="W50" s="852"/>
      <c r="X50" s="852"/>
      <c r="Y50" s="852"/>
      <c r="Z50" s="852"/>
      <c r="AA50" s="852">
        <v>1300</v>
      </c>
      <c r="AB50" s="852">
        <v>170</v>
      </c>
      <c r="AC50" s="852">
        <v>266</v>
      </c>
      <c r="AD50" s="852"/>
      <c r="AE50" s="852"/>
      <c r="AF50" s="852">
        <v>535</v>
      </c>
      <c r="AG50" s="855"/>
      <c r="AH50" s="852"/>
      <c r="AI50" s="852"/>
      <c r="AJ50" s="848"/>
      <c r="AK50" s="848"/>
      <c r="AL50" s="848"/>
      <c r="AM50" s="848"/>
      <c r="AN50" s="848"/>
    </row>
    <row r="51" spans="1:40" ht="24.95" customHeight="1" thickBot="1">
      <c r="L51" s="417">
        <v>1000</v>
      </c>
      <c r="M51" s="417"/>
      <c r="N51" s="417">
        <f t="shared" si="11"/>
        <v>0</v>
      </c>
      <c r="R51" s="19"/>
      <c r="S51" s="867" t="s">
        <v>91</v>
      </c>
      <c r="T51" s="868"/>
      <c r="U51" s="868"/>
      <c r="V51" s="868"/>
      <c r="W51" s="868"/>
      <c r="X51" s="868"/>
      <c r="Y51" s="868"/>
      <c r="Z51" s="868"/>
      <c r="AA51" s="868"/>
      <c r="AB51" s="868"/>
      <c r="AC51" s="868"/>
      <c r="AD51" s="868"/>
      <c r="AE51" s="868"/>
      <c r="AF51" s="868"/>
      <c r="AG51" s="869"/>
      <c r="AH51" s="868"/>
      <c r="AI51" s="870"/>
      <c r="AJ51" s="868"/>
      <c r="AK51" s="868"/>
      <c r="AL51" s="849"/>
      <c r="AM51" s="849"/>
      <c r="AN51" s="850"/>
    </row>
    <row r="52" spans="1:40" ht="24.95" customHeight="1" thickBot="1">
      <c r="L52" s="417">
        <v>500</v>
      </c>
      <c r="M52" s="417"/>
      <c r="N52" s="417">
        <f t="shared" si="11"/>
        <v>0</v>
      </c>
      <c r="O52" t="s">
        <v>1</v>
      </c>
      <c r="R52" s="19"/>
      <c r="S52" s="856" t="s">
        <v>167</v>
      </c>
      <c r="T52" s="857"/>
      <c r="U52" s="857"/>
      <c r="V52" s="857"/>
      <c r="W52" s="857"/>
      <c r="X52" s="857"/>
      <c r="Y52" s="857"/>
      <c r="Z52" s="857"/>
      <c r="AA52" s="857"/>
      <c r="AB52" s="857"/>
      <c r="AC52" s="857"/>
      <c r="AD52" s="857"/>
      <c r="AE52" s="857"/>
      <c r="AF52" s="857"/>
      <c r="AG52" s="858"/>
      <c r="AH52" s="859"/>
      <c r="AI52" s="860"/>
      <c r="AJ52" s="851"/>
      <c r="AK52" s="851"/>
      <c r="AL52" s="849"/>
      <c r="AM52" s="849"/>
      <c r="AN52" s="850"/>
    </row>
    <row r="53" spans="1:40" ht="24.95" customHeight="1" thickBot="1">
      <c r="L53" s="417">
        <v>100</v>
      </c>
      <c r="M53" s="417"/>
      <c r="N53" s="417">
        <f t="shared" si="11"/>
        <v>0</v>
      </c>
      <c r="R53" s="19"/>
      <c r="S53" s="871" t="s">
        <v>81</v>
      </c>
      <c r="T53" s="866">
        <f t="shared" ref="T53:AN53" si="12">SUM(T49+T50+T52)</f>
        <v>0</v>
      </c>
      <c r="U53" s="866">
        <f t="shared" si="12"/>
        <v>0</v>
      </c>
      <c r="V53" s="866">
        <f t="shared" si="12"/>
        <v>60</v>
      </c>
      <c r="W53" s="866">
        <f t="shared" si="12"/>
        <v>19</v>
      </c>
      <c r="X53" s="866">
        <f t="shared" si="12"/>
        <v>0</v>
      </c>
      <c r="Y53" s="866">
        <f t="shared" si="12"/>
        <v>0</v>
      </c>
      <c r="Z53" s="866">
        <f t="shared" si="12"/>
        <v>-3</v>
      </c>
      <c r="AA53" s="866">
        <f t="shared" si="12"/>
        <v>2551</v>
      </c>
      <c r="AB53" s="866">
        <f t="shared" si="12"/>
        <v>170</v>
      </c>
      <c r="AC53" s="866">
        <f t="shared" si="12"/>
        <v>2445</v>
      </c>
      <c r="AD53" s="866">
        <f t="shared" si="12"/>
        <v>494</v>
      </c>
      <c r="AE53" s="866">
        <f t="shared" si="12"/>
        <v>0</v>
      </c>
      <c r="AF53" s="866">
        <f t="shared" si="12"/>
        <v>2520</v>
      </c>
      <c r="AG53" s="866">
        <f t="shared" si="12"/>
        <v>1091</v>
      </c>
      <c r="AH53" s="866">
        <f t="shared" si="12"/>
        <v>1139</v>
      </c>
      <c r="AI53" s="866">
        <f t="shared" si="12"/>
        <v>631</v>
      </c>
      <c r="AJ53" s="866">
        <f t="shared" si="12"/>
        <v>0</v>
      </c>
      <c r="AK53" s="866">
        <f t="shared" si="12"/>
        <v>-1</v>
      </c>
      <c r="AL53" s="866" t="e">
        <f t="shared" si="12"/>
        <v>#VALUE!</v>
      </c>
      <c r="AM53" s="866" t="e">
        <f t="shared" si="12"/>
        <v>#VALUE!</v>
      </c>
      <c r="AN53" s="872" t="e">
        <f t="shared" si="12"/>
        <v>#VALUE!</v>
      </c>
    </row>
    <row r="54" spans="1:40" ht="24.95" customHeight="1" thickBot="1">
      <c r="L54" s="417">
        <v>50</v>
      </c>
      <c r="M54" s="417"/>
      <c r="N54" s="417">
        <f t="shared" si="11"/>
        <v>0</v>
      </c>
      <c r="R54" s="19"/>
      <c r="S54" s="854" t="s">
        <v>168</v>
      </c>
      <c r="T54" s="852">
        <f>'CUSTOMERS REPORT'!B29+'CUSTOMERS REPORT'!B75+'CUSTOMERS REPORT'!B113+'CUSTOMERS REPORT'!B152+'CUSTOMERS REPORT'!B190+'CUSTOMERS REPORT'!B230+'CUSTOMERS REPORT'!B267+'CUSTOMERS REPORT'!B307+'CUSTOMERS REPORT'!B348+'CUSTOMERS REPORT'!B390+'CUSTOMERS REPORT'!B429+'CUSTOMERS REPORT'!B467+'CUSTOMERS REPORT'!B503+'CUSTOMERS REPORT'!B540+'CUSTOMERS REPORT'!B578+'CUSTOMERS REPORT'!B614+'CUSTOMERS REPORT'!B652+'CUSTOMERS REPORT'!B690+'CUSTOMERS REPORT'!B728+'CUSTOMERS REPORT'!B766+'CUSTOMERS REPORT'!B804+'CUSTOMERS REPORT'!B842+'CUSTOMERS REPORT'!B880+'CUSTOMERS REPORT'!B919+'CUSTOMERS REPORT'!B958+'CUSTOMERS REPORT'!B996+'CUSTOMERS REPORT'!B1034+'CUSTOMERS REPORT'!B1072+'CUSTOMERS REPORT'!B1110+'CUSTOMERS REPORT'!B1148+'CUSTOMERS REPORT'!B1185+'CUSTOMERS REPORT'!B1222+'CUSTOMERS REPORT'!B1259+'CUSTOMERS REPORT'!B1296+'CUSTOMERS REPORT'!B1333+'CUSTOMERS REPORT'!B1370+'CUSTOMERS REPORT'!B1407+'CUSTOMERS REPORT'!B1443</f>
        <v>0</v>
      </c>
      <c r="U54" s="852">
        <f>'CUSTOMERS REPORT'!C29+'CUSTOMERS REPORT'!C75+'CUSTOMERS REPORT'!C113+'CUSTOMERS REPORT'!C152+'CUSTOMERS REPORT'!C190+'CUSTOMERS REPORT'!C230+'CUSTOMERS REPORT'!C267+'CUSTOMERS REPORT'!C307+'CUSTOMERS REPORT'!C348+'CUSTOMERS REPORT'!C390+'CUSTOMERS REPORT'!C429+'CUSTOMERS REPORT'!C467+'CUSTOMERS REPORT'!C503+'CUSTOMERS REPORT'!C540+'CUSTOMERS REPORT'!C578+'CUSTOMERS REPORT'!C614+'CUSTOMERS REPORT'!C652+'CUSTOMERS REPORT'!C690+'CUSTOMERS REPORT'!C728+'CUSTOMERS REPORT'!C766+'CUSTOMERS REPORT'!C804+'CUSTOMERS REPORT'!C842+'CUSTOMERS REPORT'!C880+'CUSTOMERS REPORT'!C919+'CUSTOMERS REPORT'!C958+'CUSTOMERS REPORT'!C996+'CUSTOMERS REPORT'!C1034+'CUSTOMERS REPORT'!C1072+'CUSTOMERS REPORT'!C1110+'CUSTOMERS REPORT'!C1148+'CUSTOMERS REPORT'!C1185+'CUSTOMERS REPORT'!C1222+'CUSTOMERS REPORT'!C1259+'CUSTOMERS REPORT'!C1296+'CUSTOMERS REPORT'!C1333+'CUSTOMERS REPORT'!C1370+'CUSTOMERS REPORT'!C1407+'CUSTOMERS REPORT'!C1443</f>
        <v>0</v>
      </c>
      <c r="V54" s="852">
        <f>'CUSTOMERS REPORT'!D29+'CUSTOMERS REPORT'!D75+'CUSTOMERS REPORT'!D113+'CUSTOMERS REPORT'!D152+'CUSTOMERS REPORT'!D190+'CUSTOMERS REPORT'!D230+'CUSTOMERS REPORT'!D267+'CUSTOMERS REPORT'!D307+'CUSTOMERS REPORT'!D348+'CUSTOMERS REPORT'!D390+'CUSTOMERS REPORT'!D429+'CUSTOMERS REPORT'!D467+'CUSTOMERS REPORT'!D503+'CUSTOMERS REPORT'!D540+'CUSTOMERS REPORT'!D578+'CUSTOMERS REPORT'!D614+'CUSTOMERS REPORT'!D652+'CUSTOMERS REPORT'!D690+'CUSTOMERS REPORT'!D728+'CUSTOMERS REPORT'!D766+'CUSTOMERS REPORT'!D804+'CUSTOMERS REPORT'!D842+'CUSTOMERS REPORT'!D880+'CUSTOMERS REPORT'!D919+'CUSTOMERS REPORT'!D958+'CUSTOMERS REPORT'!D996+'CUSTOMERS REPORT'!D1034+'CUSTOMERS REPORT'!D1072+'CUSTOMERS REPORT'!D1110+'CUSTOMERS REPORT'!D1148+'CUSTOMERS REPORT'!D1185+'CUSTOMERS REPORT'!D1222+'CUSTOMERS REPORT'!D1259+'CUSTOMERS REPORT'!D1296+'CUSTOMERS REPORT'!D1333+'CUSTOMERS REPORT'!D1370+'CUSTOMERS REPORT'!D1407+'CUSTOMERS REPORT'!D1443</f>
        <v>0</v>
      </c>
      <c r="W54" s="852">
        <f>'CUSTOMERS REPORT'!E29+'CUSTOMERS REPORT'!E75+'CUSTOMERS REPORT'!E113+'CUSTOMERS REPORT'!E152+'CUSTOMERS REPORT'!E190+'CUSTOMERS REPORT'!E230+'CUSTOMERS REPORT'!E267+'CUSTOMERS REPORT'!E307+'CUSTOMERS REPORT'!E348+'CUSTOMERS REPORT'!E390+'CUSTOMERS REPORT'!E429+'CUSTOMERS REPORT'!E467+'CUSTOMERS REPORT'!E503+'CUSTOMERS REPORT'!E540+'CUSTOMERS REPORT'!E578+'CUSTOMERS REPORT'!E614+'CUSTOMERS REPORT'!E652+'CUSTOMERS REPORT'!E690+'CUSTOMERS REPORT'!E728+'CUSTOMERS REPORT'!E766+'CUSTOMERS REPORT'!E804+'CUSTOMERS REPORT'!E842+'CUSTOMERS REPORT'!E880+'CUSTOMERS REPORT'!E919+'CUSTOMERS REPORT'!E958+'CUSTOMERS REPORT'!E996+'CUSTOMERS REPORT'!E1034+'CUSTOMERS REPORT'!E1072+'CUSTOMERS REPORT'!E1110+'CUSTOMERS REPORT'!E1148+'CUSTOMERS REPORT'!E1185+'CUSTOMERS REPORT'!E1222+'CUSTOMERS REPORT'!E1259+'CUSTOMERS REPORT'!E1296+'CUSTOMERS REPORT'!E1333+'CUSTOMERS REPORT'!E1370+'CUSTOMERS REPORT'!E1407+'CUSTOMERS REPORT'!E1443</f>
        <v>0</v>
      </c>
      <c r="X54" s="852">
        <f>'CUSTOMERS REPORT'!F29+'CUSTOMERS REPORT'!F75+'CUSTOMERS REPORT'!F113+'CUSTOMERS REPORT'!F152+'CUSTOMERS REPORT'!F190+'CUSTOMERS REPORT'!F230+'CUSTOMERS REPORT'!F267+'CUSTOMERS REPORT'!F307+'CUSTOMERS REPORT'!F348+'CUSTOMERS REPORT'!F390+'CUSTOMERS REPORT'!F429+'CUSTOMERS REPORT'!F467+'CUSTOMERS REPORT'!F503+'CUSTOMERS REPORT'!F540+'CUSTOMERS REPORT'!F578+'CUSTOMERS REPORT'!F614+'CUSTOMERS REPORT'!F652+'CUSTOMERS REPORT'!F690+'CUSTOMERS REPORT'!F728+'CUSTOMERS REPORT'!F766+'CUSTOMERS REPORT'!F804+'CUSTOMERS REPORT'!F842+'CUSTOMERS REPORT'!F880+'CUSTOMERS REPORT'!F919+'CUSTOMERS REPORT'!F958+'CUSTOMERS REPORT'!F996+'CUSTOMERS REPORT'!F1034+'CUSTOMERS REPORT'!F1072+'CUSTOMERS REPORT'!F1110+'CUSTOMERS REPORT'!F1148+'CUSTOMERS REPORT'!F1185+'CUSTOMERS REPORT'!F1222+'CUSTOMERS REPORT'!F1259+'CUSTOMERS REPORT'!F1296+'CUSTOMERS REPORT'!F1333+'CUSTOMERS REPORT'!F1370+'CUSTOMERS REPORT'!F1407+'CUSTOMERS REPORT'!F1443</f>
        <v>0</v>
      </c>
      <c r="Y54" s="852">
        <f>'CUSTOMERS REPORT'!G29+'CUSTOMERS REPORT'!G75+'CUSTOMERS REPORT'!G113+'CUSTOMERS REPORT'!G152+'CUSTOMERS REPORT'!G190+'CUSTOMERS REPORT'!G230+'CUSTOMERS REPORT'!G267+'CUSTOMERS REPORT'!G307+'CUSTOMERS REPORT'!G348+'CUSTOMERS REPORT'!G390+'CUSTOMERS REPORT'!G429+'CUSTOMERS REPORT'!G467+'CUSTOMERS REPORT'!G503+'CUSTOMERS REPORT'!G540+'CUSTOMERS REPORT'!G578+'CUSTOMERS REPORT'!G614+'CUSTOMERS REPORT'!G652+'CUSTOMERS REPORT'!G690+'CUSTOMERS REPORT'!G728+'CUSTOMERS REPORT'!G766+'CUSTOMERS REPORT'!G804+'CUSTOMERS REPORT'!G842+'CUSTOMERS REPORT'!G880+'CUSTOMERS REPORT'!G919+'CUSTOMERS REPORT'!G958+'CUSTOMERS REPORT'!G996+'CUSTOMERS REPORT'!G1034+'CUSTOMERS REPORT'!G1072+'CUSTOMERS REPORT'!G1110+'CUSTOMERS REPORT'!G1148+'CUSTOMERS REPORT'!G1185+'CUSTOMERS REPORT'!G1222+'CUSTOMERS REPORT'!G1259+'CUSTOMERS REPORT'!G1296+'CUSTOMERS REPORT'!G1333+'CUSTOMERS REPORT'!G1370+'CUSTOMERS REPORT'!G1407+'CUSTOMERS REPORT'!G1443</f>
        <v>0</v>
      </c>
      <c r="Z54" s="852">
        <f>'CUSTOMERS REPORT'!H29+'CUSTOMERS REPORT'!H75+'CUSTOMERS REPORT'!H113+'CUSTOMERS REPORT'!H152+'CUSTOMERS REPORT'!H190+'CUSTOMERS REPORT'!H230+'CUSTOMERS REPORT'!H267+'CUSTOMERS REPORT'!H307+'CUSTOMERS REPORT'!H348+'CUSTOMERS REPORT'!H390+'CUSTOMERS REPORT'!H429+'CUSTOMERS REPORT'!H467+'CUSTOMERS REPORT'!H503+'CUSTOMERS REPORT'!H540+'CUSTOMERS REPORT'!H578+'CUSTOMERS REPORT'!H614+'CUSTOMERS REPORT'!H652+'CUSTOMERS REPORT'!H690+'CUSTOMERS REPORT'!H728+'CUSTOMERS REPORT'!H766+'CUSTOMERS REPORT'!H804+'CUSTOMERS REPORT'!H842+'CUSTOMERS REPORT'!H880+'CUSTOMERS REPORT'!H919+'CUSTOMERS REPORT'!H958+'CUSTOMERS REPORT'!H996+'CUSTOMERS REPORT'!H1034+'CUSTOMERS REPORT'!H1072+'CUSTOMERS REPORT'!H1110+'CUSTOMERS REPORT'!H1148+'CUSTOMERS REPORT'!H1185+'CUSTOMERS REPORT'!H1222+'CUSTOMERS REPORT'!H1259+'CUSTOMERS REPORT'!H1296+'CUSTOMERS REPORT'!H1333+'CUSTOMERS REPORT'!H1370+'CUSTOMERS REPORT'!H1407+'CUSTOMERS REPORT'!H1443</f>
        <v>0</v>
      </c>
      <c r="AA54" s="852">
        <f>'CUSTOMERS REPORT'!I29+'CUSTOMERS REPORT'!I75+'CUSTOMERS REPORT'!I113+'CUSTOMERS REPORT'!I152+'CUSTOMERS REPORT'!I190+'CUSTOMERS REPORT'!I230+'CUSTOMERS REPORT'!I267+'CUSTOMERS REPORT'!I307+'CUSTOMERS REPORT'!I348+'CUSTOMERS REPORT'!I390+'CUSTOMERS REPORT'!I429+'CUSTOMERS REPORT'!I467+'CUSTOMERS REPORT'!I503+'CUSTOMERS REPORT'!I540+'CUSTOMERS REPORT'!I578+'CUSTOMERS REPORT'!I614+'CUSTOMERS REPORT'!I652+'CUSTOMERS REPORT'!I690+'CUSTOMERS REPORT'!I728+'CUSTOMERS REPORT'!I766+'CUSTOMERS REPORT'!I804+'CUSTOMERS REPORT'!I842+'CUSTOMERS REPORT'!I880+'CUSTOMERS REPORT'!I919+'CUSTOMERS REPORT'!I958+'CUSTOMERS REPORT'!I996+'CUSTOMERS REPORT'!I1034+'CUSTOMERS REPORT'!I1072+'CUSTOMERS REPORT'!I1110+'CUSTOMERS REPORT'!I1148+'CUSTOMERS REPORT'!I1185+'CUSTOMERS REPORT'!I1222+'CUSTOMERS REPORT'!I1259+'CUSTOMERS REPORT'!I1296+'CUSTOMERS REPORT'!I1333+'CUSTOMERS REPORT'!I1370+'CUSTOMERS REPORT'!I1407+'CUSTOMERS REPORT'!I1443</f>
        <v>0</v>
      </c>
      <c r="AB54" s="852">
        <f>'CUSTOMERS REPORT'!J29+'CUSTOMERS REPORT'!J75+'CUSTOMERS REPORT'!J113+'CUSTOMERS REPORT'!J152+'CUSTOMERS REPORT'!J190+'CUSTOMERS REPORT'!J230+'CUSTOMERS REPORT'!J267+'CUSTOMERS REPORT'!J307+'CUSTOMERS REPORT'!J348+'CUSTOMERS REPORT'!J390+'CUSTOMERS REPORT'!J429+'CUSTOMERS REPORT'!J467+'CUSTOMERS REPORT'!J503+'CUSTOMERS REPORT'!J540+'CUSTOMERS REPORT'!J578+'CUSTOMERS REPORT'!J614+'CUSTOMERS REPORT'!J652+'CUSTOMERS REPORT'!J690+'CUSTOMERS REPORT'!J728+'CUSTOMERS REPORT'!J766+'CUSTOMERS REPORT'!J804+'CUSTOMERS REPORT'!J842+'CUSTOMERS REPORT'!J880+'CUSTOMERS REPORT'!J919+'CUSTOMERS REPORT'!J958+'CUSTOMERS REPORT'!J996+'CUSTOMERS REPORT'!J1034+'CUSTOMERS REPORT'!J1072+'CUSTOMERS REPORT'!J1110+'CUSTOMERS REPORT'!J1148+'CUSTOMERS REPORT'!J1185+'CUSTOMERS REPORT'!J1222+'CUSTOMERS REPORT'!J1259+'CUSTOMERS REPORT'!J1296+'CUSTOMERS REPORT'!J1333+'CUSTOMERS REPORT'!J1370+'CUSTOMERS REPORT'!J1407+'CUSTOMERS REPORT'!J1443</f>
        <v>0</v>
      </c>
      <c r="AC54" s="852">
        <f>'CUSTOMERS REPORT'!K29+'CUSTOMERS REPORT'!K75+'CUSTOMERS REPORT'!K113+'CUSTOMERS REPORT'!K152+'CUSTOMERS REPORT'!K190+'CUSTOMERS REPORT'!K230+'CUSTOMERS REPORT'!K267+'CUSTOMERS REPORT'!K307+'CUSTOMERS REPORT'!K348+'CUSTOMERS REPORT'!K390+'CUSTOMERS REPORT'!K429+'CUSTOMERS REPORT'!K467+'CUSTOMERS REPORT'!K503+'CUSTOMERS REPORT'!K540+'CUSTOMERS REPORT'!K578+'CUSTOMERS REPORT'!K614+'CUSTOMERS REPORT'!K652+'CUSTOMERS REPORT'!K690+'CUSTOMERS REPORT'!K728+'CUSTOMERS REPORT'!K766+'CUSTOMERS REPORT'!K804+'CUSTOMERS REPORT'!K842+'CUSTOMERS REPORT'!K880+'CUSTOMERS REPORT'!K919+'CUSTOMERS REPORT'!K958+'CUSTOMERS REPORT'!K996+'CUSTOMERS REPORT'!K1034+'CUSTOMERS REPORT'!K1072+'CUSTOMERS REPORT'!K1110+'CUSTOMERS REPORT'!K1148+'CUSTOMERS REPORT'!K1185+'CUSTOMERS REPORT'!K1222+'CUSTOMERS REPORT'!K1259+'CUSTOMERS REPORT'!K1296+'CUSTOMERS REPORT'!K1333+'CUSTOMERS REPORT'!K1370+'CUSTOMERS REPORT'!K1407+'CUSTOMERS REPORT'!K1443</f>
        <v>0</v>
      </c>
      <c r="AD54" s="852">
        <f>'CUSTOMERS REPORT'!L29+'CUSTOMERS REPORT'!L75+'CUSTOMERS REPORT'!L113+'CUSTOMERS REPORT'!L152+'CUSTOMERS REPORT'!L190+'CUSTOMERS REPORT'!L230+'CUSTOMERS REPORT'!L267+'CUSTOMERS REPORT'!L307+'CUSTOMERS REPORT'!L348+'CUSTOMERS REPORT'!L390+'CUSTOMERS REPORT'!L429+'CUSTOMERS REPORT'!L467+'CUSTOMERS REPORT'!L503+'CUSTOMERS REPORT'!L540+'CUSTOMERS REPORT'!L578+'CUSTOMERS REPORT'!L614+'CUSTOMERS REPORT'!L652+'CUSTOMERS REPORT'!L690+'CUSTOMERS REPORT'!L728+'CUSTOMERS REPORT'!L766+'CUSTOMERS REPORT'!L804+'CUSTOMERS REPORT'!L842+'CUSTOMERS REPORT'!L880+'CUSTOMERS REPORT'!L919+'CUSTOMERS REPORT'!L958+'CUSTOMERS REPORT'!L996+'CUSTOMERS REPORT'!L1034+'CUSTOMERS REPORT'!L1072+'CUSTOMERS REPORT'!L1110+'CUSTOMERS REPORT'!L1148+'CUSTOMERS REPORT'!L1185+'CUSTOMERS REPORT'!L1222+'CUSTOMERS REPORT'!L1259+'CUSTOMERS REPORT'!L1296+'CUSTOMERS REPORT'!L1333+'CUSTOMERS REPORT'!L1370+'CUSTOMERS REPORT'!L1407+'CUSTOMERS REPORT'!L1443</f>
        <v>0</v>
      </c>
      <c r="AE54" s="852">
        <f>'CUSTOMERS REPORT'!M29+'CUSTOMERS REPORT'!M75+'CUSTOMERS REPORT'!M113+'CUSTOMERS REPORT'!M152+'CUSTOMERS REPORT'!M190+'CUSTOMERS REPORT'!M230+'CUSTOMERS REPORT'!M267+'CUSTOMERS REPORT'!M307+'CUSTOMERS REPORT'!M348+'CUSTOMERS REPORT'!M390+'CUSTOMERS REPORT'!M429+'CUSTOMERS REPORT'!M467+'CUSTOMERS REPORT'!M503+'CUSTOMERS REPORT'!M540+'CUSTOMERS REPORT'!M578+'CUSTOMERS REPORT'!M614+'CUSTOMERS REPORT'!M652+'CUSTOMERS REPORT'!M690+'CUSTOMERS REPORT'!M728+'CUSTOMERS REPORT'!M766+'CUSTOMERS REPORT'!M804+'CUSTOMERS REPORT'!M842+'CUSTOMERS REPORT'!M880+'CUSTOMERS REPORT'!M919+'CUSTOMERS REPORT'!M958+'CUSTOMERS REPORT'!M996+'CUSTOMERS REPORT'!M1034+'CUSTOMERS REPORT'!M1072+'CUSTOMERS REPORT'!M1110+'CUSTOMERS REPORT'!M1148+'CUSTOMERS REPORT'!M1185+'CUSTOMERS REPORT'!M1222+'CUSTOMERS REPORT'!M1259+'CUSTOMERS REPORT'!M1296+'CUSTOMERS REPORT'!M1333+'CUSTOMERS REPORT'!M1370+'CUSTOMERS REPORT'!M1407+'CUSTOMERS REPORT'!M1443</f>
        <v>0</v>
      </c>
      <c r="AF54" s="852">
        <f>'CUSTOMERS REPORT'!N29+'CUSTOMERS REPORT'!N75+'CUSTOMERS REPORT'!N113+'CUSTOMERS REPORT'!N152+'CUSTOMERS REPORT'!N190+'CUSTOMERS REPORT'!N230+'CUSTOMERS REPORT'!N267+'CUSTOMERS REPORT'!N307+'CUSTOMERS REPORT'!N348+'CUSTOMERS REPORT'!N390+'CUSTOMERS REPORT'!N429+'CUSTOMERS REPORT'!N467+'CUSTOMERS REPORT'!N503+'CUSTOMERS REPORT'!N540+'CUSTOMERS REPORT'!N578+'CUSTOMERS REPORT'!N614+'CUSTOMERS REPORT'!N652+'CUSTOMERS REPORT'!N690+'CUSTOMERS REPORT'!N728+'CUSTOMERS REPORT'!N766+'CUSTOMERS REPORT'!N804+'CUSTOMERS REPORT'!N842+'CUSTOMERS REPORT'!N880+'CUSTOMERS REPORT'!N919+'CUSTOMERS REPORT'!N958+'CUSTOMERS REPORT'!N996+'CUSTOMERS REPORT'!N1034+'CUSTOMERS REPORT'!N1072+'CUSTOMERS REPORT'!N1110+'CUSTOMERS REPORT'!N1148+'CUSTOMERS REPORT'!N1185+'CUSTOMERS REPORT'!N1222+'CUSTOMERS REPORT'!N1259+'CUSTOMERS REPORT'!N1296+'CUSTOMERS REPORT'!N1333+'CUSTOMERS REPORT'!N1370+'CUSTOMERS REPORT'!N1407+'CUSTOMERS REPORT'!N1443</f>
        <v>0</v>
      </c>
      <c r="AG54" s="852">
        <f>'CUSTOMERS REPORT'!O29+'CUSTOMERS REPORT'!O75+'CUSTOMERS REPORT'!O113+'CUSTOMERS REPORT'!O152+'CUSTOMERS REPORT'!O190+'CUSTOMERS REPORT'!O230+'CUSTOMERS REPORT'!O267+'CUSTOMERS REPORT'!O307+'CUSTOMERS REPORT'!O348+'CUSTOMERS REPORT'!O390+'CUSTOMERS REPORT'!O429+'CUSTOMERS REPORT'!O467+'CUSTOMERS REPORT'!O503+'CUSTOMERS REPORT'!O540+'CUSTOMERS REPORT'!O578+'CUSTOMERS REPORT'!O614+'CUSTOMERS REPORT'!O652+'CUSTOMERS REPORT'!O690+'CUSTOMERS REPORT'!O728+'CUSTOMERS REPORT'!O766+'CUSTOMERS REPORT'!O804+'CUSTOMERS REPORT'!O842+'CUSTOMERS REPORT'!O880+'CUSTOMERS REPORT'!O919+'CUSTOMERS REPORT'!O958+'CUSTOMERS REPORT'!O996+'CUSTOMERS REPORT'!O1034+'CUSTOMERS REPORT'!O1072+'CUSTOMERS REPORT'!O1110+'CUSTOMERS REPORT'!O1148+'CUSTOMERS REPORT'!O1185+'CUSTOMERS REPORT'!O1222+'CUSTOMERS REPORT'!O1259+'CUSTOMERS REPORT'!O1296+'CUSTOMERS REPORT'!O1333+'CUSTOMERS REPORT'!O1370+'CUSTOMERS REPORT'!O1407+'CUSTOMERS REPORT'!O1443</f>
        <v>0</v>
      </c>
      <c r="AH54" s="852">
        <f>'CUSTOMERS REPORT'!P29+'CUSTOMERS REPORT'!P75+'CUSTOMERS REPORT'!P113+'CUSTOMERS REPORT'!P152+'CUSTOMERS REPORT'!P190+'CUSTOMERS REPORT'!P230+'CUSTOMERS REPORT'!P267+'CUSTOMERS REPORT'!P307+'CUSTOMERS REPORT'!P348+'CUSTOMERS REPORT'!P390+'CUSTOMERS REPORT'!P429+'CUSTOMERS REPORT'!P467+'CUSTOMERS REPORT'!P503+'CUSTOMERS REPORT'!P540+'CUSTOMERS REPORT'!P578+'CUSTOMERS REPORT'!P614+'CUSTOMERS REPORT'!P652+'CUSTOMERS REPORT'!P690+'CUSTOMERS REPORT'!P728+'CUSTOMERS REPORT'!P766+'CUSTOMERS REPORT'!P804+'CUSTOMERS REPORT'!P842+'CUSTOMERS REPORT'!P880+'CUSTOMERS REPORT'!P919+'CUSTOMERS REPORT'!P958+'CUSTOMERS REPORT'!P996+'CUSTOMERS REPORT'!P1034+'CUSTOMERS REPORT'!P1072+'CUSTOMERS REPORT'!P1110+'CUSTOMERS REPORT'!P1148+'CUSTOMERS REPORT'!P1185+'CUSTOMERS REPORT'!P1222+'CUSTOMERS REPORT'!P1259+'CUSTOMERS REPORT'!P1296+'CUSTOMERS REPORT'!P1333+'CUSTOMERS REPORT'!P1370+'CUSTOMERS REPORT'!P1407+'CUSTOMERS REPORT'!P1443</f>
        <v>0</v>
      </c>
      <c r="AI54" s="852">
        <f>'CUSTOMERS REPORT'!Q29+'CUSTOMERS REPORT'!Q75+'CUSTOMERS REPORT'!Q113+'CUSTOMERS REPORT'!Q152+'CUSTOMERS REPORT'!Q190+'CUSTOMERS REPORT'!Q230+'CUSTOMERS REPORT'!Q267+'CUSTOMERS REPORT'!Q307+'CUSTOMERS REPORT'!Q348+'CUSTOMERS REPORT'!Q390+'CUSTOMERS REPORT'!Q429+'CUSTOMERS REPORT'!Q467+'CUSTOMERS REPORT'!Q503+'CUSTOMERS REPORT'!Q540+'CUSTOMERS REPORT'!Q578+'CUSTOMERS REPORT'!Q614+'CUSTOMERS REPORT'!Q652+'CUSTOMERS REPORT'!Q690+'CUSTOMERS REPORT'!Q728+'CUSTOMERS REPORT'!Q766+'CUSTOMERS REPORT'!Q804+'CUSTOMERS REPORT'!Q842+'CUSTOMERS REPORT'!Q880+'CUSTOMERS REPORT'!Q919+'CUSTOMERS REPORT'!Q958+'CUSTOMERS REPORT'!Q996+'CUSTOMERS REPORT'!Q1034+'CUSTOMERS REPORT'!Q1072+'CUSTOMERS REPORT'!Q1110+'CUSTOMERS REPORT'!Q1148+'CUSTOMERS REPORT'!Q1185+'CUSTOMERS REPORT'!Q1222+'CUSTOMERS REPORT'!Q1259+'CUSTOMERS REPORT'!Q1296+'CUSTOMERS REPORT'!Q1333+'CUSTOMERS REPORT'!Q1370+'CUSTOMERS REPORT'!Q1407+'CUSTOMERS REPORT'!Q1443</f>
        <v>0</v>
      </c>
      <c r="AJ54" s="852">
        <f>'CUSTOMERS REPORT'!R29+'CUSTOMERS REPORT'!R75+'CUSTOMERS REPORT'!R113+'CUSTOMERS REPORT'!R152+'CUSTOMERS REPORT'!R190+'CUSTOMERS REPORT'!R230+'CUSTOMERS REPORT'!R267+'CUSTOMERS REPORT'!R307+'CUSTOMERS REPORT'!R348+'CUSTOMERS REPORT'!R390+'CUSTOMERS REPORT'!R429+'CUSTOMERS REPORT'!R467+'CUSTOMERS REPORT'!R503+'CUSTOMERS REPORT'!R540+'CUSTOMERS REPORT'!R578+'CUSTOMERS REPORT'!R614+'CUSTOMERS REPORT'!R652+'CUSTOMERS REPORT'!R690+'CUSTOMERS REPORT'!R728+'CUSTOMERS REPORT'!R766+'CUSTOMERS REPORT'!R804+'CUSTOMERS REPORT'!R842+'CUSTOMERS REPORT'!R880+'CUSTOMERS REPORT'!R919+'CUSTOMERS REPORT'!R958+'CUSTOMERS REPORT'!R996+'CUSTOMERS REPORT'!R1034+'CUSTOMERS REPORT'!R1072+'CUSTOMERS REPORT'!R1110+'CUSTOMERS REPORT'!R1148+'CUSTOMERS REPORT'!R1185+'CUSTOMERS REPORT'!R1222+'CUSTOMERS REPORT'!R1259+'CUSTOMERS REPORT'!R1296+'CUSTOMERS REPORT'!R1333+'CUSTOMERS REPORT'!R1370+'CUSTOMERS REPORT'!R1407+'CUSTOMERS REPORT'!R1443</f>
        <v>0</v>
      </c>
      <c r="AK54" s="852">
        <f>'CUSTOMERS REPORT'!S29+'CUSTOMERS REPORT'!S75+'CUSTOMERS REPORT'!S113+'CUSTOMERS REPORT'!S152+'CUSTOMERS REPORT'!S190+'CUSTOMERS REPORT'!S230+'CUSTOMERS REPORT'!S267+'CUSTOMERS REPORT'!S307+'CUSTOMERS REPORT'!S348+'CUSTOMERS REPORT'!S390+'CUSTOMERS REPORT'!S429+'CUSTOMERS REPORT'!S467+'CUSTOMERS REPORT'!S503+'CUSTOMERS REPORT'!S540+'CUSTOMERS REPORT'!S578+'CUSTOMERS REPORT'!S614+'CUSTOMERS REPORT'!S652+'CUSTOMERS REPORT'!S690+'CUSTOMERS REPORT'!S728+'CUSTOMERS REPORT'!S766+'CUSTOMERS REPORT'!S804+'CUSTOMERS REPORT'!S842+'CUSTOMERS REPORT'!S880+'CUSTOMERS REPORT'!S919+'CUSTOMERS REPORT'!S958+'CUSTOMERS REPORT'!S996+'CUSTOMERS REPORT'!S1034+'CUSTOMERS REPORT'!S1072+'CUSTOMERS REPORT'!S1110+'CUSTOMERS REPORT'!S1148+'CUSTOMERS REPORT'!S1185+'CUSTOMERS REPORT'!S1222+'CUSTOMERS REPORT'!S1259+'CUSTOMERS REPORT'!S1296+'CUSTOMERS REPORT'!S1333+'CUSTOMERS REPORT'!S1370+'CUSTOMERS REPORT'!S1407+'CUSTOMERS REPORT'!S1443</f>
        <v>0</v>
      </c>
      <c r="AL54" s="852">
        <f>'CUSTOMERS REPORT'!T29+'CUSTOMERS REPORT'!T75+'CUSTOMERS REPORT'!T113+'CUSTOMERS REPORT'!T152+'CUSTOMERS REPORT'!T190+'CUSTOMERS REPORT'!T230+'CUSTOMERS REPORT'!T267+'CUSTOMERS REPORT'!T307+'CUSTOMERS REPORT'!T348+'CUSTOMERS REPORT'!T390+'CUSTOMERS REPORT'!T429+'CUSTOMERS REPORT'!T467+'CUSTOMERS REPORT'!T503+'CUSTOMERS REPORT'!T540+'CUSTOMERS REPORT'!T578+'CUSTOMERS REPORT'!T614+'CUSTOMERS REPORT'!T652+'CUSTOMERS REPORT'!T690+'CUSTOMERS REPORT'!T728+'CUSTOMERS REPORT'!T766+'CUSTOMERS REPORT'!T804+'CUSTOMERS REPORT'!T842+'CUSTOMERS REPORT'!T880+'CUSTOMERS REPORT'!T919+'CUSTOMERS REPORT'!T958+'CUSTOMERS REPORT'!T996+'CUSTOMERS REPORT'!T1034+'CUSTOMERS REPORT'!T1072+'CUSTOMERS REPORT'!T1110+'CUSTOMERS REPORT'!T1148</f>
        <v>0</v>
      </c>
      <c r="AM54" s="852">
        <f>'CUSTOMERS REPORT'!U29+'CUSTOMERS REPORT'!U75+'CUSTOMERS REPORT'!U113+'CUSTOMERS REPORT'!U152+'CUSTOMERS REPORT'!U190+'CUSTOMERS REPORT'!U230+'CUSTOMERS REPORT'!U267+'CUSTOMERS REPORT'!U307+'CUSTOMERS REPORT'!U348+'CUSTOMERS REPORT'!U390+'CUSTOMERS REPORT'!U429+'CUSTOMERS REPORT'!U467+'CUSTOMERS REPORT'!U503+'CUSTOMERS REPORT'!U540+'CUSTOMERS REPORT'!U578+'CUSTOMERS REPORT'!U614+'CUSTOMERS REPORT'!U652+'CUSTOMERS REPORT'!U690+'CUSTOMERS REPORT'!U728+'CUSTOMERS REPORT'!U766+'CUSTOMERS REPORT'!U804+'CUSTOMERS REPORT'!U842+'CUSTOMERS REPORT'!U880+'CUSTOMERS REPORT'!U919+'CUSTOMERS REPORT'!U958+'CUSTOMERS REPORT'!U996+'CUSTOMERS REPORT'!U1034+'CUSTOMERS REPORT'!U1072+'CUSTOMERS REPORT'!U1110+'CUSTOMERS REPORT'!U1148</f>
        <v>0</v>
      </c>
      <c r="AN54" s="852">
        <f>'CUSTOMERS REPORT'!V29+'CUSTOMERS REPORT'!V75+'CUSTOMERS REPORT'!V113+'CUSTOMERS REPORT'!V152+'CUSTOMERS REPORT'!V190+'CUSTOMERS REPORT'!V230+'CUSTOMERS REPORT'!V267+'CUSTOMERS REPORT'!V307+'CUSTOMERS REPORT'!V348+'CUSTOMERS REPORT'!V390+'CUSTOMERS REPORT'!V429+'CUSTOMERS REPORT'!V467+'CUSTOMERS REPORT'!V503+'CUSTOMERS REPORT'!V540+'CUSTOMERS REPORT'!V578+'CUSTOMERS REPORT'!V614+'CUSTOMERS REPORT'!V652+'CUSTOMERS REPORT'!V690+'CUSTOMERS REPORT'!V728+'CUSTOMERS REPORT'!V766+'CUSTOMERS REPORT'!V804+'CUSTOMERS REPORT'!V842+'CUSTOMERS REPORT'!V880+'CUSTOMERS REPORT'!V919+'CUSTOMERS REPORT'!V958+'CUSTOMERS REPORT'!V996+'CUSTOMERS REPORT'!V1034+'CUSTOMERS REPORT'!V1072+'CUSTOMERS REPORT'!V1110+'CUSTOMERS REPORT'!V1148</f>
        <v>0</v>
      </c>
    </row>
    <row r="55" spans="1:40" ht="24.95" customHeight="1" thickBot="1">
      <c r="L55" s="417">
        <v>20</v>
      </c>
      <c r="M55" s="417"/>
      <c r="N55" s="417">
        <f t="shared" si="11"/>
        <v>0</v>
      </c>
      <c r="R55" s="123">
        <f>'21'!R57</f>
        <v>78</v>
      </c>
      <c r="S55" s="865" t="s">
        <v>169</v>
      </c>
      <c r="T55" s="866">
        <f t="shared" ref="T55:AN55" si="13">T53-T54-T51</f>
        <v>0</v>
      </c>
      <c r="U55" s="866">
        <f t="shared" si="13"/>
        <v>0</v>
      </c>
      <c r="V55" s="866">
        <f t="shared" si="13"/>
        <v>60</v>
      </c>
      <c r="W55" s="866">
        <f t="shared" si="13"/>
        <v>19</v>
      </c>
      <c r="X55" s="866">
        <f t="shared" si="13"/>
        <v>0</v>
      </c>
      <c r="Y55" s="866">
        <f t="shared" si="13"/>
        <v>0</v>
      </c>
      <c r="Z55" s="866">
        <f t="shared" si="13"/>
        <v>-3</v>
      </c>
      <c r="AA55" s="866">
        <f t="shared" si="13"/>
        <v>2551</v>
      </c>
      <c r="AB55" s="866">
        <f t="shared" si="13"/>
        <v>170</v>
      </c>
      <c r="AC55" s="866">
        <f t="shared" si="13"/>
        <v>2445</v>
      </c>
      <c r="AD55" s="866">
        <f t="shared" si="13"/>
        <v>494</v>
      </c>
      <c r="AE55" s="866">
        <f t="shared" si="13"/>
        <v>0</v>
      </c>
      <c r="AF55" s="866">
        <f>AF53-AF54-AF51</f>
        <v>2520</v>
      </c>
      <c r="AG55" s="866">
        <f t="shared" si="13"/>
        <v>1091</v>
      </c>
      <c r="AH55" s="866">
        <f t="shared" si="13"/>
        <v>1139</v>
      </c>
      <c r="AI55" s="866">
        <f t="shared" si="13"/>
        <v>631</v>
      </c>
      <c r="AJ55" s="866">
        <f t="shared" si="13"/>
        <v>0</v>
      </c>
      <c r="AK55" s="866">
        <f t="shared" si="13"/>
        <v>-1</v>
      </c>
      <c r="AL55" s="866" t="e">
        <f t="shared" si="13"/>
        <v>#VALUE!</v>
      </c>
      <c r="AM55" s="866" t="e">
        <f t="shared" si="13"/>
        <v>#VALUE!</v>
      </c>
      <c r="AN55" s="872" t="e">
        <f t="shared" si="13"/>
        <v>#VALUE!</v>
      </c>
    </row>
    <row r="56" spans="1:40" ht="28.5" thickBot="1">
      <c r="A56" s="114"/>
      <c r="B56" s="120"/>
      <c r="C56" s="115"/>
      <c r="L56" s="417">
        <v>10</v>
      </c>
      <c r="M56" s="417"/>
      <c r="N56" s="417">
        <f t="shared" si="11"/>
        <v>0</v>
      </c>
      <c r="R56" s="736">
        <f>T56+U56+V56+W56+X56+Y56+Z56+AA56+AB56+AC56+AD56+AE56+AF56+AG56+AH56+AI56+AJ56+AK56+AL56+AM56+AN56</f>
        <v>13</v>
      </c>
      <c r="S56" s="874" t="s">
        <v>170</v>
      </c>
      <c r="T56" s="875"/>
      <c r="U56" s="875"/>
      <c r="V56" s="875">
        <v>1</v>
      </c>
      <c r="W56" s="875"/>
      <c r="X56" s="875"/>
      <c r="Y56" s="875"/>
      <c r="Z56" s="876"/>
      <c r="AA56" s="875">
        <v>2</v>
      </c>
      <c r="AB56" s="875">
        <v>0.25</v>
      </c>
      <c r="AC56" s="875">
        <v>2.75</v>
      </c>
      <c r="AD56" s="875"/>
      <c r="AE56" s="875"/>
      <c r="AF56" s="875">
        <v>7</v>
      </c>
      <c r="AG56" s="875"/>
      <c r="AH56" s="875"/>
      <c r="AI56" s="875"/>
      <c r="AJ56" s="877"/>
      <c r="AK56" s="877"/>
      <c r="AL56" s="877"/>
      <c r="AM56" s="877"/>
      <c r="AN56" s="853"/>
    </row>
    <row r="57" spans="1:40" ht="27" customHeight="1" thickBot="1">
      <c r="A57" s="114"/>
      <c r="B57" s="131"/>
      <c r="C57" s="115"/>
      <c r="D57" s="115"/>
      <c r="E57" s="19"/>
      <c r="F57" s="19"/>
      <c r="G57" s="19"/>
      <c r="H57" s="19"/>
      <c r="I57" s="19"/>
      <c r="J57" s="19"/>
      <c r="K57" s="19"/>
      <c r="L57" s="418">
        <v>1</v>
      </c>
      <c r="M57" s="418"/>
      <c r="N57" s="417">
        <f t="shared" si="11"/>
        <v>0</v>
      </c>
      <c r="O57" s="19"/>
      <c r="R57" s="123">
        <f>SUM(R55:R56)</f>
        <v>91</v>
      </c>
      <c r="S57" s="882" t="s">
        <v>23</v>
      </c>
      <c r="T57" s="883" t="e">
        <f t="shared" ref="T57:AI57" si="14">T50/T56</f>
        <v>#DIV/0!</v>
      </c>
      <c r="U57" s="883" t="e">
        <f t="shared" si="14"/>
        <v>#DIV/0!</v>
      </c>
      <c r="V57" s="883">
        <f t="shared" si="14"/>
        <v>65</v>
      </c>
      <c r="W57" s="883" t="e">
        <f t="shared" si="14"/>
        <v>#DIV/0!</v>
      </c>
      <c r="X57" s="883" t="e">
        <f t="shared" si="14"/>
        <v>#DIV/0!</v>
      </c>
      <c r="Y57" s="883" t="e">
        <f t="shared" si="14"/>
        <v>#DIV/0!</v>
      </c>
      <c r="Z57" s="883" t="e">
        <f t="shared" si="14"/>
        <v>#DIV/0!</v>
      </c>
      <c r="AA57" s="883">
        <f t="shared" si="14"/>
        <v>650</v>
      </c>
      <c r="AB57" s="883">
        <f t="shared" si="14"/>
        <v>680</v>
      </c>
      <c r="AC57" s="883">
        <f t="shared" si="14"/>
        <v>96.727272727272734</v>
      </c>
      <c r="AD57" s="883" t="e">
        <f t="shared" si="14"/>
        <v>#DIV/0!</v>
      </c>
      <c r="AE57" s="883" t="e">
        <f t="shared" si="14"/>
        <v>#DIV/0!</v>
      </c>
      <c r="AF57" s="883">
        <f t="shared" si="14"/>
        <v>76.428571428571431</v>
      </c>
      <c r="AG57" s="883" t="e">
        <f t="shared" si="14"/>
        <v>#DIV/0!</v>
      </c>
      <c r="AH57" s="883" t="e">
        <f t="shared" si="14"/>
        <v>#DIV/0!</v>
      </c>
      <c r="AI57" s="883" t="e">
        <f t="shared" si="14"/>
        <v>#DIV/0!</v>
      </c>
      <c r="AJ57" s="883" t="e">
        <f>AJ50/AJ56</f>
        <v>#DIV/0!</v>
      </c>
      <c r="AK57" s="883" t="e">
        <f>AK50/AK56</f>
        <v>#DIV/0!</v>
      </c>
      <c r="AL57" s="883" t="e">
        <f t="shared" ref="AL57:AN57" si="15">AL50/AL56</f>
        <v>#DIV/0!</v>
      </c>
      <c r="AM57" s="883" t="e">
        <f t="shared" si="15"/>
        <v>#DIV/0!</v>
      </c>
      <c r="AN57" s="884" t="e">
        <f t="shared" si="15"/>
        <v>#DIV/0!</v>
      </c>
    </row>
    <row r="58" spans="1:40" ht="27" customHeight="1" thickBot="1">
      <c r="A58" s="114"/>
      <c r="B58" s="131"/>
      <c r="C58" s="115"/>
      <c r="D58" s="115" t="s">
        <v>1</v>
      </c>
      <c r="L58" s="1501" t="s">
        <v>413</v>
      </c>
      <c r="M58" s="1501"/>
      <c r="N58" s="419">
        <f>SUM(N50:N57)</f>
        <v>0</v>
      </c>
      <c r="P58">
        <v>406000</v>
      </c>
      <c r="R58" s="19"/>
      <c r="S58" s="878" t="s">
        <v>172</v>
      </c>
      <c r="T58" s="879">
        <f>T54</f>
        <v>0</v>
      </c>
      <c r="U58" s="879">
        <f t="shared" ref="U58:AI58" si="16">U54</f>
        <v>0</v>
      </c>
      <c r="V58" s="879">
        <f t="shared" si="16"/>
        <v>0</v>
      </c>
      <c r="W58" s="879">
        <f t="shared" si="16"/>
        <v>0</v>
      </c>
      <c r="X58" s="879">
        <f t="shared" si="16"/>
        <v>0</v>
      </c>
      <c r="Y58" s="879">
        <f t="shared" si="16"/>
        <v>0</v>
      </c>
      <c r="Z58" s="879">
        <f t="shared" si="16"/>
        <v>0</v>
      </c>
      <c r="AA58" s="879">
        <f t="shared" si="16"/>
        <v>0</v>
      </c>
      <c r="AB58" s="879">
        <f t="shared" si="16"/>
        <v>0</v>
      </c>
      <c r="AC58" s="879">
        <f t="shared" si="16"/>
        <v>0</v>
      </c>
      <c r="AD58" s="879">
        <f t="shared" si="16"/>
        <v>0</v>
      </c>
      <c r="AE58" s="879">
        <f t="shared" si="16"/>
        <v>0</v>
      </c>
      <c r="AF58" s="879">
        <f t="shared" si="16"/>
        <v>0</v>
      </c>
      <c r="AG58" s="879">
        <f t="shared" si="16"/>
        <v>0</v>
      </c>
      <c r="AH58" s="879">
        <f t="shared" si="16"/>
        <v>0</v>
      </c>
      <c r="AI58" s="879">
        <f t="shared" si="16"/>
        <v>0</v>
      </c>
      <c r="AJ58" s="879">
        <f>AJ54</f>
        <v>0</v>
      </c>
      <c r="AK58" s="879">
        <f>AK54</f>
        <v>0</v>
      </c>
      <c r="AL58" s="880"/>
      <c r="AM58" s="880"/>
      <c r="AN58" s="881"/>
    </row>
    <row r="59" spans="1:40" ht="27" customHeight="1">
      <c r="A59" s="114"/>
      <c r="B59" s="132"/>
      <c r="C59" s="115"/>
      <c r="D59" s="115" t="s">
        <v>1</v>
      </c>
      <c r="K59" t="s">
        <v>1</v>
      </c>
      <c r="L59" s="1486" t="s">
        <v>173</v>
      </c>
      <c r="M59" s="1486"/>
      <c r="N59" s="420">
        <f>N58-Q48</f>
        <v>2839150</v>
      </c>
      <c r="R59" s="19"/>
      <c r="S59" s="114"/>
      <c r="T59" s="121"/>
      <c r="U59" s="121"/>
      <c r="V59" s="121"/>
      <c r="W59" s="121"/>
      <c r="X59" s="121"/>
      <c r="Y59" s="121"/>
      <c r="Z59" s="122"/>
      <c r="AA59" s="121"/>
      <c r="AB59" s="121"/>
      <c r="AC59" s="121"/>
      <c r="AD59" s="121"/>
      <c r="AE59" s="121"/>
      <c r="AF59" s="121"/>
      <c r="AG59" s="121"/>
      <c r="AH59" s="119"/>
      <c r="AI59" s="119"/>
    </row>
    <row r="60" spans="1:40" ht="23.25">
      <c r="A60" s="114"/>
      <c r="B60" s="132"/>
      <c r="C60" s="115"/>
      <c r="D60" s="115"/>
      <c r="P60" s="19"/>
      <c r="Q60" s="19"/>
      <c r="R60" s="19"/>
      <c r="S60" s="19"/>
      <c r="U60" t="s">
        <v>1</v>
      </c>
    </row>
    <row r="61" spans="1:40" ht="23.25">
      <c r="A61" s="114"/>
      <c r="B61" s="132"/>
      <c r="C61" s="115"/>
      <c r="D61" s="116"/>
      <c r="M61" t="s">
        <v>1</v>
      </c>
      <c r="P61" s="185"/>
      <c r="Q61" s="186"/>
      <c r="R61" s="19"/>
      <c r="S61" s="19"/>
    </row>
    <row r="62" spans="1:40" ht="20.25">
      <c r="C62" s="116"/>
      <c r="P62" s="19"/>
      <c r="Q62" s="19"/>
      <c r="R62" s="19"/>
      <c r="S62" s="19"/>
    </row>
    <row r="63" spans="1:40">
      <c r="E63" s="19"/>
    </row>
    <row r="64" spans="1:40">
      <c r="E64" s="19"/>
      <c r="J64" t="s">
        <v>3</v>
      </c>
    </row>
    <row r="65" spans="3:5" ht="21">
      <c r="C65" s="251"/>
      <c r="E65" s="19"/>
    </row>
    <row r="66" spans="3:5">
      <c r="E66" s="49"/>
    </row>
    <row r="67" spans="3:5" ht="23.25">
      <c r="E67" s="113"/>
    </row>
  </sheetData>
  <mergeCells count="21">
    <mergeCell ref="L59:M59"/>
    <mergeCell ref="T47:W47"/>
    <mergeCell ref="X47:Z47"/>
    <mergeCell ref="S47:S48"/>
    <mergeCell ref="AJ47:AK47"/>
    <mergeCell ref="AL47:AM47"/>
    <mergeCell ref="AI7:AJ7"/>
    <mergeCell ref="AI20:AJ20"/>
    <mergeCell ref="L58:M58"/>
    <mergeCell ref="A6:Q6"/>
    <mergeCell ref="S6:AE6"/>
    <mergeCell ref="A7:B7"/>
    <mergeCell ref="P7:Q7"/>
    <mergeCell ref="H48:I48"/>
    <mergeCell ref="P24:Q24"/>
    <mergeCell ref="P33:Q33"/>
    <mergeCell ref="P42:Q42"/>
    <mergeCell ref="H46:I46"/>
    <mergeCell ref="H47:I47"/>
    <mergeCell ref="AA47:AB47"/>
    <mergeCell ref="AC47:AI47"/>
  </mergeCells>
  <conditionalFormatting sqref="M48:N48">
    <cfRule type="duplicateValues" dxfId="202" priority="29"/>
    <cfRule type="duplicateValues" dxfId="201" priority="30"/>
    <cfRule type="duplicateValues" dxfId="200" priority="31"/>
    <cfRule type="duplicateValues" dxfId="199" priority="32"/>
  </conditionalFormatting>
  <conditionalFormatting sqref="L48 N48">
    <cfRule type="cellIs" dxfId="198" priority="28" operator="equal">
      <formula>66890</formula>
    </cfRule>
  </conditionalFormatting>
  <conditionalFormatting sqref="N48">
    <cfRule type="cellIs" dxfId="197" priority="27" operator="lessThan">
      <formula>1</formula>
    </cfRule>
  </conditionalFormatting>
  <conditionalFormatting sqref="T57">
    <cfRule type="cellIs" dxfId="196" priority="16" operator="lessThan">
      <formula>63</formula>
    </cfRule>
  </conditionalFormatting>
  <conditionalFormatting sqref="U57">
    <cfRule type="cellIs" dxfId="195" priority="14" operator="lessThan">
      <formula>63</formula>
    </cfRule>
    <cfRule type="cellIs" dxfId="194" priority="15" operator="lessThan">
      <formula>63</formula>
    </cfRule>
  </conditionalFormatting>
  <conditionalFormatting sqref="W57">
    <cfRule type="cellIs" dxfId="193" priority="13" operator="lessThan">
      <formula>140</formula>
    </cfRule>
  </conditionalFormatting>
  <conditionalFormatting sqref="X57">
    <cfRule type="cellIs" dxfId="192" priority="12" operator="lessThan">
      <formula>125</formula>
    </cfRule>
  </conditionalFormatting>
  <conditionalFormatting sqref="Y57">
    <cfRule type="cellIs" dxfId="191" priority="11" operator="lessThan">
      <formula>150</formula>
    </cfRule>
  </conditionalFormatting>
  <conditionalFormatting sqref="Z57">
    <cfRule type="cellIs" dxfId="190" priority="10" operator="lessThan">
      <formula>590</formula>
    </cfRule>
  </conditionalFormatting>
  <conditionalFormatting sqref="AA57">
    <cfRule type="cellIs" dxfId="189" priority="9" operator="lessThan">
      <formula>704</formula>
    </cfRule>
  </conditionalFormatting>
  <conditionalFormatting sqref="AC57">
    <cfRule type="cellIs" dxfId="188" priority="8" operator="lessThan">
      <formula>52</formula>
    </cfRule>
  </conditionalFormatting>
  <conditionalFormatting sqref="AD57">
    <cfRule type="cellIs" dxfId="187" priority="7" operator="lessThan">
      <formula>52</formula>
    </cfRule>
  </conditionalFormatting>
  <conditionalFormatting sqref="AH57">
    <cfRule type="cellIs" dxfId="186" priority="6" operator="lessThan">
      <formula>63</formula>
    </cfRule>
  </conditionalFormatting>
  <conditionalFormatting sqref="AI57">
    <cfRule type="cellIs" dxfId="185" priority="5" operator="lessThan">
      <formula>63</formula>
    </cfRule>
  </conditionalFormatting>
  <conditionalFormatting sqref="AK57">
    <cfRule type="cellIs" dxfId="184" priority="4" operator="lessThan">
      <formula>270</formula>
    </cfRule>
  </conditionalFormatting>
  <conditionalFormatting sqref="AJ57">
    <cfRule type="cellIs" dxfId="183" priority="3" operator="lessThan">
      <formula>270</formula>
    </cfRule>
  </conditionalFormatting>
  <conditionalFormatting sqref="AL57:AN57">
    <cfRule type="cellIs" dxfId="182" priority="1" operator="lessThan">
      <formula>270</formula>
    </cfRule>
  </conditionalFormatting>
  <printOptions horizontalCentered="1" verticalCentered="1"/>
  <pageMargins left="0" right="0.5" top="0" bottom="0" header="0" footer="0"/>
  <pageSetup paperSize="5" scale="47" orientation="landscape" cellComments="asDisplayed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89999084444715716"/>
  </sheetPr>
  <dimension ref="A1:AP67"/>
  <sheetViews>
    <sheetView topLeftCell="U33" zoomScale="90" zoomScaleNormal="90" workbookViewId="0">
      <selection activeCell="AH51" sqref="AH51"/>
    </sheetView>
  </sheetViews>
  <sheetFormatPr defaultRowHeight="15"/>
  <cols>
    <col min="1" max="1" width="32.7109375" bestFit="1" customWidth="1"/>
    <col min="2" max="2" width="17.7109375" customWidth="1"/>
    <col min="3" max="4" width="20.7109375" customWidth="1"/>
    <col min="5" max="5" width="4.7109375" customWidth="1"/>
    <col min="6" max="6" width="35.85546875" bestFit="1" customWidth="1"/>
    <col min="7" max="7" width="17.7109375" customWidth="1"/>
    <col min="8" max="9" width="19.140625" bestFit="1" customWidth="1"/>
    <col min="10" max="11" width="17.7109375" customWidth="1"/>
    <col min="12" max="12" width="19.140625" bestFit="1" customWidth="1"/>
    <col min="13" max="14" width="18.7109375" customWidth="1"/>
    <col min="15" max="15" width="7.7109375" customWidth="1"/>
    <col min="16" max="16" width="28.7109375" customWidth="1"/>
    <col min="17" max="17" width="22.28515625" bestFit="1" customWidth="1"/>
    <col min="18" max="18" width="10.42578125" bestFit="1" customWidth="1"/>
    <col min="19" max="19" width="32.7109375" customWidth="1"/>
    <col min="20" max="20" width="20.28515625" bestFit="1" customWidth="1"/>
    <col min="21" max="21" width="17.7109375" customWidth="1"/>
    <col min="22" max="22" width="20.28515625" bestFit="1" customWidth="1"/>
    <col min="23" max="23" width="17.7109375" customWidth="1"/>
    <col min="24" max="24" width="20.28515625" bestFit="1" customWidth="1"/>
    <col min="25" max="25" width="14.7109375" customWidth="1"/>
    <col min="26" max="26" width="23.7109375" bestFit="1" customWidth="1"/>
    <col min="27" max="29" width="20.140625" bestFit="1" customWidth="1"/>
    <col min="30" max="31" width="22.28515625" bestFit="1" customWidth="1"/>
    <col min="32" max="33" width="20.7109375" customWidth="1"/>
    <col min="34" max="37" width="17.7109375" customWidth="1"/>
    <col min="38" max="40" width="13" hidden="1" customWidth="1"/>
  </cols>
  <sheetData>
    <row r="1" spans="1:36">
      <c r="E1" s="5"/>
    </row>
    <row r="2" spans="1:36">
      <c r="E2" s="5"/>
    </row>
    <row r="3" spans="1:36" ht="15.75" thickBot="1">
      <c r="C3" t="s">
        <v>1</v>
      </c>
      <c r="E3" s="5" t="s">
        <v>1</v>
      </c>
      <c r="F3" t="s">
        <v>1</v>
      </c>
      <c r="N3" t="s">
        <v>1</v>
      </c>
      <c r="S3" t="s">
        <v>1</v>
      </c>
      <c r="U3" t="s">
        <v>1</v>
      </c>
    </row>
    <row r="4" spans="1:36" ht="21.75" thickTop="1">
      <c r="B4" t="s">
        <v>1</v>
      </c>
      <c r="D4" t="s">
        <v>1</v>
      </c>
      <c r="E4" t="s">
        <v>1</v>
      </c>
      <c r="P4" s="617" t="s">
        <v>108</v>
      </c>
      <c r="Q4" s="618">
        <f>'22'!Q4+'23'!Q9+'23'!Q10+'23'!Q19+'23'!Q20+'23'!Q21+'23'!Q22</f>
        <v>0</v>
      </c>
    </row>
    <row r="5" spans="1:36" ht="21.75" thickBot="1">
      <c r="P5" s="619" t="s">
        <v>109</v>
      </c>
      <c r="Q5" s="620">
        <f>'22'!Q5+'23'!Q25+'23'!Q26+'23'!Q27+'23'!Q28+'23'!Q29+'23'!Q30+'23'!Q31</f>
        <v>0</v>
      </c>
    </row>
    <row r="6" spans="1:36" ht="48" thickTop="1" thickBot="1">
      <c r="A6" s="1502">
        <f>'Main Page'!E39</f>
        <v>44888</v>
      </c>
      <c r="B6" s="1507"/>
      <c r="C6" s="1507"/>
      <c r="D6" s="1507"/>
      <c r="E6" s="1507"/>
      <c r="F6" s="1507"/>
      <c r="G6" s="1507"/>
      <c r="H6" s="1507"/>
      <c r="I6" s="1507"/>
      <c r="J6" s="1507"/>
      <c r="K6" s="1507"/>
      <c r="L6" s="1507"/>
      <c r="M6" s="1507"/>
      <c r="N6" s="1507"/>
      <c r="O6" s="1507"/>
      <c r="P6" s="1507"/>
      <c r="Q6" s="1515"/>
      <c r="R6" t="s">
        <v>1</v>
      </c>
      <c r="S6" s="1502">
        <f>A6</f>
        <v>44888</v>
      </c>
      <c r="T6" s="1503"/>
      <c r="U6" s="1503"/>
      <c r="V6" s="1503"/>
      <c r="W6" s="1503"/>
      <c r="X6" s="1503"/>
      <c r="Y6" s="1503"/>
      <c r="Z6" s="1503"/>
      <c r="AA6" s="1503"/>
      <c r="AB6" s="1503"/>
      <c r="AC6" s="1503"/>
      <c r="AD6" s="1503"/>
      <c r="AE6" s="1504"/>
    </row>
    <row r="7" spans="1:36" ht="39.950000000000003" customHeight="1" thickTop="1" thickBot="1">
      <c r="A7" s="1505" t="s">
        <v>110</v>
      </c>
      <c r="B7" s="1506"/>
      <c r="C7" s="367" t="s">
        <v>97</v>
      </c>
      <c r="D7" s="368" t="s">
        <v>74</v>
      </c>
      <c r="F7" s="363" t="s">
        <v>111</v>
      </c>
      <c r="G7" s="364" t="s">
        <v>112</v>
      </c>
      <c r="H7" s="365" t="s">
        <v>113</v>
      </c>
      <c r="I7" s="365" t="s">
        <v>26</v>
      </c>
      <c r="J7" s="365" t="s">
        <v>114</v>
      </c>
      <c r="K7" s="366" t="s">
        <v>115</v>
      </c>
      <c r="L7" s="365" t="s">
        <v>116</v>
      </c>
      <c r="M7" s="365" t="s">
        <v>117</v>
      </c>
      <c r="N7" s="365" t="s">
        <v>118</v>
      </c>
      <c r="P7" s="1510" t="s">
        <v>69</v>
      </c>
      <c r="Q7" s="1511"/>
      <c r="S7" s="380" t="s">
        <v>58</v>
      </c>
      <c r="T7" s="380" t="s">
        <v>59</v>
      </c>
      <c r="U7" s="380" t="s">
        <v>119</v>
      </c>
      <c r="V7" s="380" t="s">
        <v>74</v>
      </c>
      <c r="W7" s="380" t="s">
        <v>120</v>
      </c>
      <c r="X7" s="380" t="s">
        <v>59</v>
      </c>
      <c r="Z7" s="367" t="s">
        <v>121</v>
      </c>
      <c r="AA7" s="367" t="s">
        <v>97</v>
      </c>
      <c r="AB7" s="415" t="s">
        <v>122</v>
      </c>
      <c r="AC7" s="416" t="s">
        <v>90</v>
      </c>
      <c r="AD7" s="367" t="s">
        <v>56</v>
      </c>
      <c r="AE7" s="381" t="s">
        <v>100</v>
      </c>
      <c r="AF7" s="560" t="s">
        <v>122</v>
      </c>
      <c r="AG7" s="570" t="s">
        <v>56</v>
      </c>
      <c r="AI7" s="1487" t="s">
        <v>123</v>
      </c>
      <c r="AJ7" s="1488"/>
    </row>
    <row r="8" spans="1:36" ht="27" customHeight="1" thickTop="1" thickBot="1">
      <c r="A8" s="717" t="s">
        <v>498</v>
      </c>
      <c r="B8" s="233">
        <v>27950</v>
      </c>
      <c r="C8" s="463"/>
      <c r="D8" s="233"/>
      <c r="F8" s="478" t="str">
        <f>'22'!F8</f>
        <v>ISHAQ ANSARI</v>
      </c>
      <c r="G8" s="405">
        <f>'CUSTOMERS REPORT'!Y30</f>
        <v>0</v>
      </c>
      <c r="H8" s="503">
        <f>'CUSTOMERS REPORT'!Z30</f>
        <v>0</v>
      </c>
      <c r="I8" s="405">
        <f>'CUSTOMERS REPORT'!AA30</f>
        <v>0</v>
      </c>
      <c r="J8" s="497">
        <f>'CUSTOMERS REPORT'!AB30</f>
        <v>0</v>
      </c>
      <c r="K8" s="497">
        <f>'CUSTOMERS REPORT'!AC30</f>
        <v>0</v>
      </c>
      <c r="L8" s="508">
        <f>'CUSTOMERS REPORT'!AD30</f>
        <v>0</v>
      </c>
      <c r="M8" s="413">
        <f>'22'!M8+'23'!G8</f>
        <v>0</v>
      </c>
      <c r="N8" s="411">
        <f>'22'!N8+'23'!J8</f>
        <v>0</v>
      </c>
      <c r="P8" s="191" t="s">
        <v>124</v>
      </c>
      <c r="Q8" s="223">
        <f>'22'!Q32</f>
        <v>0</v>
      </c>
      <c r="S8" s="399" t="str">
        <f>'22'!S8</f>
        <v>FLOUR</v>
      </c>
      <c r="T8" s="446">
        <f>'22'!X8</f>
        <v>18</v>
      </c>
      <c r="U8" s="455"/>
      <c r="V8" s="450">
        <f t="shared" ref="V8:V43" si="0">SUM(T8:U8)</f>
        <v>18</v>
      </c>
      <c r="W8" s="450"/>
      <c r="X8" s="446">
        <f t="shared" ref="X8:X43" si="1">V8-W8</f>
        <v>18</v>
      </c>
      <c r="Z8" s="382" t="str">
        <f>'22'!Z8</f>
        <v>GHAZI</v>
      </c>
      <c r="AA8" s="464">
        <f>'22'!AE8</f>
        <v>47500</v>
      </c>
      <c r="AB8" s="459"/>
      <c r="AC8" s="233">
        <f t="shared" ref="AC8:AC41" si="2">AA8+AB8</f>
        <v>47500</v>
      </c>
      <c r="AD8" s="468">
        <v>400000</v>
      </c>
      <c r="AE8" s="463">
        <f t="shared" ref="AE8:AE42" si="3">AC8-AD8</f>
        <v>-352500</v>
      </c>
      <c r="AF8" s="563">
        <f>'22'!AF8+'23'!AB8</f>
        <v>347500</v>
      </c>
      <c r="AG8" s="233">
        <f>'22'!AG8+'23'!AD8</f>
        <v>700000</v>
      </c>
      <c r="AI8" s="391" t="s">
        <v>126</v>
      </c>
      <c r="AJ8" s="392">
        <f>'22'!AJ10</f>
        <v>126470</v>
      </c>
    </row>
    <row r="9" spans="1:36" ht="27" customHeight="1" thickTop="1">
      <c r="A9" s="718" t="s">
        <v>499</v>
      </c>
      <c r="B9" s="526">
        <v>320</v>
      </c>
      <c r="C9" s="348"/>
      <c r="D9" s="550"/>
      <c r="F9" s="479" t="str">
        <f>'22'!F9</f>
        <v>MAKKI BAKERY</v>
      </c>
      <c r="G9" s="406">
        <f>'CUSTOMERS REPORT'!Y76</f>
        <v>0</v>
      </c>
      <c r="H9" s="504">
        <f>'CUSTOMERS REPORT'!Z76</f>
        <v>0</v>
      </c>
      <c r="I9" s="406">
        <f>'CUSTOMERS REPORT'!AA76</f>
        <v>0</v>
      </c>
      <c r="J9" s="498">
        <f>'CUSTOMERS REPORT'!AB76</f>
        <v>0</v>
      </c>
      <c r="K9" s="498">
        <f>'CUSTOMERS REPORT'!AC76</f>
        <v>0</v>
      </c>
      <c r="L9" s="509">
        <f>'CUSTOMERS REPORT'!AD76</f>
        <v>0</v>
      </c>
      <c r="M9" s="414">
        <f>'22'!M9+'23'!G9</f>
        <v>0</v>
      </c>
      <c r="N9" s="412">
        <f>'22'!N9+'23'!J9</f>
        <v>0</v>
      </c>
      <c r="P9" s="432"/>
      <c r="Q9" s="436"/>
      <c r="S9" s="400" t="str">
        <f>'22'!S9</f>
        <v>SUGAR</v>
      </c>
      <c r="T9" s="446">
        <f>'22'!X9</f>
        <v>-1685</v>
      </c>
      <c r="U9" s="456">
        <v>1000</v>
      </c>
      <c r="V9" s="451">
        <f t="shared" si="0"/>
        <v>-685</v>
      </c>
      <c r="W9" s="451"/>
      <c r="X9" s="447">
        <f t="shared" si="1"/>
        <v>-685</v>
      </c>
      <c r="Z9" s="375" t="str">
        <f>'22'!Z9</f>
        <v>SOHNI</v>
      </c>
      <c r="AA9" s="464">
        <f>'22'!AE9</f>
        <v>120000</v>
      </c>
      <c r="AB9" s="460"/>
      <c r="AC9" s="462">
        <f t="shared" si="2"/>
        <v>120000</v>
      </c>
      <c r="AD9" s="469">
        <v>100000</v>
      </c>
      <c r="AE9" s="348">
        <f t="shared" si="3"/>
        <v>20000</v>
      </c>
      <c r="AF9" s="563">
        <f>'22'!AF9+'23'!AB9</f>
        <v>370000</v>
      </c>
      <c r="AG9" s="234">
        <f>'22'!AG9+'23'!AD9</f>
        <v>350000</v>
      </c>
      <c r="AI9" s="393" t="s">
        <v>128</v>
      </c>
      <c r="AJ9" s="394">
        <f>B26</f>
        <v>0</v>
      </c>
    </row>
    <row r="10" spans="1:36" ht="27" customHeight="1" thickBot="1">
      <c r="A10" s="718" t="s">
        <v>465</v>
      </c>
      <c r="B10" s="528">
        <v>400000</v>
      </c>
      <c r="C10" s="350"/>
      <c r="D10" s="550"/>
      <c r="F10" s="479" t="str">
        <f>'22'!F10</f>
        <v>ABID HUSSAIN</v>
      </c>
      <c r="G10" s="406">
        <f>'CUSTOMERS REPORT'!Y114</f>
        <v>0</v>
      </c>
      <c r="H10" s="504">
        <f>'CUSTOMERS REPORT'!Z114</f>
        <v>0</v>
      </c>
      <c r="I10" s="406">
        <f>'CUSTOMERS REPORT'!AA114</f>
        <v>0</v>
      </c>
      <c r="J10" s="498">
        <f>'CUSTOMERS REPORT'!AB114</f>
        <v>0</v>
      </c>
      <c r="K10" s="498">
        <f>'CUSTOMERS REPORT'!AC114</f>
        <v>0</v>
      </c>
      <c r="L10" s="509">
        <f>'CUSTOMERS REPORT'!AD114</f>
        <v>0</v>
      </c>
      <c r="M10" s="414">
        <f>'22'!M10+'23'!G10</f>
        <v>0</v>
      </c>
      <c r="N10" s="412">
        <f>'22'!N10+'23'!J10</f>
        <v>0</v>
      </c>
      <c r="P10" s="433"/>
      <c r="Q10" s="437"/>
      <c r="S10" s="400" t="str">
        <f>'22'!S10</f>
        <v>GHEE</v>
      </c>
      <c r="T10" s="446">
        <f>'22'!X10</f>
        <v>-22</v>
      </c>
      <c r="U10" s="456">
        <v>10</v>
      </c>
      <c r="V10" s="451">
        <f t="shared" si="0"/>
        <v>-12</v>
      </c>
      <c r="W10" s="451"/>
      <c r="X10" s="447">
        <f t="shared" si="1"/>
        <v>-12</v>
      </c>
      <c r="Z10" s="375" t="str">
        <f>'22'!Z10</f>
        <v>HUSSAINI</v>
      </c>
      <c r="AA10" s="464">
        <f>'22'!AE10</f>
        <v>-94100</v>
      </c>
      <c r="AB10" s="460"/>
      <c r="AC10" s="462">
        <f t="shared" si="2"/>
        <v>-94100</v>
      </c>
      <c r="AD10" s="469"/>
      <c r="AE10" s="348">
        <f t="shared" si="3"/>
        <v>-94100</v>
      </c>
      <c r="AF10" s="563">
        <f>'22'!AF10+'23'!AB10</f>
        <v>62000</v>
      </c>
      <c r="AG10" s="234">
        <f>'22'!AG10+'23'!AD10</f>
        <v>156100</v>
      </c>
      <c r="AI10" s="395" t="s">
        <v>74</v>
      </c>
      <c r="AJ10" s="396">
        <f>AJ8+AJ9</f>
        <v>126470</v>
      </c>
    </row>
    <row r="11" spans="1:36" ht="27" customHeight="1" thickTop="1">
      <c r="A11" s="718" t="s">
        <v>466</v>
      </c>
      <c r="B11" s="528">
        <v>200000</v>
      </c>
      <c r="C11" s="350"/>
      <c r="D11" s="550"/>
      <c r="F11" s="479" t="str">
        <f>'22'!F11</f>
        <v>SHAHID 5 #</v>
      </c>
      <c r="G11" s="406">
        <f>'CUSTOMERS REPORT'!Y153</f>
        <v>0</v>
      </c>
      <c r="H11" s="504">
        <f>'CUSTOMERS REPORT'!Z153</f>
        <v>0</v>
      </c>
      <c r="I11" s="406">
        <f>'CUSTOMERS REPORT'!AA153</f>
        <v>0</v>
      </c>
      <c r="J11" s="498">
        <f>'CUSTOMERS REPORT'!AB153</f>
        <v>0</v>
      </c>
      <c r="K11" s="498">
        <f>'CUSTOMERS REPORT'!AC153</f>
        <v>0</v>
      </c>
      <c r="L11" s="509">
        <f>'CUSTOMERS REPORT'!AD153</f>
        <v>0</v>
      </c>
      <c r="M11" s="414">
        <f>'22'!M11+'23'!G11</f>
        <v>0</v>
      </c>
      <c r="N11" s="412">
        <f>'22'!N11+'23'!J11</f>
        <v>0</v>
      </c>
      <c r="P11" s="433"/>
      <c r="Q11" s="437"/>
      <c r="S11" s="400" t="str">
        <f>'22'!S11</f>
        <v>YEAST</v>
      </c>
      <c r="T11" s="446">
        <f>'22'!X11</f>
        <v>-92</v>
      </c>
      <c r="U11" s="456"/>
      <c r="V11" s="451">
        <f t="shared" ref="V11:V20" si="4">SUM(T11:U11)</f>
        <v>-92</v>
      </c>
      <c r="W11" s="451"/>
      <c r="X11" s="447">
        <f t="shared" ref="X11:X20" si="5">V11-W11</f>
        <v>-92</v>
      </c>
      <c r="Z11" s="375" t="str">
        <f>'22'!Z11</f>
        <v>IMRAN ALAM</v>
      </c>
      <c r="AA11" s="464">
        <f>'22'!AE11</f>
        <v>-339000</v>
      </c>
      <c r="AB11" s="460"/>
      <c r="AC11" s="462">
        <f t="shared" ref="AC11:AC20" si="6">AA11+AB11</f>
        <v>-339000</v>
      </c>
      <c r="AD11" s="469"/>
      <c r="AE11" s="348">
        <f t="shared" ref="AE11:AE20" si="7">AC11-AD11</f>
        <v>-339000</v>
      </c>
      <c r="AF11" s="563">
        <f>'22'!AF11+'23'!AB11</f>
        <v>0</v>
      </c>
      <c r="AG11" s="234">
        <f>'22'!AG11+'23'!AD11</f>
        <v>339000</v>
      </c>
      <c r="AI11" s="1031"/>
      <c r="AJ11" s="1032"/>
    </row>
    <row r="12" spans="1:36" ht="27" customHeight="1">
      <c r="A12" s="718" t="s">
        <v>442</v>
      </c>
      <c r="B12" s="528">
        <v>100000</v>
      </c>
      <c r="C12" s="350"/>
      <c r="D12" s="550"/>
      <c r="F12" s="479" t="str">
        <f>'22'!F12</f>
        <v>ZULFIQAR</v>
      </c>
      <c r="G12" s="406"/>
      <c r="H12" s="504"/>
      <c r="I12" s="406"/>
      <c r="J12" s="498"/>
      <c r="K12" s="498"/>
      <c r="L12" s="509"/>
      <c r="M12" s="414">
        <f>'22'!M12+'23'!G12</f>
        <v>0</v>
      </c>
      <c r="N12" s="412">
        <f>'22'!N12+'23'!J12</f>
        <v>0</v>
      </c>
      <c r="P12" s="433"/>
      <c r="Q12" s="437"/>
      <c r="S12" s="400" t="str">
        <f>'22'!S12</f>
        <v xml:space="preserve">EKKA </v>
      </c>
      <c r="T12" s="446">
        <f>'22'!X12</f>
        <v>0</v>
      </c>
      <c r="U12" s="456"/>
      <c r="V12" s="451">
        <f t="shared" si="4"/>
        <v>0</v>
      </c>
      <c r="W12" s="451"/>
      <c r="X12" s="447">
        <f t="shared" si="5"/>
        <v>0</v>
      </c>
      <c r="Z12" s="375" t="str">
        <f>'22'!Z12</f>
        <v>ZAHEER</v>
      </c>
      <c r="AA12" s="464">
        <f>'22'!AE12</f>
        <v>-23200</v>
      </c>
      <c r="AB12" s="460"/>
      <c r="AC12" s="462">
        <f t="shared" si="6"/>
        <v>-23200</v>
      </c>
      <c r="AD12" s="469"/>
      <c r="AE12" s="348">
        <f t="shared" si="7"/>
        <v>-23200</v>
      </c>
      <c r="AF12" s="563">
        <f>'22'!AF12+'23'!AB12</f>
        <v>0</v>
      </c>
      <c r="AG12" s="234">
        <f>'22'!AG12+'23'!AD12</f>
        <v>23200</v>
      </c>
      <c r="AI12" s="1031"/>
      <c r="AJ12" s="1032"/>
    </row>
    <row r="13" spans="1:36" ht="27" customHeight="1">
      <c r="A13" s="718"/>
      <c r="B13" s="528"/>
      <c r="C13" s="350"/>
      <c r="D13" s="550"/>
      <c r="F13" s="479" t="str">
        <f>'22'!F13</f>
        <v>QASIM ORANGI</v>
      </c>
      <c r="G13" s="406">
        <f>'CUSTOMERS REPORT'!Y191</f>
        <v>0</v>
      </c>
      <c r="H13" s="504">
        <f>'CUSTOMERS REPORT'!Z191</f>
        <v>0</v>
      </c>
      <c r="I13" s="406">
        <f>'CUSTOMERS REPORT'!AA191</f>
        <v>0</v>
      </c>
      <c r="J13" s="498">
        <f>'CUSTOMERS REPORT'!AB191</f>
        <v>0</v>
      </c>
      <c r="K13" s="498">
        <f>'CUSTOMERS REPORT'!AC191</f>
        <v>0</v>
      </c>
      <c r="L13" s="509">
        <f>'CUSTOMERS REPORT'!AD191</f>
        <v>0</v>
      </c>
      <c r="M13" s="414">
        <f>'22'!M13+'23'!G13</f>
        <v>0</v>
      </c>
      <c r="N13" s="412">
        <f>'22'!N13+'23'!J13</f>
        <v>0</v>
      </c>
      <c r="P13" s="433"/>
      <c r="Q13" s="437"/>
      <c r="S13" s="400" t="str">
        <f>'22'!S13</f>
        <v>VANILLA</v>
      </c>
      <c r="T13" s="446">
        <f>'22'!X13</f>
        <v>0</v>
      </c>
      <c r="U13" s="456"/>
      <c r="V13" s="451">
        <f t="shared" si="4"/>
        <v>0</v>
      </c>
      <c r="W13" s="451"/>
      <c r="X13" s="447">
        <f t="shared" si="5"/>
        <v>0</v>
      </c>
      <c r="Z13" s="375" t="str">
        <f>'22'!Z13</f>
        <v>FAISAL</v>
      </c>
      <c r="AA13" s="464">
        <f>'22'!AE13</f>
        <v>-100000</v>
      </c>
      <c r="AB13" s="460"/>
      <c r="AC13" s="462">
        <f t="shared" si="6"/>
        <v>-100000</v>
      </c>
      <c r="AD13" s="469"/>
      <c r="AE13" s="348">
        <f t="shared" si="7"/>
        <v>-100000</v>
      </c>
      <c r="AF13" s="563">
        <f>'22'!AF13+'23'!AB13</f>
        <v>0</v>
      </c>
      <c r="AG13" s="234">
        <f>'22'!AG13+'23'!AD13</f>
        <v>100000</v>
      </c>
      <c r="AI13" s="1031"/>
      <c r="AJ13" s="1032"/>
    </row>
    <row r="14" spans="1:36" ht="27" customHeight="1">
      <c r="A14" s="718"/>
      <c r="B14" s="528"/>
      <c r="C14" s="350"/>
      <c r="D14" s="550"/>
      <c r="F14" s="479" t="str">
        <f>'22'!F14</f>
        <v>BADSHAH KHAN HYD</v>
      </c>
      <c r="G14" s="406">
        <f>'CUSTOMERS REPORT'!Y231</f>
        <v>0</v>
      </c>
      <c r="H14" s="504">
        <f>'CUSTOMERS REPORT'!Z231</f>
        <v>0</v>
      </c>
      <c r="I14" s="406">
        <f>'CUSTOMERS REPORT'!AA231</f>
        <v>0</v>
      </c>
      <c r="J14" s="498">
        <f>'CUSTOMERS REPORT'!AB231</f>
        <v>0</v>
      </c>
      <c r="K14" s="498">
        <f>'CUSTOMERS REPORT'!AC231</f>
        <v>0</v>
      </c>
      <c r="L14" s="509">
        <f>'CUSTOMERS REPORT'!AD231</f>
        <v>0</v>
      </c>
      <c r="M14" s="414">
        <f>'22'!M14+'23'!G14</f>
        <v>0</v>
      </c>
      <c r="N14" s="412">
        <f>'22'!N14+'23'!J14</f>
        <v>0</v>
      </c>
      <c r="P14" s="433"/>
      <c r="Q14" s="437"/>
      <c r="S14" s="400" t="str">
        <f>'22'!S14</f>
        <v>COLOUR</v>
      </c>
      <c r="T14" s="446">
        <f>'22'!X14</f>
        <v>25</v>
      </c>
      <c r="U14" s="456"/>
      <c r="V14" s="451">
        <f t="shared" si="4"/>
        <v>25</v>
      </c>
      <c r="W14" s="451"/>
      <c r="X14" s="447">
        <f t="shared" si="5"/>
        <v>25</v>
      </c>
      <c r="Z14" s="375" t="str">
        <f>'22'!Z14</f>
        <v>RANA EKKA</v>
      </c>
      <c r="AA14" s="464">
        <f>'22'!AE14</f>
        <v>0</v>
      </c>
      <c r="AB14" s="460"/>
      <c r="AC14" s="462">
        <f t="shared" si="6"/>
        <v>0</v>
      </c>
      <c r="AD14" s="469"/>
      <c r="AE14" s="348">
        <f t="shared" si="7"/>
        <v>0</v>
      </c>
      <c r="AF14" s="563">
        <f>'22'!AF14+'23'!AB14</f>
        <v>0</v>
      </c>
      <c r="AG14" s="234">
        <f>'22'!AG14+'23'!AD14</f>
        <v>0</v>
      </c>
      <c r="AI14" s="1031"/>
      <c r="AJ14" s="1032"/>
    </row>
    <row r="15" spans="1:36" ht="27" customHeight="1">
      <c r="A15" s="718"/>
      <c r="B15" s="528"/>
      <c r="C15" s="350"/>
      <c r="D15" s="550"/>
      <c r="F15" s="479" t="str">
        <f>'22'!F15</f>
        <v>SHAMOON</v>
      </c>
      <c r="G15" s="406">
        <f>'CUSTOMERS REPORT'!Y268</f>
        <v>0</v>
      </c>
      <c r="H15" s="504">
        <f>'CUSTOMERS REPORT'!Z268</f>
        <v>0</v>
      </c>
      <c r="I15" s="406">
        <f>'CUSTOMERS REPORT'!AA268</f>
        <v>0</v>
      </c>
      <c r="J15" s="498">
        <f>'CUSTOMERS REPORT'!AB268</f>
        <v>0</v>
      </c>
      <c r="K15" s="498">
        <f>'CUSTOMERS REPORT'!AC268</f>
        <v>0</v>
      </c>
      <c r="L15" s="509">
        <f>'CUSTOMERS REPORT'!AD268</f>
        <v>0</v>
      </c>
      <c r="M15" s="414">
        <f>'22'!M15+'23'!G15</f>
        <v>0</v>
      </c>
      <c r="N15" s="412">
        <f>'22'!N15+'23'!J15</f>
        <v>0</v>
      </c>
      <c r="P15" s="433"/>
      <c r="Q15" s="437"/>
      <c r="S15" s="400" t="str">
        <f>'22'!S15</f>
        <v>TILL</v>
      </c>
      <c r="T15" s="446">
        <f>'22'!X15</f>
        <v>0</v>
      </c>
      <c r="U15" s="456"/>
      <c r="V15" s="451">
        <f t="shared" si="4"/>
        <v>0</v>
      </c>
      <c r="W15" s="451"/>
      <c r="X15" s="447">
        <f t="shared" si="5"/>
        <v>0</v>
      </c>
      <c r="Z15" s="375" t="str">
        <f>'22'!Z15</f>
        <v>sheeba</v>
      </c>
      <c r="AA15" s="464">
        <f>'22'!AE15</f>
        <v>-410250</v>
      </c>
      <c r="AB15" s="460"/>
      <c r="AC15" s="462">
        <f t="shared" si="6"/>
        <v>-410250</v>
      </c>
      <c r="AD15" s="469"/>
      <c r="AE15" s="348">
        <f t="shared" si="7"/>
        <v>-410250</v>
      </c>
      <c r="AF15" s="563">
        <f>'22'!AF15+'23'!AB15</f>
        <v>0</v>
      </c>
      <c r="AG15" s="234">
        <f>'22'!AG15+'23'!AD15</f>
        <v>410250</v>
      </c>
      <c r="AI15" s="1031"/>
      <c r="AJ15" s="1032"/>
    </row>
    <row r="16" spans="1:36" ht="27" customHeight="1">
      <c r="A16" s="718"/>
      <c r="B16" s="528"/>
      <c r="C16" s="350"/>
      <c r="D16" s="550"/>
      <c r="F16" s="479" t="str">
        <f>'22'!F16</f>
        <v>MATEEN</v>
      </c>
      <c r="G16" s="406">
        <f>'CUSTOMERS REPORT'!Y349</f>
        <v>0</v>
      </c>
      <c r="H16" s="504">
        <f>'CUSTOMERS REPORT'!Z349</f>
        <v>0</v>
      </c>
      <c r="I16" s="406">
        <f>'CUSTOMERS REPORT'!AA349</f>
        <v>0</v>
      </c>
      <c r="J16" s="498">
        <f>'CUSTOMERS REPORT'!AB349</f>
        <v>0</v>
      </c>
      <c r="K16" s="498">
        <f>'CUSTOMERS REPORT'!AC349</f>
        <v>0</v>
      </c>
      <c r="L16" s="509">
        <f>'CUSTOMERS REPORT'!AD349</f>
        <v>0</v>
      </c>
      <c r="M16" s="414">
        <f>'22'!M16+'23'!G16</f>
        <v>0</v>
      </c>
      <c r="N16" s="412">
        <f>'22'!N16+'23'!J16</f>
        <v>0</v>
      </c>
      <c r="P16" s="433"/>
      <c r="Q16" s="437"/>
      <c r="S16" s="400" t="str">
        <f>'22'!S16</f>
        <v>ILLAICHI</v>
      </c>
      <c r="T16" s="446">
        <f>'22'!X16</f>
        <v>0</v>
      </c>
      <c r="U16" s="456"/>
      <c r="V16" s="451">
        <f t="shared" si="4"/>
        <v>0</v>
      </c>
      <c r="W16" s="451"/>
      <c r="X16" s="447">
        <f t="shared" si="5"/>
        <v>0</v>
      </c>
      <c r="Z16" s="375" t="str">
        <f>'22'!Z16</f>
        <v>COTTON</v>
      </c>
      <c r="AA16" s="464">
        <f>'22'!AE16</f>
        <v>0</v>
      </c>
      <c r="AB16" s="460"/>
      <c r="AC16" s="462">
        <f t="shared" si="6"/>
        <v>0</v>
      </c>
      <c r="AD16" s="469"/>
      <c r="AE16" s="348">
        <f t="shared" si="7"/>
        <v>0</v>
      </c>
      <c r="AF16" s="563">
        <f>'22'!AF16+'23'!AB16</f>
        <v>26400</v>
      </c>
      <c r="AG16" s="234">
        <f>'22'!AG16+'23'!AD16</f>
        <v>26400</v>
      </c>
      <c r="AI16" s="1031"/>
      <c r="AJ16" s="1032"/>
    </row>
    <row r="17" spans="1:36" ht="27" customHeight="1">
      <c r="A17" s="718"/>
      <c r="B17" s="528"/>
      <c r="C17" s="350"/>
      <c r="D17" s="550"/>
      <c r="F17" s="479" t="str">
        <f>'22'!F17</f>
        <v>AMJAD ORANGI</v>
      </c>
      <c r="G17" s="406">
        <f>'CUSTOMERS REPORT'!Y391</f>
        <v>0</v>
      </c>
      <c r="H17" s="504">
        <f>'CUSTOMERS REPORT'!Z391</f>
        <v>0</v>
      </c>
      <c r="I17" s="406">
        <f>'CUSTOMERS REPORT'!AA391</f>
        <v>0</v>
      </c>
      <c r="J17" s="498">
        <f>'CUSTOMERS REPORT'!AB391</f>
        <v>0</v>
      </c>
      <c r="K17" s="498">
        <f>'CUSTOMERS REPORT'!AC391</f>
        <v>0</v>
      </c>
      <c r="L17" s="509">
        <f>'CUSTOMERS REPORT'!AD391</f>
        <v>0</v>
      </c>
      <c r="M17" s="414">
        <f>'22'!M17+'23'!G17</f>
        <v>0</v>
      </c>
      <c r="N17" s="412">
        <f>'22'!N17+'23'!J17</f>
        <v>0</v>
      </c>
      <c r="P17" s="433"/>
      <c r="Q17" s="437"/>
      <c r="S17" s="400" t="str">
        <f>'22'!S17</f>
        <v>S-THELLI</v>
      </c>
      <c r="T17" s="446">
        <f>'22'!X17</f>
        <v>0</v>
      </c>
      <c r="U17" s="456"/>
      <c r="V17" s="451">
        <f t="shared" si="4"/>
        <v>0</v>
      </c>
      <c r="W17" s="451"/>
      <c r="X17" s="447">
        <f t="shared" si="5"/>
        <v>0</v>
      </c>
      <c r="Z17" s="375" t="str">
        <f>'22'!Z17</f>
        <v>SHAHID UP</v>
      </c>
      <c r="AA17" s="464">
        <f>'22'!AE17</f>
        <v>0</v>
      </c>
      <c r="AB17" s="460"/>
      <c r="AC17" s="462">
        <f t="shared" si="6"/>
        <v>0</v>
      </c>
      <c r="AD17" s="469"/>
      <c r="AE17" s="348">
        <f t="shared" si="7"/>
        <v>0</v>
      </c>
      <c r="AF17" s="563">
        <f>'22'!AF17+'23'!AB17</f>
        <v>21250</v>
      </c>
      <c r="AG17" s="234">
        <f>'22'!AG17+'23'!AD17</f>
        <v>21250</v>
      </c>
      <c r="AI17" s="1031"/>
      <c r="AJ17" s="1032"/>
    </row>
    <row r="18" spans="1:36" ht="27" customHeight="1">
      <c r="A18" s="718"/>
      <c r="B18" s="528"/>
      <c r="C18" s="350"/>
      <c r="D18" s="550"/>
      <c r="F18" s="479" t="str">
        <f>'22'!F18</f>
        <v>HAFIZ DRIVER</v>
      </c>
      <c r="G18" s="406">
        <f>'CUSTOMERS REPORT'!Y430</f>
        <v>0</v>
      </c>
      <c r="H18" s="504">
        <f>'CUSTOMERS REPORT'!Z430</f>
        <v>0</v>
      </c>
      <c r="I18" s="406">
        <f>'CUSTOMERS REPORT'!AA430</f>
        <v>0</v>
      </c>
      <c r="J18" s="498">
        <f>'CUSTOMERS REPORT'!AB430</f>
        <v>0</v>
      </c>
      <c r="K18" s="498">
        <f>'CUSTOMERS REPORT'!AC430</f>
        <v>0</v>
      </c>
      <c r="L18" s="509">
        <f>'CUSTOMERS REPORT'!AD430</f>
        <v>0</v>
      </c>
      <c r="M18" s="414">
        <f>'22'!M18+'23'!G18</f>
        <v>0</v>
      </c>
      <c r="N18" s="412">
        <f>'22'!N18+'23'!J18</f>
        <v>0</v>
      </c>
      <c r="P18" s="433"/>
      <c r="Q18" s="437"/>
      <c r="S18" s="400" t="str">
        <f>'22'!S18</f>
        <v>P-THELLI</v>
      </c>
      <c r="T18" s="446">
        <f>'22'!X18</f>
        <v>0</v>
      </c>
      <c r="U18" s="456"/>
      <c r="V18" s="451">
        <f t="shared" si="4"/>
        <v>0</v>
      </c>
      <c r="W18" s="451"/>
      <c r="X18" s="447">
        <f t="shared" si="5"/>
        <v>0</v>
      </c>
      <c r="Z18" s="375" t="str">
        <f>'22'!Z18</f>
        <v>SALT</v>
      </c>
      <c r="AA18" s="464">
        <f>'22'!AE18</f>
        <v>0</v>
      </c>
      <c r="AB18" s="460"/>
      <c r="AC18" s="462">
        <f t="shared" si="6"/>
        <v>0</v>
      </c>
      <c r="AD18" s="469"/>
      <c r="AE18" s="348">
        <f t="shared" si="7"/>
        <v>0</v>
      </c>
      <c r="AF18" s="563">
        <f>'22'!AF18+'23'!AB18</f>
        <v>1500</v>
      </c>
      <c r="AG18" s="234">
        <f>'22'!AG18+'23'!AD18</f>
        <v>1500</v>
      </c>
      <c r="AI18" s="1031"/>
      <c r="AJ18" s="1032"/>
    </row>
    <row r="19" spans="1:36" ht="27" customHeight="1" thickBot="1">
      <c r="A19" s="719"/>
      <c r="B19" s="529"/>
      <c r="C19" s="350"/>
      <c r="D19" s="550"/>
      <c r="F19" s="479" t="str">
        <f>'22'!F19</f>
        <v>GHULAM QUETTA</v>
      </c>
      <c r="G19" s="406">
        <f>'CUSTOMERS REPORT'!Y468</f>
        <v>0</v>
      </c>
      <c r="H19" s="504">
        <f>'CUSTOMERS REPORT'!Z468</f>
        <v>0</v>
      </c>
      <c r="I19" s="406">
        <f>'CUSTOMERS REPORT'!AA468</f>
        <v>0</v>
      </c>
      <c r="J19" s="498">
        <f>'CUSTOMERS REPORT'!AB468</f>
        <v>0</v>
      </c>
      <c r="K19" s="498">
        <f>'CUSTOMERS REPORT'!AC468</f>
        <v>0</v>
      </c>
      <c r="L19" s="509">
        <f>'CUSTOMERS REPORT'!AD468</f>
        <v>0</v>
      </c>
      <c r="M19" s="414">
        <f>'22'!M19+'23'!G19</f>
        <v>0</v>
      </c>
      <c r="N19" s="412">
        <f>'22'!N19+'23'!J19</f>
        <v>0</v>
      </c>
      <c r="P19" s="433"/>
      <c r="Q19" s="437"/>
      <c r="S19" s="400" t="str">
        <f>'22'!S19</f>
        <v>RUBBER</v>
      </c>
      <c r="T19" s="446">
        <f>'22'!X19</f>
        <v>0</v>
      </c>
      <c r="U19" s="456"/>
      <c r="V19" s="451">
        <f t="shared" si="4"/>
        <v>0</v>
      </c>
      <c r="W19" s="451"/>
      <c r="X19" s="447">
        <f t="shared" si="5"/>
        <v>0</v>
      </c>
      <c r="Z19" s="375" t="str">
        <f>'22'!Z19</f>
        <v>NAVEED</v>
      </c>
      <c r="AA19" s="464">
        <f>'22'!AE19</f>
        <v>0</v>
      </c>
      <c r="AB19" s="460"/>
      <c r="AC19" s="462">
        <f t="shared" si="6"/>
        <v>0</v>
      </c>
      <c r="AD19" s="469"/>
      <c r="AE19" s="348">
        <f t="shared" si="7"/>
        <v>0</v>
      </c>
      <c r="AF19" s="563">
        <f>'22'!AF19+'23'!AB19</f>
        <v>0</v>
      </c>
      <c r="AG19" s="234">
        <f>'22'!AG19+'23'!AD19</f>
        <v>0</v>
      </c>
    </row>
    <row r="20" spans="1:36" ht="27" customHeight="1" thickTop="1" thickBot="1">
      <c r="A20" s="719"/>
      <c r="B20" s="529"/>
      <c r="C20" s="350"/>
      <c r="D20" s="550"/>
      <c r="F20" s="479" t="str">
        <f>'22'!F20</f>
        <v>HUSSAN GWADAR</v>
      </c>
      <c r="G20" s="406">
        <f>'CUSTOMERS REPORT'!Y504</f>
        <v>0</v>
      </c>
      <c r="H20" s="504">
        <f>'CUSTOMERS REPORT'!Z504</f>
        <v>0</v>
      </c>
      <c r="I20" s="406">
        <f>'CUSTOMERS REPORT'!AA504</f>
        <v>0</v>
      </c>
      <c r="J20" s="498">
        <f>'CUSTOMERS REPORT'!AB504</f>
        <v>0</v>
      </c>
      <c r="K20" s="498">
        <f>'CUSTOMERS REPORT'!AC504</f>
        <v>0</v>
      </c>
      <c r="L20" s="509">
        <f>'CUSTOMERS REPORT'!AD504</f>
        <v>0</v>
      </c>
      <c r="M20" s="414">
        <f>'22'!M20+'23'!G20</f>
        <v>0</v>
      </c>
      <c r="N20" s="412">
        <f>'22'!N20+'23'!J20</f>
        <v>0</v>
      </c>
      <c r="P20" s="433"/>
      <c r="Q20" s="437"/>
      <c r="S20" s="400" t="str">
        <f>'22'!S20</f>
        <v>SALT</v>
      </c>
      <c r="T20" s="446">
        <f>'22'!X20</f>
        <v>250</v>
      </c>
      <c r="U20" s="456"/>
      <c r="V20" s="451">
        <f t="shared" si="4"/>
        <v>250</v>
      </c>
      <c r="W20" s="451"/>
      <c r="X20" s="447">
        <f t="shared" si="5"/>
        <v>250</v>
      </c>
      <c r="Z20" s="375" t="str">
        <f>'22'!Z20</f>
        <v>YOUSUF BHAI</v>
      </c>
      <c r="AA20" s="464">
        <f>'22'!AE20</f>
        <v>-53300</v>
      </c>
      <c r="AB20" s="460">
        <v>146000</v>
      </c>
      <c r="AC20" s="462">
        <f t="shared" si="6"/>
        <v>92700</v>
      </c>
      <c r="AD20" s="469">
        <v>200000</v>
      </c>
      <c r="AE20" s="348">
        <f t="shared" si="7"/>
        <v>-107300</v>
      </c>
      <c r="AF20" s="563">
        <f>'22'!AF20+'23'!AB20</f>
        <v>447100</v>
      </c>
      <c r="AG20" s="234">
        <f>'22'!AG20+'23'!AD20</f>
        <v>554400</v>
      </c>
      <c r="AI20" s="1487" t="s">
        <v>132</v>
      </c>
      <c r="AJ20" s="1488"/>
    </row>
    <row r="21" spans="1:36" ht="27" customHeight="1" thickTop="1" thickBot="1">
      <c r="A21" s="720"/>
      <c r="B21" s="530"/>
      <c r="C21" s="531"/>
      <c r="D21" s="553"/>
      <c r="F21" s="479" t="str">
        <f>'22'!F21</f>
        <v>AQASH S KOT</v>
      </c>
      <c r="G21" s="406">
        <f>'CUSTOMERS REPORT'!Y541</f>
        <v>0</v>
      </c>
      <c r="H21" s="504">
        <f>'CUSTOMERS REPORT'!Z541</f>
        <v>0</v>
      </c>
      <c r="I21" s="406">
        <f>'CUSTOMERS REPORT'!AA541</f>
        <v>0</v>
      </c>
      <c r="J21" s="498">
        <f>'CUSTOMERS REPORT'!AB541</f>
        <v>0</v>
      </c>
      <c r="K21" s="498">
        <f>'CUSTOMERS REPORT'!AC541</f>
        <v>0</v>
      </c>
      <c r="L21" s="509">
        <f>'CUSTOMERS REPORT'!AD541</f>
        <v>0</v>
      </c>
      <c r="M21" s="414">
        <f>'22'!M21+'23'!G21</f>
        <v>0</v>
      </c>
      <c r="N21" s="412">
        <f>'22'!N21+'23'!J21</f>
        <v>0</v>
      </c>
      <c r="P21" s="433"/>
      <c r="Q21" s="435"/>
      <c r="S21" s="400" t="str">
        <f>'22'!S21</f>
        <v>TAPE</v>
      </c>
      <c r="T21" s="446">
        <f>'22'!X21</f>
        <v>0</v>
      </c>
      <c r="U21" s="456"/>
      <c r="V21" s="451">
        <f t="shared" si="0"/>
        <v>0</v>
      </c>
      <c r="W21" s="451"/>
      <c r="X21" s="447">
        <f t="shared" si="1"/>
        <v>0</v>
      </c>
      <c r="Z21" s="375" t="str">
        <f>'22'!Z21</f>
        <v>SULEMAN  PRINT</v>
      </c>
      <c r="AA21" s="464">
        <f>'22'!AE21</f>
        <v>-312000</v>
      </c>
      <c r="AB21" s="1231"/>
      <c r="AC21" s="462">
        <f t="shared" si="2"/>
        <v>-312000</v>
      </c>
      <c r="AD21" s="469"/>
      <c r="AE21" s="348">
        <f t="shared" si="3"/>
        <v>-312000</v>
      </c>
      <c r="AF21" s="563">
        <f>'22'!AF21+'23'!AB21</f>
        <v>0</v>
      </c>
      <c r="AG21" s="234">
        <f>'22'!AG21+'23'!AD21</f>
        <v>312000</v>
      </c>
      <c r="AI21" s="391" t="s">
        <v>126</v>
      </c>
      <c r="AJ21" s="392">
        <f>'22'!AJ23</f>
        <v>163800</v>
      </c>
    </row>
    <row r="22" spans="1:36" ht="27" customHeight="1" thickTop="1" thickBot="1">
      <c r="A22" s="486" t="s">
        <v>74</v>
      </c>
      <c r="B22" s="533">
        <f>SUM(B8:B21)</f>
        <v>728270</v>
      </c>
      <c r="C22" s="534">
        <f>'22'!D22</f>
        <v>2421390</v>
      </c>
      <c r="D22" s="535">
        <f t="shared" ref="D22" si="8">B22+C22</f>
        <v>3149660</v>
      </c>
      <c r="F22" s="479" t="str">
        <f>'22'!F22</f>
        <v>SALEEM T JAM</v>
      </c>
      <c r="G22" s="406">
        <f>'CUSTOMERS REPORT'!Y579</f>
        <v>0</v>
      </c>
      <c r="H22" s="504">
        <f>'CUSTOMERS REPORT'!Z579</f>
        <v>0</v>
      </c>
      <c r="I22" s="406">
        <f>'CUSTOMERS REPORT'!AA579</f>
        <v>0</v>
      </c>
      <c r="J22" s="498">
        <f>'CUSTOMERS REPORT'!AB579</f>
        <v>0</v>
      </c>
      <c r="K22" s="498">
        <f>'CUSTOMERS REPORT'!AC579</f>
        <v>0</v>
      </c>
      <c r="L22" s="509">
        <f>'CUSTOMERS REPORT'!AD579</f>
        <v>0</v>
      </c>
      <c r="M22" s="414">
        <f>'22'!M22+'23'!G22</f>
        <v>0</v>
      </c>
      <c r="N22" s="412">
        <f>'22'!N22+'23'!J22</f>
        <v>0</v>
      </c>
      <c r="P22" s="433"/>
      <c r="Q22" s="438"/>
      <c r="S22" s="400" t="str">
        <f>'22'!S22</f>
        <v>COTTON</v>
      </c>
      <c r="T22" s="446">
        <f>'22'!X22</f>
        <v>220</v>
      </c>
      <c r="U22" s="456"/>
      <c r="V22" s="451">
        <f t="shared" si="0"/>
        <v>220</v>
      </c>
      <c r="W22" s="451"/>
      <c r="X22" s="447">
        <f t="shared" si="1"/>
        <v>220</v>
      </c>
      <c r="Z22" s="375" t="str">
        <f>'22'!Z22</f>
        <v>IRFAN VANILA</v>
      </c>
      <c r="AA22" s="464">
        <f>'22'!AE22</f>
        <v>-110000</v>
      </c>
      <c r="AB22" s="460"/>
      <c r="AC22" s="462">
        <f t="shared" si="2"/>
        <v>-110000</v>
      </c>
      <c r="AD22" s="469"/>
      <c r="AE22" s="348">
        <f t="shared" si="3"/>
        <v>-110000</v>
      </c>
      <c r="AF22" s="563">
        <f>'22'!AF22+'23'!AB22</f>
        <v>0</v>
      </c>
      <c r="AG22" s="234">
        <f>'22'!AG22+'23'!AD22</f>
        <v>110000</v>
      </c>
      <c r="AI22" s="393">
        <f>R56</f>
        <v>0</v>
      </c>
      <c r="AJ22" s="394">
        <f>R56*1800</f>
        <v>0</v>
      </c>
    </row>
    <row r="23" spans="1:36" ht="27" customHeight="1" thickTop="1" thickBot="1">
      <c r="A23" s="715" t="str">
        <f>'22'!A23</f>
        <v>OFFICE FOOD</v>
      </c>
      <c r="B23" s="462">
        <v>210</v>
      </c>
      <c r="C23" s="536">
        <f>'22'!D23</f>
        <v>2620</v>
      </c>
      <c r="D23" s="537">
        <f t="shared" ref="D23:D48" si="9">B23+C23</f>
        <v>2830</v>
      </c>
      <c r="F23" s="479" t="str">
        <f>'22'!F23</f>
        <v>JAMSHAD BADEEN</v>
      </c>
      <c r="G23" s="406">
        <f>'CUSTOMERS REPORT'!Y615</f>
        <v>0</v>
      </c>
      <c r="H23" s="504">
        <f>'CUSTOMERS REPORT'!Z615</f>
        <v>0</v>
      </c>
      <c r="I23" s="406">
        <f>'CUSTOMERS REPORT'!AA615</f>
        <v>0</v>
      </c>
      <c r="J23" s="498">
        <f>'CUSTOMERS REPORT'!AB615</f>
        <v>0</v>
      </c>
      <c r="K23" s="498">
        <f>'CUSTOMERS REPORT'!AC615</f>
        <v>0</v>
      </c>
      <c r="L23" s="509">
        <f>'CUSTOMERS REPORT'!AD615</f>
        <v>0</v>
      </c>
      <c r="M23" s="414">
        <f>'22'!M23+'23'!G23</f>
        <v>0</v>
      </c>
      <c r="N23" s="412">
        <f>'22'!N23+'23'!J23</f>
        <v>0</v>
      </c>
      <c r="P23" s="190" t="s">
        <v>48</v>
      </c>
      <c r="Q23" s="439">
        <f>SUM(Q8:Q22)</f>
        <v>0</v>
      </c>
      <c r="S23" s="400" t="str">
        <f>'22'!S23</f>
        <v>WHITE 6</v>
      </c>
      <c r="T23" s="446">
        <f>'22'!X23</f>
        <v>0</v>
      </c>
      <c r="U23" s="456"/>
      <c r="V23" s="451">
        <f t="shared" si="0"/>
        <v>0</v>
      </c>
      <c r="W23" s="451"/>
      <c r="X23" s="447">
        <f t="shared" si="1"/>
        <v>0</v>
      </c>
      <c r="Z23" s="375" t="str">
        <f>'22'!Z23</f>
        <v>IRANI GHEE</v>
      </c>
      <c r="AA23" s="464">
        <f>'22'!AE23</f>
        <v>0</v>
      </c>
      <c r="AB23" s="460"/>
      <c r="AC23" s="462">
        <f t="shared" si="2"/>
        <v>0</v>
      </c>
      <c r="AD23" s="469"/>
      <c r="AE23" s="348">
        <f t="shared" si="3"/>
        <v>0</v>
      </c>
      <c r="AF23" s="563">
        <f>'22'!AF23+'23'!AB23</f>
        <v>0</v>
      </c>
      <c r="AG23" s="234">
        <f>'22'!AG23+'23'!AD23</f>
        <v>0</v>
      </c>
      <c r="AI23" s="395" t="s">
        <v>74</v>
      </c>
      <c r="AJ23" s="396">
        <f>AJ21+AJ22</f>
        <v>163800</v>
      </c>
    </row>
    <row r="24" spans="1:36" ht="27" customHeight="1" thickTop="1" thickBot="1">
      <c r="A24" s="715" t="str">
        <f>'22'!A24</f>
        <v>LABOUR FOOD EXP</v>
      </c>
      <c r="B24" s="234">
        <v>1000</v>
      </c>
      <c r="C24" s="348">
        <f>'22'!D24</f>
        <v>27000</v>
      </c>
      <c r="D24" s="234">
        <f t="shared" si="9"/>
        <v>28000</v>
      </c>
      <c r="F24" s="479" t="str">
        <f>'22'!F24</f>
        <v>SARFAZ MP</v>
      </c>
      <c r="G24" s="406">
        <f>'CUSTOMERS REPORT'!Y653</f>
        <v>0</v>
      </c>
      <c r="H24" s="504">
        <f>'CUSTOMERS REPORT'!Z653</f>
        <v>0</v>
      </c>
      <c r="I24" s="406">
        <f>'CUSTOMERS REPORT'!AA653</f>
        <v>0</v>
      </c>
      <c r="J24" s="498">
        <f>'CUSTOMERS REPORT'!AB653</f>
        <v>0</v>
      </c>
      <c r="K24" s="498">
        <f>'CUSTOMERS REPORT'!AC653</f>
        <v>0</v>
      </c>
      <c r="L24" s="509">
        <f>'CUSTOMERS REPORT'!AD653</f>
        <v>0</v>
      </c>
      <c r="M24" s="414">
        <f>'22'!M24+'23'!G24</f>
        <v>0</v>
      </c>
      <c r="N24" s="412">
        <f>'22'!N24+'23'!J24</f>
        <v>0</v>
      </c>
      <c r="P24" s="1514" t="s">
        <v>137</v>
      </c>
      <c r="Q24" s="1514"/>
      <c r="R24" t="s">
        <v>1</v>
      </c>
      <c r="S24" s="400" t="str">
        <f>'22'!S24</f>
        <v>ORANGE</v>
      </c>
      <c r="T24" s="446">
        <f>'22'!X24</f>
        <v>0</v>
      </c>
      <c r="U24" s="456"/>
      <c r="V24" s="451">
        <f t="shared" si="0"/>
        <v>0</v>
      </c>
      <c r="W24" s="451"/>
      <c r="X24" s="447">
        <f t="shared" si="1"/>
        <v>0</v>
      </c>
      <c r="Z24" s="375">
        <f>'22'!Z24</f>
        <v>0</v>
      </c>
      <c r="AA24" s="464">
        <f>'22'!AE24</f>
        <v>0</v>
      </c>
      <c r="AB24" s="745"/>
      <c r="AC24" s="462">
        <f t="shared" si="2"/>
        <v>0</v>
      </c>
      <c r="AD24" s="469"/>
      <c r="AE24" s="348">
        <f t="shared" si="3"/>
        <v>0</v>
      </c>
      <c r="AF24" s="563">
        <f>'22'!AF24+'23'!AB24</f>
        <v>0</v>
      </c>
      <c r="AG24" s="234">
        <f>'22'!AG24+'23'!AD24</f>
        <v>0</v>
      </c>
    </row>
    <row r="25" spans="1:36" ht="27" customHeight="1" thickTop="1" thickBot="1">
      <c r="A25" s="715" t="str">
        <f>'22'!A25</f>
        <v>OFFICE SALARY</v>
      </c>
      <c r="B25" s="234">
        <f>ATTENDANCE!AU28</f>
        <v>2000</v>
      </c>
      <c r="C25" s="348">
        <f>'22'!D25</f>
        <v>32000</v>
      </c>
      <c r="D25" s="234">
        <f t="shared" si="9"/>
        <v>34000</v>
      </c>
      <c r="F25" s="479" t="str">
        <f>'22'!F25</f>
        <v>AFZAL MATLI</v>
      </c>
      <c r="G25" s="406">
        <f>'CUSTOMERS REPORT'!Y691</f>
        <v>0</v>
      </c>
      <c r="H25" s="504">
        <f>'CUSTOMERS REPORT'!Z691</f>
        <v>0</v>
      </c>
      <c r="I25" s="406">
        <f>'CUSTOMERS REPORT'!AA691</f>
        <v>0</v>
      </c>
      <c r="J25" s="498">
        <f>'CUSTOMERS REPORT'!AB691</f>
        <v>0</v>
      </c>
      <c r="K25" s="498">
        <f>'CUSTOMERS REPORT'!AC691</f>
        <v>0</v>
      </c>
      <c r="L25" s="509">
        <f>'CUSTOMERS REPORT'!AD691</f>
        <v>0</v>
      </c>
      <c r="M25" s="414">
        <f>'22'!M25+'23'!G25</f>
        <v>0</v>
      </c>
      <c r="N25" s="412">
        <f>'22'!N25+'23'!J25</f>
        <v>0</v>
      </c>
      <c r="P25" s="434"/>
      <c r="Q25" s="440"/>
      <c r="S25" s="400" t="str">
        <f>'22'!S25</f>
        <v>MAKKI 7</v>
      </c>
      <c r="T25" s="446">
        <f>'22'!X25</f>
        <v>0</v>
      </c>
      <c r="U25" s="456"/>
      <c r="V25" s="451">
        <f t="shared" si="0"/>
        <v>0</v>
      </c>
      <c r="W25" s="451"/>
      <c r="X25" s="447">
        <f t="shared" si="1"/>
        <v>0</v>
      </c>
      <c r="Z25" s="375">
        <f>'22'!Z25</f>
        <v>0</v>
      </c>
      <c r="AA25" s="464">
        <f>'22'!AE25</f>
        <v>0</v>
      </c>
      <c r="AB25" s="460"/>
      <c r="AC25" s="462">
        <f t="shared" si="2"/>
        <v>0</v>
      </c>
      <c r="AD25" s="469"/>
      <c r="AE25" s="348">
        <f t="shared" si="3"/>
        <v>0</v>
      </c>
      <c r="AF25" s="563">
        <f>'22'!AF25+'23'!AB25</f>
        <v>0</v>
      </c>
      <c r="AG25" s="234">
        <f>'22'!AG25+'23'!AD25</f>
        <v>0</v>
      </c>
      <c r="AI25" s="397" t="s">
        <v>59</v>
      </c>
      <c r="AJ25" s="398">
        <f>AJ23-AJ10</f>
        <v>37330</v>
      </c>
    </row>
    <row r="26" spans="1:36" ht="27" customHeight="1" thickTop="1">
      <c r="A26" s="715" t="str">
        <f>'22'!A26</f>
        <v>LABOUR SALARY</v>
      </c>
      <c r="B26" s="234">
        <f>SUM('SALERY SHEET'!AV97:AW97)</f>
        <v>0</v>
      </c>
      <c r="C26" s="348">
        <f>'22'!D26</f>
        <v>126470</v>
      </c>
      <c r="D26" s="234">
        <f t="shared" si="9"/>
        <v>126470</v>
      </c>
      <c r="F26" s="479" t="str">
        <f>'22'!F26</f>
        <v xml:space="preserve">ABDUL RASHEED </v>
      </c>
      <c r="G26" s="406">
        <f>'CUSTOMERS REPORT'!Y729</f>
        <v>0</v>
      </c>
      <c r="H26" s="504">
        <f>'CUSTOMERS REPORT'!Z729</f>
        <v>0</v>
      </c>
      <c r="I26" s="406">
        <f>'CUSTOMERS REPORT'!AA729</f>
        <v>0</v>
      </c>
      <c r="J26" s="498">
        <f>'CUSTOMERS REPORT'!AB729</f>
        <v>0</v>
      </c>
      <c r="K26" s="498">
        <f>'CUSTOMERS REPORT'!AC729</f>
        <v>0</v>
      </c>
      <c r="L26" s="509">
        <f>'CUSTOMERS REPORT'!AD729</f>
        <v>0</v>
      </c>
      <c r="M26" s="414">
        <f>'22'!M26+'23'!G26</f>
        <v>0</v>
      </c>
      <c r="N26" s="412">
        <f>'22'!N26+'23'!J26</f>
        <v>0</v>
      </c>
      <c r="P26" s="433"/>
      <c r="Q26" s="438"/>
      <c r="R26" t="s">
        <v>1</v>
      </c>
      <c r="S26" s="400" t="str">
        <f>'22'!S26</f>
        <v>BLUE 125 GM</v>
      </c>
      <c r="T26" s="446">
        <f>'22'!X26</f>
        <v>0</v>
      </c>
      <c r="U26" s="456"/>
      <c r="V26" s="451">
        <f t="shared" si="0"/>
        <v>0</v>
      </c>
      <c r="W26" s="451"/>
      <c r="X26" s="447">
        <f t="shared" si="1"/>
        <v>0</v>
      </c>
      <c r="Z26" s="375">
        <f>'22'!Z26</f>
        <v>0</v>
      </c>
      <c r="AA26" s="464">
        <f>'22'!AE26</f>
        <v>0</v>
      </c>
      <c r="AB26" s="460"/>
      <c r="AC26" s="462">
        <f t="shared" si="2"/>
        <v>0</v>
      </c>
      <c r="AD26" s="469"/>
      <c r="AE26" s="348">
        <f t="shared" si="3"/>
        <v>0</v>
      </c>
      <c r="AF26" s="563">
        <f>'22'!AF26+'23'!AB26</f>
        <v>0</v>
      </c>
      <c r="AG26" s="234">
        <f>'22'!AG26+'23'!AD26</f>
        <v>0</v>
      </c>
    </row>
    <row r="27" spans="1:36" ht="27" customHeight="1">
      <c r="A27" s="715" t="str">
        <f>'22'!A27</f>
        <v>SHAHZORE</v>
      </c>
      <c r="B27" s="234"/>
      <c r="C27" s="348">
        <f>'22'!D27</f>
        <v>0</v>
      </c>
      <c r="D27" s="234">
        <f t="shared" si="9"/>
        <v>0</v>
      </c>
      <c r="F27" s="479" t="str">
        <f>'22'!F27</f>
        <v>SALEEM ORANGI</v>
      </c>
      <c r="G27" s="406">
        <f>'CUSTOMERS REPORT'!Y767</f>
        <v>0</v>
      </c>
      <c r="H27" s="504">
        <f>'CUSTOMERS REPORT'!Z767</f>
        <v>0</v>
      </c>
      <c r="I27" s="406">
        <f>'CUSTOMERS REPORT'!AA767</f>
        <v>0</v>
      </c>
      <c r="J27" s="498">
        <f>'CUSTOMERS REPORT'!AB767</f>
        <v>0</v>
      </c>
      <c r="K27" s="498">
        <f>'CUSTOMERS REPORT'!AC767</f>
        <v>0</v>
      </c>
      <c r="L27" s="509">
        <f>'CUSTOMERS REPORT'!AD767</f>
        <v>0</v>
      </c>
      <c r="M27" s="414">
        <f>'22'!M27+'23'!G27</f>
        <v>0</v>
      </c>
      <c r="N27" s="412">
        <f>'22'!N27+'23'!J27</f>
        <v>0</v>
      </c>
      <c r="P27" s="433"/>
      <c r="Q27" s="435"/>
      <c r="R27" t="s">
        <v>1</v>
      </c>
      <c r="S27" s="400" t="str">
        <f>'22'!S27</f>
        <v>MAKKI 5</v>
      </c>
      <c r="T27" s="446">
        <f>'22'!X27</f>
        <v>0</v>
      </c>
      <c r="U27" s="456"/>
      <c r="V27" s="451">
        <f t="shared" si="0"/>
        <v>0</v>
      </c>
      <c r="W27" s="451"/>
      <c r="X27" s="447">
        <f t="shared" si="1"/>
        <v>0</v>
      </c>
      <c r="Z27" s="375">
        <f>'22'!Z27</f>
        <v>0</v>
      </c>
      <c r="AA27" s="464">
        <f>'22'!AE27</f>
        <v>0</v>
      </c>
      <c r="AB27" s="460"/>
      <c r="AC27" s="462">
        <f t="shared" si="2"/>
        <v>0</v>
      </c>
      <c r="AD27" s="469"/>
      <c r="AE27" s="348">
        <f t="shared" si="3"/>
        <v>0</v>
      </c>
      <c r="AF27" s="563">
        <f>'22'!AF27+'23'!AB27</f>
        <v>0</v>
      </c>
      <c r="AG27" s="234">
        <f>'22'!AG27+'23'!AD27</f>
        <v>0</v>
      </c>
    </row>
    <row r="28" spans="1:36" ht="27" customHeight="1">
      <c r="A28" s="715" t="str">
        <f>'22'!A28</f>
        <v>GENERATOR</v>
      </c>
      <c r="B28" s="234">
        <v>15000</v>
      </c>
      <c r="C28" s="348">
        <f>'22'!D28</f>
        <v>28700</v>
      </c>
      <c r="D28" s="234">
        <f t="shared" si="9"/>
        <v>43700</v>
      </c>
      <c r="F28" s="479" t="str">
        <f>'22'!F28</f>
        <v>AYAZ OUSTA</v>
      </c>
      <c r="G28" s="406">
        <f>'CUSTOMERS REPORT'!Y805</f>
        <v>0</v>
      </c>
      <c r="H28" s="504">
        <f>'CUSTOMERS REPORT'!Z805</f>
        <v>0</v>
      </c>
      <c r="I28" s="406">
        <f>'CUSTOMERS REPORT'!AA805</f>
        <v>0</v>
      </c>
      <c r="J28" s="498">
        <f>'CUSTOMERS REPORT'!AB805</f>
        <v>0</v>
      </c>
      <c r="K28" s="498">
        <f>'CUSTOMERS REPORT'!AC805</f>
        <v>0</v>
      </c>
      <c r="L28" s="509">
        <f>'CUSTOMERS REPORT'!AD805</f>
        <v>0</v>
      </c>
      <c r="M28" s="414">
        <f>'22'!M28+'23'!G28</f>
        <v>0</v>
      </c>
      <c r="N28" s="412">
        <f>'22'!N28+'23'!J28</f>
        <v>0</v>
      </c>
      <c r="P28" s="433"/>
      <c r="Q28" s="438"/>
      <c r="S28" s="400" t="str">
        <f>'22'!S28</f>
        <v>MAKKI 2 PES</v>
      </c>
      <c r="T28" s="446">
        <f>'22'!X28</f>
        <v>0</v>
      </c>
      <c r="U28" s="456"/>
      <c r="V28" s="451">
        <f t="shared" si="0"/>
        <v>0</v>
      </c>
      <c r="W28" s="451"/>
      <c r="X28" s="447">
        <f t="shared" si="1"/>
        <v>0</v>
      </c>
      <c r="Z28" s="375">
        <f>'22'!Z28</f>
        <v>0</v>
      </c>
      <c r="AA28" s="464">
        <f>'22'!AE28</f>
        <v>0</v>
      </c>
      <c r="AB28" s="460"/>
      <c r="AC28" s="462">
        <f t="shared" si="2"/>
        <v>0</v>
      </c>
      <c r="AD28" s="469"/>
      <c r="AE28" s="348">
        <f t="shared" si="3"/>
        <v>0</v>
      </c>
      <c r="AF28" s="563">
        <f>'22'!AF28+'23'!AB28</f>
        <v>0</v>
      </c>
      <c r="AG28" s="234">
        <f>'22'!AG28+'23'!AD28</f>
        <v>0</v>
      </c>
    </row>
    <row r="29" spans="1:36" ht="27" customHeight="1">
      <c r="A29" s="715" t="str">
        <f>'22'!A29</f>
        <v>PATROL FAW</v>
      </c>
      <c r="B29" s="234"/>
      <c r="C29" s="348">
        <f>'22'!D29</f>
        <v>30270</v>
      </c>
      <c r="D29" s="234">
        <f t="shared" si="9"/>
        <v>30270</v>
      </c>
      <c r="F29" s="479" t="str">
        <f>'22'!F29</f>
        <v>AZHAR BADEEN</v>
      </c>
      <c r="G29" s="406">
        <f>'CUSTOMERS REPORT'!Y843</f>
        <v>0</v>
      </c>
      <c r="H29" s="504">
        <f>'CUSTOMERS REPORT'!Z843</f>
        <v>0</v>
      </c>
      <c r="I29" s="406">
        <f>'CUSTOMERS REPORT'!AA843</f>
        <v>0</v>
      </c>
      <c r="J29" s="498">
        <f>'CUSTOMERS REPORT'!AB843</f>
        <v>0</v>
      </c>
      <c r="K29" s="498">
        <f>'CUSTOMERS REPORT'!AC843</f>
        <v>0</v>
      </c>
      <c r="L29" s="509">
        <f>'CUSTOMERS REPORT'!AD843</f>
        <v>0</v>
      </c>
      <c r="M29" s="414">
        <f>'22'!M29+'23'!G29</f>
        <v>0</v>
      </c>
      <c r="N29" s="412">
        <f>'22'!N29+'23'!J29</f>
        <v>0</v>
      </c>
      <c r="P29" s="433"/>
      <c r="Q29" s="441"/>
      <c r="S29" s="400" t="str">
        <f>'22'!S29</f>
        <v xml:space="preserve">PRIME </v>
      </c>
      <c r="T29" s="446">
        <f>'22'!X29</f>
        <v>0</v>
      </c>
      <c r="U29" s="456"/>
      <c r="V29" s="451">
        <f t="shared" si="0"/>
        <v>0</v>
      </c>
      <c r="W29" s="451"/>
      <c r="X29" s="447">
        <f t="shared" si="1"/>
        <v>0</v>
      </c>
      <c r="Z29" s="375">
        <f>'22'!Z29</f>
        <v>0</v>
      </c>
      <c r="AA29" s="464">
        <f>'22'!AE29</f>
        <v>0</v>
      </c>
      <c r="AB29" s="460"/>
      <c r="AC29" s="462">
        <f t="shared" si="2"/>
        <v>0</v>
      </c>
      <c r="AD29" s="469"/>
      <c r="AE29" s="348">
        <f t="shared" si="3"/>
        <v>0</v>
      </c>
      <c r="AF29" s="563">
        <f>'22'!AF29+'23'!AB29</f>
        <v>0</v>
      </c>
      <c r="AG29" s="234">
        <f>'22'!AG29+'23'!AD29</f>
        <v>0</v>
      </c>
    </row>
    <row r="30" spans="1:36" ht="27" customHeight="1">
      <c r="A30" s="715" t="str">
        <f>'22'!A30</f>
        <v>FOTON DIESEL</v>
      </c>
      <c r="B30" s="234"/>
      <c r="C30" s="348">
        <f>'22'!D30</f>
        <v>15800</v>
      </c>
      <c r="D30" s="234">
        <f t="shared" si="9"/>
        <v>15800</v>
      </c>
      <c r="F30" s="479" t="str">
        <f>'22'!F30</f>
        <v>FAISAL HUB</v>
      </c>
      <c r="G30" s="406">
        <f>'CUSTOMERS REPORT'!Y881</f>
        <v>0</v>
      </c>
      <c r="H30" s="504">
        <f>'CUSTOMERS REPORT'!Z881</f>
        <v>0</v>
      </c>
      <c r="I30" s="406">
        <f>'CUSTOMERS REPORT'!AA881</f>
        <v>0</v>
      </c>
      <c r="J30" s="498">
        <f>'CUSTOMERS REPORT'!AB881</f>
        <v>0</v>
      </c>
      <c r="K30" s="498">
        <f>'CUSTOMERS REPORT'!AC881</f>
        <v>0</v>
      </c>
      <c r="L30" s="509">
        <f>'CUSTOMERS REPORT'!AD881</f>
        <v>0</v>
      </c>
      <c r="M30" s="414">
        <f>'22'!M30+'23'!G30</f>
        <v>0</v>
      </c>
      <c r="N30" s="412">
        <f>'22'!N30+'23'!J30</f>
        <v>0</v>
      </c>
      <c r="P30" s="433"/>
      <c r="Q30" s="442"/>
      <c r="S30" s="400" t="str">
        <f>'22'!S30</f>
        <v>PRIMR 15</v>
      </c>
      <c r="T30" s="446">
        <f>'22'!X30</f>
        <v>0</v>
      </c>
      <c r="U30" s="456"/>
      <c r="V30" s="451">
        <f t="shared" si="0"/>
        <v>0</v>
      </c>
      <c r="W30" s="451"/>
      <c r="X30" s="447">
        <f t="shared" si="1"/>
        <v>0</v>
      </c>
      <c r="Z30" s="375">
        <f>'22'!Z30</f>
        <v>0</v>
      </c>
      <c r="AA30" s="464">
        <f>'22'!AE30</f>
        <v>0</v>
      </c>
      <c r="AB30" s="460"/>
      <c r="AC30" s="462">
        <f t="shared" si="2"/>
        <v>0</v>
      </c>
      <c r="AD30" s="469"/>
      <c r="AE30" s="348">
        <f t="shared" si="3"/>
        <v>0</v>
      </c>
      <c r="AF30" s="563">
        <f>'22'!AF30+'23'!AB30</f>
        <v>0</v>
      </c>
      <c r="AG30" s="234">
        <f>'22'!AG30+'23'!AD30</f>
        <v>0</v>
      </c>
    </row>
    <row r="31" spans="1:36" ht="27" customHeight="1" thickBot="1">
      <c r="A31" s="715" t="str">
        <f>'22'!A31</f>
        <v>UTILITY BILLS</v>
      </c>
      <c r="B31" s="234"/>
      <c r="C31" s="348">
        <f>'22'!D31</f>
        <v>44420</v>
      </c>
      <c r="D31" s="234">
        <f t="shared" si="9"/>
        <v>44420</v>
      </c>
      <c r="F31" s="479" t="str">
        <f>'22'!F31</f>
        <v>ABDUL RAHMAN</v>
      </c>
      <c r="G31" s="406">
        <f>'CUSTOMERS REPORT'!Y920</f>
        <v>0</v>
      </c>
      <c r="H31" s="504">
        <f>'CUSTOMERS REPORT'!Z920</f>
        <v>0</v>
      </c>
      <c r="I31" s="406">
        <f>'CUSTOMERS REPORT'!AA920</f>
        <v>0</v>
      </c>
      <c r="J31" s="498">
        <f>'CUSTOMERS REPORT'!AB920</f>
        <v>0</v>
      </c>
      <c r="K31" s="498">
        <f>'CUSTOMERS REPORT'!AC920</f>
        <v>0</v>
      </c>
      <c r="L31" s="509">
        <f>'CUSTOMERS REPORT'!AD920</f>
        <v>0</v>
      </c>
      <c r="M31" s="414">
        <f>'22'!M31+'23'!G31</f>
        <v>0</v>
      </c>
      <c r="N31" s="412">
        <f>'22'!N31+'23'!J31</f>
        <v>0</v>
      </c>
      <c r="P31" s="433"/>
      <c r="Q31" s="435"/>
      <c r="S31" s="400" t="str">
        <f>'22'!S31</f>
        <v>KARACHI</v>
      </c>
      <c r="T31" s="446">
        <f>'22'!X31</f>
        <v>0</v>
      </c>
      <c r="U31" s="456"/>
      <c r="V31" s="451">
        <f t="shared" si="0"/>
        <v>0</v>
      </c>
      <c r="W31" s="451"/>
      <c r="X31" s="447">
        <f t="shared" si="1"/>
        <v>0</v>
      </c>
      <c r="Z31" s="375">
        <f>'22'!Z31</f>
        <v>0</v>
      </c>
      <c r="AA31" s="464">
        <f>'22'!AE31</f>
        <v>0</v>
      </c>
      <c r="AB31" s="460"/>
      <c r="AC31" s="462">
        <f t="shared" si="2"/>
        <v>0</v>
      </c>
      <c r="AD31" s="469"/>
      <c r="AE31" s="348">
        <f t="shared" si="3"/>
        <v>0</v>
      </c>
      <c r="AF31" s="563">
        <f>'22'!AF31+'23'!AB31</f>
        <v>0</v>
      </c>
      <c r="AG31" s="234">
        <f>'22'!AG31+'23'!AD31</f>
        <v>0</v>
      </c>
      <c r="AI31" t="s">
        <v>1</v>
      </c>
    </row>
    <row r="32" spans="1:36" ht="27" customHeight="1" thickTop="1" thickBot="1">
      <c r="A32" s="715" t="str">
        <f>'22'!A32</f>
        <v>WOOD</v>
      </c>
      <c r="B32" s="234">
        <v>150000</v>
      </c>
      <c r="C32" s="348">
        <f>'22'!D32</f>
        <v>0</v>
      </c>
      <c r="D32" s="234">
        <f t="shared" si="9"/>
        <v>150000</v>
      </c>
      <c r="F32" s="479" t="str">
        <f>'22'!F32</f>
        <v>HAJI JAN GIWANI</v>
      </c>
      <c r="G32" s="406">
        <f>'CUSTOMERS REPORT'!Y959</f>
        <v>0</v>
      </c>
      <c r="H32" s="504">
        <f>'CUSTOMERS REPORT'!Z959</f>
        <v>0</v>
      </c>
      <c r="I32" s="406">
        <f>'CUSTOMERS REPORT'!AA959</f>
        <v>0</v>
      </c>
      <c r="J32" s="498">
        <f>'CUSTOMERS REPORT'!AB959</f>
        <v>0</v>
      </c>
      <c r="K32" s="498">
        <f>'CUSTOMERS REPORT'!AC959</f>
        <v>0</v>
      </c>
      <c r="L32" s="509">
        <f>'CUSTOMERS REPORT'!AD959</f>
        <v>0</v>
      </c>
      <c r="M32" s="414">
        <f>'22'!M32+'23'!G32</f>
        <v>0</v>
      </c>
      <c r="N32" s="412">
        <f>'22'!N32+'23'!J32</f>
        <v>0</v>
      </c>
      <c r="P32" s="190" t="s">
        <v>51</v>
      </c>
      <c r="Q32" s="439">
        <f>Q23-Q25-Q26-Q27-Q28-Q29-Q30-Q31</f>
        <v>0</v>
      </c>
      <c r="R32" t="s">
        <v>1</v>
      </c>
      <c r="S32" s="400" t="str">
        <f>'22'!S32</f>
        <v>MARVI</v>
      </c>
      <c r="T32" s="446">
        <f>'22'!X32</f>
        <v>0</v>
      </c>
      <c r="U32" s="456"/>
      <c r="V32" s="451">
        <f t="shared" si="0"/>
        <v>0</v>
      </c>
      <c r="W32" s="451"/>
      <c r="X32" s="447">
        <f t="shared" si="1"/>
        <v>0</v>
      </c>
      <c r="Z32" s="375">
        <f>'22'!Z32</f>
        <v>0</v>
      </c>
      <c r="AA32" s="464">
        <f>'22'!AE32</f>
        <v>0</v>
      </c>
      <c r="AB32" s="460"/>
      <c r="AC32" s="462">
        <f t="shared" si="2"/>
        <v>0</v>
      </c>
      <c r="AD32" s="469"/>
      <c r="AE32" s="348">
        <f t="shared" si="3"/>
        <v>0</v>
      </c>
      <c r="AF32" s="563">
        <f>'22'!AF32+'23'!AB32</f>
        <v>0</v>
      </c>
      <c r="AG32" s="234">
        <f>'22'!AG32+'23'!AD32</f>
        <v>0</v>
      </c>
    </row>
    <row r="33" spans="1:40" ht="27" customHeight="1" thickTop="1" thickBot="1">
      <c r="A33" s="716" t="str">
        <f>'22'!A33</f>
        <v>TOLL</v>
      </c>
      <c r="B33" s="551"/>
      <c r="C33" s="348">
        <f>'22'!D33</f>
        <v>200</v>
      </c>
      <c r="D33" s="234">
        <f t="shared" si="9"/>
        <v>200</v>
      </c>
      <c r="F33" s="479" t="str">
        <f>'22'!F33</f>
        <v>ALI QURESHI HYD</v>
      </c>
      <c r="G33" s="406">
        <f>'CUSTOMERS REPORT'!Y997</f>
        <v>0</v>
      </c>
      <c r="H33" s="504">
        <f>'CUSTOMERS REPORT'!Z997</f>
        <v>0</v>
      </c>
      <c r="I33" s="406">
        <f>'CUSTOMERS REPORT'!AA997</f>
        <v>0</v>
      </c>
      <c r="J33" s="498">
        <f>'CUSTOMERS REPORT'!AB997</f>
        <v>0</v>
      </c>
      <c r="K33" s="498">
        <f>'CUSTOMERS REPORT'!AC997</f>
        <v>0</v>
      </c>
      <c r="L33" s="509">
        <f>'CUSTOMERS REPORT'!AD997</f>
        <v>0</v>
      </c>
      <c r="M33" s="414">
        <f>'22'!M33+'23'!G33</f>
        <v>0</v>
      </c>
      <c r="N33" s="412">
        <f>'22'!N33+'23'!J33</f>
        <v>0</v>
      </c>
      <c r="P33" s="1499" t="s">
        <v>149</v>
      </c>
      <c r="Q33" s="1500"/>
      <c r="S33" s="400" t="str">
        <f>'22'!S33</f>
        <v>TS</v>
      </c>
      <c r="T33" s="446">
        <f>'22'!X33</f>
        <v>0</v>
      </c>
      <c r="U33" s="456"/>
      <c r="V33" s="451">
        <f t="shared" si="0"/>
        <v>0</v>
      </c>
      <c r="W33" s="451"/>
      <c r="X33" s="447">
        <f t="shared" si="1"/>
        <v>0</v>
      </c>
      <c r="Z33" s="375">
        <f>'22'!Z33</f>
        <v>0</v>
      </c>
      <c r="AA33" s="464">
        <f>'22'!AE33</f>
        <v>0</v>
      </c>
      <c r="AB33" s="460"/>
      <c r="AC33" s="462">
        <f t="shared" si="2"/>
        <v>0</v>
      </c>
      <c r="AD33" s="469"/>
      <c r="AE33" s="348">
        <f t="shared" si="3"/>
        <v>0</v>
      </c>
      <c r="AF33" s="563">
        <f>'22'!AF33+'23'!AB33</f>
        <v>0</v>
      </c>
      <c r="AG33" s="234">
        <f>'22'!AG33+'23'!AD33</f>
        <v>0</v>
      </c>
    </row>
    <row r="34" spans="1:40" ht="27" customHeight="1" thickTop="1" thickBot="1">
      <c r="A34" s="715" t="str">
        <f>'22'!A34</f>
        <v>FLOUR / SHGER</v>
      </c>
      <c r="B34" s="538"/>
      <c r="C34" s="348">
        <f>'22'!D34</f>
        <v>1120</v>
      </c>
      <c r="D34" s="234">
        <f t="shared" si="9"/>
        <v>1120</v>
      </c>
      <c r="F34" s="479" t="str">
        <f>'22'!F34</f>
        <v>ALI RAZA KAND KOT</v>
      </c>
      <c r="G34" s="406">
        <f>'CUSTOMERS REPORT'!Y1035</f>
        <v>0</v>
      </c>
      <c r="H34" s="504">
        <f>'CUSTOMERS REPORT'!Z1035</f>
        <v>0</v>
      </c>
      <c r="I34" s="406">
        <f>'CUSTOMERS REPORT'!AA1035</f>
        <v>0</v>
      </c>
      <c r="J34" s="498">
        <f>'CUSTOMERS REPORT'!AB1035</f>
        <v>0</v>
      </c>
      <c r="K34" s="498">
        <f>'CUSTOMERS REPORT'!AC1035</f>
        <v>0</v>
      </c>
      <c r="L34" s="509">
        <f>'CUSTOMERS REPORT'!AD1035</f>
        <v>0</v>
      </c>
      <c r="M34" s="414">
        <f>'22'!M34+'23'!G34</f>
        <v>0</v>
      </c>
      <c r="N34" s="412">
        <f>'22'!N34+'23'!J34</f>
        <v>0</v>
      </c>
      <c r="P34" s="220" t="s">
        <v>150</v>
      </c>
      <c r="Q34" s="223">
        <f>'22'!Q34</f>
        <v>0</v>
      </c>
      <c r="S34" s="400" t="str">
        <f>'22'!S34</f>
        <v>MAXI</v>
      </c>
      <c r="T34" s="446">
        <f>'22'!X34</f>
        <v>0</v>
      </c>
      <c r="U34" s="457"/>
      <c r="V34" s="452">
        <f t="shared" si="0"/>
        <v>0</v>
      </c>
      <c r="W34" s="452"/>
      <c r="X34" s="448">
        <f t="shared" si="1"/>
        <v>0</v>
      </c>
      <c r="Z34" s="375">
        <f>'22'!Z34</f>
        <v>0</v>
      </c>
      <c r="AA34" s="464">
        <f>'22'!AE34</f>
        <v>0</v>
      </c>
      <c r="AB34" s="460"/>
      <c r="AC34" s="462">
        <f t="shared" si="2"/>
        <v>0</v>
      </c>
      <c r="AD34" s="469"/>
      <c r="AE34" s="348">
        <f t="shared" si="3"/>
        <v>0</v>
      </c>
      <c r="AF34" s="563">
        <f>'22'!AF34+'23'!AB34</f>
        <v>0</v>
      </c>
      <c r="AG34" s="234">
        <f>'22'!AG34+'23'!AD34</f>
        <v>0</v>
      </c>
    </row>
    <row r="35" spans="1:40" ht="27" customHeight="1" thickTop="1">
      <c r="A35" s="716" t="str">
        <f>'22'!A35</f>
        <v>OVEN &amp; PP MACHINE</v>
      </c>
      <c r="B35" s="529"/>
      <c r="C35" s="348">
        <f>'22'!D35</f>
        <v>0</v>
      </c>
      <c r="D35" s="529">
        <f t="shared" si="9"/>
        <v>0</v>
      </c>
      <c r="F35" s="479" t="str">
        <f>'22'!F35</f>
        <v>IQBAL MORO</v>
      </c>
      <c r="G35" s="407">
        <f>'CUSTOMERS REPORT'!Y1073</f>
        <v>0</v>
      </c>
      <c r="H35" s="505">
        <f>'CUSTOMERS REPORT'!Z1073</f>
        <v>0</v>
      </c>
      <c r="I35" s="407">
        <f>'CUSTOMERS REPORT'!AA1073</f>
        <v>0</v>
      </c>
      <c r="J35" s="499">
        <f>'CUSTOMERS REPORT'!AB1073</f>
        <v>0</v>
      </c>
      <c r="K35" s="499">
        <f>'CUSTOMERS REPORT'!AC1073</f>
        <v>0</v>
      </c>
      <c r="L35" s="510">
        <f>'CUSTOMERS REPORT'!AD1073</f>
        <v>0</v>
      </c>
      <c r="M35" s="414">
        <f>'22'!M35+'23'!G35</f>
        <v>0</v>
      </c>
      <c r="N35" s="412">
        <f>'22'!N35+'23'!J35</f>
        <v>0</v>
      </c>
      <c r="P35" s="252" t="s">
        <v>151</v>
      </c>
      <c r="Q35" s="443">
        <f>'22'!Q35</f>
        <v>0</v>
      </c>
      <c r="R35" t="s">
        <v>1</v>
      </c>
      <c r="S35" s="400" t="str">
        <f>'22'!S35</f>
        <v>M A WHITE</v>
      </c>
      <c r="T35" s="446">
        <f>'22'!X35</f>
        <v>0</v>
      </c>
      <c r="U35" s="457"/>
      <c r="V35" s="452">
        <f t="shared" si="0"/>
        <v>0</v>
      </c>
      <c r="W35" s="452"/>
      <c r="X35" s="448">
        <f t="shared" si="1"/>
        <v>0</v>
      </c>
      <c r="Z35" s="375">
        <f>'22'!Z35</f>
        <v>0</v>
      </c>
      <c r="AA35" s="464">
        <f>'22'!AE35</f>
        <v>0</v>
      </c>
      <c r="AB35" s="460"/>
      <c r="AC35" s="462">
        <f t="shared" si="2"/>
        <v>0</v>
      </c>
      <c r="AD35" s="469"/>
      <c r="AE35" s="348">
        <f t="shared" si="3"/>
        <v>0</v>
      </c>
      <c r="AF35" s="563">
        <f>'22'!AF35+'23'!AB35</f>
        <v>0</v>
      </c>
      <c r="AG35" s="234">
        <f>'22'!AG35+'23'!AD35</f>
        <v>0</v>
      </c>
    </row>
    <row r="36" spans="1:40" ht="27" customHeight="1">
      <c r="A36" s="716" t="str">
        <f>'22'!A36</f>
        <v>zakat</v>
      </c>
      <c r="B36" s="539"/>
      <c r="C36" s="348">
        <f>'22'!D36</f>
        <v>0</v>
      </c>
      <c r="D36" s="529">
        <f t="shared" si="9"/>
        <v>0</v>
      </c>
      <c r="F36" s="479" t="str">
        <f>'22'!F36</f>
        <v>SARFARAZ T ADAM</v>
      </c>
      <c r="G36" s="407">
        <f>'CUSTOMERS REPORT'!Y1111</f>
        <v>0</v>
      </c>
      <c r="H36" s="505">
        <f>'CUSTOMERS REPORT'!Z1111</f>
        <v>0</v>
      </c>
      <c r="I36" s="407">
        <f>'CUSTOMERS REPORT'!AA1111</f>
        <v>0</v>
      </c>
      <c r="J36" s="499">
        <f>'CUSTOMERS REPORT'!AB1111</f>
        <v>0</v>
      </c>
      <c r="K36" s="499">
        <f>'CUSTOMERS REPORT'!AC1111</f>
        <v>0</v>
      </c>
      <c r="L36" s="510">
        <f>'CUSTOMERS REPORT'!AD1111</f>
        <v>0</v>
      </c>
      <c r="M36" s="414">
        <f>'22'!M36+'23'!G36</f>
        <v>0</v>
      </c>
      <c r="N36" s="412">
        <f>'22'!N36+'23'!J36</f>
        <v>0</v>
      </c>
      <c r="P36" s="372" t="s">
        <v>152</v>
      </c>
      <c r="Q36" s="444">
        <f>J48</f>
        <v>0</v>
      </c>
      <c r="R36" t="s">
        <v>1</v>
      </c>
      <c r="S36" s="400" t="str">
        <f>'22'!S36</f>
        <v>M A ORING</v>
      </c>
      <c r="T36" s="446">
        <f>'22'!X36</f>
        <v>0</v>
      </c>
      <c r="U36" s="456"/>
      <c r="V36" s="451">
        <f t="shared" si="0"/>
        <v>0</v>
      </c>
      <c r="W36" s="452"/>
      <c r="X36" s="448">
        <f t="shared" si="1"/>
        <v>0</v>
      </c>
      <c r="Z36" s="375">
        <f>'22'!Z36</f>
        <v>0</v>
      </c>
      <c r="AA36" s="464">
        <f>'22'!AE36</f>
        <v>0</v>
      </c>
      <c r="AB36" s="460"/>
      <c r="AC36" s="462">
        <f t="shared" si="2"/>
        <v>0</v>
      </c>
      <c r="AD36" s="469"/>
      <c r="AE36" s="348">
        <f t="shared" si="3"/>
        <v>0</v>
      </c>
      <c r="AF36" s="563">
        <f>'22'!AF36+'23'!AB36</f>
        <v>0</v>
      </c>
      <c r="AG36" s="234">
        <f>'22'!AG36+'23'!AD36</f>
        <v>0</v>
      </c>
    </row>
    <row r="37" spans="1:40" ht="27" customHeight="1">
      <c r="A37" s="716" t="str">
        <f>'22'!A37</f>
        <v>javeed manghopir</v>
      </c>
      <c r="B37" s="234"/>
      <c r="C37" s="348">
        <f>'22'!D37</f>
        <v>0</v>
      </c>
      <c r="D37" s="234">
        <f t="shared" si="9"/>
        <v>0</v>
      </c>
      <c r="F37" s="479" t="str">
        <f>'22'!F37</f>
        <v>MUMTAZ K N SHAH</v>
      </c>
      <c r="G37" s="406">
        <f>'CUSTOMERS REPORT'!Y1149</f>
        <v>0</v>
      </c>
      <c r="H37" s="504">
        <f>'CUSTOMERS REPORT'!Z1149</f>
        <v>0</v>
      </c>
      <c r="I37" s="406">
        <f>'CUSTOMERS REPORT'!AA1149</f>
        <v>0</v>
      </c>
      <c r="J37" s="498">
        <f>'CUSTOMERS REPORT'!AB1149</f>
        <v>0</v>
      </c>
      <c r="K37" s="498">
        <f>'CUSTOMERS REPORT'!AC1149</f>
        <v>0</v>
      </c>
      <c r="L37" s="509">
        <f>'CUSTOMERS REPORT'!AD1149</f>
        <v>0</v>
      </c>
      <c r="M37" s="414">
        <f>'22'!M37+'23'!G37</f>
        <v>0</v>
      </c>
      <c r="N37" s="412">
        <f>'22'!N37+'23'!J37</f>
        <v>0</v>
      </c>
      <c r="P37" s="373" t="s">
        <v>153</v>
      </c>
      <c r="Q37" s="445">
        <f>Q34+Q35+Q36</f>
        <v>0</v>
      </c>
      <c r="R37" t="s">
        <v>1</v>
      </c>
      <c r="S37" s="400">
        <f>'22'!S37</f>
        <v>0</v>
      </c>
      <c r="T37" s="446">
        <f>'22'!X37</f>
        <v>0</v>
      </c>
      <c r="U37" s="456"/>
      <c r="V37" s="451">
        <f t="shared" si="0"/>
        <v>0</v>
      </c>
      <c r="W37" s="452"/>
      <c r="X37" s="448">
        <f t="shared" si="1"/>
        <v>0</v>
      </c>
      <c r="Z37" s="375">
        <f>'22'!Z37</f>
        <v>0</v>
      </c>
      <c r="AA37" s="464">
        <f>'22'!AE37</f>
        <v>0</v>
      </c>
      <c r="AB37" s="460"/>
      <c r="AC37" s="462">
        <f t="shared" si="2"/>
        <v>0</v>
      </c>
      <c r="AD37" s="469"/>
      <c r="AE37" s="348">
        <f t="shared" si="3"/>
        <v>0</v>
      </c>
      <c r="AF37" s="563">
        <f>'22'!AF37+'23'!AB37</f>
        <v>0</v>
      </c>
      <c r="AG37" s="234">
        <f>'22'!AG37+'23'!AD37</f>
        <v>0</v>
      </c>
    </row>
    <row r="38" spans="1:40" ht="27" customHeight="1">
      <c r="A38" s="715" t="str">
        <f>'22'!A38</f>
        <v>EXSIS CASH</v>
      </c>
      <c r="B38" s="234"/>
      <c r="C38" s="348">
        <f>'22'!D38</f>
        <v>0</v>
      </c>
      <c r="D38" s="234">
        <f t="shared" si="9"/>
        <v>0</v>
      </c>
      <c r="F38" s="479" t="str">
        <f>'22'!F38</f>
        <v>GHULAM RASOOL QU</v>
      </c>
      <c r="G38" s="408">
        <f>'CUSTOMERS REPORT'!Y1186</f>
        <v>0</v>
      </c>
      <c r="H38" s="506">
        <f>'CUSTOMERS REPORT'!Z1186</f>
        <v>0</v>
      </c>
      <c r="I38" s="408">
        <f>'CUSTOMERS REPORT'!AA1186</f>
        <v>0</v>
      </c>
      <c r="J38" s="500">
        <f>'CUSTOMERS REPORT'!AB1186</f>
        <v>0</v>
      </c>
      <c r="K38" s="500">
        <f>'CUSTOMERS REPORT'!AC1186</f>
        <v>0</v>
      </c>
      <c r="L38" s="511">
        <f>'CUSTOMERS REPORT'!AD1186</f>
        <v>0</v>
      </c>
      <c r="M38" s="414">
        <f>'22'!M38+'23'!G38</f>
        <v>0</v>
      </c>
      <c r="N38" s="412">
        <f>'22'!N38+'23'!J38</f>
        <v>0</v>
      </c>
      <c r="P38" s="373" t="s">
        <v>154</v>
      </c>
      <c r="Q38" s="445">
        <f>D48</f>
        <v>3747830</v>
      </c>
      <c r="S38" s="400">
        <f>'22'!S38</f>
        <v>0</v>
      </c>
      <c r="T38" s="446">
        <f>'22'!X38</f>
        <v>0</v>
      </c>
      <c r="U38" s="456"/>
      <c r="V38" s="451">
        <f t="shared" si="0"/>
        <v>0</v>
      </c>
      <c r="W38" s="452"/>
      <c r="X38" s="448">
        <f t="shared" si="1"/>
        <v>0</v>
      </c>
      <c r="Z38" s="375">
        <f>'22'!Z38</f>
        <v>0</v>
      </c>
      <c r="AA38" s="464">
        <f>'22'!AE38</f>
        <v>0</v>
      </c>
      <c r="AB38" s="460"/>
      <c r="AC38" s="462">
        <f t="shared" si="2"/>
        <v>0</v>
      </c>
      <c r="AD38" s="469"/>
      <c r="AE38" s="348">
        <f t="shared" si="3"/>
        <v>0</v>
      </c>
      <c r="AF38" s="563">
        <f>'22'!AF38+'23'!AB38</f>
        <v>0</v>
      </c>
      <c r="AG38" s="234">
        <f>'22'!AG38+'23'!AD38</f>
        <v>0</v>
      </c>
    </row>
    <row r="39" spans="1:40" ht="27" customHeight="1">
      <c r="A39" s="715" t="str">
        <f>'22'!A39</f>
        <v>SHORT CASH</v>
      </c>
      <c r="B39" s="234"/>
      <c r="C39" s="348">
        <f>'22'!D39</f>
        <v>1950</v>
      </c>
      <c r="D39" s="234">
        <f t="shared" si="9"/>
        <v>1950</v>
      </c>
      <c r="F39" s="479" t="str">
        <f>'22'!F39</f>
        <v>SHAMSHAD UNCLE</v>
      </c>
      <c r="G39" s="406">
        <f>'CUSTOMERS REPORT'!Y1223</f>
        <v>0</v>
      </c>
      <c r="H39" s="504">
        <f>'CUSTOMERS REPORT'!Z1223</f>
        <v>0</v>
      </c>
      <c r="I39" s="406">
        <f>'CUSTOMERS REPORT'!AA1223</f>
        <v>0</v>
      </c>
      <c r="J39" s="498">
        <f>'CUSTOMERS REPORT'!AB1223</f>
        <v>0</v>
      </c>
      <c r="K39" s="498">
        <f>'CUSTOMERS REPORT'!AC1223</f>
        <v>0</v>
      </c>
      <c r="L39" s="509">
        <f>'CUSTOMERS REPORT'!AD1223</f>
        <v>0</v>
      </c>
      <c r="M39" s="414">
        <f>'22'!M39+'23'!G39</f>
        <v>0</v>
      </c>
      <c r="N39" s="412">
        <f>'22'!N39+'23'!J39</f>
        <v>0</v>
      </c>
      <c r="P39" s="373" t="s">
        <v>109</v>
      </c>
      <c r="Q39" s="445">
        <f>'22'!Q39+'23'!Q25+'23'!Q26+'23'!Q27+'23'!Q28+'23'!Q29+'23'!Q30+'23'!Q31</f>
        <v>0</v>
      </c>
      <c r="R39" t="s">
        <v>1</v>
      </c>
      <c r="S39" s="400">
        <f>'22'!S39</f>
        <v>0</v>
      </c>
      <c r="T39" s="446">
        <f>'22'!X39</f>
        <v>0</v>
      </c>
      <c r="U39" s="456"/>
      <c r="V39" s="451">
        <f t="shared" si="0"/>
        <v>0</v>
      </c>
      <c r="W39" s="452"/>
      <c r="X39" s="448">
        <f t="shared" si="1"/>
        <v>0</v>
      </c>
      <c r="Z39" s="375">
        <f>'22'!Z39</f>
        <v>0</v>
      </c>
      <c r="AA39" s="464">
        <f>'22'!AE39</f>
        <v>0</v>
      </c>
      <c r="AB39" s="460"/>
      <c r="AC39" s="462">
        <f t="shared" si="2"/>
        <v>0</v>
      </c>
      <c r="AD39" s="469"/>
      <c r="AE39" s="348">
        <f t="shared" si="3"/>
        <v>0</v>
      </c>
      <c r="AF39" s="563">
        <f>'22'!AF39+'23'!AB39</f>
        <v>0</v>
      </c>
      <c r="AG39" s="234">
        <f>'22'!AG39+'23'!AD39</f>
        <v>0</v>
      </c>
    </row>
    <row r="40" spans="1:40" ht="27" customHeight="1" thickBot="1">
      <c r="A40" s="715" t="str">
        <f>'22'!A40</f>
        <v>ASSETS</v>
      </c>
      <c r="B40" s="234"/>
      <c r="C40" s="548">
        <f>'22'!D40</f>
        <v>0</v>
      </c>
      <c r="D40" s="234">
        <f t="shared" si="9"/>
        <v>0</v>
      </c>
      <c r="F40" s="479" t="str">
        <f>'22'!F40</f>
        <v>IBRAHEEM D.G KHAN</v>
      </c>
      <c r="G40" s="406">
        <f>'CUSTOMERS REPORT'!Y1260</f>
        <v>0</v>
      </c>
      <c r="H40" s="504">
        <f>'CUSTOMERS REPORT'!Z1260</f>
        <v>0</v>
      </c>
      <c r="I40" s="406">
        <f>'CUSTOMERS REPORT'!AA1260</f>
        <v>0</v>
      </c>
      <c r="J40" s="498">
        <f>'CUSTOMERS REPORT'!AB1260</f>
        <v>0</v>
      </c>
      <c r="K40" s="498">
        <f>'CUSTOMERS REPORT'!AC1260</f>
        <v>0</v>
      </c>
      <c r="L40" s="509">
        <f>'CUSTOMERS REPORT'!AD1260</f>
        <v>0</v>
      </c>
      <c r="M40" s="414">
        <f>'22'!M40+'23'!G40</f>
        <v>0</v>
      </c>
      <c r="N40" s="412">
        <f>'22'!N40+'23'!J40</f>
        <v>0</v>
      </c>
      <c r="P40" s="374" t="s">
        <v>155</v>
      </c>
      <c r="Q40" s="445">
        <f>Q48</f>
        <v>-3747830</v>
      </c>
      <c r="S40" s="400">
        <f>'22'!S40</f>
        <v>0</v>
      </c>
      <c r="T40" s="446">
        <f>'22'!X40</f>
        <v>0</v>
      </c>
      <c r="U40" s="456"/>
      <c r="V40" s="451">
        <f t="shared" si="0"/>
        <v>0</v>
      </c>
      <c r="W40" s="452"/>
      <c r="X40" s="448">
        <f t="shared" si="1"/>
        <v>0</v>
      </c>
      <c r="Z40" s="375">
        <f>'22'!Z40</f>
        <v>0</v>
      </c>
      <c r="AA40" s="464">
        <f>'22'!AE40</f>
        <v>0</v>
      </c>
      <c r="AB40" s="460"/>
      <c r="AC40" s="462">
        <f t="shared" si="2"/>
        <v>0</v>
      </c>
      <c r="AD40" s="469"/>
      <c r="AE40" s="348">
        <f t="shared" si="3"/>
        <v>0</v>
      </c>
      <c r="AF40" s="563">
        <f>'22'!AF40+'23'!AB40</f>
        <v>0</v>
      </c>
      <c r="AG40" s="234">
        <f>'22'!AG40+'23'!AD40</f>
        <v>0</v>
      </c>
    </row>
    <row r="41" spans="1:40" ht="27" customHeight="1" thickTop="1" thickBot="1">
      <c r="A41" s="715" t="str">
        <f>'22'!A41</f>
        <v>BIKE.INSTALMINT</v>
      </c>
      <c r="B41" s="234">
        <v>12200</v>
      </c>
      <c r="C41" s="548">
        <f>'22'!D41</f>
        <v>0</v>
      </c>
      <c r="D41" s="234">
        <f t="shared" si="9"/>
        <v>12200</v>
      </c>
      <c r="E41" t="s">
        <v>1</v>
      </c>
      <c r="F41" s="479" t="str">
        <f>'22'!F41</f>
        <v>PISHAWAR</v>
      </c>
      <c r="G41" s="409">
        <f>'CUSTOMERS REPORT'!Y1297</f>
        <v>0</v>
      </c>
      <c r="H41" s="507">
        <f>'CUSTOMERS REPORT'!Z1297</f>
        <v>0</v>
      </c>
      <c r="I41" s="409">
        <f>'CUSTOMERS REPORT'!AA1297</f>
        <v>0</v>
      </c>
      <c r="J41" s="501">
        <f>'CUSTOMERS REPORT'!AB1297</f>
        <v>0</v>
      </c>
      <c r="K41" s="501">
        <f>'CUSTOMERS REPORT'!AC1297</f>
        <v>0</v>
      </c>
      <c r="L41" s="512">
        <f>'CUSTOMERS REPORT'!AD1297</f>
        <v>0</v>
      </c>
      <c r="M41" s="414">
        <f>'22'!M41+'23'!G41</f>
        <v>0</v>
      </c>
      <c r="N41" s="412">
        <f>'22'!N41+'23'!J41</f>
        <v>0</v>
      </c>
      <c r="P41" s="221" t="s">
        <v>51</v>
      </c>
      <c r="Q41" s="223">
        <f>Q37-Q38-Q39-Q40</f>
        <v>0</v>
      </c>
      <c r="S41" s="400">
        <f>'22'!S41</f>
        <v>0</v>
      </c>
      <c r="T41" s="446">
        <f>'22'!X41</f>
        <v>0</v>
      </c>
      <c r="U41" s="456"/>
      <c r="V41" s="451">
        <f t="shared" si="0"/>
        <v>0</v>
      </c>
      <c r="W41" s="452"/>
      <c r="X41" s="448">
        <f t="shared" si="1"/>
        <v>0</v>
      </c>
      <c r="Z41" s="375">
        <f>'22'!Z41</f>
        <v>0</v>
      </c>
      <c r="AA41" s="464">
        <f>'22'!AE41</f>
        <v>0</v>
      </c>
      <c r="AB41" s="460"/>
      <c r="AC41" s="462">
        <f t="shared" si="2"/>
        <v>0</v>
      </c>
      <c r="AD41" s="469"/>
      <c r="AE41" s="348">
        <f t="shared" si="3"/>
        <v>0</v>
      </c>
      <c r="AF41" s="563">
        <f>'22'!AF41+'23'!AB41</f>
        <v>0</v>
      </c>
      <c r="AG41" s="234">
        <f>'22'!AG41+'23'!AD41</f>
        <v>0</v>
      </c>
    </row>
    <row r="42" spans="1:40" ht="27" customHeight="1" thickTop="1" thickBot="1">
      <c r="A42" s="715" t="str">
        <f>'22'!A42</f>
        <v>B.C</v>
      </c>
      <c r="B42" s="529"/>
      <c r="C42" s="348">
        <f>'22'!D42</f>
        <v>0</v>
      </c>
      <c r="D42" s="529">
        <f t="shared" si="9"/>
        <v>0</v>
      </c>
      <c r="F42" s="479" t="str">
        <f>'22'!F42</f>
        <v>HUZAFA KOTRI</v>
      </c>
      <c r="G42" s="409">
        <f>'CUSTOMERS REPORT'!Y1334</f>
        <v>0</v>
      </c>
      <c r="H42" s="507">
        <f>'CUSTOMERS REPORT'!Z1334</f>
        <v>0</v>
      </c>
      <c r="I42" s="409">
        <f>'CUSTOMERS REPORT'!AA1334</f>
        <v>0</v>
      </c>
      <c r="J42" s="501">
        <f>'CUSTOMERS REPORT'!AB1334</f>
        <v>0</v>
      </c>
      <c r="K42" s="501">
        <f>'CUSTOMERS REPORT'!AC1334</f>
        <v>0</v>
      </c>
      <c r="L42" s="512">
        <f>'CUSTOMERS REPORT'!AD1334</f>
        <v>0</v>
      </c>
      <c r="M42" s="414">
        <f>'22'!M42+'23'!G42</f>
        <v>0</v>
      </c>
      <c r="N42" s="412">
        <f>'22'!N42+'23'!J42</f>
        <v>0</v>
      </c>
      <c r="P42" s="1499" t="s">
        <v>157</v>
      </c>
      <c r="Q42" s="1500"/>
      <c r="S42" s="400">
        <f>'22'!S42</f>
        <v>0</v>
      </c>
      <c r="T42" s="446">
        <f>'22'!X42</f>
        <v>0</v>
      </c>
      <c r="U42" s="458"/>
      <c r="V42" s="453">
        <f t="shared" si="0"/>
        <v>0</v>
      </c>
      <c r="W42" s="454"/>
      <c r="X42" s="449">
        <f t="shared" si="1"/>
        <v>0</v>
      </c>
      <c r="Z42" s="375">
        <f>'22'!Z42</f>
        <v>0</v>
      </c>
      <c r="AA42" s="464">
        <f>'22'!AE42</f>
        <v>0</v>
      </c>
      <c r="AB42" s="461"/>
      <c r="AC42" s="462">
        <f>AA42+AB42</f>
        <v>0</v>
      </c>
      <c r="AD42" s="470"/>
      <c r="AE42" s="348">
        <f t="shared" si="3"/>
        <v>0</v>
      </c>
      <c r="AF42" s="564">
        <f>'22'!AF42+'23'!AB42</f>
        <v>0</v>
      </c>
      <c r="AG42" s="572">
        <f>'22'!AG42+'23'!AD42</f>
        <v>0</v>
      </c>
    </row>
    <row r="43" spans="1:40" ht="27" customHeight="1" thickTop="1" thickBot="1">
      <c r="A43" s="715" t="str">
        <f>'22'!A43</f>
        <v>AQEEL</v>
      </c>
      <c r="B43" s="539"/>
      <c r="C43" s="348">
        <f>'22'!D43</f>
        <v>0</v>
      </c>
      <c r="D43" s="529">
        <f t="shared" si="9"/>
        <v>0</v>
      </c>
      <c r="F43" s="479" t="str">
        <f>'22'!F43</f>
        <v>ZAHID LAHORE</v>
      </c>
      <c r="G43" s="409">
        <f>'CUSTOMERS REPORT'!Y1371</f>
        <v>0</v>
      </c>
      <c r="H43" s="507">
        <f>'CUSTOMERS REPORT'!Z1371</f>
        <v>0</v>
      </c>
      <c r="I43" s="409">
        <f>'CUSTOMERS REPORT'!AA1371</f>
        <v>0</v>
      </c>
      <c r="J43" s="501">
        <f>'CUSTOMERS REPORT'!AB1371</f>
        <v>0</v>
      </c>
      <c r="K43" s="501">
        <f>'CUSTOMERS REPORT'!AC1371</f>
        <v>0</v>
      </c>
      <c r="L43" s="512">
        <f>'CUSTOMERS REPORT'!AD1371</f>
        <v>0</v>
      </c>
      <c r="M43" s="414">
        <f>'22'!M43+'23'!G43</f>
        <v>0</v>
      </c>
      <c r="N43" s="412">
        <f>'22'!N43+'23'!J43</f>
        <v>0</v>
      </c>
      <c r="P43" s="220" t="s">
        <v>124</v>
      </c>
      <c r="Q43" s="223">
        <f>'22'!Q48</f>
        <v>-2839150</v>
      </c>
      <c r="R43" t="s">
        <v>1</v>
      </c>
      <c r="S43" s="400">
        <f>'22'!S43</f>
        <v>0</v>
      </c>
      <c r="T43" s="446">
        <f>'22'!X43</f>
        <v>0</v>
      </c>
      <c r="U43" s="458"/>
      <c r="V43" s="453">
        <f t="shared" si="0"/>
        <v>0</v>
      </c>
      <c r="W43" s="403"/>
      <c r="X43" s="449">
        <f t="shared" si="1"/>
        <v>0</v>
      </c>
      <c r="Z43" s="383"/>
      <c r="AA43" s="356">
        <f>SUM(AA8:AA42)</f>
        <v>-1274350</v>
      </c>
      <c r="AB43" s="385">
        <f>SUM(AB8:AB42)</f>
        <v>146000</v>
      </c>
      <c r="AC43" s="357" t="s">
        <v>74</v>
      </c>
      <c r="AD43" s="387">
        <f>SUM(AD8:AD42)</f>
        <v>700000</v>
      </c>
      <c r="AE43" s="358">
        <f>SUM(AE8:AE42)</f>
        <v>-1828350</v>
      </c>
      <c r="AF43" s="565">
        <f>SUM(AF8:AF42)</f>
        <v>1275750</v>
      </c>
      <c r="AG43" s="571">
        <f>SUM(AG8:AG42)</f>
        <v>3104100</v>
      </c>
    </row>
    <row r="44" spans="1:40" ht="27" customHeight="1" thickTop="1">
      <c r="A44" s="715" t="str">
        <f>'22'!A44</f>
        <v>M.YOUSUF</v>
      </c>
      <c r="B44" s="234"/>
      <c r="C44" s="348">
        <f>'22'!D44</f>
        <v>60000</v>
      </c>
      <c r="D44" s="234">
        <f t="shared" si="9"/>
        <v>60000</v>
      </c>
      <c r="F44" s="479" t="str">
        <f>'22'!F44</f>
        <v>CASH SALE</v>
      </c>
      <c r="G44" s="409">
        <f>'CUSTOMERS REPORT'!Y1408</f>
        <v>0</v>
      </c>
      <c r="H44" s="507">
        <f>'CUSTOMERS REPORT'!Z1408</f>
        <v>0</v>
      </c>
      <c r="I44" s="409">
        <f>'CUSTOMERS REPORT'!AA1408</f>
        <v>0</v>
      </c>
      <c r="J44" s="501">
        <f>'CUSTOMERS REPORT'!AB1408</f>
        <v>0</v>
      </c>
      <c r="K44" s="501">
        <f>'CUSTOMERS REPORT'!AC1408</f>
        <v>0</v>
      </c>
      <c r="L44" s="512">
        <f>'CUSTOMERS REPORT'!AD1408</f>
        <v>0</v>
      </c>
      <c r="M44" s="414">
        <f>'22'!M44+'23'!G44</f>
        <v>0</v>
      </c>
      <c r="N44" s="412">
        <f>'22'!N44+'23'!J44</f>
        <v>0</v>
      </c>
      <c r="P44" s="222" t="s">
        <v>114</v>
      </c>
      <c r="Q44" s="377">
        <f>J46</f>
        <v>0</v>
      </c>
      <c r="S44" s="400"/>
      <c r="T44" s="348"/>
      <c r="U44" s="306"/>
      <c r="V44" s="349"/>
      <c r="W44" s="351"/>
      <c r="X44" s="350"/>
      <c r="Z44" s="375"/>
      <c r="AA44" s="339"/>
      <c r="AB44" s="386">
        <f>'22'!AB45</f>
        <v>1129750</v>
      </c>
      <c r="AC44" s="340" t="s">
        <v>126</v>
      </c>
      <c r="AD44" s="388">
        <f>'22'!AD45</f>
        <v>2404100</v>
      </c>
      <c r="AE44" s="341"/>
      <c r="AF44" s="561"/>
      <c r="AG44" s="756"/>
    </row>
    <row r="45" spans="1:40" ht="27" customHeight="1" thickBot="1">
      <c r="A45" s="715" t="str">
        <f>'22'!A45</f>
        <v>SHAKEEL</v>
      </c>
      <c r="B45" s="234"/>
      <c r="C45" s="348">
        <f>'22'!D45</f>
        <v>47210</v>
      </c>
      <c r="D45" s="234">
        <f t="shared" si="9"/>
        <v>47210</v>
      </c>
      <c r="F45" s="479" t="str">
        <f>'22'!F45</f>
        <v xml:space="preserve">FREE </v>
      </c>
      <c r="G45" s="410">
        <f>'CUSTOMERS REPORT'!Y1444</f>
        <v>0</v>
      </c>
      <c r="H45" s="362">
        <f>'CUSTOMERS REPORT'!Z1444</f>
        <v>0</v>
      </c>
      <c r="I45" s="410">
        <f>'CUSTOMERS REPORT'!AA1444</f>
        <v>0</v>
      </c>
      <c r="J45" s="502">
        <f>'CUSTOMERS REPORT'!AB1444</f>
        <v>0</v>
      </c>
      <c r="K45" s="502">
        <f>'CUSTOMERS REPORT'!AC1444</f>
        <v>0</v>
      </c>
      <c r="L45" s="513">
        <f>'CUSTOMERS REPORT'!AD1444</f>
        <v>0</v>
      </c>
      <c r="M45" s="414">
        <f>'22'!M45+'23'!G45</f>
        <v>0</v>
      </c>
      <c r="N45" s="412">
        <f>'22'!N45+'23'!J45</f>
        <v>0</v>
      </c>
      <c r="P45" s="222" t="s">
        <v>153</v>
      </c>
      <c r="Q45" s="378">
        <f>Q43+Q44</f>
        <v>-2839150</v>
      </c>
      <c r="S45" s="401"/>
      <c r="T45" s="352"/>
      <c r="U45" s="307"/>
      <c r="V45" s="353"/>
      <c r="W45" s="354"/>
      <c r="X45" s="355"/>
      <c r="Z45" s="384"/>
      <c r="AA45" s="359"/>
      <c r="AB45" s="390">
        <f>SUM(AB43:AB44)</f>
        <v>1275750</v>
      </c>
      <c r="AC45" s="360" t="s">
        <v>74</v>
      </c>
      <c r="AD45" s="389">
        <f>SUM(AD43:AD44)</f>
        <v>3104100</v>
      </c>
      <c r="AE45" s="361"/>
      <c r="AF45" s="562"/>
      <c r="AG45" s="573"/>
    </row>
    <row r="46" spans="1:40" ht="27" customHeight="1" thickTop="1" thickBot="1">
      <c r="A46" s="715" t="str">
        <f>'22'!A46</f>
        <v>ZAHID HUSSAN</v>
      </c>
      <c r="B46" s="234"/>
      <c r="C46" s="348">
        <f>'22'!D46</f>
        <v>0</v>
      </c>
      <c r="D46" s="234">
        <f t="shared" si="9"/>
        <v>0</v>
      </c>
      <c r="F46" s="369"/>
      <c r="G46" s="424">
        <f>SUM(G8:G45)</f>
        <v>0</v>
      </c>
      <c r="H46" s="1497" t="s">
        <v>160</v>
      </c>
      <c r="I46" s="1498"/>
      <c r="J46" s="421">
        <f>SUM(J8:J45)</f>
        <v>0</v>
      </c>
      <c r="K46" s="427">
        <f>SUM(K8:K45)</f>
        <v>0</v>
      </c>
      <c r="L46" s="431">
        <f>SUM(L8:L45)</f>
        <v>0</v>
      </c>
      <c r="M46" s="429">
        <f>SUM(M8:M45)</f>
        <v>0</v>
      </c>
      <c r="N46" s="430">
        <f>SUM(N8:N45)</f>
        <v>0</v>
      </c>
      <c r="P46" s="222" t="s">
        <v>154</v>
      </c>
      <c r="Q46" s="378">
        <f>B48</f>
        <v>908680</v>
      </c>
    </row>
    <row r="47" spans="1:40" ht="27" customHeight="1" thickBot="1">
      <c r="A47" s="715" t="str">
        <f>'22'!A47</f>
        <v xml:space="preserve">INVESTOR </v>
      </c>
      <c r="B47" s="540"/>
      <c r="C47" s="348">
        <f>'22'!D47</f>
        <v>0</v>
      </c>
      <c r="D47" s="542">
        <f t="shared" si="9"/>
        <v>0</v>
      </c>
      <c r="F47" s="370"/>
      <c r="G47" s="425">
        <f>'22'!G48</f>
        <v>0</v>
      </c>
      <c r="H47" s="1512" t="s">
        <v>162</v>
      </c>
      <c r="I47" s="1513"/>
      <c r="J47" s="423">
        <f>'22'!J48</f>
        <v>0</v>
      </c>
      <c r="K47" s="423">
        <f>'22'!K48</f>
        <v>0</v>
      </c>
      <c r="L47" s="343"/>
      <c r="M47" s="344"/>
      <c r="N47" s="345"/>
      <c r="P47" s="375" t="s">
        <v>163</v>
      </c>
      <c r="Q47" s="378">
        <f>Q9+Q10+Q19+Q20+Q21+Q22</f>
        <v>0</v>
      </c>
      <c r="R47" s="19"/>
      <c r="S47" s="1489" t="s">
        <v>92</v>
      </c>
      <c r="T47" s="1516" t="s">
        <v>95</v>
      </c>
      <c r="U47" s="1518"/>
      <c r="V47" s="1518"/>
      <c r="W47" s="1517"/>
      <c r="X47" s="1516" t="s">
        <v>7</v>
      </c>
      <c r="Y47" s="1518"/>
      <c r="Z47" s="1517"/>
      <c r="AA47" s="1516" t="s">
        <v>8</v>
      </c>
      <c r="AB47" s="1517"/>
      <c r="AC47" s="1516" t="s">
        <v>9</v>
      </c>
      <c r="AD47" s="1518"/>
      <c r="AE47" s="1518"/>
      <c r="AF47" s="1518"/>
      <c r="AG47" s="1518"/>
      <c r="AH47" s="1518"/>
      <c r="AI47" s="1518"/>
      <c r="AJ47" s="1405" t="s">
        <v>10</v>
      </c>
      <c r="AK47" s="1406"/>
      <c r="AL47" s="1400" t="s">
        <v>289</v>
      </c>
      <c r="AM47" s="1401"/>
      <c r="AN47" s="842" t="s">
        <v>290</v>
      </c>
    </row>
    <row r="48" spans="1:40" ht="27" customHeight="1" thickTop="1" thickBot="1">
      <c r="A48" s="192" t="s">
        <v>74</v>
      </c>
      <c r="B48" s="544">
        <f>SUM(B22:B47)</f>
        <v>908680</v>
      </c>
      <c r="C48" s="543">
        <f>'22'!D48</f>
        <v>2839150</v>
      </c>
      <c r="D48" s="544">
        <f t="shared" si="9"/>
        <v>3747830</v>
      </c>
      <c r="F48" s="371"/>
      <c r="G48" s="426">
        <f>G46+G47</f>
        <v>0</v>
      </c>
      <c r="H48" s="1495" t="s">
        <v>164</v>
      </c>
      <c r="I48" s="1496"/>
      <c r="J48" s="422">
        <f>J46+J47</f>
        <v>0</v>
      </c>
      <c r="K48" s="428">
        <f>K46+K47</f>
        <v>0</v>
      </c>
      <c r="L48" s="346"/>
      <c r="M48" s="347"/>
      <c r="N48" s="622">
        <f>G48-J48</f>
        <v>0</v>
      </c>
      <c r="P48" s="376" t="s">
        <v>155</v>
      </c>
      <c r="Q48" s="379">
        <f>Q45-Q46-Q47</f>
        <v>-3747830</v>
      </c>
      <c r="R48" s="19"/>
      <c r="S48" s="1490"/>
      <c r="T48" s="482" t="s">
        <v>12</v>
      </c>
      <c r="U48" s="482" t="s">
        <v>13</v>
      </c>
      <c r="V48" s="482" t="s">
        <v>14</v>
      </c>
      <c r="W48" s="958" t="s">
        <v>263</v>
      </c>
      <c r="X48" s="482" t="s">
        <v>12</v>
      </c>
      <c r="Y48" s="482" t="s">
        <v>13</v>
      </c>
      <c r="Z48" s="482" t="s">
        <v>282</v>
      </c>
      <c r="AA48" s="482" t="s">
        <v>12</v>
      </c>
      <c r="AB48" s="482" t="s">
        <v>16</v>
      </c>
      <c r="AC48" s="482" t="s">
        <v>17</v>
      </c>
      <c r="AD48" s="482" t="s">
        <v>18</v>
      </c>
      <c r="AE48" s="482" t="s">
        <v>19</v>
      </c>
      <c r="AF48" s="484" t="s">
        <v>96</v>
      </c>
      <c r="AG48" s="484" t="s">
        <v>257</v>
      </c>
      <c r="AH48" s="482" t="s">
        <v>254</v>
      </c>
      <c r="AI48" s="482" t="s">
        <v>20</v>
      </c>
      <c r="AJ48" s="483" t="s">
        <v>14</v>
      </c>
      <c r="AK48" s="482" t="s">
        <v>301</v>
      </c>
      <c r="AL48" s="846" t="s">
        <v>284</v>
      </c>
      <c r="AM48" s="846" t="s">
        <v>288</v>
      </c>
      <c r="AN48" s="966" t="s">
        <v>291</v>
      </c>
    </row>
    <row r="49" spans="1:42" ht="24.95" customHeight="1" thickTop="1" thickBot="1">
      <c r="R49" s="19"/>
      <c r="S49" s="865" t="s">
        <v>165</v>
      </c>
      <c r="T49" s="866">
        <f>'22'!T55</f>
        <v>0</v>
      </c>
      <c r="U49" s="866">
        <f>'22'!U55</f>
        <v>0</v>
      </c>
      <c r="V49" s="866">
        <f>'22'!V55</f>
        <v>60</v>
      </c>
      <c r="W49" s="866">
        <f>'22'!W55</f>
        <v>19</v>
      </c>
      <c r="X49" s="866">
        <f>'22'!X55</f>
        <v>0</v>
      </c>
      <c r="Y49" s="866">
        <f>'22'!Y55</f>
        <v>0</v>
      </c>
      <c r="Z49" s="866">
        <f>'22'!Z55</f>
        <v>-3</v>
      </c>
      <c r="AA49" s="866">
        <f>'22'!AA55</f>
        <v>2551</v>
      </c>
      <c r="AB49" s="866">
        <f>'22'!AB55</f>
        <v>170</v>
      </c>
      <c r="AC49" s="866">
        <f>'22'!AC55</f>
        <v>2445</v>
      </c>
      <c r="AD49" s="866">
        <f>'22'!AD55</f>
        <v>494</v>
      </c>
      <c r="AE49" s="866">
        <f>'22'!AE55</f>
        <v>0</v>
      </c>
      <c r="AF49" s="866">
        <f>'22'!AF55</f>
        <v>2520</v>
      </c>
      <c r="AG49" s="866">
        <f>'22'!AG55</f>
        <v>1091</v>
      </c>
      <c r="AH49" s="866">
        <f>'22'!AH55</f>
        <v>1139</v>
      </c>
      <c r="AI49" s="866">
        <f>'22'!AI55</f>
        <v>631</v>
      </c>
      <c r="AJ49" s="866">
        <f>'22'!AJ55</f>
        <v>0</v>
      </c>
      <c r="AK49" s="866">
        <f>'22'!AK55</f>
        <v>-1</v>
      </c>
      <c r="AL49" s="866" t="e">
        <f>'22'!AL55</f>
        <v>#VALUE!</v>
      </c>
      <c r="AM49" s="866" t="e">
        <f>'22'!AM55</f>
        <v>#VALUE!</v>
      </c>
      <c r="AN49" s="866" t="e">
        <f>'22'!AN55</f>
        <v>#VALUE!</v>
      </c>
    </row>
    <row r="50" spans="1:42" ht="24.95" customHeight="1" thickBot="1">
      <c r="C50" t="s">
        <v>1</v>
      </c>
      <c r="L50" s="417">
        <v>5000</v>
      </c>
      <c r="M50" s="417"/>
      <c r="N50" s="417">
        <f t="shared" ref="N50:N57" si="10">L50*M50</f>
        <v>0</v>
      </c>
      <c r="Q50" s="111"/>
      <c r="R50" s="19"/>
      <c r="S50" s="854" t="s">
        <v>166</v>
      </c>
      <c r="T50" s="852"/>
      <c r="U50" s="852"/>
      <c r="V50" s="852"/>
      <c r="W50" s="852"/>
      <c r="X50" s="852"/>
      <c r="Y50" s="852"/>
      <c r="Z50" s="852"/>
      <c r="AA50" s="852"/>
      <c r="AB50" s="852"/>
      <c r="AC50" s="852"/>
      <c r="AD50" s="852"/>
      <c r="AE50" s="852"/>
      <c r="AF50" s="852"/>
      <c r="AG50" s="855"/>
      <c r="AH50" s="852"/>
      <c r="AI50" s="852"/>
      <c r="AJ50" s="848"/>
      <c r="AK50" s="848"/>
      <c r="AL50" s="848"/>
      <c r="AM50" s="849"/>
      <c r="AN50" s="930"/>
    </row>
    <row r="51" spans="1:42" ht="24.95" customHeight="1" thickBot="1">
      <c r="L51" s="417">
        <v>1000</v>
      </c>
      <c r="M51" s="417"/>
      <c r="N51" s="417">
        <f t="shared" si="10"/>
        <v>0</v>
      </c>
      <c r="R51" s="19"/>
      <c r="S51" s="867" t="s">
        <v>91</v>
      </c>
      <c r="T51" s="868"/>
      <c r="U51" s="868"/>
      <c r="V51" s="868"/>
      <c r="W51" s="868"/>
      <c r="X51" s="868"/>
      <c r="Y51" s="868"/>
      <c r="Z51" s="868"/>
      <c r="AA51" s="868">
        <v>29</v>
      </c>
      <c r="AB51" s="868"/>
      <c r="AC51" s="868">
        <v>1</v>
      </c>
      <c r="AD51" s="868"/>
      <c r="AE51" s="868"/>
      <c r="AF51" s="868"/>
      <c r="AG51" s="869">
        <v>4</v>
      </c>
      <c r="AH51" s="868"/>
      <c r="AI51" s="870"/>
      <c r="AJ51" s="868"/>
      <c r="AK51" s="868"/>
      <c r="AL51" s="849"/>
      <c r="AM51" s="849"/>
      <c r="AN51" s="930"/>
    </row>
    <row r="52" spans="1:42" ht="24.95" customHeight="1" thickBot="1">
      <c r="L52" s="417">
        <v>500</v>
      </c>
      <c r="M52" s="417"/>
      <c r="N52" s="417">
        <f t="shared" si="10"/>
        <v>0</v>
      </c>
      <c r="O52" t="s">
        <v>1</v>
      </c>
      <c r="R52" s="19"/>
      <c r="S52" s="856" t="s">
        <v>167</v>
      </c>
      <c r="T52" s="857"/>
      <c r="U52" s="857"/>
      <c r="V52" s="857"/>
      <c r="W52" s="857"/>
      <c r="X52" s="857"/>
      <c r="Y52" s="857"/>
      <c r="Z52" s="857"/>
      <c r="AA52" s="857"/>
      <c r="AB52" s="857"/>
      <c r="AC52" s="857"/>
      <c r="AD52" s="857"/>
      <c r="AE52" s="857"/>
      <c r="AF52" s="857"/>
      <c r="AG52" s="858"/>
      <c r="AH52" s="859"/>
      <c r="AI52" s="860"/>
      <c r="AJ52" s="851"/>
      <c r="AK52" s="851"/>
      <c r="AL52" s="849"/>
      <c r="AM52" s="849"/>
      <c r="AN52" s="850"/>
    </row>
    <row r="53" spans="1:42" ht="24.95" customHeight="1" thickBot="1">
      <c r="L53" s="417">
        <v>100</v>
      </c>
      <c r="M53" s="417"/>
      <c r="N53" s="417">
        <f t="shared" si="10"/>
        <v>0</v>
      </c>
      <c r="R53" s="19"/>
      <c r="S53" s="871" t="s">
        <v>81</v>
      </c>
      <c r="T53" s="866">
        <f t="shared" ref="T53:AN53" si="11">SUM(T49+T50+T52)</f>
        <v>0</v>
      </c>
      <c r="U53" s="866">
        <f t="shared" si="11"/>
        <v>0</v>
      </c>
      <c r="V53" s="866">
        <f t="shared" si="11"/>
        <v>60</v>
      </c>
      <c r="W53" s="866">
        <f t="shared" si="11"/>
        <v>19</v>
      </c>
      <c r="X53" s="866">
        <f t="shared" si="11"/>
        <v>0</v>
      </c>
      <c r="Y53" s="866">
        <f t="shared" si="11"/>
        <v>0</v>
      </c>
      <c r="Z53" s="866">
        <f t="shared" si="11"/>
        <v>-3</v>
      </c>
      <c r="AA53" s="866">
        <f t="shared" si="11"/>
        <v>2551</v>
      </c>
      <c r="AB53" s="866">
        <f t="shared" si="11"/>
        <v>170</v>
      </c>
      <c r="AC53" s="866">
        <f t="shared" si="11"/>
        <v>2445</v>
      </c>
      <c r="AD53" s="866">
        <f t="shared" si="11"/>
        <v>494</v>
      </c>
      <c r="AE53" s="866">
        <f t="shared" si="11"/>
        <v>0</v>
      </c>
      <c r="AF53" s="866">
        <f t="shared" si="11"/>
        <v>2520</v>
      </c>
      <c r="AG53" s="866">
        <f t="shared" si="11"/>
        <v>1091</v>
      </c>
      <c r="AH53" s="866">
        <f t="shared" si="11"/>
        <v>1139</v>
      </c>
      <c r="AI53" s="866">
        <f t="shared" si="11"/>
        <v>631</v>
      </c>
      <c r="AJ53" s="866">
        <f t="shared" si="11"/>
        <v>0</v>
      </c>
      <c r="AK53" s="866">
        <f t="shared" si="11"/>
        <v>-1</v>
      </c>
      <c r="AL53" s="866" t="e">
        <f t="shared" si="11"/>
        <v>#VALUE!</v>
      </c>
      <c r="AM53" s="866" t="e">
        <f t="shared" si="11"/>
        <v>#VALUE!</v>
      </c>
      <c r="AN53" s="872" t="e">
        <f t="shared" si="11"/>
        <v>#VALUE!</v>
      </c>
    </row>
    <row r="54" spans="1:42" ht="24.95" customHeight="1" thickBot="1">
      <c r="L54" s="417">
        <v>50</v>
      </c>
      <c r="M54" s="417"/>
      <c r="N54" s="417">
        <f t="shared" si="10"/>
        <v>0</v>
      </c>
      <c r="R54" s="19"/>
      <c r="S54" s="854" t="s">
        <v>168</v>
      </c>
      <c r="T54" s="852">
        <f>'CUSTOMERS REPORT'!B30+'CUSTOMERS REPORT'!B76+'CUSTOMERS REPORT'!B114+'CUSTOMERS REPORT'!B153+'CUSTOMERS REPORT'!B191+'CUSTOMERS REPORT'!B231+'CUSTOMERS REPORT'!B268+'CUSTOMERS REPORT'!B308+'CUSTOMERS REPORT'!B349+'CUSTOMERS REPORT'!B391+'CUSTOMERS REPORT'!B430+'CUSTOMERS REPORT'!B468+'CUSTOMERS REPORT'!B504+'CUSTOMERS REPORT'!B541+'CUSTOMERS REPORT'!B579+'CUSTOMERS REPORT'!B615+'CUSTOMERS REPORT'!B653+'CUSTOMERS REPORT'!B691+'CUSTOMERS REPORT'!B729+'CUSTOMERS REPORT'!B767+'CUSTOMERS REPORT'!B805+'CUSTOMERS REPORT'!B843+'CUSTOMERS REPORT'!B881+'CUSTOMERS REPORT'!B920+'CUSTOMERS REPORT'!B959+'CUSTOMERS REPORT'!B997+'CUSTOMERS REPORT'!B1035+'CUSTOMERS REPORT'!B1073+'CUSTOMERS REPORT'!B1111+'CUSTOMERS REPORT'!B1149+'CUSTOMERS REPORT'!B1186+'CUSTOMERS REPORT'!B1223+'CUSTOMERS REPORT'!B1260+'CUSTOMERS REPORT'!B1297+'CUSTOMERS REPORT'!B1334+'CUSTOMERS REPORT'!B1371+'CUSTOMERS REPORT'!B1408+'CUSTOMERS REPORT'!B1444</f>
        <v>0</v>
      </c>
      <c r="U54" s="852">
        <f>'CUSTOMERS REPORT'!C30+'CUSTOMERS REPORT'!C76+'CUSTOMERS REPORT'!C114+'CUSTOMERS REPORT'!C153+'CUSTOMERS REPORT'!C191+'CUSTOMERS REPORT'!C231+'CUSTOMERS REPORT'!C268+'CUSTOMERS REPORT'!C308+'CUSTOMERS REPORT'!C349+'CUSTOMERS REPORT'!C391+'CUSTOMERS REPORT'!C430+'CUSTOMERS REPORT'!C468+'CUSTOMERS REPORT'!C504+'CUSTOMERS REPORT'!C541+'CUSTOMERS REPORT'!C579+'CUSTOMERS REPORT'!C615+'CUSTOMERS REPORT'!C653+'CUSTOMERS REPORT'!C691+'CUSTOMERS REPORT'!C729+'CUSTOMERS REPORT'!C767+'CUSTOMERS REPORT'!C805+'CUSTOMERS REPORT'!C843+'CUSTOMERS REPORT'!C881+'CUSTOMERS REPORT'!C920+'CUSTOMERS REPORT'!C959+'CUSTOMERS REPORT'!C997+'CUSTOMERS REPORT'!C1035+'CUSTOMERS REPORT'!C1073+'CUSTOMERS REPORT'!C1111+'CUSTOMERS REPORT'!C1149+'CUSTOMERS REPORT'!C1186+'CUSTOMERS REPORT'!C1223+'CUSTOMERS REPORT'!C1260+'CUSTOMERS REPORT'!C1297+'CUSTOMERS REPORT'!C1334+'CUSTOMERS REPORT'!C1371+'CUSTOMERS REPORT'!C1408+'CUSTOMERS REPORT'!C1444</f>
        <v>0</v>
      </c>
      <c r="V54" s="852">
        <f>'CUSTOMERS REPORT'!D30+'CUSTOMERS REPORT'!D76+'CUSTOMERS REPORT'!D114+'CUSTOMERS REPORT'!D153+'CUSTOMERS REPORT'!D191+'CUSTOMERS REPORT'!D231+'CUSTOMERS REPORT'!D268+'CUSTOMERS REPORT'!D308+'CUSTOMERS REPORT'!D349+'CUSTOMERS REPORT'!D391+'CUSTOMERS REPORT'!D430+'CUSTOMERS REPORT'!D468+'CUSTOMERS REPORT'!D504+'CUSTOMERS REPORT'!D541+'CUSTOMERS REPORT'!D579+'CUSTOMERS REPORT'!D615+'CUSTOMERS REPORT'!D653+'CUSTOMERS REPORT'!D691+'CUSTOMERS REPORT'!D729+'CUSTOMERS REPORT'!D767+'CUSTOMERS REPORT'!D805+'CUSTOMERS REPORT'!D843+'CUSTOMERS REPORT'!D881+'CUSTOMERS REPORT'!D920+'CUSTOMERS REPORT'!D959+'CUSTOMERS REPORT'!D997+'CUSTOMERS REPORT'!D1035+'CUSTOMERS REPORT'!D1073+'CUSTOMERS REPORT'!D1111+'CUSTOMERS REPORT'!D1149+'CUSTOMERS REPORT'!D1186+'CUSTOMERS REPORT'!D1223+'CUSTOMERS REPORT'!D1260+'CUSTOMERS REPORT'!D1297+'CUSTOMERS REPORT'!D1334+'CUSTOMERS REPORT'!D1371+'CUSTOMERS REPORT'!D1408+'CUSTOMERS REPORT'!D1444</f>
        <v>0</v>
      </c>
      <c r="W54" s="852">
        <f>'CUSTOMERS REPORT'!E30+'CUSTOMERS REPORT'!E76+'CUSTOMERS REPORT'!E114+'CUSTOMERS REPORT'!E153+'CUSTOMERS REPORT'!E191+'CUSTOMERS REPORT'!E231+'CUSTOMERS REPORT'!E268+'CUSTOMERS REPORT'!E308+'CUSTOMERS REPORT'!E349+'CUSTOMERS REPORT'!E391+'CUSTOMERS REPORT'!E430+'CUSTOMERS REPORT'!E468+'CUSTOMERS REPORT'!E504+'CUSTOMERS REPORT'!E541+'CUSTOMERS REPORT'!E579+'CUSTOMERS REPORT'!E615+'CUSTOMERS REPORT'!E653+'CUSTOMERS REPORT'!E691+'CUSTOMERS REPORT'!E729+'CUSTOMERS REPORT'!E767+'CUSTOMERS REPORT'!E805+'CUSTOMERS REPORT'!E843+'CUSTOMERS REPORT'!E881+'CUSTOMERS REPORT'!E920+'CUSTOMERS REPORT'!E959+'CUSTOMERS REPORT'!E997+'CUSTOMERS REPORT'!E1035+'CUSTOMERS REPORT'!E1073+'CUSTOMERS REPORT'!E1111+'CUSTOMERS REPORT'!E1149+'CUSTOMERS REPORT'!E1186+'CUSTOMERS REPORT'!E1223+'CUSTOMERS REPORT'!E1260+'CUSTOMERS REPORT'!E1297+'CUSTOMERS REPORT'!E1334+'CUSTOMERS REPORT'!E1371+'CUSTOMERS REPORT'!E1408+'CUSTOMERS REPORT'!E1444</f>
        <v>0</v>
      </c>
      <c r="X54" s="852">
        <f>'CUSTOMERS REPORT'!F30+'CUSTOMERS REPORT'!F76+'CUSTOMERS REPORT'!F114+'CUSTOMERS REPORT'!F153+'CUSTOMERS REPORT'!F191+'CUSTOMERS REPORT'!F231+'CUSTOMERS REPORT'!F268+'CUSTOMERS REPORT'!F308+'CUSTOMERS REPORT'!F349+'CUSTOMERS REPORT'!F391+'CUSTOMERS REPORT'!F430+'CUSTOMERS REPORT'!F468+'CUSTOMERS REPORT'!F504+'CUSTOMERS REPORT'!F541+'CUSTOMERS REPORT'!F579+'CUSTOMERS REPORT'!F615+'CUSTOMERS REPORT'!F653+'CUSTOMERS REPORT'!F691+'CUSTOMERS REPORT'!F729+'CUSTOMERS REPORT'!F767+'CUSTOMERS REPORT'!F805+'CUSTOMERS REPORT'!F843+'CUSTOMERS REPORT'!F881+'CUSTOMERS REPORT'!F920+'CUSTOMERS REPORT'!F959+'CUSTOMERS REPORT'!F997+'CUSTOMERS REPORT'!F1035+'CUSTOMERS REPORT'!F1073+'CUSTOMERS REPORT'!F1111+'CUSTOMERS REPORT'!F1149+'CUSTOMERS REPORT'!F1186+'CUSTOMERS REPORT'!F1223+'CUSTOMERS REPORT'!F1260+'CUSTOMERS REPORT'!F1297+'CUSTOMERS REPORT'!F1334+'CUSTOMERS REPORT'!F1371+'CUSTOMERS REPORT'!F1408+'CUSTOMERS REPORT'!F1444</f>
        <v>0</v>
      </c>
      <c r="Y54" s="852">
        <f>'CUSTOMERS REPORT'!G30+'CUSTOMERS REPORT'!G76+'CUSTOMERS REPORT'!G114+'CUSTOMERS REPORT'!G153+'CUSTOMERS REPORT'!G191+'CUSTOMERS REPORT'!G231+'CUSTOMERS REPORT'!G268+'CUSTOMERS REPORT'!G308+'CUSTOMERS REPORT'!G349+'CUSTOMERS REPORT'!G391+'CUSTOMERS REPORT'!G430+'CUSTOMERS REPORT'!G468+'CUSTOMERS REPORT'!G504+'CUSTOMERS REPORT'!G541+'CUSTOMERS REPORT'!G579+'CUSTOMERS REPORT'!G615+'CUSTOMERS REPORT'!G653+'CUSTOMERS REPORT'!G691+'CUSTOMERS REPORT'!G729+'CUSTOMERS REPORT'!G767+'CUSTOMERS REPORT'!G805+'CUSTOMERS REPORT'!G843+'CUSTOMERS REPORT'!G881+'CUSTOMERS REPORT'!G920+'CUSTOMERS REPORT'!G959+'CUSTOMERS REPORT'!G997+'CUSTOMERS REPORT'!G1035+'CUSTOMERS REPORT'!G1073+'CUSTOMERS REPORT'!G1111+'CUSTOMERS REPORT'!G1149+'CUSTOMERS REPORT'!G1186+'CUSTOMERS REPORT'!G1223+'CUSTOMERS REPORT'!G1260+'CUSTOMERS REPORT'!G1297+'CUSTOMERS REPORT'!G1334+'CUSTOMERS REPORT'!G1371+'CUSTOMERS REPORT'!G1408+'CUSTOMERS REPORT'!G1444</f>
        <v>0</v>
      </c>
      <c r="Z54" s="852">
        <f>'CUSTOMERS REPORT'!H30+'CUSTOMERS REPORT'!H76+'CUSTOMERS REPORT'!H114+'CUSTOMERS REPORT'!H153+'CUSTOMERS REPORT'!H191+'CUSTOMERS REPORT'!H231+'CUSTOMERS REPORT'!H268+'CUSTOMERS REPORT'!H308+'CUSTOMERS REPORT'!H349+'CUSTOMERS REPORT'!H391+'CUSTOMERS REPORT'!H430+'CUSTOMERS REPORT'!H468+'CUSTOMERS REPORT'!H504+'CUSTOMERS REPORT'!H541+'CUSTOMERS REPORT'!H579+'CUSTOMERS REPORT'!H615+'CUSTOMERS REPORT'!H653+'CUSTOMERS REPORT'!H691+'CUSTOMERS REPORT'!H729+'CUSTOMERS REPORT'!H767+'CUSTOMERS REPORT'!H805+'CUSTOMERS REPORT'!H843+'CUSTOMERS REPORT'!H881+'CUSTOMERS REPORT'!H920+'CUSTOMERS REPORT'!H959+'CUSTOMERS REPORT'!H997+'CUSTOMERS REPORT'!H1035+'CUSTOMERS REPORT'!H1073+'CUSTOMERS REPORT'!H1111+'CUSTOMERS REPORT'!H1149+'CUSTOMERS REPORT'!H1186+'CUSTOMERS REPORT'!H1223+'CUSTOMERS REPORT'!H1260+'CUSTOMERS REPORT'!H1297+'CUSTOMERS REPORT'!H1334+'CUSTOMERS REPORT'!H1371+'CUSTOMERS REPORT'!H1408+'CUSTOMERS REPORT'!H1444</f>
        <v>0</v>
      </c>
      <c r="AA54" s="852">
        <f>'CUSTOMERS REPORT'!I30+'CUSTOMERS REPORT'!I76+'CUSTOMERS REPORT'!I114+'CUSTOMERS REPORT'!I153+'CUSTOMERS REPORT'!I191+'CUSTOMERS REPORT'!I231+'CUSTOMERS REPORT'!I268+'CUSTOMERS REPORT'!I308+'CUSTOMERS REPORT'!I349+'CUSTOMERS REPORT'!I391+'CUSTOMERS REPORT'!I430+'CUSTOMERS REPORT'!I468+'CUSTOMERS REPORT'!I504+'CUSTOMERS REPORT'!I541+'CUSTOMERS REPORT'!I579+'CUSTOMERS REPORT'!I615+'CUSTOMERS REPORT'!I653+'CUSTOMERS REPORT'!I691+'CUSTOMERS REPORT'!I729+'CUSTOMERS REPORT'!I767+'CUSTOMERS REPORT'!I805+'CUSTOMERS REPORT'!I843+'CUSTOMERS REPORT'!I881+'CUSTOMERS REPORT'!I920+'CUSTOMERS REPORT'!I959+'CUSTOMERS REPORT'!I997+'CUSTOMERS REPORT'!I1035+'CUSTOMERS REPORT'!I1073+'CUSTOMERS REPORT'!I1111+'CUSTOMERS REPORT'!I1149+'CUSTOMERS REPORT'!I1186+'CUSTOMERS REPORT'!I1223+'CUSTOMERS REPORT'!I1260+'CUSTOMERS REPORT'!I1297+'CUSTOMERS REPORT'!I1334+'CUSTOMERS REPORT'!I1371+'CUSTOMERS REPORT'!I1408+'CUSTOMERS REPORT'!I1444</f>
        <v>0</v>
      </c>
      <c r="AB54" s="852">
        <f>'CUSTOMERS REPORT'!J30+'CUSTOMERS REPORT'!J76+'CUSTOMERS REPORT'!J114+'CUSTOMERS REPORT'!J153+'CUSTOMERS REPORT'!J191+'CUSTOMERS REPORT'!J231+'CUSTOMERS REPORT'!J268+'CUSTOMERS REPORT'!J308+'CUSTOMERS REPORT'!J349+'CUSTOMERS REPORT'!J391+'CUSTOMERS REPORT'!J430+'CUSTOMERS REPORT'!J468+'CUSTOMERS REPORT'!J504+'CUSTOMERS REPORT'!J541+'CUSTOMERS REPORT'!J579+'CUSTOMERS REPORT'!J615+'CUSTOMERS REPORT'!J653+'CUSTOMERS REPORT'!J691+'CUSTOMERS REPORT'!J729+'CUSTOMERS REPORT'!J767+'CUSTOMERS REPORT'!J805+'CUSTOMERS REPORT'!J843+'CUSTOMERS REPORT'!J881+'CUSTOMERS REPORT'!J920+'CUSTOMERS REPORT'!J959+'CUSTOMERS REPORT'!J997+'CUSTOMERS REPORT'!J1035+'CUSTOMERS REPORT'!J1073+'CUSTOMERS REPORT'!J1111+'CUSTOMERS REPORT'!J1149+'CUSTOMERS REPORT'!J1186+'CUSTOMERS REPORT'!J1223+'CUSTOMERS REPORT'!J1260+'CUSTOMERS REPORT'!J1297+'CUSTOMERS REPORT'!J1334+'CUSTOMERS REPORT'!J1371+'CUSTOMERS REPORT'!J1408+'CUSTOMERS REPORT'!J1444</f>
        <v>0</v>
      </c>
      <c r="AC54" s="852">
        <f>'CUSTOMERS REPORT'!K30+'CUSTOMERS REPORT'!K76+'CUSTOMERS REPORT'!K114+'CUSTOMERS REPORT'!K153+'CUSTOMERS REPORT'!K191+'CUSTOMERS REPORT'!K231+'CUSTOMERS REPORT'!K268+'CUSTOMERS REPORT'!K308+'CUSTOMERS REPORT'!K349+'CUSTOMERS REPORT'!K391+'CUSTOMERS REPORT'!K430+'CUSTOMERS REPORT'!K468+'CUSTOMERS REPORT'!K504+'CUSTOMERS REPORT'!K541+'CUSTOMERS REPORT'!K579+'CUSTOMERS REPORT'!K615+'CUSTOMERS REPORT'!K653+'CUSTOMERS REPORT'!K691+'CUSTOMERS REPORT'!K729+'CUSTOMERS REPORT'!K767+'CUSTOMERS REPORT'!K805+'CUSTOMERS REPORT'!K843+'CUSTOMERS REPORT'!K881+'CUSTOMERS REPORT'!K920+'CUSTOMERS REPORT'!K959+'CUSTOMERS REPORT'!K997+'CUSTOMERS REPORT'!K1035+'CUSTOMERS REPORT'!K1073+'CUSTOMERS REPORT'!K1111+'CUSTOMERS REPORT'!K1149+'CUSTOMERS REPORT'!K1186+'CUSTOMERS REPORT'!K1223+'CUSTOMERS REPORT'!K1260+'CUSTOMERS REPORT'!K1297+'CUSTOMERS REPORT'!K1334+'CUSTOMERS REPORT'!K1371+'CUSTOMERS REPORT'!K1408+'CUSTOMERS REPORT'!K1444</f>
        <v>0</v>
      </c>
      <c r="AD54" s="852">
        <f>'CUSTOMERS REPORT'!L30+'CUSTOMERS REPORT'!L76+'CUSTOMERS REPORT'!L114+'CUSTOMERS REPORT'!L153+'CUSTOMERS REPORT'!L191+'CUSTOMERS REPORT'!L231+'CUSTOMERS REPORT'!L268+'CUSTOMERS REPORT'!L308+'CUSTOMERS REPORT'!L349+'CUSTOMERS REPORT'!L391+'CUSTOMERS REPORT'!L430+'CUSTOMERS REPORT'!L468+'CUSTOMERS REPORT'!L504+'CUSTOMERS REPORT'!L541+'CUSTOMERS REPORT'!L579+'CUSTOMERS REPORT'!L615+'CUSTOMERS REPORT'!L653+'CUSTOMERS REPORT'!L691+'CUSTOMERS REPORT'!L729+'CUSTOMERS REPORT'!L767+'CUSTOMERS REPORT'!L805+'CUSTOMERS REPORT'!L843+'CUSTOMERS REPORT'!L881+'CUSTOMERS REPORT'!L920+'CUSTOMERS REPORT'!L959+'CUSTOMERS REPORT'!L997+'CUSTOMERS REPORT'!L1035+'CUSTOMERS REPORT'!L1073+'CUSTOMERS REPORT'!L1111+'CUSTOMERS REPORT'!L1149+'CUSTOMERS REPORT'!L1186+'CUSTOMERS REPORT'!L1223+'CUSTOMERS REPORT'!L1260+'CUSTOMERS REPORT'!L1297+'CUSTOMERS REPORT'!L1334+'CUSTOMERS REPORT'!L1371+'CUSTOMERS REPORT'!L1408+'CUSTOMERS REPORT'!L1444</f>
        <v>0</v>
      </c>
      <c r="AE54" s="852">
        <f>'CUSTOMERS REPORT'!M30+'CUSTOMERS REPORT'!M76+'CUSTOMERS REPORT'!M114+'CUSTOMERS REPORT'!M153+'CUSTOMERS REPORT'!M191+'CUSTOMERS REPORT'!M231+'CUSTOMERS REPORT'!M268+'CUSTOMERS REPORT'!M308+'CUSTOMERS REPORT'!M349+'CUSTOMERS REPORT'!M391+'CUSTOMERS REPORT'!M430+'CUSTOMERS REPORT'!M468+'CUSTOMERS REPORT'!M504+'CUSTOMERS REPORT'!M541+'CUSTOMERS REPORT'!M579+'CUSTOMERS REPORT'!M615+'CUSTOMERS REPORT'!M653+'CUSTOMERS REPORT'!M691+'CUSTOMERS REPORT'!M729+'CUSTOMERS REPORT'!M767+'CUSTOMERS REPORT'!M805+'CUSTOMERS REPORT'!M843+'CUSTOMERS REPORT'!M881+'CUSTOMERS REPORT'!M920+'CUSTOMERS REPORT'!M959+'CUSTOMERS REPORT'!M997+'CUSTOMERS REPORT'!M1035+'CUSTOMERS REPORT'!M1073+'CUSTOMERS REPORT'!M1111+'CUSTOMERS REPORT'!M1149+'CUSTOMERS REPORT'!M1186+'CUSTOMERS REPORT'!M1223+'CUSTOMERS REPORT'!M1260+'CUSTOMERS REPORT'!M1297+'CUSTOMERS REPORT'!M1334+'CUSTOMERS REPORT'!M1371+'CUSTOMERS REPORT'!M1408+'CUSTOMERS REPORT'!M1444</f>
        <v>0</v>
      </c>
      <c r="AF54" s="852">
        <f>'CUSTOMERS REPORT'!N30+'CUSTOMERS REPORT'!N76+'CUSTOMERS REPORT'!N114+'CUSTOMERS REPORT'!N153+'CUSTOMERS REPORT'!N191+'CUSTOMERS REPORT'!N231+'CUSTOMERS REPORT'!N268+'CUSTOMERS REPORT'!N308+'CUSTOMERS REPORT'!N349+'CUSTOMERS REPORT'!N391+'CUSTOMERS REPORT'!N430+'CUSTOMERS REPORT'!N468+'CUSTOMERS REPORT'!N504+'CUSTOMERS REPORT'!N541+'CUSTOMERS REPORT'!N579+'CUSTOMERS REPORT'!N615+'CUSTOMERS REPORT'!N653+'CUSTOMERS REPORT'!N691+'CUSTOMERS REPORT'!N729+'CUSTOMERS REPORT'!N767+'CUSTOMERS REPORT'!N805+'CUSTOMERS REPORT'!N843+'CUSTOMERS REPORT'!N881+'CUSTOMERS REPORT'!N920+'CUSTOMERS REPORT'!N959+'CUSTOMERS REPORT'!N997+'CUSTOMERS REPORT'!N1035+'CUSTOMERS REPORT'!N1073+'CUSTOMERS REPORT'!N1111+'CUSTOMERS REPORT'!N1149+'CUSTOMERS REPORT'!N1186+'CUSTOMERS REPORT'!N1223+'CUSTOMERS REPORT'!N1260+'CUSTOMERS REPORT'!N1297+'CUSTOMERS REPORT'!N1334+'CUSTOMERS REPORT'!N1371+'CUSTOMERS REPORT'!N1408+'CUSTOMERS REPORT'!N1444</f>
        <v>0</v>
      </c>
      <c r="AG54" s="852">
        <f>'CUSTOMERS REPORT'!O30+'CUSTOMERS REPORT'!O76+'CUSTOMERS REPORT'!O114+'CUSTOMERS REPORT'!O153+'CUSTOMERS REPORT'!O191+'CUSTOMERS REPORT'!O231+'CUSTOMERS REPORT'!O268+'CUSTOMERS REPORT'!O308+'CUSTOMERS REPORT'!O349+'CUSTOMERS REPORT'!O391+'CUSTOMERS REPORT'!O430+'CUSTOMERS REPORT'!O468+'CUSTOMERS REPORT'!O504+'CUSTOMERS REPORT'!O541+'CUSTOMERS REPORT'!O579+'CUSTOMERS REPORT'!O615+'CUSTOMERS REPORT'!O653+'CUSTOMERS REPORT'!O691+'CUSTOMERS REPORT'!O729+'CUSTOMERS REPORT'!O767+'CUSTOMERS REPORT'!O805+'CUSTOMERS REPORT'!O843+'CUSTOMERS REPORT'!O881+'CUSTOMERS REPORT'!O920+'CUSTOMERS REPORT'!O959+'CUSTOMERS REPORT'!O997+'CUSTOMERS REPORT'!O1035+'CUSTOMERS REPORT'!O1073+'CUSTOMERS REPORT'!O1111+'CUSTOMERS REPORT'!O1149+'CUSTOMERS REPORT'!O1186+'CUSTOMERS REPORT'!O1223+'CUSTOMERS REPORT'!O1260+'CUSTOMERS REPORT'!O1297+'CUSTOMERS REPORT'!O1334+'CUSTOMERS REPORT'!O1371+'CUSTOMERS REPORT'!O1408+'CUSTOMERS REPORT'!O1444</f>
        <v>0</v>
      </c>
      <c r="AH54" s="852">
        <f>'CUSTOMERS REPORT'!P30+'CUSTOMERS REPORT'!P76+'CUSTOMERS REPORT'!P114+'CUSTOMERS REPORT'!P153+'CUSTOMERS REPORT'!P191+'CUSTOMERS REPORT'!P231+'CUSTOMERS REPORT'!P268+'CUSTOMERS REPORT'!P308+'CUSTOMERS REPORT'!P349+'CUSTOMERS REPORT'!P391+'CUSTOMERS REPORT'!P430+'CUSTOMERS REPORT'!P468+'CUSTOMERS REPORT'!P504+'CUSTOMERS REPORT'!P541+'CUSTOMERS REPORT'!P579+'CUSTOMERS REPORT'!P615+'CUSTOMERS REPORT'!P653+'CUSTOMERS REPORT'!P691+'CUSTOMERS REPORT'!P729+'CUSTOMERS REPORT'!P767+'CUSTOMERS REPORT'!P805+'CUSTOMERS REPORT'!P843+'CUSTOMERS REPORT'!P881+'CUSTOMERS REPORT'!P920+'CUSTOMERS REPORT'!P959+'CUSTOMERS REPORT'!P997+'CUSTOMERS REPORT'!P1035+'CUSTOMERS REPORT'!P1073+'CUSTOMERS REPORT'!P1111+'CUSTOMERS REPORT'!P1149+'CUSTOMERS REPORT'!P1186+'CUSTOMERS REPORT'!P1223+'CUSTOMERS REPORT'!P1260+'CUSTOMERS REPORT'!P1297+'CUSTOMERS REPORT'!P1334+'CUSTOMERS REPORT'!P1371+'CUSTOMERS REPORT'!P1408+'CUSTOMERS REPORT'!P1444</f>
        <v>0</v>
      </c>
      <c r="AI54" s="852">
        <f>'CUSTOMERS REPORT'!Q30+'CUSTOMERS REPORT'!Q76+'CUSTOMERS REPORT'!Q114+'CUSTOMERS REPORT'!Q153+'CUSTOMERS REPORT'!Q191+'CUSTOMERS REPORT'!Q231+'CUSTOMERS REPORT'!Q268+'CUSTOMERS REPORT'!Q308+'CUSTOMERS REPORT'!Q349+'CUSTOMERS REPORT'!Q391+'CUSTOMERS REPORT'!Q430+'CUSTOMERS REPORT'!Q468+'CUSTOMERS REPORT'!Q504+'CUSTOMERS REPORT'!Q541+'CUSTOMERS REPORT'!Q579+'CUSTOMERS REPORT'!Q615+'CUSTOMERS REPORT'!Q653+'CUSTOMERS REPORT'!Q691+'CUSTOMERS REPORT'!Q729+'CUSTOMERS REPORT'!Q767+'CUSTOMERS REPORT'!Q805+'CUSTOMERS REPORT'!Q843+'CUSTOMERS REPORT'!Q881+'CUSTOMERS REPORT'!Q920+'CUSTOMERS REPORT'!Q959+'CUSTOMERS REPORT'!Q997+'CUSTOMERS REPORT'!Q1035+'CUSTOMERS REPORT'!Q1073+'CUSTOMERS REPORT'!Q1111+'CUSTOMERS REPORT'!Q1149+'CUSTOMERS REPORT'!Q1186+'CUSTOMERS REPORT'!Q1223+'CUSTOMERS REPORT'!Q1260+'CUSTOMERS REPORT'!Q1297+'CUSTOMERS REPORT'!Q1334+'CUSTOMERS REPORT'!Q1371+'CUSTOMERS REPORT'!Q1408+'CUSTOMERS REPORT'!Q1444</f>
        <v>0</v>
      </c>
      <c r="AJ54" s="852">
        <f>'CUSTOMERS REPORT'!R30+'CUSTOMERS REPORT'!R76+'CUSTOMERS REPORT'!R114+'CUSTOMERS REPORT'!R153+'CUSTOMERS REPORT'!R191+'CUSTOMERS REPORT'!R231+'CUSTOMERS REPORT'!R268+'CUSTOMERS REPORT'!R308+'CUSTOMERS REPORT'!R349+'CUSTOMERS REPORT'!R391+'CUSTOMERS REPORT'!R430+'CUSTOMERS REPORT'!R468+'CUSTOMERS REPORT'!R504+'CUSTOMERS REPORT'!R541+'CUSTOMERS REPORT'!R579+'CUSTOMERS REPORT'!R615+'CUSTOMERS REPORT'!R653+'CUSTOMERS REPORT'!R691+'CUSTOMERS REPORT'!R729+'CUSTOMERS REPORT'!R767+'CUSTOMERS REPORT'!R805+'CUSTOMERS REPORT'!R843+'CUSTOMERS REPORT'!R881+'CUSTOMERS REPORT'!R920+'CUSTOMERS REPORT'!R959+'CUSTOMERS REPORT'!R997+'CUSTOMERS REPORT'!R1035+'CUSTOMERS REPORT'!R1073+'CUSTOMERS REPORT'!R1111+'CUSTOMERS REPORT'!R1149+'CUSTOMERS REPORT'!R1186+'CUSTOMERS REPORT'!R1223+'CUSTOMERS REPORT'!R1260+'CUSTOMERS REPORT'!R1297+'CUSTOMERS REPORT'!R1334+'CUSTOMERS REPORT'!R1371+'CUSTOMERS REPORT'!R1408+'CUSTOMERS REPORT'!R1444</f>
        <v>0</v>
      </c>
      <c r="AK54" s="852">
        <f>'CUSTOMERS REPORT'!S30+'CUSTOMERS REPORT'!S76+'CUSTOMERS REPORT'!S114+'CUSTOMERS REPORT'!S153+'CUSTOMERS REPORT'!S191+'CUSTOMERS REPORT'!S231+'CUSTOMERS REPORT'!S268+'CUSTOMERS REPORT'!S308+'CUSTOMERS REPORT'!S349+'CUSTOMERS REPORT'!S391+'CUSTOMERS REPORT'!S430+'CUSTOMERS REPORT'!S468+'CUSTOMERS REPORT'!S504+'CUSTOMERS REPORT'!S541+'CUSTOMERS REPORT'!S579+'CUSTOMERS REPORT'!S615+'CUSTOMERS REPORT'!S653+'CUSTOMERS REPORT'!S691+'CUSTOMERS REPORT'!S729+'CUSTOMERS REPORT'!S767+'CUSTOMERS REPORT'!S805+'CUSTOMERS REPORT'!S843+'CUSTOMERS REPORT'!S881+'CUSTOMERS REPORT'!S920+'CUSTOMERS REPORT'!S959+'CUSTOMERS REPORT'!S997+'CUSTOMERS REPORT'!S1035+'CUSTOMERS REPORT'!S1073+'CUSTOMERS REPORT'!S1111+'CUSTOMERS REPORT'!S1149+'CUSTOMERS REPORT'!S1186+'CUSTOMERS REPORT'!S1223+'CUSTOMERS REPORT'!S1260+'CUSTOMERS REPORT'!S1297+'CUSTOMERS REPORT'!S1334+'CUSTOMERS REPORT'!S1371+'CUSTOMERS REPORT'!S1408+'CUSTOMERS REPORT'!S1444</f>
        <v>0</v>
      </c>
      <c r="AL54" s="852">
        <f>'CUSTOMERS REPORT'!T30+'CUSTOMERS REPORT'!T76+'CUSTOMERS REPORT'!T114+'CUSTOMERS REPORT'!T153+'CUSTOMERS REPORT'!T191+'CUSTOMERS REPORT'!T231+'CUSTOMERS REPORT'!T268+'CUSTOMERS REPORT'!T308+'CUSTOMERS REPORT'!T349+'CUSTOMERS REPORT'!T391+'CUSTOMERS REPORT'!T430+'CUSTOMERS REPORT'!T468+'CUSTOMERS REPORT'!T504+'CUSTOMERS REPORT'!T541+'CUSTOMERS REPORT'!T579+'CUSTOMERS REPORT'!T615+'CUSTOMERS REPORT'!T653+'CUSTOMERS REPORT'!T691+'CUSTOMERS REPORT'!T729+'CUSTOMERS REPORT'!T767+'CUSTOMERS REPORT'!T805+'CUSTOMERS REPORT'!T843+'CUSTOMERS REPORT'!T881+'CUSTOMERS REPORT'!T920+'CUSTOMERS REPORT'!T959+'CUSTOMERS REPORT'!T997+'CUSTOMERS REPORT'!T1035+'CUSTOMERS REPORT'!T1073+'CUSTOMERS REPORT'!T1111+'CUSTOMERS REPORT'!T1149</f>
        <v>0</v>
      </c>
      <c r="AM54" s="852">
        <f>'CUSTOMERS REPORT'!U30+'CUSTOMERS REPORT'!U76+'CUSTOMERS REPORT'!U114+'CUSTOMERS REPORT'!U153+'CUSTOMERS REPORT'!U191+'CUSTOMERS REPORT'!U231+'CUSTOMERS REPORT'!U268+'CUSTOMERS REPORT'!U308+'CUSTOMERS REPORT'!U349+'CUSTOMERS REPORT'!U391+'CUSTOMERS REPORT'!U430+'CUSTOMERS REPORT'!U468+'CUSTOMERS REPORT'!U504+'CUSTOMERS REPORT'!U541+'CUSTOMERS REPORT'!U579+'CUSTOMERS REPORT'!U615+'CUSTOMERS REPORT'!U653+'CUSTOMERS REPORT'!U691+'CUSTOMERS REPORT'!U729+'CUSTOMERS REPORT'!U767+'CUSTOMERS REPORT'!U805+'CUSTOMERS REPORT'!U843+'CUSTOMERS REPORT'!U881+'CUSTOMERS REPORT'!U920+'CUSTOMERS REPORT'!U959+'CUSTOMERS REPORT'!U997+'CUSTOMERS REPORT'!U1035+'CUSTOMERS REPORT'!U1073+'CUSTOMERS REPORT'!U1111+'CUSTOMERS REPORT'!U1149</f>
        <v>0</v>
      </c>
      <c r="AN54" s="852">
        <f>'CUSTOMERS REPORT'!V30+'CUSTOMERS REPORT'!V76+'CUSTOMERS REPORT'!V114+'CUSTOMERS REPORT'!V153+'CUSTOMERS REPORT'!V191+'CUSTOMERS REPORT'!V231+'CUSTOMERS REPORT'!V268+'CUSTOMERS REPORT'!V308+'CUSTOMERS REPORT'!V349+'CUSTOMERS REPORT'!V391+'CUSTOMERS REPORT'!V430+'CUSTOMERS REPORT'!V468+'CUSTOMERS REPORT'!V504+'CUSTOMERS REPORT'!V541+'CUSTOMERS REPORT'!V579+'CUSTOMERS REPORT'!V615+'CUSTOMERS REPORT'!V653+'CUSTOMERS REPORT'!V691+'CUSTOMERS REPORT'!V729+'CUSTOMERS REPORT'!V767+'CUSTOMERS REPORT'!V805+'CUSTOMERS REPORT'!V843+'CUSTOMERS REPORT'!V881+'CUSTOMERS REPORT'!V920+'CUSTOMERS REPORT'!V959+'CUSTOMERS REPORT'!V997+'CUSTOMERS REPORT'!V1035+'CUSTOMERS REPORT'!V1073+'CUSTOMERS REPORT'!V1111+'CUSTOMERS REPORT'!V1149</f>
        <v>0</v>
      </c>
      <c r="AP54" t="s">
        <v>1</v>
      </c>
    </row>
    <row r="55" spans="1:42" ht="24.95" customHeight="1" thickBot="1">
      <c r="L55" s="417">
        <v>20</v>
      </c>
      <c r="M55" s="417"/>
      <c r="N55" s="417">
        <f t="shared" si="10"/>
        <v>0</v>
      </c>
      <c r="R55" s="123">
        <f>'22'!R57</f>
        <v>91</v>
      </c>
      <c r="S55" s="865" t="s">
        <v>169</v>
      </c>
      <c r="T55" s="866">
        <f t="shared" ref="T55:AN55" si="12">T53-T54-T51</f>
        <v>0</v>
      </c>
      <c r="U55" s="866">
        <f t="shared" si="12"/>
        <v>0</v>
      </c>
      <c r="V55" s="866">
        <f t="shared" si="12"/>
        <v>60</v>
      </c>
      <c r="W55" s="866">
        <f t="shared" si="12"/>
        <v>19</v>
      </c>
      <c r="X55" s="866">
        <f t="shared" si="12"/>
        <v>0</v>
      </c>
      <c r="Y55" s="866">
        <f t="shared" si="12"/>
        <v>0</v>
      </c>
      <c r="Z55" s="866">
        <f t="shared" si="12"/>
        <v>-3</v>
      </c>
      <c r="AA55" s="866">
        <f t="shared" si="12"/>
        <v>2522</v>
      </c>
      <c r="AB55" s="866">
        <f t="shared" si="12"/>
        <v>170</v>
      </c>
      <c r="AC55" s="866">
        <f t="shared" si="12"/>
        <v>2444</v>
      </c>
      <c r="AD55" s="866">
        <f t="shared" si="12"/>
        <v>494</v>
      </c>
      <c r="AE55" s="866">
        <f t="shared" si="12"/>
        <v>0</v>
      </c>
      <c r="AF55" s="866">
        <f>AF53-AF54-AF51</f>
        <v>2520</v>
      </c>
      <c r="AG55" s="866">
        <f t="shared" si="12"/>
        <v>1087</v>
      </c>
      <c r="AH55" s="866">
        <f t="shared" si="12"/>
        <v>1139</v>
      </c>
      <c r="AI55" s="866">
        <f t="shared" si="12"/>
        <v>631</v>
      </c>
      <c r="AJ55" s="866">
        <f t="shared" si="12"/>
        <v>0</v>
      </c>
      <c r="AK55" s="866">
        <f t="shared" si="12"/>
        <v>-1</v>
      </c>
      <c r="AL55" s="866" t="e">
        <f t="shared" si="12"/>
        <v>#VALUE!</v>
      </c>
      <c r="AM55" s="866" t="e">
        <f t="shared" si="12"/>
        <v>#VALUE!</v>
      </c>
      <c r="AN55" s="872" t="e">
        <f t="shared" si="12"/>
        <v>#VALUE!</v>
      </c>
    </row>
    <row r="56" spans="1:42" ht="28.5" thickBot="1">
      <c r="A56" s="114"/>
      <c r="B56" s="120"/>
      <c r="C56" s="115"/>
      <c r="L56" s="417">
        <v>10</v>
      </c>
      <c r="M56" s="417"/>
      <c r="N56" s="417">
        <f t="shared" si="10"/>
        <v>0</v>
      </c>
      <c r="R56" s="123">
        <f>T56+U56+V56+W56+X56+Y56+Z56+AA56+AB56+AC56+AD56+AE56+AF56+AG56+AH56+AI56+AJ56+AK56+AL56+AM56+AN56</f>
        <v>0</v>
      </c>
      <c r="S56" s="874" t="s">
        <v>170</v>
      </c>
      <c r="T56" s="875"/>
      <c r="U56" s="875"/>
      <c r="V56" s="875"/>
      <c r="W56" s="875"/>
      <c r="X56" s="875"/>
      <c r="Y56" s="875"/>
      <c r="Z56" s="876"/>
      <c r="AA56" s="875"/>
      <c r="AB56" s="875"/>
      <c r="AC56" s="875"/>
      <c r="AD56" s="875"/>
      <c r="AE56" s="875"/>
      <c r="AF56" s="875"/>
      <c r="AG56" s="875"/>
      <c r="AH56" s="875"/>
      <c r="AI56" s="875"/>
      <c r="AJ56" s="877"/>
      <c r="AK56" s="877"/>
      <c r="AL56" s="877"/>
      <c r="AM56" s="877"/>
      <c r="AN56" s="877"/>
    </row>
    <row r="57" spans="1:42" ht="27" customHeight="1" thickBot="1">
      <c r="A57" s="114"/>
      <c r="B57" s="131"/>
      <c r="C57" s="115"/>
      <c r="D57" s="115"/>
      <c r="E57" s="19"/>
      <c r="F57" s="19"/>
      <c r="G57" s="19"/>
      <c r="H57" s="19"/>
      <c r="I57" s="19"/>
      <c r="J57" s="19"/>
      <c r="K57" s="19"/>
      <c r="L57" s="418">
        <v>1</v>
      </c>
      <c r="M57" s="418"/>
      <c r="N57" s="417">
        <f t="shared" si="10"/>
        <v>0</v>
      </c>
      <c r="O57" s="19"/>
      <c r="R57" s="1207">
        <f>SUM(R55:R56)</f>
        <v>91</v>
      </c>
      <c r="S57" s="882" t="s">
        <v>23</v>
      </c>
      <c r="T57" s="883" t="e">
        <f t="shared" ref="T57:AI57" si="13">T50/T56</f>
        <v>#DIV/0!</v>
      </c>
      <c r="U57" s="883" t="e">
        <f t="shared" si="13"/>
        <v>#DIV/0!</v>
      </c>
      <c r="V57" s="883" t="e">
        <f t="shared" si="13"/>
        <v>#DIV/0!</v>
      </c>
      <c r="W57" s="883" t="e">
        <f t="shared" si="13"/>
        <v>#DIV/0!</v>
      </c>
      <c r="X57" s="883" t="e">
        <f t="shared" si="13"/>
        <v>#DIV/0!</v>
      </c>
      <c r="Y57" s="883" t="e">
        <f t="shared" si="13"/>
        <v>#DIV/0!</v>
      </c>
      <c r="Z57" s="883" t="e">
        <f t="shared" si="13"/>
        <v>#DIV/0!</v>
      </c>
      <c r="AA57" s="883" t="e">
        <f t="shared" si="13"/>
        <v>#DIV/0!</v>
      </c>
      <c r="AB57" s="883" t="e">
        <f t="shared" si="13"/>
        <v>#DIV/0!</v>
      </c>
      <c r="AC57" s="883" t="e">
        <f t="shared" si="13"/>
        <v>#DIV/0!</v>
      </c>
      <c r="AD57" s="883" t="e">
        <f t="shared" si="13"/>
        <v>#DIV/0!</v>
      </c>
      <c r="AE57" s="883" t="e">
        <f t="shared" si="13"/>
        <v>#DIV/0!</v>
      </c>
      <c r="AF57" s="883" t="e">
        <f t="shared" si="13"/>
        <v>#DIV/0!</v>
      </c>
      <c r="AG57" s="883" t="e">
        <f t="shared" si="13"/>
        <v>#DIV/0!</v>
      </c>
      <c r="AH57" s="883" t="e">
        <f t="shared" si="13"/>
        <v>#DIV/0!</v>
      </c>
      <c r="AI57" s="883" t="e">
        <f t="shared" si="13"/>
        <v>#DIV/0!</v>
      </c>
      <c r="AJ57" s="883" t="e">
        <f>AJ50/AJ56</f>
        <v>#DIV/0!</v>
      </c>
      <c r="AK57" s="883" t="e">
        <f>AK50/AK56</f>
        <v>#DIV/0!</v>
      </c>
      <c r="AL57" s="883" t="e">
        <f t="shared" ref="AL57:AN57" si="14">AL50/AL56</f>
        <v>#DIV/0!</v>
      </c>
      <c r="AM57" s="883" t="e">
        <f t="shared" si="14"/>
        <v>#DIV/0!</v>
      </c>
      <c r="AN57" s="884" t="e">
        <f t="shared" si="14"/>
        <v>#DIV/0!</v>
      </c>
    </row>
    <row r="58" spans="1:42" ht="27" customHeight="1" thickBot="1">
      <c r="A58" s="114"/>
      <c r="B58" s="131"/>
      <c r="C58" s="115"/>
      <c r="D58" s="115" t="s">
        <v>1</v>
      </c>
      <c r="L58" s="1501" t="s">
        <v>171</v>
      </c>
      <c r="M58" s="1501"/>
      <c r="N58" s="419">
        <f>SUM(N50:N57)</f>
        <v>0</v>
      </c>
      <c r="R58" s="19"/>
      <c r="S58" s="878" t="s">
        <v>172</v>
      </c>
      <c r="T58" s="879">
        <f>T54</f>
        <v>0</v>
      </c>
      <c r="U58" s="879">
        <f t="shared" ref="U58:AI58" si="15">U54</f>
        <v>0</v>
      </c>
      <c r="V58" s="879">
        <f t="shared" si="15"/>
        <v>0</v>
      </c>
      <c r="W58" s="879">
        <f t="shared" si="15"/>
        <v>0</v>
      </c>
      <c r="X58" s="879">
        <f t="shared" si="15"/>
        <v>0</v>
      </c>
      <c r="Y58" s="879">
        <f t="shared" si="15"/>
        <v>0</v>
      </c>
      <c r="Z58" s="879">
        <f t="shared" si="15"/>
        <v>0</v>
      </c>
      <c r="AA58" s="879">
        <f t="shared" si="15"/>
        <v>0</v>
      </c>
      <c r="AB58" s="879">
        <f t="shared" si="15"/>
        <v>0</v>
      </c>
      <c r="AC58" s="879">
        <f t="shared" si="15"/>
        <v>0</v>
      </c>
      <c r="AD58" s="879">
        <f t="shared" si="15"/>
        <v>0</v>
      </c>
      <c r="AE58" s="879">
        <f t="shared" si="15"/>
        <v>0</v>
      </c>
      <c r="AF58" s="879">
        <f t="shared" si="15"/>
        <v>0</v>
      </c>
      <c r="AG58" s="879">
        <f t="shared" si="15"/>
        <v>0</v>
      </c>
      <c r="AH58" s="879">
        <f t="shared" si="15"/>
        <v>0</v>
      </c>
      <c r="AI58" s="879">
        <f t="shared" si="15"/>
        <v>0</v>
      </c>
      <c r="AJ58" s="879">
        <f>AJ54</f>
        <v>0</v>
      </c>
      <c r="AK58" s="879">
        <f>AK54</f>
        <v>0</v>
      </c>
      <c r="AL58" s="880"/>
      <c r="AM58" s="880"/>
      <c r="AN58" s="881"/>
    </row>
    <row r="59" spans="1:42" ht="27" customHeight="1">
      <c r="A59" s="114"/>
      <c r="B59" s="132"/>
      <c r="C59" s="115"/>
      <c r="D59" s="115" t="s">
        <v>1</v>
      </c>
      <c r="K59" t="s">
        <v>1</v>
      </c>
      <c r="L59" s="1486" t="s">
        <v>173</v>
      </c>
      <c r="M59" s="1486"/>
      <c r="N59" s="420">
        <f>N58-Q48</f>
        <v>3747830</v>
      </c>
      <c r="R59" s="19"/>
      <c r="S59" s="114"/>
      <c r="T59" s="121"/>
      <c r="U59" s="121"/>
      <c r="V59" s="121"/>
      <c r="W59" s="121"/>
      <c r="X59" s="121"/>
      <c r="Y59" s="121"/>
      <c r="Z59" s="122"/>
      <c r="AA59" s="121"/>
      <c r="AB59" s="121"/>
      <c r="AC59" s="121"/>
      <c r="AD59" s="121"/>
      <c r="AE59" s="121"/>
      <c r="AF59" s="121"/>
      <c r="AG59" s="121"/>
      <c r="AH59" s="119"/>
      <c r="AI59" s="119"/>
    </row>
    <row r="60" spans="1:42" ht="23.25">
      <c r="A60" s="114"/>
      <c r="B60" s="132"/>
      <c r="C60" s="115"/>
      <c r="D60" s="115"/>
      <c r="P60" s="19"/>
      <c r="Q60" s="19"/>
      <c r="R60" s="19"/>
      <c r="S60" s="19"/>
    </row>
    <row r="61" spans="1:42" ht="23.25">
      <c r="A61" s="114"/>
      <c r="B61" s="132"/>
      <c r="C61" s="115"/>
      <c r="D61" s="116"/>
      <c r="M61" t="s">
        <v>1</v>
      </c>
      <c r="P61" s="185"/>
      <c r="Q61" s="186"/>
      <c r="R61" s="19"/>
      <c r="S61" s="19"/>
    </row>
    <row r="62" spans="1:42" ht="20.25">
      <c r="C62" s="116"/>
      <c r="P62" s="19"/>
      <c r="Q62" s="19"/>
      <c r="R62" s="19"/>
      <c r="S62" s="19"/>
    </row>
    <row r="63" spans="1:42">
      <c r="E63" s="19"/>
    </row>
    <row r="64" spans="1:42">
      <c r="E64" s="19"/>
      <c r="J64" t="s">
        <v>3</v>
      </c>
    </row>
    <row r="65" spans="3:5" ht="21">
      <c r="C65" s="251"/>
      <c r="E65" s="19"/>
    </row>
    <row r="66" spans="3:5">
      <c r="E66" s="49"/>
    </row>
    <row r="67" spans="3:5" ht="23.25">
      <c r="E67" s="113"/>
    </row>
  </sheetData>
  <mergeCells count="21">
    <mergeCell ref="AL47:AM47"/>
    <mergeCell ref="L58:M58"/>
    <mergeCell ref="L59:M59"/>
    <mergeCell ref="P24:Q24"/>
    <mergeCell ref="P33:Q33"/>
    <mergeCell ref="P42:Q42"/>
    <mergeCell ref="A6:Q6"/>
    <mergeCell ref="S6:AE6"/>
    <mergeCell ref="A7:B7"/>
    <mergeCell ref="P7:Q7"/>
    <mergeCell ref="H48:I48"/>
    <mergeCell ref="H46:I46"/>
    <mergeCell ref="H47:I47"/>
    <mergeCell ref="S47:S48"/>
    <mergeCell ref="AA47:AB47"/>
    <mergeCell ref="AC47:AI47"/>
    <mergeCell ref="AI7:AJ7"/>
    <mergeCell ref="AI20:AJ20"/>
    <mergeCell ref="T47:W47"/>
    <mergeCell ref="X47:Z47"/>
    <mergeCell ref="AJ47:AK47"/>
  </mergeCells>
  <conditionalFormatting sqref="M48:N48">
    <cfRule type="duplicateValues" dxfId="181" priority="29"/>
    <cfRule type="duplicateValues" dxfId="180" priority="30"/>
    <cfRule type="duplicateValues" dxfId="179" priority="31"/>
    <cfRule type="duplicateValues" dxfId="178" priority="32"/>
  </conditionalFormatting>
  <conditionalFormatting sqref="L48 N48">
    <cfRule type="cellIs" dxfId="177" priority="28" operator="equal">
      <formula>66890</formula>
    </cfRule>
  </conditionalFormatting>
  <conditionalFormatting sqref="N48">
    <cfRule type="cellIs" dxfId="176" priority="27" operator="lessThan">
      <formula>1</formula>
    </cfRule>
  </conditionalFormatting>
  <conditionalFormatting sqref="T57">
    <cfRule type="cellIs" dxfId="175" priority="16" operator="lessThan">
      <formula>63</formula>
    </cfRule>
  </conditionalFormatting>
  <conditionalFormatting sqref="U57">
    <cfRule type="cellIs" dxfId="174" priority="14" operator="lessThan">
      <formula>63</formula>
    </cfRule>
    <cfRule type="cellIs" dxfId="173" priority="15" operator="lessThan">
      <formula>63</formula>
    </cfRule>
  </conditionalFormatting>
  <conditionalFormatting sqref="W57">
    <cfRule type="cellIs" dxfId="172" priority="13" operator="lessThan">
      <formula>140</formula>
    </cfRule>
  </conditionalFormatting>
  <conditionalFormatting sqref="X57">
    <cfRule type="cellIs" dxfId="171" priority="12" operator="lessThan">
      <formula>125</formula>
    </cfRule>
  </conditionalFormatting>
  <conditionalFormatting sqref="Y57">
    <cfRule type="cellIs" dxfId="170" priority="11" operator="lessThan">
      <formula>150</formula>
    </cfRule>
  </conditionalFormatting>
  <conditionalFormatting sqref="Z57">
    <cfRule type="cellIs" dxfId="169" priority="10" operator="lessThan">
      <formula>590</formula>
    </cfRule>
  </conditionalFormatting>
  <conditionalFormatting sqref="AA57">
    <cfRule type="cellIs" dxfId="168" priority="9" operator="lessThan">
      <formula>704</formula>
    </cfRule>
  </conditionalFormatting>
  <conditionalFormatting sqref="AC57">
    <cfRule type="cellIs" dxfId="167" priority="8" operator="lessThan">
      <formula>52</formula>
    </cfRule>
  </conditionalFormatting>
  <conditionalFormatting sqref="AD57">
    <cfRule type="cellIs" dxfId="166" priority="7" operator="lessThan">
      <formula>52</formula>
    </cfRule>
  </conditionalFormatting>
  <conditionalFormatting sqref="AH57">
    <cfRule type="cellIs" dxfId="165" priority="6" operator="lessThan">
      <formula>63</formula>
    </cfRule>
  </conditionalFormatting>
  <conditionalFormatting sqref="AI57">
    <cfRule type="cellIs" dxfId="164" priority="5" operator="lessThan">
      <formula>63</formula>
    </cfRule>
  </conditionalFormatting>
  <conditionalFormatting sqref="AK57">
    <cfRule type="cellIs" dxfId="163" priority="4" operator="lessThan">
      <formula>270</formula>
    </cfRule>
  </conditionalFormatting>
  <conditionalFormatting sqref="AJ57">
    <cfRule type="cellIs" dxfId="162" priority="3" operator="lessThan">
      <formula>270</formula>
    </cfRule>
  </conditionalFormatting>
  <conditionalFormatting sqref="AL57:AN57">
    <cfRule type="cellIs" dxfId="161" priority="1" operator="lessThan">
      <formula>270</formula>
    </cfRule>
  </conditionalFormatting>
  <printOptions horizontalCentered="1" verticalCentered="1"/>
  <pageMargins left="0" right="0.5" top="0" bottom="0" header="0" footer="0"/>
  <pageSetup paperSize="5" scale="47" orientation="landscape" cellComments="asDisplayed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AN67"/>
  <sheetViews>
    <sheetView topLeftCell="A16" zoomScale="90" zoomScaleNormal="90" workbookViewId="0">
      <selection activeCell="E38" sqref="E38"/>
    </sheetView>
  </sheetViews>
  <sheetFormatPr defaultRowHeight="15"/>
  <cols>
    <col min="1" max="1" width="32.7109375" bestFit="1" customWidth="1"/>
    <col min="2" max="2" width="17.7109375" customWidth="1"/>
    <col min="3" max="4" width="20.7109375" customWidth="1"/>
    <col min="5" max="5" width="4.7109375" customWidth="1"/>
    <col min="6" max="6" width="35.85546875" bestFit="1" customWidth="1"/>
    <col min="7" max="7" width="17.7109375" customWidth="1"/>
    <col min="8" max="9" width="19.140625" bestFit="1" customWidth="1"/>
    <col min="10" max="11" width="17.7109375" customWidth="1"/>
    <col min="12" max="12" width="19.140625" bestFit="1" customWidth="1"/>
    <col min="13" max="14" width="18.7109375" customWidth="1"/>
    <col min="15" max="15" width="7.7109375" customWidth="1"/>
    <col min="16" max="16" width="28.7109375" customWidth="1"/>
    <col min="17" max="17" width="22.28515625" bestFit="1" customWidth="1"/>
    <col min="18" max="18" width="11.5703125" bestFit="1" customWidth="1"/>
    <col min="19" max="19" width="32.7109375" customWidth="1"/>
    <col min="20" max="20" width="20.28515625" bestFit="1" customWidth="1"/>
    <col min="21" max="21" width="17.7109375" customWidth="1"/>
    <col min="22" max="22" width="20.28515625" bestFit="1" customWidth="1"/>
    <col min="23" max="23" width="17.7109375" customWidth="1"/>
    <col min="24" max="24" width="20.28515625" bestFit="1" customWidth="1"/>
    <col min="25" max="25" width="14.7109375" customWidth="1"/>
    <col min="26" max="26" width="23.7109375" bestFit="1" customWidth="1"/>
    <col min="27" max="27" width="20.140625" bestFit="1" customWidth="1"/>
    <col min="28" max="28" width="17.7109375" customWidth="1"/>
    <col min="29" max="29" width="20.140625" bestFit="1" customWidth="1"/>
    <col min="30" max="30" width="17.7109375" customWidth="1"/>
    <col min="31" max="31" width="20.140625" bestFit="1" customWidth="1"/>
    <col min="32" max="33" width="20.7109375" customWidth="1"/>
    <col min="34" max="37" width="17.7109375" customWidth="1"/>
    <col min="38" max="38" width="11.28515625" hidden="1" customWidth="1"/>
    <col min="39" max="39" width="0" hidden="1" customWidth="1"/>
    <col min="40" max="40" width="12.7109375" hidden="1" customWidth="1"/>
  </cols>
  <sheetData>
    <row r="1" spans="1:36">
      <c r="E1" s="5"/>
    </row>
    <row r="2" spans="1:36">
      <c r="E2" s="5"/>
    </row>
    <row r="3" spans="1:36" ht="15.75" thickBot="1">
      <c r="C3" t="s">
        <v>1</v>
      </c>
      <c r="E3" s="5" t="s">
        <v>1</v>
      </c>
      <c r="F3" t="s">
        <v>1</v>
      </c>
      <c r="N3" t="s">
        <v>1</v>
      </c>
      <c r="S3" t="s">
        <v>1</v>
      </c>
      <c r="U3" t="s">
        <v>1</v>
      </c>
    </row>
    <row r="4" spans="1:36" ht="21.75" thickTop="1">
      <c r="B4" t="s">
        <v>1</v>
      </c>
      <c r="D4" t="s">
        <v>1</v>
      </c>
      <c r="E4" t="s">
        <v>1</v>
      </c>
      <c r="P4" s="617" t="s">
        <v>108</v>
      </c>
      <c r="Q4" s="618">
        <f>'23'!Q4+'24'!Q9+'24'!Q10+'24'!Q19+'24'!Q20+'24'!Q21+'24'!Q22</f>
        <v>0</v>
      </c>
    </row>
    <row r="5" spans="1:36" ht="21.75" thickBot="1">
      <c r="P5" s="619" t="s">
        <v>109</v>
      </c>
      <c r="Q5" s="620">
        <f>'23'!Q5+'24'!Q25+'24'!Q26+'24'!Q27+'24'!Q28+'24'!Q29+'24'!Q30+'24'!Q31</f>
        <v>0</v>
      </c>
    </row>
    <row r="6" spans="1:36" ht="48" thickTop="1" thickBot="1">
      <c r="A6" s="1502">
        <f>'Main Page'!E40</f>
        <v>44889</v>
      </c>
      <c r="B6" s="1507"/>
      <c r="C6" s="1507"/>
      <c r="D6" s="1507"/>
      <c r="E6" s="1507"/>
      <c r="F6" s="1507"/>
      <c r="G6" s="1507"/>
      <c r="H6" s="1507"/>
      <c r="I6" s="1507"/>
      <c r="J6" s="1507"/>
      <c r="K6" s="1507"/>
      <c r="L6" s="1507"/>
      <c r="M6" s="1507"/>
      <c r="N6" s="1507"/>
      <c r="O6" s="1507"/>
      <c r="P6" s="1507"/>
      <c r="Q6" s="1515"/>
      <c r="R6" t="s">
        <v>1</v>
      </c>
      <c r="S6" s="1502">
        <f>A6</f>
        <v>44889</v>
      </c>
      <c r="T6" s="1503"/>
      <c r="U6" s="1503"/>
      <c r="V6" s="1503"/>
      <c r="W6" s="1503"/>
      <c r="X6" s="1503"/>
      <c r="Y6" s="1503"/>
      <c r="Z6" s="1503"/>
      <c r="AA6" s="1503"/>
      <c r="AB6" s="1503"/>
      <c r="AC6" s="1503"/>
      <c r="AD6" s="1503"/>
      <c r="AE6" s="1504"/>
    </row>
    <row r="7" spans="1:36" ht="39.950000000000003" customHeight="1" thickTop="1" thickBot="1">
      <c r="A7" s="1505" t="s">
        <v>110</v>
      </c>
      <c r="B7" s="1506"/>
      <c r="C7" s="367" t="s">
        <v>97</v>
      </c>
      <c r="D7" s="368" t="s">
        <v>74</v>
      </c>
      <c r="F7" s="363" t="s">
        <v>111</v>
      </c>
      <c r="G7" s="364" t="s">
        <v>112</v>
      </c>
      <c r="H7" s="365" t="s">
        <v>113</v>
      </c>
      <c r="I7" s="365" t="s">
        <v>26</v>
      </c>
      <c r="J7" s="365" t="s">
        <v>114</v>
      </c>
      <c r="K7" s="366" t="s">
        <v>115</v>
      </c>
      <c r="L7" s="365" t="s">
        <v>116</v>
      </c>
      <c r="M7" s="365" t="s">
        <v>117</v>
      </c>
      <c r="N7" s="365" t="s">
        <v>118</v>
      </c>
      <c r="P7" s="1510" t="s">
        <v>69</v>
      </c>
      <c r="Q7" s="1511"/>
      <c r="S7" s="380" t="s">
        <v>58</v>
      </c>
      <c r="T7" s="380" t="s">
        <v>59</v>
      </c>
      <c r="U7" s="380" t="s">
        <v>119</v>
      </c>
      <c r="V7" s="380" t="s">
        <v>74</v>
      </c>
      <c r="W7" s="380" t="s">
        <v>120</v>
      </c>
      <c r="X7" s="380" t="s">
        <v>59</v>
      </c>
      <c r="Z7" s="367" t="s">
        <v>121</v>
      </c>
      <c r="AA7" s="367" t="s">
        <v>97</v>
      </c>
      <c r="AB7" s="415" t="s">
        <v>122</v>
      </c>
      <c r="AC7" s="416" t="s">
        <v>90</v>
      </c>
      <c r="AD7" s="367" t="s">
        <v>56</v>
      </c>
      <c r="AE7" s="381" t="s">
        <v>100</v>
      </c>
      <c r="AF7" s="560" t="s">
        <v>122</v>
      </c>
      <c r="AG7" s="570" t="s">
        <v>56</v>
      </c>
      <c r="AI7" s="1487" t="s">
        <v>123</v>
      </c>
      <c r="AJ7" s="1488"/>
    </row>
    <row r="8" spans="1:36" ht="27" customHeight="1" thickTop="1" thickBot="1">
      <c r="A8" s="717" t="s">
        <v>501</v>
      </c>
      <c r="B8" s="233">
        <v>3000</v>
      </c>
      <c r="C8" s="463"/>
      <c r="D8" s="233"/>
      <c r="F8" s="478" t="str">
        <f>'23'!F8</f>
        <v>ISHAQ ANSARI</v>
      </c>
      <c r="G8" s="405">
        <f>'CUSTOMERS REPORT'!Y31</f>
        <v>0</v>
      </c>
      <c r="H8" s="503">
        <f>'CUSTOMERS REPORT'!Z31</f>
        <v>0</v>
      </c>
      <c r="I8" s="405">
        <f>'CUSTOMERS REPORT'!AA31</f>
        <v>0</v>
      </c>
      <c r="J8" s="497">
        <f>'CUSTOMERS REPORT'!AB31</f>
        <v>0</v>
      </c>
      <c r="K8" s="497">
        <f>'CUSTOMERS REPORT'!AC31</f>
        <v>0</v>
      </c>
      <c r="L8" s="508">
        <f>'CUSTOMERS REPORT'!AD31</f>
        <v>0</v>
      </c>
      <c r="M8" s="413">
        <f>'23'!M8+'24'!G8</f>
        <v>0</v>
      </c>
      <c r="N8" s="411">
        <f>'23'!N8+'24'!J8</f>
        <v>0</v>
      </c>
      <c r="P8" s="191" t="s">
        <v>124</v>
      </c>
      <c r="Q8" s="223">
        <f>'23'!Q32</f>
        <v>0</v>
      </c>
      <c r="S8" s="399" t="str">
        <f>'23'!S8</f>
        <v>FLOUR</v>
      </c>
      <c r="T8" s="446">
        <f>'23'!X8</f>
        <v>18</v>
      </c>
      <c r="U8" s="455"/>
      <c r="V8" s="450">
        <f t="shared" ref="V8:V43" si="0">SUM(T8:U8)</f>
        <v>18</v>
      </c>
      <c r="W8" s="450">
        <v>26</v>
      </c>
      <c r="X8" s="446">
        <f t="shared" ref="X8:X43" si="1">V8-W8</f>
        <v>-8</v>
      </c>
      <c r="Z8" s="382" t="str">
        <f>'23'!Z8</f>
        <v>GHAZI</v>
      </c>
      <c r="AA8" s="464">
        <f>'23'!AE8</f>
        <v>-352500</v>
      </c>
      <c r="AB8" s="459"/>
      <c r="AC8" s="233">
        <f t="shared" ref="AC8:AC41" si="2">AA8+AB8</f>
        <v>-352500</v>
      </c>
      <c r="AD8" s="468"/>
      <c r="AE8" s="463">
        <f t="shared" ref="AE8:AE42" si="3">AC8-AD8</f>
        <v>-352500</v>
      </c>
      <c r="AF8" s="563">
        <f>'23'!AF8+'24'!AB8</f>
        <v>347500</v>
      </c>
      <c r="AG8" s="233">
        <f>'23'!AG8+'24'!AD8</f>
        <v>700000</v>
      </c>
      <c r="AI8" s="391" t="s">
        <v>126</v>
      </c>
      <c r="AJ8" s="392">
        <f>'23'!AJ10</f>
        <v>126470</v>
      </c>
    </row>
    <row r="9" spans="1:36" ht="27" customHeight="1" thickTop="1">
      <c r="A9" s="718" t="s">
        <v>482</v>
      </c>
      <c r="B9" s="526">
        <v>100000</v>
      </c>
      <c r="C9" s="348"/>
      <c r="D9" s="550"/>
      <c r="F9" s="479" t="str">
        <f>'23'!F9</f>
        <v>MAKKI BAKERY</v>
      </c>
      <c r="G9" s="406">
        <f>'CUSTOMERS REPORT'!Y77</f>
        <v>0</v>
      </c>
      <c r="H9" s="504">
        <f>'CUSTOMERS REPORT'!Z77</f>
        <v>0</v>
      </c>
      <c r="I9" s="406">
        <f>'CUSTOMERS REPORT'!AA77</f>
        <v>0</v>
      </c>
      <c r="J9" s="498">
        <f>'CUSTOMERS REPORT'!AB77</f>
        <v>0</v>
      </c>
      <c r="K9" s="498">
        <f>'CUSTOMERS REPORT'!AC77</f>
        <v>0</v>
      </c>
      <c r="L9" s="509">
        <f>'CUSTOMERS REPORT'!AD77</f>
        <v>0</v>
      </c>
      <c r="M9" s="414">
        <f>'23'!M9+'24'!G9</f>
        <v>0</v>
      </c>
      <c r="N9" s="412">
        <f>'23'!N9+'24'!J9</f>
        <v>0</v>
      </c>
      <c r="P9" s="432"/>
      <c r="Q9" s="436"/>
      <c r="S9" s="400" t="str">
        <f>'23'!S9</f>
        <v>SUGAR</v>
      </c>
      <c r="T9" s="446">
        <f>'23'!X9</f>
        <v>-685</v>
      </c>
      <c r="U9" s="456"/>
      <c r="V9" s="451">
        <f t="shared" si="0"/>
        <v>-685</v>
      </c>
      <c r="W9" s="451">
        <v>455</v>
      </c>
      <c r="X9" s="447">
        <f t="shared" si="1"/>
        <v>-1140</v>
      </c>
      <c r="Z9" s="375" t="str">
        <f>'23'!Z9</f>
        <v>SOHNI</v>
      </c>
      <c r="AA9" s="464">
        <f>'23'!AE9</f>
        <v>20000</v>
      </c>
      <c r="AB9" s="460"/>
      <c r="AC9" s="462">
        <f t="shared" si="2"/>
        <v>20000</v>
      </c>
      <c r="AD9" s="469"/>
      <c r="AE9" s="348">
        <f t="shared" si="3"/>
        <v>20000</v>
      </c>
      <c r="AF9" s="563">
        <f>'23'!AF9+'24'!AB9</f>
        <v>370000</v>
      </c>
      <c r="AG9" s="234">
        <f>'23'!AG9+'24'!AD9</f>
        <v>350000</v>
      </c>
      <c r="AI9" s="393" t="s">
        <v>128</v>
      </c>
      <c r="AJ9" s="394">
        <f>B26</f>
        <v>55350</v>
      </c>
    </row>
    <row r="10" spans="1:36" ht="27" customHeight="1" thickBot="1">
      <c r="A10" s="718"/>
      <c r="B10" s="528"/>
      <c r="C10" s="350"/>
      <c r="D10" s="550"/>
      <c r="F10" s="479" t="str">
        <f>'23'!F10</f>
        <v>ABID HUSSAIN</v>
      </c>
      <c r="G10" s="406">
        <f>'CUSTOMERS REPORT'!Y115</f>
        <v>0</v>
      </c>
      <c r="H10" s="504">
        <f>'CUSTOMERS REPORT'!Z115</f>
        <v>0</v>
      </c>
      <c r="I10" s="406">
        <f>'CUSTOMERS REPORT'!AA115</f>
        <v>0</v>
      </c>
      <c r="J10" s="498">
        <f>'CUSTOMERS REPORT'!AB115</f>
        <v>0</v>
      </c>
      <c r="K10" s="498">
        <f>'CUSTOMERS REPORT'!AC115</f>
        <v>0</v>
      </c>
      <c r="L10" s="509">
        <f>'CUSTOMERS REPORT'!AD115</f>
        <v>0</v>
      </c>
      <c r="M10" s="414">
        <f>'23'!M10+'24'!G10</f>
        <v>0</v>
      </c>
      <c r="N10" s="412">
        <f>'23'!N10+'24'!J10</f>
        <v>0</v>
      </c>
      <c r="P10" s="433"/>
      <c r="Q10" s="437"/>
      <c r="S10" s="400" t="str">
        <f>'23'!S10</f>
        <v>GHEE</v>
      </c>
      <c r="T10" s="446">
        <f>'23'!X10</f>
        <v>-12</v>
      </c>
      <c r="U10" s="456"/>
      <c r="V10" s="451">
        <f t="shared" si="0"/>
        <v>-12</v>
      </c>
      <c r="W10" s="451">
        <v>5</v>
      </c>
      <c r="X10" s="447">
        <f t="shared" si="1"/>
        <v>-17</v>
      </c>
      <c r="Z10" s="375" t="str">
        <f>'23'!Z10</f>
        <v>HUSSAINI</v>
      </c>
      <c r="AA10" s="464">
        <f>'23'!AE10</f>
        <v>-94100</v>
      </c>
      <c r="AB10" s="460"/>
      <c r="AC10" s="462">
        <f t="shared" si="2"/>
        <v>-94100</v>
      </c>
      <c r="AD10" s="469"/>
      <c r="AE10" s="348">
        <f t="shared" si="3"/>
        <v>-94100</v>
      </c>
      <c r="AF10" s="563">
        <f>'23'!AF10+'24'!AB10</f>
        <v>62000</v>
      </c>
      <c r="AG10" s="234">
        <f>'23'!AG10+'24'!AD10</f>
        <v>156100</v>
      </c>
      <c r="AI10" s="395" t="s">
        <v>74</v>
      </c>
      <c r="AJ10" s="396">
        <f>AJ8+AJ9</f>
        <v>181820</v>
      </c>
    </row>
    <row r="11" spans="1:36" ht="27" customHeight="1" thickTop="1">
      <c r="A11" s="718"/>
      <c r="B11" s="528"/>
      <c r="C11" s="350"/>
      <c r="D11" s="550"/>
      <c r="F11" s="479" t="str">
        <f>'23'!F11</f>
        <v>SHAHID 5 #</v>
      </c>
      <c r="G11" s="406">
        <f>'CUSTOMERS REPORT'!Y154</f>
        <v>0</v>
      </c>
      <c r="H11" s="504">
        <f>'CUSTOMERS REPORT'!Z154</f>
        <v>0</v>
      </c>
      <c r="I11" s="406">
        <f>'CUSTOMERS REPORT'!AA154</f>
        <v>0</v>
      </c>
      <c r="J11" s="498">
        <f>'CUSTOMERS REPORT'!AB154</f>
        <v>0</v>
      </c>
      <c r="K11" s="498">
        <f>'CUSTOMERS REPORT'!AC154</f>
        <v>0</v>
      </c>
      <c r="L11" s="509">
        <f>'CUSTOMERS REPORT'!AD154</f>
        <v>0</v>
      </c>
      <c r="M11" s="414">
        <f>'23'!M11+'24'!G11</f>
        <v>0</v>
      </c>
      <c r="N11" s="412">
        <f>'23'!N11+'24'!J11</f>
        <v>0</v>
      </c>
      <c r="P11" s="433"/>
      <c r="Q11" s="437"/>
      <c r="S11" s="400" t="str">
        <f>'23'!S11</f>
        <v>YEAST</v>
      </c>
      <c r="T11" s="446">
        <f>'23'!X11</f>
        <v>-92</v>
      </c>
      <c r="U11" s="456"/>
      <c r="V11" s="451">
        <f t="shared" ref="V11:V22" si="4">SUM(T11:U11)</f>
        <v>-92</v>
      </c>
      <c r="W11" s="451">
        <v>13</v>
      </c>
      <c r="X11" s="447">
        <f t="shared" ref="X11:X22" si="5">V11-W11</f>
        <v>-105</v>
      </c>
      <c r="Z11" s="375" t="str">
        <f>'23'!Z11</f>
        <v>IMRAN ALAM</v>
      </c>
      <c r="AA11" s="464">
        <f>'23'!AE11</f>
        <v>-339000</v>
      </c>
      <c r="AB11" s="460"/>
      <c r="AC11" s="462">
        <f t="shared" ref="AC11:AC18" si="6">AA11+AB11</f>
        <v>-339000</v>
      </c>
      <c r="AD11" s="469">
        <v>100000</v>
      </c>
      <c r="AE11" s="348">
        <f t="shared" ref="AE11:AE18" si="7">AC11-AD11</f>
        <v>-439000</v>
      </c>
      <c r="AF11" s="563">
        <f>'23'!AF11+'24'!AB11</f>
        <v>0</v>
      </c>
      <c r="AG11" s="234">
        <f>'23'!AG11+'24'!AD11</f>
        <v>439000</v>
      </c>
      <c r="AI11" s="1031"/>
      <c r="AJ11" s="1032"/>
    </row>
    <row r="12" spans="1:36" ht="27" customHeight="1">
      <c r="A12" s="718"/>
      <c r="B12" s="528"/>
      <c r="C12" s="350"/>
      <c r="D12" s="550"/>
      <c r="F12" s="479" t="str">
        <f>'23'!F12</f>
        <v>ZULFIQAR</v>
      </c>
      <c r="G12" s="406">
        <f>'CUSTOMERS REPORT'!Y192</f>
        <v>0</v>
      </c>
      <c r="H12" s="504">
        <f>'CUSTOMERS REPORT'!Z192</f>
        <v>0</v>
      </c>
      <c r="I12" s="406">
        <f>'CUSTOMERS REPORT'!AA192</f>
        <v>0</v>
      </c>
      <c r="J12" s="498">
        <f>'CUSTOMERS REPORT'!AB192</f>
        <v>0</v>
      </c>
      <c r="K12" s="498">
        <f>'CUSTOMERS REPORT'!AC192</f>
        <v>0</v>
      </c>
      <c r="L12" s="509">
        <f>'CUSTOMERS REPORT'!AD192</f>
        <v>0</v>
      </c>
      <c r="M12" s="414">
        <f>'23'!M12+'24'!G12</f>
        <v>0</v>
      </c>
      <c r="N12" s="412">
        <f>'23'!N12+'24'!J12</f>
        <v>0</v>
      </c>
      <c r="P12" s="433"/>
      <c r="Q12" s="437"/>
      <c r="S12" s="400" t="str">
        <f>'23'!S12</f>
        <v xml:space="preserve">EKKA </v>
      </c>
      <c r="T12" s="446">
        <f>'23'!X12</f>
        <v>0</v>
      </c>
      <c r="U12" s="456"/>
      <c r="V12" s="451">
        <f t="shared" si="4"/>
        <v>0</v>
      </c>
      <c r="W12" s="451"/>
      <c r="X12" s="447">
        <f t="shared" si="5"/>
        <v>0</v>
      </c>
      <c r="Z12" s="375" t="str">
        <f>'23'!Z12</f>
        <v>ZAHEER</v>
      </c>
      <c r="AA12" s="464">
        <f>'23'!AE12</f>
        <v>-23200</v>
      </c>
      <c r="AB12" s="460"/>
      <c r="AC12" s="462">
        <f t="shared" si="6"/>
        <v>-23200</v>
      </c>
      <c r="AD12" s="469"/>
      <c r="AE12" s="348">
        <f t="shared" si="7"/>
        <v>-23200</v>
      </c>
      <c r="AF12" s="563">
        <f>'23'!AF12+'24'!AB12</f>
        <v>0</v>
      </c>
      <c r="AG12" s="234">
        <f>'23'!AG12+'24'!AD12</f>
        <v>23200</v>
      </c>
      <c r="AI12" s="1031"/>
      <c r="AJ12" s="1032"/>
    </row>
    <row r="13" spans="1:36" ht="27" customHeight="1">
      <c r="A13" s="718"/>
      <c r="B13" s="528"/>
      <c r="C13" s="350"/>
      <c r="D13" s="550"/>
      <c r="F13" s="479" t="str">
        <f>'23'!F13</f>
        <v>QASIM ORANGI</v>
      </c>
      <c r="G13" s="406">
        <f>'CUSTOMERS REPORT'!Y232</f>
        <v>0</v>
      </c>
      <c r="H13" s="504">
        <f>'CUSTOMERS REPORT'!Z232</f>
        <v>0</v>
      </c>
      <c r="I13" s="406">
        <f>'CUSTOMERS REPORT'!AA232</f>
        <v>0</v>
      </c>
      <c r="J13" s="498">
        <f>'CUSTOMERS REPORT'!AB232</f>
        <v>0</v>
      </c>
      <c r="K13" s="498">
        <f>'CUSTOMERS REPORT'!AC232</f>
        <v>0</v>
      </c>
      <c r="L13" s="509">
        <f>'CUSTOMERS REPORT'!AD232</f>
        <v>0</v>
      </c>
      <c r="M13" s="414">
        <f>'23'!M13+'24'!G13</f>
        <v>0</v>
      </c>
      <c r="N13" s="412">
        <f>'23'!N13+'24'!J13</f>
        <v>0</v>
      </c>
      <c r="P13" s="433"/>
      <c r="Q13" s="437"/>
      <c r="S13" s="400" t="str">
        <f>'23'!S13</f>
        <v>VANILLA</v>
      </c>
      <c r="T13" s="446">
        <f>'23'!X13</f>
        <v>0</v>
      </c>
      <c r="U13" s="456"/>
      <c r="V13" s="451">
        <f t="shared" si="4"/>
        <v>0</v>
      </c>
      <c r="W13" s="451"/>
      <c r="X13" s="447">
        <f t="shared" si="5"/>
        <v>0</v>
      </c>
      <c r="Z13" s="375" t="str">
        <f>'23'!Z13</f>
        <v>FAISAL</v>
      </c>
      <c r="AA13" s="464">
        <f>'23'!AE13</f>
        <v>-100000</v>
      </c>
      <c r="AB13" s="460"/>
      <c r="AC13" s="462">
        <f t="shared" si="6"/>
        <v>-100000</v>
      </c>
      <c r="AD13" s="469"/>
      <c r="AE13" s="348">
        <f t="shared" si="7"/>
        <v>-100000</v>
      </c>
      <c r="AF13" s="563">
        <f>'23'!AF13+'24'!AB13</f>
        <v>0</v>
      </c>
      <c r="AG13" s="234">
        <f>'23'!AG13+'24'!AD13</f>
        <v>100000</v>
      </c>
      <c r="AI13" s="1031"/>
      <c r="AJ13" s="1032"/>
    </row>
    <row r="14" spans="1:36" ht="27" customHeight="1">
      <c r="A14" s="718"/>
      <c r="B14" s="528"/>
      <c r="C14" s="350"/>
      <c r="D14" s="550"/>
      <c r="F14" s="479" t="str">
        <f>'23'!F14</f>
        <v>BADSHAH KHAN HYD</v>
      </c>
      <c r="G14" s="406">
        <f>'CUSTOMERS REPORT'!Y269</f>
        <v>0</v>
      </c>
      <c r="H14" s="504">
        <f>'CUSTOMERS REPORT'!Z269</f>
        <v>0</v>
      </c>
      <c r="I14" s="406">
        <f>'CUSTOMERS REPORT'!AA269</f>
        <v>0</v>
      </c>
      <c r="J14" s="498">
        <f>'CUSTOMERS REPORT'!AB269</f>
        <v>0</v>
      </c>
      <c r="K14" s="498">
        <f>'CUSTOMERS REPORT'!AC269</f>
        <v>0</v>
      </c>
      <c r="L14" s="509">
        <f>'CUSTOMERS REPORT'!AD269</f>
        <v>0</v>
      </c>
      <c r="M14" s="414">
        <f>'23'!M14+'24'!G14</f>
        <v>0</v>
      </c>
      <c r="N14" s="412">
        <f>'23'!N14+'24'!J14</f>
        <v>0</v>
      </c>
      <c r="P14" s="433"/>
      <c r="Q14" s="437"/>
      <c r="S14" s="400" t="str">
        <f>'23'!S14</f>
        <v>COLOUR</v>
      </c>
      <c r="T14" s="446">
        <f>'23'!X14</f>
        <v>25</v>
      </c>
      <c r="U14" s="456"/>
      <c r="V14" s="451">
        <f t="shared" si="4"/>
        <v>25</v>
      </c>
      <c r="W14" s="451"/>
      <c r="X14" s="447">
        <f t="shared" si="5"/>
        <v>25</v>
      </c>
      <c r="Z14" s="375" t="str">
        <f>'23'!Z14</f>
        <v>RANA EKKA</v>
      </c>
      <c r="AA14" s="464">
        <f>'23'!AE14</f>
        <v>0</v>
      </c>
      <c r="AB14" s="460"/>
      <c r="AC14" s="462">
        <f t="shared" si="6"/>
        <v>0</v>
      </c>
      <c r="AD14" s="469"/>
      <c r="AE14" s="348">
        <f t="shared" si="7"/>
        <v>0</v>
      </c>
      <c r="AF14" s="563">
        <f>'23'!AF14+'24'!AB14</f>
        <v>0</v>
      </c>
      <c r="AG14" s="234">
        <f>'23'!AG14+'24'!AD14</f>
        <v>0</v>
      </c>
      <c r="AI14" s="1031"/>
      <c r="AJ14" s="1032"/>
    </row>
    <row r="15" spans="1:36" ht="27" customHeight="1">
      <c r="A15" s="718"/>
      <c r="B15" s="528"/>
      <c r="C15" s="350"/>
      <c r="D15" s="550"/>
      <c r="F15" s="479" t="str">
        <f>'23'!F15</f>
        <v>SHAMOON</v>
      </c>
      <c r="G15" s="406">
        <f>'CUSTOMERS REPORT'!Y309</f>
        <v>0</v>
      </c>
      <c r="H15" s="504">
        <f>'CUSTOMERS REPORT'!Z309</f>
        <v>0</v>
      </c>
      <c r="I15" s="406">
        <f>'CUSTOMERS REPORT'!AA309</f>
        <v>0</v>
      </c>
      <c r="J15" s="498">
        <f>'CUSTOMERS REPORT'!AB309</f>
        <v>0</v>
      </c>
      <c r="K15" s="498">
        <f>'CUSTOMERS REPORT'!AC309</f>
        <v>0</v>
      </c>
      <c r="L15" s="509">
        <f>'CUSTOMERS REPORT'!AD309</f>
        <v>0</v>
      </c>
      <c r="M15" s="414">
        <f>'23'!M15+'24'!G15</f>
        <v>0</v>
      </c>
      <c r="N15" s="412">
        <f>'23'!N15+'24'!J15</f>
        <v>0</v>
      </c>
      <c r="P15" s="433"/>
      <c r="Q15" s="437"/>
      <c r="S15" s="400" t="str">
        <f>'23'!S15</f>
        <v>TILL</v>
      </c>
      <c r="T15" s="446">
        <f>'23'!X15</f>
        <v>0</v>
      </c>
      <c r="U15" s="456"/>
      <c r="V15" s="451">
        <f t="shared" si="4"/>
        <v>0</v>
      </c>
      <c r="W15" s="451"/>
      <c r="X15" s="447">
        <f t="shared" si="5"/>
        <v>0</v>
      </c>
      <c r="Z15" s="375" t="str">
        <f>'23'!Z15</f>
        <v>sheeba</v>
      </c>
      <c r="AA15" s="464">
        <f>'23'!AE15</f>
        <v>-410250</v>
      </c>
      <c r="AB15" s="460"/>
      <c r="AC15" s="462">
        <f t="shared" si="6"/>
        <v>-410250</v>
      </c>
      <c r="AD15" s="469"/>
      <c r="AE15" s="348">
        <f t="shared" si="7"/>
        <v>-410250</v>
      </c>
      <c r="AF15" s="563">
        <f>'23'!AF15+'24'!AB15</f>
        <v>0</v>
      </c>
      <c r="AG15" s="234">
        <f>'23'!AG15+'24'!AD15</f>
        <v>410250</v>
      </c>
      <c r="AI15" s="1031"/>
      <c r="AJ15" s="1032"/>
    </row>
    <row r="16" spans="1:36" ht="27" customHeight="1">
      <c r="A16" s="718"/>
      <c r="B16" s="528"/>
      <c r="C16" s="350"/>
      <c r="D16" s="550"/>
      <c r="F16" s="479" t="str">
        <f>'23'!F16</f>
        <v>MATEEN</v>
      </c>
      <c r="G16" s="406">
        <f>'CUSTOMERS REPORT'!Y350</f>
        <v>0</v>
      </c>
      <c r="H16" s="504">
        <f>'CUSTOMERS REPORT'!Z350</f>
        <v>0</v>
      </c>
      <c r="I16" s="406">
        <f>'CUSTOMERS REPORT'!AA350</f>
        <v>0</v>
      </c>
      <c r="J16" s="498">
        <f>'CUSTOMERS REPORT'!AB350</f>
        <v>0</v>
      </c>
      <c r="K16" s="498">
        <f>'CUSTOMERS REPORT'!AC350</f>
        <v>0</v>
      </c>
      <c r="L16" s="509">
        <f>'CUSTOMERS REPORT'!AD350</f>
        <v>0</v>
      </c>
      <c r="M16" s="414">
        <f>'23'!M16+'24'!G16</f>
        <v>0</v>
      </c>
      <c r="N16" s="412">
        <f>'23'!N16+'24'!J16</f>
        <v>0</v>
      </c>
      <c r="P16" s="433"/>
      <c r="Q16" s="437"/>
      <c r="S16" s="400" t="str">
        <f>'23'!S16</f>
        <v>ILLAICHI</v>
      </c>
      <c r="T16" s="446">
        <f>'23'!X16</f>
        <v>0</v>
      </c>
      <c r="U16" s="456"/>
      <c r="V16" s="451">
        <f t="shared" si="4"/>
        <v>0</v>
      </c>
      <c r="W16" s="451"/>
      <c r="X16" s="447">
        <f t="shared" si="5"/>
        <v>0</v>
      </c>
      <c r="Z16" s="375" t="str">
        <f>'23'!Z16</f>
        <v>COTTON</v>
      </c>
      <c r="AA16" s="464">
        <f>'23'!AE16</f>
        <v>0</v>
      </c>
      <c r="AB16" s="460"/>
      <c r="AC16" s="462">
        <f t="shared" si="6"/>
        <v>0</v>
      </c>
      <c r="AD16" s="469"/>
      <c r="AE16" s="348">
        <f t="shared" si="7"/>
        <v>0</v>
      </c>
      <c r="AF16" s="563">
        <f>'23'!AF16+'24'!AB16</f>
        <v>26400</v>
      </c>
      <c r="AG16" s="234">
        <f>'23'!AG16+'24'!AD16</f>
        <v>26400</v>
      </c>
      <c r="AI16" s="1031"/>
      <c r="AJ16" s="1032"/>
    </row>
    <row r="17" spans="1:36" ht="27" customHeight="1">
      <c r="A17" s="718"/>
      <c r="B17" s="528"/>
      <c r="C17" s="350"/>
      <c r="D17" s="550"/>
      <c r="F17" s="479" t="str">
        <f>'23'!F17</f>
        <v>AMJAD ORANGI</v>
      </c>
      <c r="G17" s="406">
        <f>'CUSTOMERS REPORT'!Y392</f>
        <v>0</v>
      </c>
      <c r="H17" s="504">
        <f>'CUSTOMERS REPORT'!Z392</f>
        <v>0</v>
      </c>
      <c r="I17" s="406">
        <f>'CUSTOMERS REPORT'!AA392</f>
        <v>0</v>
      </c>
      <c r="J17" s="498">
        <f>'CUSTOMERS REPORT'!AB392</f>
        <v>0</v>
      </c>
      <c r="K17" s="498">
        <f>'CUSTOMERS REPORT'!AC392</f>
        <v>0</v>
      </c>
      <c r="L17" s="509">
        <f>'CUSTOMERS REPORT'!AD392</f>
        <v>0</v>
      </c>
      <c r="M17" s="414">
        <f>'23'!M17+'24'!G17</f>
        <v>0</v>
      </c>
      <c r="N17" s="412">
        <f>'23'!N17+'24'!J17</f>
        <v>0</v>
      </c>
      <c r="P17" s="433"/>
      <c r="Q17" s="437"/>
      <c r="S17" s="400" t="str">
        <f>'23'!S17</f>
        <v>S-THELLI</v>
      </c>
      <c r="T17" s="446">
        <f>'23'!X17</f>
        <v>0</v>
      </c>
      <c r="U17" s="456"/>
      <c r="V17" s="451">
        <f t="shared" si="4"/>
        <v>0</v>
      </c>
      <c r="W17" s="451"/>
      <c r="X17" s="447">
        <f t="shared" si="5"/>
        <v>0</v>
      </c>
      <c r="Z17" s="375" t="str">
        <f>'23'!Z17</f>
        <v>SHAHID UP</v>
      </c>
      <c r="AA17" s="464">
        <f>'23'!AE17</f>
        <v>0</v>
      </c>
      <c r="AB17" s="460"/>
      <c r="AC17" s="462">
        <f t="shared" si="6"/>
        <v>0</v>
      </c>
      <c r="AD17" s="469"/>
      <c r="AE17" s="348">
        <f t="shared" si="7"/>
        <v>0</v>
      </c>
      <c r="AF17" s="563">
        <f>'23'!AF17+'24'!AB17</f>
        <v>21250</v>
      </c>
      <c r="AG17" s="234">
        <f>'23'!AG17+'24'!AD17</f>
        <v>21250</v>
      </c>
      <c r="AI17" s="1031"/>
      <c r="AJ17" s="1032"/>
    </row>
    <row r="18" spans="1:36" ht="27" customHeight="1">
      <c r="A18" s="718"/>
      <c r="B18" s="528"/>
      <c r="C18" s="350"/>
      <c r="D18" s="550"/>
      <c r="F18" s="479" t="str">
        <f>'23'!F18</f>
        <v>HAFIZ DRIVER</v>
      </c>
      <c r="G18" s="406">
        <f>'CUSTOMERS REPORT'!Y431</f>
        <v>0</v>
      </c>
      <c r="H18" s="504">
        <f>'CUSTOMERS REPORT'!Z431</f>
        <v>0</v>
      </c>
      <c r="I18" s="406">
        <f>'CUSTOMERS REPORT'!AA431</f>
        <v>0</v>
      </c>
      <c r="J18" s="498">
        <f>'CUSTOMERS REPORT'!AB431</f>
        <v>0</v>
      </c>
      <c r="K18" s="498">
        <f>'CUSTOMERS REPORT'!AC431</f>
        <v>0</v>
      </c>
      <c r="L18" s="509">
        <f>'CUSTOMERS REPORT'!AD431</f>
        <v>0</v>
      </c>
      <c r="M18" s="414">
        <f>'23'!M18+'24'!G18</f>
        <v>0</v>
      </c>
      <c r="N18" s="412">
        <f>'23'!N18+'24'!J18</f>
        <v>0</v>
      </c>
      <c r="P18" s="433"/>
      <c r="Q18" s="437"/>
      <c r="S18" s="400" t="str">
        <f>'23'!S18</f>
        <v>P-THELLI</v>
      </c>
      <c r="T18" s="446">
        <f>'23'!X18</f>
        <v>0</v>
      </c>
      <c r="U18" s="456"/>
      <c r="V18" s="451">
        <f t="shared" si="4"/>
        <v>0</v>
      </c>
      <c r="W18" s="451"/>
      <c r="X18" s="447">
        <f t="shared" si="5"/>
        <v>0</v>
      </c>
      <c r="Z18" s="375" t="str">
        <f>'23'!Z18</f>
        <v>SALT</v>
      </c>
      <c r="AA18" s="464">
        <f>'23'!AE18</f>
        <v>0</v>
      </c>
      <c r="AB18" s="460"/>
      <c r="AC18" s="462">
        <f t="shared" si="6"/>
        <v>0</v>
      </c>
      <c r="AD18" s="469"/>
      <c r="AE18" s="348">
        <f t="shared" si="7"/>
        <v>0</v>
      </c>
      <c r="AF18" s="563">
        <f>'23'!AF18+'24'!AB18</f>
        <v>1500</v>
      </c>
      <c r="AG18" s="234">
        <f>'23'!AG18+'24'!AD18</f>
        <v>1500</v>
      </c>
      <c r="AI18" s="1031"/>
      <c r="AJ18" s="1032"/>
    </row>
    <row r="19" spans="1:36" ht="27" customHeight="1" thickBot="1">
      <c r="A19" s="719"/>
      <c r="B19" s="529"/>
      <c r="C19" s="350"/>
      <c r="D19" s="550"/>
      <c r="F19" s="479" t="str">
        <f>'23'!F19</f>
        <v>GHULAM QUETTA</v>
      </c>
      <c r="G19" s="406">
        <f>'CUSTOMERS REPORT'!Y469</f>
        <v>0</v>
      </c>
      <c r="H19" s="504">
        <f>'CUSTOMERS REPORT'!Z469</f>
        <v>0</v>
      </c>
      <c r="I19" s="406">
        <f>'CUSTOMERS REPORT'!AA469</f>
        <v>0</v>
      </c>
      <c r="J19" s="498">
        <f>'CUSTOMERS REPORT'!AB469</f>
        <v>0</v>
      </c>
      <c r="K19" s="498">
        <f>'CUSTOMERS REPORT'!AC469</f>
        <v>0</v>
      </c>
      <c r="L19" s="509">
        <f>'CUSTOMERS REPORT'!AD469</f>
        <v>0</v>
      </c>
      <c r="M19" s="414">
        <f>'23'!M19+'24'!G19</f>
        <v>0</v>
      </c>
      <c r="N19" s="412">
        <f>'23'!N19+'24'!J19</f>
        <v>0</v>
      </c>
      <c r="P19" s="433"/>
      <c r="Q19" s="437"/>
      <c r="S19" s="400" t="str">
        <f>'23'!S19</f>
        <v>RUBBER</v>
      </c>
      <c r="T19" s="446">
        <f>'23'!X19</f>
        <v>0</v>
      </c>
      <c r="U19" s="456"/>
      <c r="V19" s="451">
        <f t="shared" si="4"/>
        <v>0</v>
      </c>
      <c r="W19" s="451"/>
      <c r="X19" s="447">
        <f t="shared" si="5"/>
        <v>0</v>
      </c>
      <c r="Z19" s="375" t="str">
        <f>'23'!Z19</f>
        <v>NAVEED</v>
      </c>
      <c r="AA19" s="464">
        <f>'23'!AE19</f>
        <v>0</v>
      </c>
      <c r="AB19" s="460"/>
      <c r="AC19" s="462">
        <f t="shared" si="2"/>
        <v>0</v>
      </c>
      <c r="AD19" s="469"/>
      <c r="AE19" s="348">
        <f t="shared" si="3"/>
        <v>0</v>
      </c>
      <c r="AF19" s="563">
        <f>'23'!AF19+'24'!AB19</f>
        <v>0</v>
      </c>
      <c r="AG19" s="234">
        <f>'23'!AG19+'24'!AD19</f>
        <v>0</v>
      </c>
    </row>
    <row r="20" spans="1:36" ht="27" customHeight="1" thickTop="1" thickBot="1">
      <c r="A20" s="719"/>
      <c r="B20" s="529"/>
      <c r="C20" s="350"/>
      <c r="D20" s="550"/>
      <c r="F20" s="479" t="str">
        <f>'23'!F20</f>
        <v>HUSSAN GWADAR</v>
      </c>
      <c r="G20" s="406">
        <f>'CUSTOMERS REPORT'!Y505</f>
        <v>0</v>
      </c>
      <c r="H20" s="504">
        <f>'CUSTOMERS REPORT'!Z505</f>
        <v>0</v>
      </c>
      <c r="I20" s="406">
        <f>'CUSTOMERS REPORT'!AA505</f>
        <v>0</v>
      </c>
      <c r="J20" s="498">
        <f>'CUSTOMERS REPORT'!AB505</f>
        <v>0</v>
      </c>
      <c r="K20" s="498">
        <f>'CUSTOMERS REPORT'!AC505</f>
        <v>0</v>
      </c>
      <c r="L20" s="509">
        <f>'CUSTOMERS REPORT'!AD505</f>
        <v>0</v>
      </c>
      <c r="M20" s="414">
        <f>'23'!M20+'24'!G20</f>
        <v>0</v>
      </c>
      <c r="N20" s="412">
        <f>'23'!N20+'24'!J20</f>
        <v>0</v>
      </c>
      <c r="P20" s="433"/>
      <c r="Q20" s="437"/>
      <c r="S20" s="400" t="str">
        <f>'23'!S20</f>
        <v>SALT</v>
      </c>
      <c r="T20" s="446">
        <f>'23'!X20</f>
        <v>250</v>
      </c>
      <c r="U20" s="456"/>
      <c r="V20" s="451">
        <f t="shared" si="4"/>
        <v>250</v>
      </c>
      <c r="W20" s="451"/>
      <c r="X20" s="447">
        <f t="shared" si="5"/>
        <v>250</v>
      </c>
      <c r="Z20" s="375" t="str">
        <f>'23'!Z20</f>
        <v>YOUSUF BHAI</v>
      </c>
      <c r="AA20" s="464">
        <f>'23'!AE20</f>
        <v>-107300</v>
      </c>
      <c r="AB20" s="460"/>
      <c r="AC20" s="462">
        <f t="shared" si="2"/>
        <v>-107300</v>
      </c>
      <c r="AD20" s="469"/>
      <c r="AE20" s="348">
        <f t="shared" si="3"/>
        <v>-107300</v>
      </c>
      <c r="AF20" s="563">
        <f>'23'!AF20+'24'!AB20</f>
        <v>447100</v>
      </c>
      <c r="AG20" s="234">
        <f>'23'!AG20+'24'!AD20</f>
        <v>554400</v>
      </c>
      <c r="AI20" s="1487" t="s">
        <v>132</v>
      </c>
      <c r="AJ20" s="1488"/>
    </row>
    <row r="21" spans="1:36" ht="27" customHeight="1" thickTop="1" thickBot="1">
      <c r="A21" s="720"/>
      <c r="B21" s="530"/>
      <c r="C21" s="531"/>
      <c r="D21" s="553"/>
      <c r="F21" s="479" t="str">
        <f>'23'!F21</f>
        <v>AQASH S KOT</v>
      </c>
      <c r="G21" s="406">
        <f>'CUSTOMERS REPORT'!Y542</f>
        <v>0</v>
      </c>
      <c r="H21" s="504">
        <f>'CUSTOMERS REPORT'!Z542</f>
        <v>0</v>
      </c>
      <c r="I21" s="406">
        <f>'CUSTOMERS REPORT'!AA542</f>
        <v>0</v>
      </c>
      <c r="J21" s="498">
        <f>'CUSTOMERS REPORT'!AB542</f>
        <v>0</v>
      </c>
      <c r="K21" s="498">
        <f>'CUSTOMERS REPORT'!AC542</f>
        <v>0</v>
      </c>
      <c r="L21" s="509">
        <f>'CUSTOMERS REPORT'!AD542</f>
        <v>0</v>
      </c>
      <c r="M21" s="414">
        <f>'23'!M21+'24'!G21</f>
        <v>0</v>
      </c>
      <c r="N21" s="412">
        <f>'23'!N21+'24'!J21</f>
        <v>0</v>
      </c>
      <c r="P21" s="433"/>
      <c r="Q21" s="435"/>
      <c r="S21" s="400" t="str">
        <f>'23'!S21</f>
        <v>TAPE</v>
      </c>
      <c r="T21" s="446">
        <f>'23'!X21</f>
        <v>0</v>
      </c>
      <c r="U21" s="456"/>
      <c r="V21" s="451">
        <f t="shared" si="4"/>
        <v>0</v>
      </c>
      <c r="W21" s="451"/>
      <c r="X21" s="447">
        <f t="shared" si="5"/>
        <v>0</v>
      </c>
      <c r="Z21" s="375" t="str">
        <f>'23'!Z21</f>
        <v>SULEMAN  PRINT</v>
      </c>
      <c r="AA21" s="464">
        <f>'23'!AE21</f>
        <v>-312000</v>
      </c>
      <c r="AB21" s="460"/>
      <c r="AC21" s="462">
        <f t="shared" si="2"/>
        <v>-312000</v>
      </c>
      <c r="AD21" s="469"/>
      <c r="AE21" s="348">
        <f t="shared" si="3"/>
        <v>-312000</v>
      </c>
      <c r="AF21" s="563">
        <f>'23'!AF21+'24'!AB21</f>
        <v>0</v>
      </c>
      <c r="AG21" s="234">
        <f>'23'!AG21+'24'!AD21</f>
        <v>312000</v>
      </c>
      <c r="AI21" s="391" t="s">
        <v>126</v>
      </c>
      <c r="AJ21" s="392">
        <f>'23'!AJ23</f>
        <v>163800</v>
      </c>
    </row>
    <row r="22" spans="1:36" ht="27" customHeight="1" thickTop="1" thickBot="1">
      <c r="A22" s="486" t="s">
        <v>74</v>
      </c>
      <c r="B22" s="533">
        <f>SUM(B8:B21)</f>
        <v>103000</v>
      </c>
      <c r="C22" s="534">
        <f>'23'!D22</f>
        <v>3149660</v>
      </c>
      <c r="D22" s="535">
        <f t="shared" ref="D22" si="8">B22+C22</f>
        <v>3252660</v>
      </c>
      <c r="F22" s="479" t="str">
        <f>'23'!F22</f>
        <v>SALEEM T JAM</v>
      </c>
      <c r="G22" s="406">
        <f>'CUSTOMERS REPORT'!Y580</f>
        <v>0</v>
      </c>
      <c r="H22" s="504">
        <f>'CUSTOMERS REPORT'!Z580</f>
        <v>0</v>
      </c>
      <c r="I22" s="406">
        <f>'CUSTOMERS REPORT'!AA580</f>
        <v>0</v>
      </c>
      <c r="J22" s="498">
        <f>'CUSTOMERS REPORT'!AB580</f>
        <v>0</v>
      </c>
      <c r="K22" s="498">
        <f>'CUSTOMERS REPORT'!AC580</f>
        <v>0</v>
      </c>
      <c r="L22" s="509">
        <f>'CUSTOMERS REPORT'!AD580</f>
        <v>0</v>
      </c>
      <c r="M22" s="414">
        <f>'23'!M22+'24'!G22</f>
        <v>0</v>
      </c>
      <c r="N22" s="412">
        <f>'23'!N22+'24'!J22</f>
        <v>0</v>
      </c>
      <c r="P22" s="433"/>
      <c r="Q22" s="438"/>
      <c r="S22" s="400" t="str">
        <f>'23'!S22</f>
        <v>COTTON</v>
      </c>
      <c r="T22" s="446">
        <f>'23'!X22</f>
        <v>220</v>
      </c>
      <c r="U22" s="456"/>
      <c r="V22" s="451">
        <f t="shared" si="4"/>
        <v>220</v>
      </c>
      <c r="W22" s="451"/>
      <c r="X22" s="447">
        <f t="shared" si="5"/>
        <v>220</v>
      </c>
      <c r="Z22" s="375" t="str">
        <f>'23'!Z22</f>
        <v>IRFAN VANILA</v>
      </c>
      <c r="AA22" s="464">
        <f>'23'!AE22</f>
        <v>-110000</v>
      </c>
      <c r="AB22" s="460"/>
      <c r="AC22" s="462">
        <f t="shared" si="2"/>
        <v>-110000</v>
      </c>
      <c r="AD22" s="469"/>
      <c r="AE22" s="348">
        <f t="shared" si="3"/>
        <v>-110000</v>
      </c>
      <c r="AF22" s="563">
        <f>'23'!AF22+'24'!AB22</f>
        <v>0</v>
      </c>
      <c r="AG22" s="234">
        <f>'23'!AG22+'24'!AD22</f>
        <v>110000</v>
      </c>
      <c r="AI22" s="393">
        <f>R56</f>
        <v>13</v>
      </c>
      <c r="AJ22" s="394">
        <f>R56*1800</f>
        <v>23400</v>
      </c>
    </row>
    <row r="23" spans="1:36" ht="27" customHeight="1" thickTop="1" thickBot="1">
      <c r="A23" s="715" t="str">
        <f>'23'!A23</f>
        <v>OFFICE FOOD</v>
      </c>
      <c r="B23" s="462">
        <v>160</v>
      </c>
      <c r="C23" s="536">
        <f>'23'!D23</f>
        <v>2830</v>
      </c>
      <c r="D23" s="537">
        <f t="shared" ref="D23:D48" si="9">B23+C23</f>
        <v>2990</v>
      </c>
      <c r="F23" s="479" t="str">
        <f>'23'!F23</f>
        <v>JAMSHAD BADEEN</v>
      </c>
      <c r="G23" s="406">
        <f>'CUSTOMERS REPORT'!Y616</f>
        <v>0</v>
      </c>
      <c r="H23" s="504">
        <f>'CUSTOMERS REPORT'!Z616</f>
        <v>0</v>
      </c>
      <c r="I23" s="406">
        <f>'CUSTOMERS REPORT'!AA616</f>
        <v>0</v>
      </c>
      <c r="J23" s="498">
        <f>'CUSTOMERS REPORT'!AB616</f>
        <v>0</v>
      </c>
      <c r="K23" s="498">
        <f>'CUSTOMERS REPORT'!AC616</f>
        <v>0</v>
      </c>
      <c r="L23" s="509">
        <f>'CUSTOMERS REPORT'!AD616</f>
        <v>0</v>
      </c>
      <c r="M23" s="414">
        <f>'23'!M23+'24'!G23</f>
        <v>0</v>
      </c>
      <c r="N23" s="412">
        <f>'23'!N23+'24'!J23</f>
        <v>0</v>
      </c>
      <c r="P23" s="190" t="s">
        <v>48</v>
      </c>
      <c r="Q23" s="439">
        <f>SUM(Q8:Q22)</f>
        <v>0</v>
      </c>
      <c r="S23" s="400" t="str">
        <f>'23'!S23</f>
        <v>WHITE 6</v>
      </c>
      <c r="T23" s="446">
        <f>'23'!X23</f>
        <v>0</v>
      </c>
      <c r="U23" s="456"/>
      <c r="V23" s="451">
        <f t="shared" si="0"/>
        <v>0</v>
      </c>
      <c r="W23" s="451"/>
      <c r="X23" s="447">
        <f t="shared" si="1"/>
        <v>0</v>
      </c>
      <c r="Z23" s="375" t="str">
        <f>'23'!Z23</f>
        <v>IRANI GHEE</v>
      </c>
      <c r="AA23" s="464">
        <f>'23'!AE23</f>
        <v>0</v>
      </c>
      <c r="AB23" s="460"/>
      <c r="AC23" s="462">
        <f t="shared" si="2"/>
        <v>0</v>
      </c>
      <c r="AD23" s="469"/>
      <c r="AE23" s="348">
        <f t="shared" si="3"/>
        <v>0</v>
      </c>
      <c r="AF23" s="563">
        <f>'23'!AF23+'24'!AB23</f>
        <v>0</v>
      </c>
      <c r="AG23" s="234">
        <f>'23'!AG23+'24'!AD23</f>
        <v>0</v>
      </c>
      <c r="AI23" s="395" t="s">
        <v>74</v>
      </c>
      <c r="AJ23" s="396">
        <f>AJ21+AJ22</f>
        <v>187200</v>
      </c>
    </row>
    <row r="24" spans="1:36" ht="27" customHeight="1" thickTop="1" thickBot="1">
      <c r="A24" s="715" t="str">
        <f>'23'!A24</f>
        <v>LABOUR FOOD EXP</v>
      </c>
      <c r="B24" s="234">
        <v>2000</v>
      </c>
      <c r="C24" s="348">
        <f>'23'!D24</f>
        <v>28000</v>
      </c>
      <c r="D24" s="234">
        <f t="shared" si="9"/>
        <v>30000</v>
      </c>
      <c r="F24" s="479" t="str">
        <f>'23'!F24</f>
        <v>SARFAZ MP</v>
      </c>
      <c r="G24" s="406">
        <f>'CUSTOMERS REPORT'!Y654</f>
        <v>0</v>
      </c>
      <c r="H24" s="504">
        <f>'CUSTOMERS REPORT'!Z654</f>
        <v>0</v>
      </c>
      <c r="I24" s="406">
        <f>'CUSTOMERS REPORT'!AA654</f>
        <v>0</v>
      </c>
      <c r="J24" s="498">
        <f>'CUSTOMERS REPORT'!AB654</f>
        <v>0</v>
      </c>
      <c r="K24" s="498">
        <f>'CUSTOMERS REPORT'!AC654</f>
        <v>0</v>
      </c>
      <c r="L24" s="509">
        <f>'CUSTOMERS REPORT'!AD654</f>
        <v>0</v>
      </c>
      <c r="M24" s="414">
        <f>'23'!M24+'24'!G24</f>
        <v>0</v>
      </c>
      <c r="N24" s="412">
        <f>'23'!N24+'24'!J24</f>
        <v>0</v>
      </c>
      <c r="P24" s="1514" t="s">
        <v>137</v>
      </c>
      <c r="Q24" s="1514"/>
      <c r="R24" t="s">
        <v>1</v>
      </c>
      <c r="S24" s="400" t="str">
        <f>'23'!S24</f>
        <v>ORANGE</v>
      </c>
      <c r="T24" s="446">
        <f>'23'!X24</f>
        <v>0</v>
      </c>
      <c r="U24" s="456"/>
      <c r="V24" s="451">
        <f t="shared" si="0"/>
        <v>0</v>
      </c>
      <c r="W24" s="451"/>
      <c r="X24" s="447">
        <f t="shared" si="1"/>
        <v>0</v>
      </c>
      <c r="Z24" s="375">
        <f>'23'!Z24</f>
        <v>0</v>
      </c>
      <c r="AA24" s="464">
        <f>'23'!AE24</f>
        <v>0</v>
      </c>
      <c r="AB24" s="745"/>
      <c r="AC24" s="462">
        <f t="shared" si="2"/>
        <v>0</v>
      </c>
      <c r="AD24" s="469"/>
      <c r="AE24" s="348">
        <f t="shared" si="3"/>
        <v>0</v>
      </c>
      <c r="AF24" s="563">
        <f>'23'!AF24+'24'!AB24</f>
        <v>0</v>
      </c>
      <c r="AG24" s="234">
        <f>'23'!AG24+'24'!AD24</f>
        <v>0</v>
      </c>
    </row>
    <row r="25" spans="1:36" ht="27" customHeight="1" thickTop="1" thickBot="1">
      <c r="A25" s="715" t="str">
        <f>'23'!A25</f>
        <v>OFFICE SALARY</v>
      </c>
      <c r="B25" s="234">
        <f>ATTENDANCE!AW28</f>
        <v>3000</v>
      </c>
      <c r="C25" s="348">
        <f>'23'!D25</f>
        <v>34000</v>
      </c>
      <c r="D25" s="234">
        <f t="shared" si="9"/>
        <v>37000</v>
      </c>
      <c r="F25" s="479" t="str">
        <f>'23'!F25</f>
        <v>AFZAL MATLI</v>
      </c>
      <c r="G25" s="406">
        <f>'CUSTOMERS REPORT'!Y692</f>
        <v>0</v>
      </c>
      <c r="H25" s="504">
        <f>'CUSTOMERS REPORT'!Z692</f>
        <v>0</v>
      </c>
      <c r="I25" s="406">
        <f>'CUSTOMERS REPORT'!AA692</f>
        <v>0</v>
      </c>
      <c r="J25" s="498">
        <f>'CUSTOMERS REPORT'!AB692</f>
        <v>0</v>
      </c>
      <c r="K25" s="498">
        <f>'CUSTOMERS REPORT'!AC692</f>
        <v>0</v>
      </c>
      <c r="L25" s="509">
        <f>'CUSTOMERS REPORT'!AD692</f>
        <v>0</v>
      </c>
      <c r="M25" s="414">
        <f>'23'!M25+'24'!G25</f>
        <v>0</v>
      </c>
      <c r="N25" s="412">
        <f>'23'!N25+'24'!J25</f>
        <v>0</v>
      </c>
      <c r="P25" s="434"/>
      <c r="Q25" s="440"/>
      <c r="S25" s="400" t="str">
        <f>'23'!S25</f>
        <v>MAKKI 7</v>
      </c>
      <c r="T25" s="446">
        <f>'23'!X25</f>
        <v>0</v>
      </c>
      <c r="U25" s="456"/>
      <c r="V25" s="451">
        <f t="shared" si="0"/>
        <v>0</v>
      </c>
      <c r="W25" s="451"/>
      <c r="X25" s="447">
        <f t="shared" si="1"/>
        <v>0</v>
      </c>
      <c r="Z25" s="375">
        <f>'23'!Z25</f>
        <v>0</v>
      </c>
      <c r="AA25" s="464">
        <f>'23'!AE25</f>
        <v>0</v>
      </c>
      <c r="AB25" s="460"/>
      <c r="AC25" s="462">
        <f t="shared" si="2"/>
        <v>0</v>
      </c>
      <c r="AD25" s="469"/>
      <c r="AE25" s="348">
        <f t="shared" si="3"/>
        <v>0</v>
      </c>
      <c r="AF25" s="563">
        <f>'23'!AF25+'24'!AB25</f>
        <v>0</v>
      </c>
      <c r="AG25" s="234">
        <f>'23'!AG25+'24'!AD25</f>
        <v>0</v>
      </c>
      <c r="AI25" s="397" t="s">
        <v>59</v>
      </c>
      <c r="AJ25" s="398">
        <f>AJ23-AJ10</f>
        <v>5380</v>
      </c>
    </row>
    <row r="26" spans="1:36" ht="27" customHeight="1" thickTop="1">
      <c r="A26" s="715" t="str">
        <f>'23'!A26</f>
        <v>LABOUR SALARY</v>
      </c>
      <c r="B26" s="234">
        <f>SUM('SALERY SHEET'!AX97:AY97)</f>
        <v>55350</v>
      </c>
      <c r="C26" s="348">
        <f>'23'!D26</f>
        <v>126470</v>
      </c>
      <c r="D26" s="234">
        <f t="shared" si="9"/>
        <v>181820</v>
      </c>
      <c r="F26" s="479" t="str">
        <f>'23'!F26</f>
        <v xml:space="preserve">ABDUL RASHEED </v>
      </c>
      <c r="G26" s="406">
        <f>'CUSTOMERS REPORT'!Y730</f>
        <v>0</v>
      </c>
      <c r="H26" s="504">
        <f>'CUSTOMERS REPORT'!Z730</f>
        <v>0</v>
      </c>
      <c r="I26" s="406">
        <f>'CUSTOMERS REPORT'!AA730</f>
        <v>0</v>
      </c>
      <c r="J26" s="498">
        <f>'CUSTOMERS REPORT'!AB730</f>
        <v>0</v>
      </c>
      <c r="K26" s="498">
        <f>'CUSTOMERS REPORT'!AC730</f>
        <v>0</v>
      </c>
      <c r="L26" s="509">
        <f>'CUSTOMERS REPORT'!AD730</f>
        <v>0</v>
      </c>
      <c r="M26" s="414">
        <f>'23'!M26+'24'!G26</f>
        <v>0</v>
      </c>
      <c r="N26" s="412">
        <f>'23'!N26+'24'!J26</f>
        <v>0</v>
      </c>
      <c r="P26" s="433"/>
      <c r="Q26" s="438"/>
      <c r="R26" t="s">
        <v>1</v>
      </c>
      <c r="S26" s="400" t="str">
        <f>'23'!S26</f>
        <v>BLUE 125 GM</v>
      </c>
      <c r="T26" s="446">
        <f>'23'!X26</f>
        <v>0</v>
      </c>
      <c r="U26" s="456"/>
      <c r="V26" s="451">
        <f t="shared" si="0"/>
        <v>0</v>
      </c>
      <c r="W26" s="451"/>
      <c r="X26" s="447">
        <f t="shared" si="1"/>
        <v>0</v>
      </c>
      <c r="Z26" s="375">
        <f>'23'!Z26</f>
        <v>0</v>
      </c>
      <c r="AA26" s="464">
        <f>'23'!AE26</f>
        <v>0</v>
      </c>
      <c r="AB26" s="460"/>
      <c r="AC26" s="462">
        <f t="shared" si="2"/>
        <v>0</v>
      </c>
      <c r="AD26" s="469"/>
      <c r="AE26" s="348">
        <f t="shared" si="3"/>
        <v>0</v>
      </c>
      <c r="AF26" s="563">
        <f>'23'!AF26+'24'!AB26</f>
        <v>0</v>
      </c>
      <c r="AG26" s="234">
        <f>'23'!AG26+'24'!AD26</f>
        <v>0</v>
      </c>
    </row>
    <row r="27" spans="1:36" ht="27" customHeight="1">
      <c r="A27" s="715" t="str">
        <f>'23'!A27</f>
        <v>SHAHZORE</v>
      </c>
      <c r="B27" s="234"/>
      <c r="C27" s="348">
        <f>'23'!D27</f>
        <v>0</v>
      </c>
      <c r="D27" s="234">
        <f t="shared" si="9"/>
        <v>0</v>
      </c>
      <c r="F27" s="479" t="str">
        <f>'23'!F27</f>
        <v>SALEEM ORANGI</v>
      </c>
      <c r="G27" s="406">
        <f>'CUSTOMERS REPORT'!Y768</f>
        <v>0</v>
      </c>
      <c r="H27" s="504">
        <f>'CUSTOMERS REPORT'!Z768</f>
        <v>0</v>
      </c>
      <c r="I27" s="406">
        <f>'CUSTOMERS REPORT'!AA768</f>
        <v>0</v>
      </c>
      <c r="J27" s="498">
        <f>'CUSTOMERS REPORT'!AB768</f>
        <v>0</v>
      </c>
      <c r="K27" s="498">
        <f>'CUSTOMERS REPORT'!AC768</f>
        <v>0</v>
      </c>
      <c r="L27" s="509">
        <f>'CUSTOMERS REPORT'!AD768</f>
        <v>0</v>
      </c>
      <c r="M27" s="414">
        <f>'23'!M27+'24'!G27</f>
        <v>0</v>
      </c>
      <c r="N27" s="412">
        <f>'23'!N27+'24'!J27</f>
        <v>0</v>
      </c>
      <c r="P27" s="433"/>
      <c r="Q27" s="435"/>
      <c r="R27" t="s">
        <v>1</v>
      </c>
      <c r="S27" s="400" t="str">
        <f>'23'!S27</f>
        <v>MAKKI 5</v>
      </c>
      <c r="T27" s="446">
        <f>'23'!X27</f>
        <v>0</v>
      </c>
      <c r="U27" s="456"/>
      <c r="V27" s="451">
        <f t="shared" si="0"/>
        <v>0</v>
      </c>
      <c r="W27" s="451"/>
      <c r="X27" s="447">
        <f t="shared" si="1"/>
        <v>0</v>
      </c>
      <c r="Z27" s="375">
        <f>'23'!Z27</f>
        <v>0</v>
      </c>
      <c r="AA27" s="464">
        <f>'23'!AE27</f>
        <v>0</v>
      </c>
      <c r="AB27" s="460"/>
      <c r="AC27" s="462">
        <f t="shared" si="2"/>
        <v>0</v>
      </c>
      <c r="AD27" s="469"/>
      <c r="AE27" s="348">
        <f t="shared" si="3"/>
        <v>0</v>
      </c>
      <c r="AF27" s="563">
        <f>'23'!AF27+'24'!AB27</f>
        <v>0</v>
      </c>
      <c r="AG27" s="234">
        <f>'23'!AG27+'24'!AD27</f>
        <v>0</v>
      </c>
    </row>
    <row r="28" spans="1:36" ht="27" customHeight="1">
      <c r="A28" s="715" t="str">
        <f>'23'!A28</f>
        <v>GENERATOR</v>
      </c>
      <c r="B28" s="234"/>
      <c r="C28" s="348">
        <f>'23'!D28</f>
        <v>43700</v>
      </c>
      <c r="D28" s="234">
        <f t="shared" si="9"/>
        <v>43700</v>
      </c>
      <c r="F28" s="479" t="str">
        <f>'23'!F28</f>
        <v>AYAZ OUSTA</v>
      </c>
      <c r="G28" s="406">
        <f>'CUSTOMERS REPORT'!Y806</f>
        <v>0</v>
      </c>
      <c r="H28" s="504">
        <f>'CUSTOMERS REPORT'!Z806</f>
        <v>0</v>
      </c>
      <c r="I28" s="406">
        <f>'CUSTOMERS REPORT'!AA806</f>
        <v>0</v>
      </c>
      <c r="J28" s="498">
        <f>'CUSTOMERS REPORT'!AB806</f>
        <v>0</v>
      </c>
      <c r="K28" s="498">
        <f>'CUSTOMERS REPORT'!AC806</f>
        <v>0</v>
      </c>
      <c r="L28" s="509">
        <f>'CUSTOMERS REPORT'!AD806</f>
        <v>0</v>
      </c>
      <c r="M28" s="414">
        <f>'23'!M28+'24'!G28</f>
        <v>0</v>
      </c>
      <c r="N28" s="412">
        <f>'23'!N28+'24'!J28</f>
        <v>0</v>
      </c>
      <c r="P28" s="433"/>
      <c r="Q28" s="438"/>
      <c r="S28" s="400" t="str">
        <f>'23'!S28</f>
        <v>MAKKI 2 PES</v>
      </c>
      <c r="T28" s="446">
        <f>'23'!X28</f>
        <v>0</v>
      </c>
      <c r="U28" s="456"/>
      <c r="V28" s="451">
        <f t="shared" si="0"/>
        <v>0</v>
      </c>
      <c r="W28" s="451"/>
      <c r="X28" s="447">
        <f t="shared" si="1"/>
        <v>0</v>
      </c>
      <c r="Z28" s="375">
        <f>'23'!Z28</f>
        <v>0</v>
      </c>
      <c r="AA28" s="464">
        <f>'23'!AE28</f>
        <v>0</v>
      </c>
      <c r="AB28" s="460"/>
      <c r="AC28" s="462">
        <f t="shared" si="2"/>
        <v>0</v>
      </c>
      <c r="AD28" s="469"/>
      <c r="AE28" s="348">
        <f t="shared" si="3"/>
        <v>0</v>
      </c>
      <c r="AF28" s="563">
        <f>'23'!AF28+'24'!AB28</f>
        <v>0</v>
      </c>
      <c r="AG28" s="234">
        <f>'23'!AG28+'24'!AD28</f>
        <v>0</v>
      </c>
    </row>
    <row r="29" spans="1:36" ht="27" customHeight="1">
      <c r="A29" s="715" t="str">
        <f>'23'!A29</f>
        <v>PATROL FAW</v>
      </c>
      <c r="B29" s="234"/>
      <c r="C29" s="348">
        <f>'23'!D29</f>
        <v>30270</v>
      </c>
      <c r="D29" s="234">
        <f t="shared" si="9"/>
        <v>30270</v>
      </c>
      <c r="F29" s="479" t="str">
        <f>'23'!F29</f>
        <v>AZHAR BADEEN</v>
      </c>
      <c r="G29" s="406">
        <f>'CUSTOMERS REPORT'!Y844</f>
        <v>0</v>
      </c>
      <c r="H29" s="504">
        <f>'CUSTOMERS REPORT'!Z844</f>
        <v>0</v>
      </c>
      <c r="I29" s="406">
        <f>'CUSTOMERS REPORT'!AA844</f>
        <v>0</v>
      </c>
      <c r="J29" s="498">
        <f>'CUSTOMERS REPORT'!AB844</f>
        <v>0</v>
      </c>
      <c r="K29" s="498">
        <f>'CUSTOMERS REPORT'!AC844</f>
        <v>0</v>
      </c>
      <c r="L29" s="509">
        <f>'CUSTOMERS REPORT'!AD844</f>
        <v>0</v>
      </c>
      <c r="M29" s="414">
        <f>'23'!M29+'24'!G29</f>
        <v>0</v>
      </c>
      <c r="N29" s="412">
        <f>'23'!N29+'24'!J29</f>
        <v>0</v>
      </c>
      <c r="P29" s="433"/>
      <c r="Q29" s="441"/>
      <c r="S29" s="400" t="str">
        <f>'23'!S29</f>
        <v xml:space="preserve">PRIME </v>
      </c>
      <c r="T29" s="446">
        <f>'23'!X29</f>
        <v>0</v>
      </c>
      <c r="U29" s="456"/>
      <c r="V29" s="451">
        <f t="shared" si="0"/>
        <v>0</v>
      </c>
      <c r="W29" s="451"/>
      <c r="X29" s="447">
        <f t="shared" si="1"/>
        <v>0</v>
      </c>
      <c r="Z29" s="375">
        <f>'23'!Z29</f>
        <v>0</v>
      </c>
      <c r="AA29" s="464">
        <f>'23'!AE29</f>
        <v>0</v>
      </c>
      <c r="AB29" s="460"/>
      <c r="AC29" s="462">
        <f t="shared" si="2"/>
        <v>0</v>
      </c>
      <c r="AD29" s="469"/>
      <c r="AE29" s="348">
        <f t="shared" si="3"/>
        <v>0</v>
      </c>
      <c r="AF29" s="563">
        <f>'23'!AF29+'24'!AB29</f>
        <v>0</v>
      </c>
      <c r="AG29" s="234">
        <f>'23'!AG29+'24'!AD29</f>
        <v>0</v>
      </c>
    </row>
    <row r="30" spans="1:36" ht="27" customHeight="1">
      <c r="A30" s="715" t="str">
        <f>'23'!A30</f>
        <v>FOTON DIESEL</v>
      </c>
      <c r="B30" s="234"/>
      <c r="C30" s="348">
        <f>'23'!D30</f>
        <v>15800</v>
      </c>
      <c r="D30" s="234">
        <f t="shared" si="9"/>
        <v>15800</v>
      </c>
      <c r="F30" s="479" t="str">
        <f>'23'!F30</f>
        <v>FAISAL HUB</v>
      </c>
      <c r="G30" s="406">
        <f>'CUSTOMERS REPORT'!Y882</f>
        <v>0</v>
      </c>
      <c r="H30" s="504">
        <f>'CUSTOMERS REPORT'!Z882</f>
        <v>0</v>
      </c>
      <c r="I30" s="406">
        <f>'CUSTOMERS REPORT'!AA882</f>
        <v>0</v>
      </c>
      <c r="J30" s="498">
        <f>'CUSTOMERS REPORT'!AB882</f>
        <v>0</v>
      </c>
      <c r="K30" s="498">
        <f>'CUSTOMERS REPORT'!AC882</f>
        <v>0</v>
      </c>
      <c r="L30" s="509">
        <f>'CUSTOMERS REPORT'!AD882</f>
        <v>0</v>
      </c>
      <c r="M30" s="414">
        <f>'23'!M30+'24'!G30</f>
        <v>0</v>
      </c>
      <c r="N30" s="412">
        <f>'23'!N30+'24'!J30</f>
        <v>0</v>
      </c>
      <c r="P30" s="433"/>
      <c r="Q30" s="442"/>
      <c r="S30" s="400" t="str">
        <f>'23'!S30</f>
        <v>PRIMR 15</v>
      </c>
      <c r="T30" s="446">
        <f>'23'!X30</f>
        <v>0</v>
      </c>
      <c r="U30" s="456"/>
      <c r="V30" s="451">
        <f t="shared" si="0"/>
        <v>0</v>
      </c>
      <c r="W30" s="451"/>
      <c r="X30" s="447">
        <f t="shared" si="1"/>
        <v>0</v>
      </c>
      <c r="Z30" s="375">
        <f>'23'!Z30</f>
        <v>0</v>
      </c>
      <c r="AA30" s="464">
        <f>'23'!AE30</f>
        <v>0</v>
      </c>
      <c r="AB30" s="460"/>
      <c r="AC30" s="462">
        <f t="shared" si="2"/>
        <v>0</v>
      </c>
      <c r="AD30" s="469"/>
      <c r="AE30" s="348">
        <f t="shared" si="3"/>
        <v>0</v>
      </c>
      <c r="AF30" s="563">
        <f>'23'!AF30+'24'!AB30</f>
        <v>0</v>
      </c>
      <c r="AG30" s="234">
        <f>'23'!AG30+'24'!AD30</f>
        <v>0</v>
      </c>
    </row>
    <row r="31" spans="1:36" ht="27" customHeight="1" thickBot="1">
      <c r="A31" s="715" t="str">
        <f>'23'!A31</f>
        <v>UTILITY BILLS</v>
      </c>
      <c r="B31" s="234"/>
      <c r="C31" s="348">
        <f>'23'!D31</f>
        <v>44420</v>
      </c>
      <c r="D31" s="234">
        <f t="shared" si="9"/>
        <v>44420</v>
      </c>
      <c r="F31" s="479" t="str">
        <f>'23'!F31</f>
        <v>ABDUL RAHMAN</v>
      </c>
      <c r="G31" s="406">
        <f>'CUSTOMERS REPORT'!Y921</f>
        <v>0</v>
      </c>
      <c r="H31" s="504">
        <f>'CUSTOMERS REPORT'!Z921</f>
        <v>0</v>
      </c>
      <c r="I31" s="406">
        <f>'CUSTOMERS REPORT'!AA921</f>
        <v>0</v>
      </c>
      <c r="J31" s="498">
        <f>'CUSTOMERS REPORT'!AB921</f>
        <v>0</v>
      </c>
      <c r="K31" s="498">
        <f>'CUSTOMERS REPORT'!AC921</f>
        <v>0</v>
      </c>
      <c r="L31" s="509">
        <f>'CUSTOMERS REPORT'!AD921</f>
        <v>0</v>
      </c>
      <c r="M31" s="414">
        <f>'23'!M31+'24'!G31</f>
        <v>0</v>
      </c>
      <c r="N31" s="412">
        <f>'23'!N31+'24'!J31</f>
        <v>0</v>
      </c>
      <c r="P31" s="433"/>
      <c r="Q31" s="435"/>
      <c r="S31" s="400" t="str">
        <f>'23'!S31</f>
        <v>KARACHI</v>
      </c>
      <c r="T31" s="446">
        <f>'23'!X31</f>
        <v>0</v>
      </c>
      <c r="U31" s="456"/>
      <c r="V31" s="451">
        <f t="shared" si="0"/>
        <v>0</v>
      </c>
      <c r="W31" s="451"/>
      <c r="X31" s="447">
        <f t="shared" si="1"/>
        <v>0</v>
      </c>
      <c r="Z31" s="375">
        <f>'23'!Z31</f>
        <v>0</v>
      </c>
      <c r="AA31" s="464">
        <f>'23'!AE31</f>
        <v>0</v>
      </c>
      <c r="AB31" s="460"/>
      <c r="AC31" s="462">
        <f t="shared" si="2"/>
        <v>0</v>
      </c>
      <c r="AD31" s="469"/>
      <c r="AE31" s="348">
        <f t="shared" si="3"/>
        <v>0</v>
      </c>
      <c r="AF31" s="563">
        <f>'23'!AF31+'24'!AB31</f>
        <v>0</v>
      </c>
      <c r="AG31" s="234">
        <f>'23'!AG31+'24'!AD31</f>
        <v>0</v>
      </c>
      <c r="AI31" t="s">
        <v>1</v>
      </c>
    </row>
    <row r="32" spans="1:36" ht="27" customHeight="1" thickTop="1" thickBot="1">
      <c r="A32" s="715" t="str">
        <f>'23'!A32</f>
        <v>WOOD</v>
      </c>
      <c r="B32" s="234"/>
      <c r="C32" s="348">
        <f>'23'!D32</f>
        <v>150000</v>
      </c>
      <c r="D32" s="234">
        <f t="shared" si="9"/>
        <v>150000</v>
      </c>
      <c r="F32" s="479" t="str">
        <f>'23'!F32</f>
        <v>HAJI JAN GIWANI</v>
      </c>
      <c r="G32" s="406">
        <f>'CUSTOMERS REPORT'!Y960</f>
        <v>0</v>
      </c>
      <c r="H32" s="504">
        <f>'CUSTOMERS REPORT'!Z960</f>
        <v>0</v>
      </c>
      <c r="I32" s="406">
        <f>'CUSTOMERS REPORT'!AA960</f>
        <v>0</v>
      </c>
      <c r="J32" s="498">
        <f>'CUSTOMERS REPORT'!AB960</f>
        <v>0</v>
      </c>
      <c r="K32" s="498">
        <f>'CUSTOMERS REPORT'!AC960</f>
        <v>0</v>
      </c>
      <c r="L32" s="509">
        <f>'CUSTOMERS REPORT'!AD960</f>
        <v>0</v>
      </c>
      <c r="M32" s="414">
        <f>'23'!M32+'24'!G32</f>
        <v>0</v>
      </c>
      <c r="N32" s="412">
        <f>'23'!N32+'24'!J32</f>
        <v>0</v>
      </c>
      <c r="P32" s="190" t="s">
        <v>51</v>
      </c>
      <c r="Q32" s="439">
        <f>Q23-Q25-Q26-Q27-Q28-Q29-Q30-Q31</f>
        <v>0</v>
      </c>
      <c r="R32" t="s">
        <v>1</v>
      </c>
      <c r="S32" s="400" t="str">
        <f>'23'!S32</f>
        <v>MARVI</v>
      </c>
      <c r="T32" s="446">
        <f>'23'!X32</f>
        <v>0</v>
      </c>
      <c r="U32" s="456"/>
      <c r="V32" s="451">
        <f t="shared" si="0"/>
        <v>0</v>
      </c>
      <c r="W32" s="451"/>
      <c r="X32" s="447">
        <f t="shared" si="1"/>
        <v>0</v>
      </c>
      <c r="Z32" s="375">
        <f>'23'!Z32</f>
        <v>0</v>
      </c>
      <c r="AA32" s="464">
        <f>'23'!AE32</f>
        <v>0</v>
      </c>
      <c r="AB32" s="460"/>
      <c r="AC32" s="462">
        <f t="shared" si="2"/>
        <v>0</v>
      </c>
      <c r="AD32" s="469"/>
      <c r="AE32" s="348">
        <f t="shared" si="3"/>
        <v>0</v>
      </c>
      <c r="AF32" s="563">
        <f>'23'!AF32+'24'!AB32</f>
        <v>0</v>
      </c>
      <c r="AG32" s="234">
        <f>'23'!AG32+'24'!AD32</f>
        <v>0</v>
      </c>
    </row>
    <row r="33" spans="1:40" ht="27" customHeight="1" thickTop="1" thickBot="1">
      <c r="A33" s="716" t="str">
        <f>'23'!A33</f>
        <v>TOLL</v>
      </c>
      <c r="B33" s="538"/>
      <c r="C33" s="348">
        <f>'23'!D33</f>
        <v>200</v>
      </c>
      <c r="D33" s="234">
        <f t="shared" si="9"/>
        <v>200</v>
      </c>
      <c r="F33" s="479" t="str">
        <f>'23'!F33</f>
        <v>ALI QURESHI HYD</v>
      </c>
      <c r="G33" s="406">
        <f>'CUSTOMERS REPORT'!Y998</f>
        <v>0</v>
      </c>
      <c r="H33" s="504">
        <f>'CUSTOMERS REPORT'!Z998</f>
        <v>0</v>
      </c>
      <c r="I33" s="406">
        <f>'CUSTOMERS REPORT'!AA998</f>
        <v>0</v>
      </c>
      <c r="J33" s="498">
        <f>'CUSTOMERS REPORT'!AB998</f>
        <v>0</v>
      </c>
      <c r="K33" s="498">
        <f>'CUSTOMERS REPORT'!AC998</f>
        <v>0</v>
      </c>
      <c r="L33" s="509">
        <f>'CUSTOMERS REPORT'!AD998</f>
        <v>0</v>
      </c>
      <c r="M33" s="414">
        <f>'23'!M33+'24'!G33</f>
        <v>0</v>
      </c>
      <c r="N33" s="412">
        <f>'23'!N33+'24'!J33</f>
        <v>0</v>
      </c>
      <c r="P33" s="1499" t="s">
        <v>149</v>
      </c>
      <c r="Q33" s="1500"/>
      <c r="S33" s="400" t="str">
        <f>'23'!S33</f>
        <v>TS</v>
      </c>
      <c r="T33" s="446">
        <f>'23'!X33</f>
        <v>0</v>
      </c>
      <c r="U33" s="456"/>
      <c r="V33" s="451">
        <f t="shared" si="0"/>
        <v>0</v>
      </c>
      <c r="W33" s="451"/>
      <c r="X33" s="447">
        <f t="shared" si="1"/>
        <v>0</v>
      </c>
      <c r="Z33" s="375">
        <f>'23'!Z33</f>
        <v>0</v>
      </c>
      <c r="AA33" s="464">
        <f>'23'!AE33</f>
        <v>0</v>
      </c>
      <c r="AB33" s="460"/>
      <c r="AC33" s="462">
        <f t="shared" si="2"/>
        <v>0</v>
      </c>
      <c r="AD33" s="469"/>
      <c r="AE33" s="348">
        <f t="shared" si="3"/>
        <v>0</v>
      </c>
      <c r="AF33" s="563">
        <f>'23'!AF33+'24'!AB33</f>
        <v>0</v>
      </c>
      <c r="AG33" s="234">
        <f>'23'!AG33+'24'!AD33</f>
        <v>0</v>
      </c>
    </row>
    <row r="34" spans="1:40" ht="27" customHeight="1" thickTop="1" thickBot="1">
      <c r="A34" s="716" t="str">
        <f>'23'!A34</f>
        <v>FLOUR / SHGER</v>
      </c>
      <c r="B34" s="538"/>
      <c r="C34" s="552">
        <f>'23'!D34</f>
        <v>1120</v>
      </c>
      <c r="D34" s="234">
        <f t="shared" si="9"/>
        <v>1120</v>
      </c>
      <c r="F34" s="479" t="str">
        <f>'23'!F34</f>
        <v>ALI RAZA KAND KOT</v>
      </c>
      <c r="G34" s="406">
        <f>'CUSTOMERS REPORT'!Y1036</f>
        <v>0</v>
      </c>
      <c r="H34" s="504">
        <f>'CUSTOMERS REPORT'!Z1036</f>
        <v>0</v>
      </c>
      <c r="I34" s="406">
        <f>'CUSTOMERS REPORT'!AA1036</f>
        <v>0</v>
      </c>
      <c r="J34" s="498">
        <f>'CUSTOMERS REPORT'!AB1036</f>
        <v>0</v>
      </c>
      <c r="K34" s="498">
        <f>'CUSTOMERS REPORT'!AC1036</f>
        <v>0</v>
      </c>
      <c r="L34" s="509">
        <f>'CUSTOMERS REPORT'!AD1036</f>
        <v>0</v>
      </c>
      <c r="M34" s="414">
        <f>'23'!M34+'24'!G34</f>
        <v>0</v>
      </c>
      <c r="N34" s="412">
        <f>'23'!N34+'24'!J34</f>
        <v>0</v>
      </c>
      <c r="P34" s="220" t="s">
        <v>150</v>
      </c>
      <c r="Q34" s="223">
        <f>'23'!Q34</f>
        <v>0</v>
      </c>
      <c r="S34" s="400" t="str">
        <f>'23'!S34</f>
        <v>MAXI</v>
      </c>
      <c r="T34" s="446">
        <f>'23'!X34</f>
        <v>0</v>
      </c>
      <c r="U34" s="457"/>
      <c r="V34" s="452">
        <f t="shared" si="0"/>
        <v>0</v>
      </c>
      <c r="W34" s="452"/>
      <c r="X34" s="448">
        <f t="shared" si="1"/>
        <v>0</v>
      </c>
      <c r="Z34" s="375">
        <f>'23'!Z34</f>
        <v>0</v>
      </c>
      <c r="AA34" s="464">
        <f>'23'!AE34</f>
        <v>0</v>
      </c>
      <c r="AB34" s="460"/>
      <c r="AC34" s="462">
        <f t="shared" si="2"/>
        <v>0</v>
      </c>
      <c r="AD34" s="469"/>
      <c r="AE34" s="348">
        <f t="shared" si="3"/>
        <v>0</v>
      </c>
      <c r="AF34" s="563">
        <f>'23'!AF34+'24'!AB34</f>
        <v>0</v>
      </c>
      <c r="AG34" s="234">
        <f>'23'!AG34+'24'!AD34</f>
        <v>0</v>
      </c>
    </row>
    <row r="35" spans="1:40" ht="27" customHeight="1" thickTop="1">
      <c r="A35" s="716" t="str">
        <f>'23'!A35</f>
        <v>OVEN &amp; PP MACHINE</v>
      </c>
      <c r="B35" s="529"/>
      <c r="C35" s="552">
        <f>'23'!D35</f>
        <v>0</v>
      </c>
      <c r="D35" s="529">
        <f t="shared" si="9"/>
        <v>0</v>
      </c>
      <c r="F35" s="479" t="str">
        <f>'23'!F35</f>
        <v>IQBAL MORO</v>
      </c>
      <c r="G35" s="407">
        <f>'CUSTOMERS REPORT'!Y1074</f>
        <v>0</v>
      </c>
      <c r="H35" s="505">
        <f>'CUSTOMERS REPORT'!Z1074</f>
        <v>0</v>
      </c>
      <c r="I35" s="407">
        <f>'CUSTOMERS REPORT'!AA1074</f>
        <v>0</v>
      </c>
      <c r="J35" s="499">
        <f>'CUSTOMERS REPORT'!AB1074</f>
        <v>0</v>
      </c>
      <c r="K35" s="499">
        <f>'CUSTOMERS REPORT'!AC1074</f>
        <v>0</v>
      </c>
      <c r="L35" s="510">
        <f>'CUSTOMERS REPORT'!AD1074</f>
        <v>0</v>
      </c>
      <c r="M35" s="414">
        <f>'23'!M35+'24'!G35</f>
        <v>0</v>
      </c>
      <c r="N35" s="412">
        <f>'23'!N35+'24'!J35</f>
        <v>0</v>
      </c>
      <c r="P35" s="252" t="s">
        <v>151</v>
      </c>
      <c r="Q35" s="443">
        <f>'23'!Q35</f>
        <v>0</v>
      </c>
      <c r="R35" t="s">
        <v>1</v>
      </c>
      <c r="S35" s="400" t="str">
        <f>'23'!S35</f>
        <v>M A WHITE</v>
      </c>
      <c r="T35" s="446">
        <f>'23'!X35</f>
        <v>0</v>
      </c>
      <c r="U35" s="457"/>
      <c r="V35" s="452">
        <f t="shared" si="0"/>
        <v>0</v>
      </c>
      <c r="W35" s="452"/>
      <c r="X35" s="448">
        <f t="shared" si="1"/>
        <v>0</v>
      </c>
      <c r="Z35" s="375">
        <f>'23'!Z35</f>
        <v>0</v>
      </c>
      <c r="AA35" s="464">
        <f>'23'!AE35</f>
        <v>0</v>
      </c>
      <c r="AB35" s="460"/>
      <c r="AC35" s="462">
        <f t="shared" si="2"/>
        <v>0</v>
      </c>
      <c r="AD35" s="469"/>
      <c r="AE35" s="348">
        <f t="shared" si="3"/>
        <v>0</v>
      </c>
      <c r="AF35" s="563">
        <f>'23'!AF35+'24'!AB35</f>
        <v>0</v>
      </c>
      <c r="AG35" s="234">
        <f>'23'!AG35+'24'!AD35</f>
        <v>0</v>
      </c>
    </row>
    <row r="36" spans="1:40" ht="27" customHeight="1">
      <c r="A36" s="716" t="str">
        <f>'23'!A36</f>
        <v>zakat</v>
      </c>
      <c r="B36" s="539"/>
      <c r="C36" s="552">
        <f>'23'!D36</f>
        <v>0</v>
      </c>
      <c r="D36" s="529">
        <f t="shared" si="9"/>
        <v>0</v>
      </c>
      <c r="F36" s="479" t="str">
        <f>'23'!F36</f>
        <v>SARFARAZ T ADAM</v>
      </c>
      <c r="G36" s="407">
        <f>'CUSTOMERS REPORT'!Y1112</f>
        <v>0</v>
      </c>
      <c r="H36" s="505">
        <f>'CUSTOMERS REPORT'!Z1112</f>
        <v>0</v>
      </c>
      <c r="I36" s="407">
        <f>'CUSTOMERS REPORT'!AA1112</f>
        <v>0</v>
      </c>
      <c r="J36" s="499">
        <f>'CUSTOMERS REPORT'!AB1112</f>
        <v>0</v>
      </c>
      <c r="K36" s="499">
        <f>'CUSTOMERS REPORT'!AC1112</f>
        <v>0</v>
      </c>
      <c r="L36" s="510">
        <f>'CUSTOMERS REPORT'!AD1112</f>
        <v>0</v>
      </c>
      <c r="M36" s="414">
        <f>'23'!M36+'24'!G36</f>
        <v>0</v>
      </c>
      <c r="N36" s="412">
        <f>'23'!N36+'24'!J36</f>
        <v>0</v>
      </c>
      <c r="P36" s="372" t="s">
        <v>152</v>
      </c>
      <c r="Q36" s="444">
        <f>J48</f>
        <v>0</v>
      </c>
      <c r="R36" t="s">
        <v>1</v>
      </c>
      <c r="S36" s="400" t="str">
        <f>'23'!S36</f>
        <v>M A ORING</v>
      </c>
      <c r="T36" s="446">
        <f>'23'!X36</f>
        <v>0</v>
      </c>
      <c r="U36" s="456"/>
      <c r="V36" s="451">
        <f t="shared" si="0"/>
        <v>0</v>
      </c>
      <c r="W36" s="452"/>
      <c r="X36" s="448">
        <f t="shared" si="1"/>
        <v>0</v>
      </c>
      <c r="Z36" s="375">
        <f>'23'!Z36</f>
        <v>0</v>
      </c>
      <c r="AA36" s="464">
        <f>'23'!AE36</f>
        <v>0</v>
      </c>
      <c r="AB36" s="460"/>
      <c r="AC36" s="462">
        <f t="shared" si="2"/>
        <v>0</v>
      </c>
      <c r="AD36" s="469"/>
      <c r="AE36" s="348">
        <f t="shared" si="3"/>
        <v>0</v>
      </c>
      <c r="AF36" s="563">
        <f>'23'!AF36+'24'!AB36</f>
        <v>0</v>
      </c>
      <c r="AG36" s="234">
        <f>'23'!AG36+'24'!AD36</f>
        <v>0</v>
      </c>
    </row>
    <row r="37" spans="1:40" ht="27" customHeight="1">
      <c r="A37" s="716" t="str">
        <f>'23'!A37</f>
        <v>javeed manghopir</v>
      </c>
      <c r="B37" s="234"/>
      <c r="C37" s="552">
        <f>'23'!D37</f>
        <v>0</v>
      </c>
      <c r="D37" s="234">
        <f t="shared" si="9"/>
        <v>0</v>
      </c>
      <c r="F37" s="479" t="str">
        <f>'23'!F37</f>
        <v>MUMTAZ K N SHAH</v>
      </c>
      <c r="G37" s="406">
        <f>'CUSTOMERS REPORT'!Y1150</f>
        <v>0</v>
      </c>
      <c r="H37" s="504">
        <f>'CUSTOMERS REPORT'!Z1150</f>
        <v>0</v>
      </c>
      <c r="I37" s="406">
        <f>'CUSTOMERS REPORT'!AA1150</f>
        <v>0</v>
      </c>
      <c r="J37" s="498">
        <f>'CUSTOMERS REPORT'!AB1150</f>
        <v>0</v>
      </c>
      <c r="K37" s="498">
        <f>'CUSTOMERS REPORT'!AC1150</f>
        <v>0</v>
      </c>
      <c r="L37" s="509">
        <f>'CUSTOMERS REPORT'!AD1150</f>
        <v>0</v>
      </c>
      <c r="M37" s="414">
        <f>'23'!M37+'24'!G37</f>
        <v>0</v>
      </c>
      <c r="N37" s="412">
        <f>'23'!N37+'24'!J37</f>
        <v>0</v>
      </c>
      <c r="P37" s="373" t="s">
        <v>153</v>
      </c>
      <c r="Q37" s="445">
        <f>Q34+Q35+Q36</f>
        <v>0</v>
      </c>
      <c r="R37" t="s">
        <v>1</v>
      </c>
      <c r="S37" s="400">
        <f>'23'!S37</f>
        <v>0</v>
      </c>
      <c r="T37" s="446">
        <f>'23'!X37</f>
        <v>0</v>
      </c>
      <c r="U37" s="456"/>
      <c r="V37" s="451">
        <f t="shared" si="0"/>
        <v>0</v>
      </c>
      <c r="W37" s="452"/>
      <c r="X37" s="448">
        <f t="shared" si="1"/>
        <v>0</v>
      </c>
      <c r="Z37" s="375">
        <f>'23'!Z37</f>
        <v>0</v>
      </c>
      <c r="AA37" s="464">
        <f>'23'!AE37</f>
        <v>0</v>
      </c>
      <c r="AB37" s="460"/>
      <c r="AC37" s="462">
        <f t="shared" si="2"/>
        <v>0</v>
      </c>
      <c r="AD37" s="469"/>
      <c r="AE37" s="348">
        <f t="shared" si="3"/>
        <v>0</v>
      </c>
      <c r="AF37" s="563">
        <f>'23'!AF37+'24'!AB37</f>
        <v>0</v>
      </c>
      <c r="AG37" s="234">
        <f>'23'!AG37+'24'!AD37</f>
        <v>0</v>
      </c>
    </row>
    <row r="38" spans="1:40" ht="27" customHeight="1">
      <c r="A38" s="716" t="str">
        <f>'23'!A38</f>
        <v>EXSIS CASH</v>
      </c>
      <c r="B38" s="234"/>
      <c r="C38" s="552">
        <f>'23'!D38</f>
        <v>0</v>
      </c>
      <c r="D38" s="234">
        <f t="shared" si="9"/>
        <v>0</v>
      </c>
      <c r="F38" s="479" t="str">
        <f>'23'!F38</f>
        <v>GHULAM RASOOL QU</v>
      </c>
      <c r="G38" s="408">
        <f>'CUSTOMERS REPORT'!Y1187</f>
        <v>0</v>
      </c>
      <c r="H38" s="506">
        <f>'CUSTOMERS REPORT'!Z1187</f>
        <v>0</v>
      </c>
      <c r="I38" s="408">
        <f>'CUSTOMERS REPORT'!AA1187</f>
        <v>0</v>
      </c>
      <c r="J38" s="500">
        <f>'CUSTOMERS REPORT'!AB1187</f>
        <v>0</v>
      </c>
      <c r="K38" s="500">
        <f>'CUSTOMERS REPORT'!AC1187</f>
        <v>0</v>
      </c>
      <c r="L38" s="511">
        <f>'CUSTOMERS REPORT'!AD1187</f>
        <v>0</v>
      </c>
      <c r="M38" s="414">
        <f>'23'!M38+'24'!G38</f>
        <v>0</v>
      </c>
      <c r="N38" s="412">
        <f>'23'!N38+'24'!J38</f>
        <v>0</v>
      </c>
      <c r="P38" s="373" t="s">
        <v>154</v>
      </c>
      <c r="Q38" s="445">
        <f>D48</f>
        <v>3911340</v>
      </c>
      <c r="S38" s="400">
        <f>'23'!S38</f>
        <v>0</v>
      </c>
      <c r="T38" s="446">
        <f>'23'!X38</f>
        <v>0</v>
      </c>
      <c r="U38" s="456"/>
      <c r="V38" s="451">
        <f t="shared" si="0"/>
        <v>0</v>
      </c>
      <c r="W38" s="452"/>
      <c r="X38" s="448">
        <f t="shared" si="1"/>
        <v>0</v>
      </c>
      <c r="Z38" s="375">
        <f>'23'!Z38</f>
        <v>0</v>
      </c>
      <c r="AA38" s="464">
        <f>'23'!AE38</f>
        <v>0</v>
      </c>
      <c r="AB38" s="460"/>
      <c r="AC38" s="462">
        <f t="shared" si="2"/>
        <v>0</v>
      </c>
      <c r="AD38" s="469"/>
      <c r="AE38" s="348">
        <f t="shared" si="3"/>
        <v>0</v>
      </c>
      <c r="AF38" s="563">
        <f>'23'!AF38+'24'!AB38</f>
        <v>0</v>
      </c>
      <c r="AG38" s="234">
        <f>'23'!AG38+'24'!AD38</f>
        <v>0</v>
      </c>
    </row>
    <row r="39" spans="1:40" ht="27" customHeight="1">
      <c r="A39" s="715" t="str">
        <f>'23'!A39</f>
        <v>SHORT CASH</v>
      </c>
      <c r="B39" s="234"/>
      <c r="C39" s="348">
        <f>'23'!D39</f>
        <v>1950</v>
      </c>
      <c r="D39" s="234">
        <f t="shared" si="9"/>
        <v>1950</v>
      </c>
      <c r="F39" s="479" t="str">
        <f>'23'!F39</f>
        <v>SHAMSHAD UNCLE</v>
      </c>
      <c r="G39" s="406">
        <f>'CUSTOMERS REPORT'!Y1224</f>
        <v>0</v>
      </c>
      <c r="H39" s="504">
        <f>'CUSTOMERS REPORT'!Z1224</f>
        <v>0</v>
      </c>
      <c r="I39" s="406">
        <f>'CUSTOMERS REPORT'!AA1224</f>
        <v>0</v>
      </c>
      <c r="J39" s="498">
        <f>'CUSTOMERS REPORT'!AB1224</f>
        <v>0</v>
      </c>
      <c r="K39" s="498">
        <f>'CUSTOMERS REPORT'!AC1224</f>
        <v>0</v>
      </c>
      <c r="L39" s="509">
        <f>'CUSTOMERS REPORT'!AD1224</f>
        <v>0</v>
      </c>
      <c r="M39" s="414">
        <f>'23'!M39+'24'!G39</f>
        <v>0</v>
      </c>
      <c r="N39" s="412">
        <f>'23'!N39+'24'!J39</f>
        <v>0</v>
      </c>
      <c r="P39" s="373" t="s">
        <v>109</v>
      </c>
      <c r="Q39" s="445">
        <f>'23'!Q39+'24'!Q25+'24'!Q26+'24'!Q27+'24'!Q28+'24'!Q29+'24'!Q30+'24'!Q31</f>
        <v>0</v>
      </c>
      <c r="R39" t="s">
        <v>1</v>
      </c>
      <c r="S39" s="400">
        <f>'23'!S39</f>
        <v>0</v>
      </c>
      <c r="T39" s="446">
        <f>'23'!X39</f>
        <v>0</v>
      </c>
      <c r="U39" s="456"/>
      <c r="V39" s="451">
        <f t="shared" si="0"/>
        <v>0</v>
      </c>
      <c r="W39" s="452"/>
      <c r="X39" s="448">
        <f t="shared" si="1"/>
        <v>0</v>
      </c>
      <c r="Z39" s="375">
        <f>'23'!Z39</f>
        <v>0</v>
      </c>
      <c r="AA39" s="464">
        <f>'23'!AE39</f>
        <v>0</v>
      </c>
      <c r="AB39" s="460"/>
      <c r="AC39" s="462">
        <f t="shared" si="2"/>
        <v>0</v>
      </c>
      <c r="AD39" s="469"/>
      <c r="AE39" s="348">
        <f t="shared" si="3"/>
        <v>0</v>
      </c>
      <c r="AF39" s="563">
        <f>'23'!AF39+'24'!AB39</f>
        <v>0</v>
      </c>
      <c r="AG39" s="234">
        <f>'23'!AG39+'24'!AD39</f>
        <v>0</v>
      </c>
    </row>
    <row r="40" spans="1:40" ht="27" customHeight="1" thickBot="1">
      <c r="A40" s="715" t="str">
        <f>'23'!A40</f>
        <v>ASSETS</v>
      </c>
      <c r="B40" s="234"/>
      <c r="C40" s="548">
        <f>'23'!D40</f>
        <v>0</v>
      </c>
      <c r="D40" s="234">
        <f t="shared" si="9"/>
        <v>0</v>
      </c>
      <c r="F40" s="479" t="str">
        <f>'23'!F40</f>
        <v>IBRAHEEM D.G KHAN</v>
      </c>
      <c r="G40" s="406">
        <f>'CUSTOMERS REPORT'!Y1261</f>
        <v>0</v>
      </c>
      <c r="H40" s="504">
        <f>'CUSTOMERS REPORT'!Z1261</f>
        <v>0</v>
      </c>
      <c r="I40" s="406">
        <f>'CUSTOMERS REPORT'!AA1261</f>
        <v>0</v>
      </c>
      <c r="J40" s="498">
        <f>'CUSTOMERS REPORT'!AB1261</f>
        <v>0</v>
      </c>
      <c r="K40" s="498">
        <f>'CUSTOMERS REPORT'!AC1261</f>
        <v>0</v>
      </c>
      <c r="L40" s="509">
        <f>'CUSTOMERS REPORT'!AD1261</f>
        <v>0</v>
      </c>
      <c r="M40" s="414">
        <f>'23'!M40+'24'!G40</f>
        <v>0</v>
      </c>
      <c r="N40" s="412">
        <f>'23'!N40+'24'!J40</f>
        <v>0</v>
      </c>
      <c r="P40" s="374" t="s">
        <v>155</v>
      </c>
      <c r="Q40" s="445">
        <f>Q48</f>
        <v>-3911340</v>
      </c>
      <c r="S40" s="400">
        <f>'23'!S40</f>
        <v>0</v>
      </c>
      <c r="T40" s="446">
        <f>'23'!X40</f>
        <v>0</v>
      </c>
      <c r="U40" s="456"/>
      <c r="V40" s="451">
        <f t="shared" si="0"/>
        <v>0</v>
      </c>
      <c r="W40" s="452"/>
      <c r="X40" s="448">
        <f t="shared" si="1"/>
        <v>0</v>
      </c>
      <c r="Z40" s="375">
        <f>'23'!Z40</f>
        <v>0</v>
      </c>
      <c r="AA40" s="464">
        <f>'23'!AE40</f>
        <v>0</v>
      </c>
      <c r="AB40" s="460"/>
      <c r="AC40" s="462">
        <f t="shared" si="2"/>
        <v>0</v>
      </c>
      <c r="AD40" s="469"/>
      <c r="AE40" s="348">
        <f t="shared" si="3"/>
        <v>0</v>
      </c>
      <c r="AF40" s="563">
        <f>'23'!AF40+'24'!AB40</f>
        <v>0</v>
      </c>
      <c r="AG40" s="234">
        <f>'23'!AG40+'24'!AD40</f>
        <v>0</v>
      </c>
    </row>
    <row r="41" spans="1:40" ht="27" customHeight="1" thickTop="1" thickBot="1">
      <c r="A41" s="715" t="str">
        <f>'23'!A41</f>
        <v>BIKE.INSTALMINT</v>
      </c>
      <c r="B41" s="234"/>
      <c r="C41" s="548">
        <f>'23'!D41</f>
        <v>12200</v>
      </c>
      <c r="D41" s="234">
        <f t="shared" si="9"/>
        <v>12200</v>
      </c>
      <c r="E41" t="s">
        <v>1</v>
      </c>
      <c r="F41" s="479" t="str">
        <f>'23'!F41</f>
        <v>PISHAWAR</v>
      </c>
      <c r="G41" s="409">
        <f>'CUSTOMERS REPORT'!Y1298</f>
        <v>0</v>
      </c>
      <c r="H41" s="507">
        <f>'CUSTOMERS REPORT'!Z1298</f>
        <v>0</v>
      </c>
      <c r="I41" s="409">
        <f>'CUSTOMERS REPORT'!AA1298</f>
        <v>0</v>
      </c>
      <c r="J41" s="501">
        <f>'CUSTOMERS REPORT'!AB1298</f>
        <v>0</v>
      </c>
      <c r="K41" s="501">
        <f>'CUSTOMERS REPORT'!AC1298</f>
        <v>0</v>
      </c>
      <c r="L41" s="512">
        <f>'CUSTOMERS REPORT'!AD1298</f>
        <v>0</v>
      </c>
      <c r="M41" s="414">
        <f>'23'!M41+'24'!G41</f>
        <v>0</v>
      </c>
      <c r="N41" s="412">
        <f>'23'!N41+'24'!J41</f>
        <v>0</v>
      </c>
      <c r="P41" s="221" t="s">
        <v>51</v>
      </c>
      <c r="Q41" s="223">
        <f>Q37-Q38-Q39-Q40</f>
        <v>0</v>
      </c>
      <c r="S41" s="400">
        <f>'23'!S41</f>
        <v>0</v>
      </c>
      <c r="T41" s="446">
        <f>'23'!X41</f>
        <v>0</v>
      </c>
      <c r="U41" s="456"/>
      <c r="V41" s="451">
        <f t="shared" si="0"/>
        <v>0</v>
      </c>
      <c r="W41" s="452"/>
      <c r="X41" s="448">
        <f t="shared" si="1"/>
        <v>0</v>
      </c>
      <c r="Z41" s="375">
        <f>'23'!Z41</f>
        <v>0</v>
      </c>
      <c r="AA41" s="464">
        <f>'23'!AE41</f>
        <v>0</v>
      </c>
      <c r="AB41" s="460"/>
      <c r="AC41" s="462">
        <f t="shared" si="2"/>
        <v>0</v>
      </c>
      <c r="AD41" s="469"/>
      <c r="AE41" s="348">
        <f t="shared" si="3"/>
        <v>0</v>
      </c>
      <c r="AF41" s="563">
        <f>'23'!AF41+'24'!AB41</f>
        <v>0</v>
      </c>
      <c r="AG41" s="234">
        <f>'23'!AG41+'24'!AD41</f>
        <v>0</v>
      </c>
    </row>
    <row r="42" spans="1:40" ht="27" customHeight="1" thickTop="1" thickBot="1">
      <c r="A42" s="715" t="str">
        <f>'23'!A42</f>
        <v>B.C</v>
      </c>
      <c r="B42" s="529"/>
      <c r="C42" s="348">
        <f>'23'!D42</f>
        <v>0</v>
      </c>
      <c r="D42" s="529">
        <f t="shared" si="9"/>
        <v>0</v>
      </c>
      <c r="F42" s="479" t="str">
        <f>'23'!F42</f>
        <v>HUZAFA KOTRI</v>
      </c>
      <c r="G42" s="409">
        <f>'CUSTOMERS REPORT'!Y1335</f>
        <v>0</v>
      </c>
      <c r="H42" s="507">
        <f>'CUSTOMERS REPORT'!Z1335</f>
        <v>0</v>
      </c>
      <c r="I42" s="409">
        <f>'CUSTOMERS REPORT'!AA1335</f>
        <v>0</v>
      </c>
      <c r="J42" s="501">
        <f>'CUSTOMERS REPORT'!AB1335</f>
        <v>0</v>
      </c>
      <c r="K42" s="501">
        <f>'CUSTOMERS REPORT'!AC1335</f>
        <v>0</v>
      </c>
      <c r="L42" s="512">
        <f>'CUSTOMERS REPORT'!AD1335</f>
        <v>0</v>
      </c>
      <c r="M42" s="414">
        <f>'23'!M42+'24'!G42</f>
        <v>0</v>
      </c>
      <c r="N42" s="412">
        <f>'23'!N42+'24'!J42</f>
        <v>0</v>
      </c>
      <c r="P42" s="1499" t="s">
        <v>157</v>
      </c>
      <c r="Q42" s="1500"/>
      <c r="S42" s="400">
        <f>'23'!S42</f>
        <v>0</v>
      </c>
      <c r="T42" s="446">
        <f>'23'!X42</f>
        <v>0</v>
      </c>
      <c r="U42" s="458"/>
      <c r="V42" s="453">
        <f t="shared" si="0"/>
        <v>0</v>
      </c>
      <c r="W42" s="454"/>
      <c r="X42" s="449">
        <f t="shared" si="1"/>
        <v>0</v>
      </c>
      <c r="Z42" s="375">
        <f>'23'!Z42</f>
        <v>0</v>
      </c>
      <c r="AA42" s="464">
        <f>'23'!AE42</f>
        <v>0</v>
      </c>
      <c r="AB42" s="461"/>
      <c r="AC42" s="462">
        <f>AA42+AB42</f>
        <v>0</v>
      </c>
      <c r="AD42" s="470"/>
      <c r="AE42" s="348">
        <f t="shared" si="3"/>
        <v>0</v>
      </c>
      <c r="AF42" s="564">
        <f>'23'!AF42+'24'!AB42</f>
        <v>0</v>
      </c>
      <c r="AG42" s="572">
        <f>'23'!AG42+'24'!AD42</f>
        <v>0</v>
      </c>
    </row>
    <row r="43" spans="1:40" ht="27" customHeight="1" thickTop="1" thickBot="1">
      <c r="A43" s="715" t="str">
        <f>'23'!A43</f>
        <v>AQEEL</v>
      </c>
      <c r="B43" s="539"/>
      <c r="C43" s="348">
        <f>'23'!D43</f>
        <v>0</v>
      </c>
      <c r="D43" s="529">
        <f t="shared" si="9"/>
        <v>0</v>
      </c>
      <c r="F43" s="479" t="str">
        <f>'23'!F43</f>
        <v>ZAHID LAHORE</v>
      </c>
      <c r="G43" s="409">
        <f>'CUSTOMERS REPORT'!Y1372</f>
        <v>0</v>
      </c>
      <c r="H43" s="507">
        <f>'CUSTOMERS REPORT'!Z1372</f>
        <v>0</v>
      </c>
      <c r="I43" s="409">
        <f>'CUSTOMERS REPORT'!AA1372</f>
        <v>0</v>
      </c>
      <c r="J43" s="501">
        <f>'CUSTOMERS REPORT'!AB1372</f>
        <v>0</v>
      </c>
      <c r="K43" s="501">
        <f>'CUSTOMERS REPORT'!AC1372</f>
        <v>0</v>
      </c>
      <c r="L43" s="512">
        <f>'CUSTOMERS REPORT'!AD1372</f>
        <v>0</v>
      </c>
      <c r="M43" s="414">
        <f>'23'!M43+'24'!G43</f>
        <v>0</v>
      </c>
      <c r="N43" s="412">
        <f>'23'!N43+'24'!J43</f>
        <v>0</v>
      </c>
      <c r="P43" s="220" t="s">
        <v>124</v>
      </c>
      <c r="Q43" s="223">
        <f>'23'!Q48</f>
        <v>-3747830</v>
      </c>
      <c r="R43" t="s">
        <v>1</v>
      </c>
      <c r="S43" s="400">
        <f>'23'!S43</f>
        <v>0</v>
      </c>
      <c r="T43" s="446">
        <f>'23'!X43</f>
        <v>0</v>
      </c>
      <c r="U43" s="358"/>
      <c r="V43" s="453">
        <f t="shared" si="0"/>
        <v>0</v>
      </c>
      <c r="W43" s="403"/>
      <c r="X43" s="449">
        <f t="shared" si="1"/>
        <v>0</v>
      </c>
      <c r="Z43" s="383"/>
      <c r="AA43" s="356">
        <f>SUM(AA8:AA42)</f>
        <v>-1828350</v>
      </c>
      <c r="AB43" s="385">
        <f>SUM(AB8:AB42)</f>
        <v>0</v>
      </c>
      <c r="AC43" s="357" t="s">
        <v>74</v>
      </c>
      <c r="AD43" s="387">
        <f>SUM(AD8:AD42)</f>
        <v>100000</v>
      </c>
      <c r="AE43" s="358">
        <f>SUM(AE8:AE42)</f>
        <v>-1928350</v>
      </c>
      <c r="AF43" s="565">
        <f>SUM(AF8:AF42)</f>
        <v>1275750</v>
      </c>
      <c r="AG43" s="571">
        <f>SUM(AG8:AG42)</f>
        <v>3204100</v>
      </c>
    </row>
    <row r="44" spans="1:40" ht="27" customHeight="1" thickTop="1">
      <c r="A44" s="715" t="str">
        <f>'23'!A44</f>
        <v>M.YOUSUF</v>
      </c>
      <c r="B44" s="234"/>
      <c r="C44" s="348">
        <f>'23'!D44</f>
        <v>60000</v>
      </c>
      <c r="D44" s="234">
        <f t="shared" si="9"/>
        <v>60000</v>
      </c>
      <c r="F44" s="479" t="str">
        <f>'23'!F44</f>
        <v>CASH SALE</v>
      </c>
      <c r="G44" s="409">
        <f>'CUSTOMERS REPORT'!Y1409</f>
        <v>0</v>
      </c>
      <c r="H44" s="507">
        <f>'CUSTOMERS REPORT'!Z1409</f>
        <v>0</v>
      </c>
      <c r="I44" s="409">
        <f>'CUSTOMERS REPORT'!AA1409</f>
        <v>0</v>
      </c>
      <c r="J44" s="501">
        <f>'CUSTOMERS REPORT'!AB1409</f>
        <v>0</v>
      </c>
      <c r="K44" s="501">
        <f>'CUSTOMERS REPORT'!AC1409</f>
        <v>0</v>
      </c>
      <c r="L44" s="512">
        <f>'CUSTOMERS REPORT'!AD1409</f>
        <v>0</v>
      </c>
      <c r="M44" s="414">
        <f>'23'!M44+'24'!G44</f>
        <v>0</v>
      </c>
      <c r="N44" s="412">
        <f>'23'!N44+'24'!J44</f>
        <v>0</v>
      </c>
      <c r="P44" s="222" t="s">
        <v>114</v>
      </c>
      <c r="Q44" s="377">
        <f>J46</f>
        <v>0</v>
      </c>
      <c r="S44" s="400"/>
      <c r="T44" s="348"/>
      <c r="U44" s="306"/>
      <c r="V44" s="349"/>
      <c r="W44" s="351"/>
      <c r="X44" s="350"/>
      <c r="Z44" s="375"/>
      <c r="AA44" s="339"/>
      <c r="AB44" s="386">
        <f>'23'!AB45</f>
        <v>1275750</v>
      </c>
      <c r="AC44" s="340" t="s">
        <v>126</v>
      </c>
      <c r="AD44" s="388">
        <f>'23'!AD45</f>
        <v>3104100</v>
      </c>
      <c r="AE44" s="341"/>
      <c r="AF44" s="561"/>
      <c r="AG44" s="83" t="s">
        <v>1</v>
      </c>
    </row>
    <row r="45" spans="1:40" ht="27" customHeight="1" thickBot="1">
      <c r="A45" s="715" t="str">
        <f>'23'!A45</f>
        <v>SHAKEEL</v>
      </c>
      <c r="B45" s="234"/>
      <c r="C45" s="348">
        <f>'23'!D45</f>
        <v>47210</v>
      </c>
      <c r="D45" s="234">
        <f t="shared" si="9"/>
        <v>47210</v>
      </c>
      <c r="F45" s="479" t="str">
        <f>'23'!F45</f>
        <v xml:space="preserve">FREE </v>
      </c>
      <c r="G45" s="410">
        <f>'CUSTOMERS REPORT'!Y1445</f>
        <v>0</v>
      </c>
      <c r="H45" s="362">
        <f>'CUSTOMERS REPORT'!Z1445</f>
        <v>0</v>
      </c>
      <c r="I45" s="410">
        <f>'CUSTOMERS REPORT'!AA1445</f>
        <v>0</v>
      </c>
      <c r="J45" s="502">
        <f>'CUSTOMERS REPORT'!AB1445</f>
        <v>0</v>
      </c>
      <c r="K45" s="502">
        <f>'CUSTOMERS REPORT'!AC1445</f>
        <v>0</v>
      </c>
      <c r="L45" s="513">
        <f>'CUSTOMERS REPORT'!AD1445</f>
        <v>0</v>
      </c>
      <c r="M45" s="414">
        <f>'23'!M45+'24'!G45</f>
        <v>0</v>
      </c>
      <c r="N45" s="412">
        <f>'23'!N45+'24'!J45</f>
        <v>0</v>
      </c>
      <c r="P45" s="222" t="s">
        <v>153</v>
      </c>
      <c r="Q45" s="378">
        <f>Q43+Q44</f>
        <v>-3747830</v>
      </c>
      <c r="S45" s="401"/>
      <c r="T45" s="352"/>
      <c r="U45" s="307"/>
      <c r="V45" s="353"/>
      <c r="W45" s="354"/>
      <c r="X45" s="355"/>
      <c r="Z45" s="384"/>
      <c r="AA45" s="359"/>
      <c r="AB45" s="390">
        <f>SUM(AB43:AB44)</f>
        <v>1275750</v>
      </c>
      <c r="AC45" s="360" t="s">
        <v>74</v>
      </c>
      <c r="AD45" s="389">
        <f>SUM(AD43:AD44)</f>
        <v>3204100</v>
      </c>
      <c r="AE45" s="361"/>
      <c r="AF45" s="562"/>
      <c r="AG45" s="573"/>
    </row>
    <row r="46" spans="1:40" ht="27" customHeight="1" thickTop="1" thickBot="1">
      <c r="A46" s="715" t="str">
        <f>'23'!A46</f>
        <v>ZAHID HUSSAN</v>
      </c>
      <c r="B46" s="234"/>
      <c r="C46" s="348">
        <f>'23'!D46</f>
        <v>0</v>
      </c>
      <c r="D46" s="234">
        <f t="shared" si="9"/>
        <v>0</v>
      </c>
      <c r="F46" s="369"/>
      <c r="G46" s="424">
        <f>SUM(G8:G45)</f>
        <v>0</v>
      </c>
      <c r="H46" s="1497" t="s">
        <v>160</v>
      </c>
      <c r="I46" s="1498"/>
      <c r="J46" s="421">
        <f>SUM(J8:J45)</f>
        <v>0</v>
      </c>
      <c r="K46" s="427">
        <f>SUM(K8:K45)</f>
        <v>0</v>
      </c>
      <c r="L46" s="431">
        <f>SUM(L8:L45)</f>
        <v>0</v>
      </c>
      <c r="M46" s="429">
        <f>SUM(M8:M45)</f>
        <v>0</v>
      </c>
      <c r="N46" s="430">
        <f>SUM(N8:N45)</f>
        <v>0</v>
      </c>
      <c r="P46" s="222" t="s">
        <v>154</v>
      </c>
      <c r="Q46" s="378">
        <f>B48</f>
        <v>163510</v>
      </c>
    </row>
    <row r="47" spans="1:40" ht="27" customHeight="1" thickBot="1">
      <c r="A47" s="715" t="str">
        <f>'23'!A47</f>
        <v xml:space="preserve">INVESTOR </v>
      </c>
      <c r="B47" s="540"/>
      <c r="C47" s="348">
        <f>'23'!D47</f>
        <v>0</v>
      </c>
      <c r="D47" s="542">
        <f t="shared" si="9"/>
        <v>0</v>
      </c>
      <c r="F47" s="370"/>
      <c r="G47" s="425">
        <f>'23'!G48</f>
        <v>0</v>
      </c>
      <c r="H47" s="1512" t="s">
        <v>162</v>
      </c>
      <c r="I47" s="1513"/>
      <c r="J47" s="423">
        <f>'23'!J48</f>
        <v>0</v>
      </c>
      <c r="K47" s="423">
        <f>'23'!K48</f>
        <v>0</v>
      </c>
      <c r="L47" s="343"/>
      <c r="M47" s="344"/>
      <c r="N47" s="345"/>
      <c r="P47" s="375" t="s">
        <v>163</v>
      </c>
      <c r="Q47" s="378">
        <f>Q9+Q10+Q19+Q20+Q21+Q22</f>
        <v>0</v>
      </c>
      <c r="R47" s="19"/>
      <c r="S47" s="1489" t="s">
        <v>92</v>
      </c>
      <c r="T47" s="1516" t="s">
        <v>95</v>
      </c>
      <c r="U47" s="1518"/>
      <c r="V47" s="1518"/>
      <c r="W47" s="1517"/>
      <c r="X47" s="1516" t="s">
        <v>7</v>
      </c>
      <c r="Y47" s="1518"/>
      <c r="Z47" s="1517"/>
      <c r="AA47" s="1516" t="s">
        <v>8</v>
      </c>
      <c r="AB47" s="1517"/>
      <c r="AC47" s="1516" t="s">
        <v>9</v>
      </c>
      <c r="AD47" s="1518"/>
      <c r="AE47" s="1518"/>
      <c r="AF47" s="1518"/>
      <c r="AG47" s="1518"/>
      <c r="AH47" s="1518"/>
      <c r="AI47" s="1518"/>
      <c r="AJ47" s="1405" t="s">
        <v>10</v>
      </c>
      <c r="AK47" s="1406"/>
      <c r="AL47" s="1400" t="s">
        <v>289</v>
      </c>
      <c r="AM47" s="1401"/>
      <c r="AN47" s="842" t="s">
        <v>290</v>
      </c>
    </row>
    <row r="48" spans="1:40" ht="27" customHeight="1" thickTop="1" thickBot="1">
      <c r="A48" s="192" t="s">
        <v>74</v>
      </c>
      <c r="B48" s="544">
        <f>SUM(B22:B47)</f>
        <v>163510</v>
      </c>
      <c r="C48" s="543">
        <f>'23'!D48</f>
        <v>3747830</v>
      </c>
      <c r="D48" s="544">
        <f t="shared" si="9"/>
        <v>3911340</v>
      </c>
      <c r="F48" s="371"/>
      <c r="G48" s="426">
        <f>G46+G47</f>
        <v>0</v>
      </c>
      <c r="H48" s="1495" t="s">
        <v>164</v>
      </c>
      <c r="I48" s="1496"/>
      <c r="J48" s="422">
        <f>J46+J47</f>
        <v>0</v>
      </c>
      <c r="K48" s="428">
        <f>K46+K47</f>
        <v>0</v>
      </c>
      <c r="L48" s="346"/>
      <c r="M48" s="347"/>
      <c r="N48" s="622">
        <f>G48-J48</f>
        <v>0</v>
      </c>
      <c r="P48" s="376" t="s">
        <v>155</v>
      </c>
      <c r="Q48" s="379">
        <f>Q45-Q46-Q47</f>
        <v>-3911340</v>
      </c>
      <c r="R48" s="19"/>
      <c r="S48" s="1490"/>
      <c r="T48" s="482" t="s">
        <v>12</v>
      </c>
      <c r="U48" s="482" t="s">
        <v>13</v>
      </c>
      <c r="V48" s="482" t="s">
        <v>14</v>
      </c>
      <c r="W48" s="958" t="s">
        <v>263</v>
      </c>
      <c r="X48" s="482" t="s">
        <v>12</v>
      </c>
      <c r="Y48" s="482" t="s">
        <v>13</v>
      </c>
      <c r="Z48" s="482" t="s">
        <v>282</v>
      </c>
      <c r="AA48" s="482" t="s">
        <v>12</v>
      </c>
      <c r="AB48" s="482" t="s">
        <v>16</v>
      </c>
      <c r="AC48" s="482" t="s">
        <v>17</v>
      </c>
      <c r="AD48" s="482" t="s">
        <v>18</v>
      </c>
      <c r="AE48" s="482" t="s">
        <v>19</v>
      </c>
      <c r="AF48" s="484" t="s">
        <v>96</v>
      </c>
      <c r="AG48" s="484" t="s">
        <v>257</v>
      </c>
      <c r="AH48" s="482" t="s">
        <v>254</v>
      </c>
      <c r="AI48" s="482" t="s">
        <v>20</v>
      </c>
      <c r="AJ48" s="483" t="s">
        <v>14</v>
      </c>
      <c r="AK48" s="482" t="s">
        <v>13</v>
      </c>
      <c r="AL48" s="846" t="s">
        <v>284</v>
      </c>
      <c r="AM48" s="846" t="s">
        <v>288</v>
      </c>
      <c r="AN48" s="966" t="s">
        <v>291</v>
      </c>
    </row>
    <row r="49" spans="1:40" ht="24.95" customHeight="1" thickTop="1" thickBot="1">
      <c r="R49" s="19"/>
      <c r="S49" s="865" t="s">
        <v>165</v>
      </c>
      <c r="T49" s="866">
        <f>'23'!T55</f>
        <v>0</v>
      </c>
      <c r="U49" s="866">
        <f>'23'!U55</f>
        <v>0</v>
      </c>
      <c r="V49" s="866">
        <f>'23'!V55</f>
        <v>60</v>
      </c>
      <c r="W49" s="866">
        <f>'23'!W55</f>
        <v>19</v>
      </c>
      <c r="X49" s="866">
        <f>'23'!X55</f>
        <v>0</v>
      </c>
      <c r="Y49" s="866">
        <f>'23'!Y55</f>
        <v>0</v>
      </c>
      <c r="Z49" s="866">
        <f>'23'!Z55</f>
        <v>-3</v>
      </c>
      <c r="AA49" s="866">
        <f>'23'!AA55</f>
        <v>2522</v>
      </c>
      <c r="AB49" s="866">
        <f>'23'!AB55</f>
        <v>170</v>
      </c>
      <c r="AC49" s="866">
        <f>'23'!AC55</f>
        <v>2444</v>
      </c>
      <c r="AD49" s="866">
        <f>'23'!AD55</f>
        <v>494</v>
      </c>
      <c r="AE49" s="866">
        <f>'23'!AE55</f>
        <v>0</v>
      </c>
      <c r="AF49" s="866">
        <f>'23'!AF55</f>
        <v>2520</v>
      </c>
      <c r="AG49" s="866">
        <f>'23'!AG55</f>
        <v>1087</v>
      </c>
      <c r="AH49" s="866">
        <f>'23'!AH55</f>
        <v>1139</v>
      </c>
      <c r="AI49" s="866">
        <f>'23'!AI55</f>
        <v>631</v>
      </c>
      <c r="AJ49" s="866">
        <f>'23'!AJ55</f>
        <v>0</v>
      </c>
      <c r="AK49" s="866">
        <f>'23'!AK55</f>
        <v>-1</v>
      </c>
      <c r="AL49" s="866" t="e">
        <f>'23'!AL55</f>
        <v>#VALUE!</v>
      </c>
      <c r="AM49" s="866" t="e">
        <f>'23'!AM55</f>
        <v>#VALUE!</v>
      </c>
      <c r="AN49" s="866" t="e">
        <f>'23'!AN55</f>
        <v>#VALUE!</v>
      </c>
    </row>
    <row r="50" spans="1:40" ht="24.95" customHeight="1" thickBot="1">
      <c r="C50" t="s">
        <v>1</v>
      </c>
      <c r="L50" s="417">
        <v>5000</v>
      </c>
      <c r="M50" s="417"/>
      <c r="N50" s="417">
        <f t="shared" ref="N50:N57" si="10">L50*M50</f>
        <v>0</v>
      </c>
      <c r="R50" s="19"/>
      <c r="S50" s="854" t="s">
        <v>166</v>
      </c>
      <c r="T50" s="852"/>
      <c r="U50" s="852"/>
      <c r="V50" s="852">
        <v>63</v>
      </c>
      <c r="W50" s="852"/>
      <c r="X50" s="852"/>
      <c r="Y50" s="852"/>
      <c r="Z50" s="852"/>
      <c r="AA50" s="852"/>
      <c r="AB50" s="852"/>
      <c r="AC50" s="852">
        <v>179</v>
      </c>
      <c r="AD50" s="852">
        <v>526</v>
      </c>
      <c r="AE50" s="852"/>
      <c r="AF50" s="852"/>
      <c r="AG50" s="855"/>
      <c r="AH50" s="852">
        <v>872</v>
      </c>
      <c r="AI50" s="852"/>
      <c r="AJ50" s="848"/>
      <c r="AK50" s="848"/>
      <c r="AL50" s="848"/>
      <c r="AM50" s="848"/>
      <c r="AN50" s="848"/>
    </row>
    <row r="51" spans="1:40" ht="24.95" customHeight="1" thickBot="1">
      <c r="L51" s="417">
        <v>1000</v>
      </c>
      <c r="M51" s="417"/>
      <c r="N51" s="417">
        <f t="shared" si="10"/>
        <v>0</v>
      </c>
      <c r="R51" s="19"/>
      <c r="S51" s="867" t="s">
        <v>91</v>
      </c>
      <c r="T51" s="868"/>
      <c r="U51" s="868"/>
      <c r="V51" s="868"/>
      <c r="W51" s="868"/>
      <c r="X51" s="868"/>
      <c r="Y51" s="868"/>
      <c r="Z51" s="868"/>
      <c r="AA51" s="868"/>
      <c r="AB51" s="868"/>
      <c r="AC51" s="868"/>
      <c r="AD51" s="868"/>
      <c r="AE51" s="868"/>
      <c r="AF51" s="868"/>
      <c r="AG51" s="869">
        <v>1</v>
      </c>
      <c r="AH51" s="868"/>
      <c r="AI51" s="870"/>
      <c r="AJ51" s="868"/>
      <c r="AK51" s="868"/>
      <c r="AL51" s="849"/>
      <c r="AM51" s="849"/>
      <c r="AN51" s="850"/>
    </row>
    <row r="52" spans="1:40" ht="24.95" customHeight="1" thickBot="1">
      <c r="L52" s="417">
        <v>500</v>
      </c>
      <c r="M52" s="417"/>
      <c r="N52" s="417">
        <f t="shared" si="10"/>
        <v>0</v>
      </c>
      <c r="O52" t="s">
        <v>1</v>
      </c>
      <c r="R52" s="19"/>
      <c r="S52" s="856" t="s">
        <v>167</v>
      </c>
      <c r="T52" s="857"/>
      <c r="U52" s="857"/>
      <c r="V52" s="857"/>
      <c r="W52" s="857"/>
      <c r="X52" s="857"/>
      <c r="Y52" s="857"/>
      <c r="Z52" s="857"/>
      <c r="AA52" s="857"/>
      <c r="AB52" s="857"/>
      <c r="AC52" s="857"/>
      <c r="AD52" s="857"/>
      <c r="AE52" s="857"/>
      <c r="AF52" s="857"/>
      <c r="AG52" s="858"/>
      <c r="AH52" s="859"/>
      <c r="AI52" s="860"/>
      <c r="AJ52" s="851"/>
      <c r="AK52" s="851"/>
      <c r="AL52" s="849"/>
      <c r="AM52" s="849"/>
      <c r="AN52" s="850"/>
    </row>
    <row r="53" spans="1:40" ht="24.95" customHeight="1" thickBot="1">
      <c r="L53" s="417">
        <v>100</v>
      </c>
      <c r="M53" s="417"/>
      <c r="N53" s="417">
        <f t="shared" si="10"/>
        <v>0</v>
      </c>
      <c r="R53" s="19"/>
      <c r="S53" s="871" t="s">
        <v>81</v>
      </c>
      <c r="T53" s="866">
        <f t="shared" ref="T53:AN53" si="11">SUM(T49+T50+T52)</f>
        <v>0</v>
      </c>
      <c r="U53" s="866">
        <f t="shared" si="11"/>
        <v>0</v>
      </c>
      <c r="V53" s="866">
        <f t="shared" si="11"/>
        <v>123</v>
      </c>
      <c r="W53" s="866">
        <f t="shared" si="11"/>
        <v>19</v>
      </c>
      <c r="X53" s="866">
        <f t="shared" si="11"/>
        <v>0</v>
      </c>
      <c r="Y53" s="866">
        <f t="shared" si="11"/>
        <v>0</v>
      </c>
      <c r="Z53" s="866">
        <f t="shared" si="11"/>
        <v>-3</v>
      </c>
      <c r="AA53" s="866">
        <f t="shared" si="11"/>
        <v>2522</v>
      </c>
      <c r="AB53" s="866">
        <f t="shared" si="11"/>
        <v>170</v>
      </c>
      <c r="AC53" s="866">
        <f t="shared" si="11"/>
        <v>2623</v>
      </c>
      <c r="AD53" s="866">
        <f t="shared" si="11"/>
        <v>1020</v>
      </c>
      <c r="AE53" s="866">
        <f t="shared" si="11"/>
        <v>0</v>
      </c>
      <c r="AF53" s="866">
        <f t="shared" si="11"/>
        <v>2520</v>
      </c>
      <c r="AG53" s="866">
        <f t="shared" si="11"/>
        <v>1087</v>
      </c>
      <c r="AH53" s="866">
        <f t="shared" si="11"/>
        <v>2011</v>
      </c>
      <c r="AI53" s="866">
        <f t="shared" si="11"/>
        <v>631</v>
      </c>
      <c r="AJ53" s="866">
        <f t="shared" si="11"/>
        <v>0</v>
      </c>
      <c r="AK53" s="866">
        <f t="shared" si="11"/>
        <v>-1</v>
      </c>
      <c r="AL53" s="866" t="e">
        <f t="shared" si="11"/>
        <v>#VALUE!</v>
      </c>
      <c r="AM53" s="866" t="e">
        <f t="shared" si="11"/>
        <v>#VALUE!</v>
      </c>
      <c r="AN53" s="872" t="e">
        <f t="shared" si="11"/>
        <v>#VALUE!</v>
      </c>
    </row>
    <row r="54" spans="1:40" ht="24.95" customHeight="1" thickBot="1">
      <c r="L54" s="417">
        <v>50</v>
      </c>
      <c r="M54" s="417"/>
      <c r="N54" s="417">
        <f t="shared" si="10"/>
        <v>0</v>
      </c>
      <c r="R54" s="19"/>
      <c r="S54" s="854" t="s">
        <v>168</v>
      </c>
      <c r="T54" s="852">
        <f>'CUSTOMERS REPORT'!B31+'CUSTOMERS REPORT'!B77+'CUSTOMERS REPORT'!B115+'CUSTOMERS REPORT'!B154+'CUSTOMERS REPORT'!B192+'CUSTOMERS REPORT'!B232+'CUSTOMERS REPORT'!B269+'CUSTOMERS REPORT'!B309+'CUSTOMERS REPORT'!B350+'CUSTOMERS REPORT'!B392+'CUSTOMERS REPORT'!B431+'CUSTOMERS REPORT'!B469+'CUSTOMERS REPORT'!B505+'CUSTOMERS REPORT'!B542+'CUSTOMERS REPORT'!B580+'CUSTOMERS REPORT'!B616+'CUSTOMERS REPORT'!B654+'CUSTOMERS REPORT'!B692+'CUSTOMERS REPORT'!B730+'CUSTOMERS REPORT'!B768+'CUSTOMERS REPORT'!B806+'CUSTOMERS REPORT'!B844+'CUSTOMERS REPORT'!B882+'CUSTOMERS REPORT'!B921+'CUSTOMERS REPORT'!B960+'CUSTOMERS REPORT'!B998+'CUSTOMERS REPORT'!B1036+'CUSTOMERS REPORT'!B1074+'CUSTOMERS REPORT'!B1112+'CUSTOMERS REPORT'!B1150+'CUSTOMERS REPORT'!B1187+'CUSTOMERS REPORT'!B1224+'CUSTOMERS REPORT'!B1261+'CUSTOMERS REPORT'!B1298+'CUSTOMERS REPORT'!B1335+'CUSTOMERS REPORT'!B1372+'CUSTOMERS REPORT'!B1409+'CUSTOMERS REPORT'!B1445</f>
        <v>0</v>
      </c>
      <c r="U54" s="852">
        <f>'CUSTOMERS REPORT'!C31+'CUSTOMERS REPORT'!C77+'CUSTOMERS REPORT'!C115+'CUSTOMERS REPORT'!C154+'CUSTOMERS REPORT'!C192+'CUSTOMERS REPORT'!C232+'CUSTOMERS REPORT'!C269+'CUSTOMERS REPORT'!C309+'CUSTOMERS REPORT'!C350+'CUSTOMERS REPORT'!C392+'CUSTOMERS REPORT'!C431+'CUSTOMERS REPORT'!C469+'CUSTOMERS REPORT'!C505+'CUSTOMERS REPORT'!C542+'CUSTOMERS REPORT'!C580+'CUSTOMERS REPORT'!C616+'CUSTOMERS REPORT'!C654+'CUSTOMERS REPORT'!C692+'CUSTOMERS REPORT'!C730+'CUSTOMERS REPORT'!C768+'CUSTOMERS REPORT'!C806+'CUSTOMERS REPORT'!C844+'CUSTOMERS REPORT'!C882+'CUSTOMERS REPORT'!C921+'CUSTOMERS REPORT'!C960+'CUSTOMERS REPORT'!C998+'CUSTOMERS REPORT'!C1036+'CUSTOMERS REPORT'!C1074+'CUSTOMERS REPORT'!C1112+'CUSTOMERS REPORT'!C1150+'CUSTOMERS REPORT'!C1187+'CUSTOMERS REPORT'!C1224+'CUSTOMERS REPORT'!C1261+'CUSTOMERS REPORT'!C1298+'CUSTOMERS REPORT'!C1335+'CUSTOMERS REPORT'!C1372+'CUSTOMERS REPORT'!C1409+'CUSTOMERS REPORT'!C1445</f>
        <v>0</v>
      </c>
      <c r="V54" s="852">
        <f>'CUSTOMERS REPORT'!D31+'CUSTOMERS REPORT'!D77+'CUSTOMERS REPORT'!D115+'CUSTOMERS REPORT'!D154+'CUSTOMERS REPORT'!D192+'CUSTOMERS REPORT'!D232+'CUSTOMERS REPORT'!D269+'CUSTOMERS REPORT'!D309+'CUSTOMERS REPORT'!D350+'CUSTOMERS REPORT'!D392+'CUSTOMERS REPORT'!D431+'CUSTOMERS REPORT'!D469+'CUSTOMERS REPORT'!D505+'CUSTOMERS REPORT'!D542+'CUSTOMERS REPORT'!D580+'CUSTOMERS REPORT'!D616+'CUSTOMERS REPORT'!D654+'CUSTOMERS REPORT'!D692+'CUSTOMERS REPORT'!D730+'CUSTOMERS REPORT'!D768+'CUSTOMERS REPORT'!D806+'CUSTOMERS REPORT'!D844+'CUSTOMERS REPORT'!D882+'CUSTOMERS REPORT'!D921+'CUSTOMERS REPORT'!D960+'CUSTOMERS REPORT'!D998+'CUSTOMERS REPORT'!D1036+'CUSTOMERS REPORT'!D1074+'CUSTOMERS REPORT'!D1112+'CUSTOMERS REPORT'!D1150+'CUSTOMERS REPORT'!D1187+'CUSTOMERS REPORT'!D1224+'CUSTOMERS REPORT'!D1261+'CUSTOMERS REPORT'!D1298+'CUSTOMERS REPORT'!D1335+'CUSTOMERS REPORT'!D1372+'CUSTOMERS REPORT'!D1409+'CUSTOMERS REPORT'!D1445</f>
        <v>0</v>
      </c>
      <c r="W54" s="852">
        <f>'CUSTOMERS REPORT'!E31+'CUSTOMERS REPORT'!E77+'CUSTOMERS REPORT'!E115+'CUSTOMERS REPORT'!E154+'CUSTOMERS REPORT'!E192+'CUSTOMERS REPORT'!E232+'CUSTOMERS REPORT'!E269+'CUSTOMERS REPORT'!E309+'CUSTOMERS REPORT'!E350+'CUSTOMERS REPORT'!E392+'CUSTOMERS REPORT'!E431+'CUSTOMERS REPORT'!E469+'CUSTOMERS REPORT'!E505+'CUSTOMERS REPORT'!E542+'CUSTOMERS REPORT'!E580+'CUSTOMERS REPORT'!E616+'CUSTOMERS REPORT'!E654+'CUSTOMERS REPORT'!E692+'CUSTOMERS REPORT'!E730+'CUSTOMERS REPORT'!E768+'CUSTOMERS REPORT'!E806+'CUSTOMERS REPORT'!E844+'CUSTOMERS REPORT'!E882+'CUSTOMERS REPORT'!E921+'CUSTOMERS REPORT'!E960+'CUSTOMERS REPORT'!E998+'CUSTOMERS REPORT'!E1036+'CUSTOMERS REPORT'!E1074+'CUSTOMERS REPORT'!E1112+'CUSTOMERS REPORT'!E1150+'CUSTOMERS REPORT'!E1187+'CUSTOMERS REPORT'!E1224+'CUSTOMERS REPORT'!E1261+'CUSTOMERS REPORT'!E1298+'CUSTOMERS REPORT'!E1335+'CUSTOMERS REPORT'!E1372+'CUSTOMERS REPORT'!E1409+'CUSTOMERS REPORT'!E1445</f>
        <v>0</v>
      </c>
      <c r="X54" s="852">
        <f>'CUSTOMERS REPORT'!F31+'CUSTOMERS REPORT'!F77+'CUSTOMERS REPORT'!F115+'CUSTOMERS REPORT'!F154+'CUSTOMERS REPORT'!F192+'CUSTOMERS REPORT'!F232+'CUSTOMERS REPORT'!F269+'CUSTOMERS REPORT'!F309+'CUSTOMERS REPORT'!F350+'CUSTOMERS REPORT'!F392+'CUSTOMERS REPORT'!F431+'CUSTOMERS REPORT'!F469+'CUSTOMERS REPORT'!F505+'CUSTOMERS REPORT'!F542+'CUSTOMERS REPORT'!F580+'CUSTOMERS REPORT'!F616+'CUSTOMERS REPORT'!F654+'CUSTOMERS REPORT'!F692+'CUSTOMERS REPORT'!F730+'CUSTOMERS REPORT'!F768+'CUSTOMERS REPORT'!F806+'CUSTOMERS REPORT'!F844+'CUSTOMERS REPORT'!F882+'CUSTOMERS REPORT'!F921+'CUSTOMERS REPORT'!F960+'CUSTOMERS REPORT'!F998+'CUSTOMERS REPORT'!F1036+'CUSTOMERS REPORT'!F1074+'CUSTOMERS REPORT'!F1112+'CUSTOMERS REPORT'!F1150+'CUSTOMERS REPORT'!F1187+'CUSTOMERS REPORT'!F1224+'CUSTOMERS REPORT'!F1261+'CUSTOMERS REPORT'!F1298+'CUSTOMERS REPORT'!F1335+'CUSTOMERS REPORT'!F1372+'CUSTOMERS REPORT'!F1409+'CUSTOMERS REPORT'!F1445</f>
        <v>0</v>
      </c>
      <c r="Y54" s="852">
        <f>'CUSTOMERS REPORT'!G31+'CUSTOMERS REPORT'!G77+'CUSTOMERS REPORT'!G115+'CUSTOMERS REPORT'!G154+'CUSTOMERS REPORT'!G192+'CUSTOMERS REPORT'!G232+'CUSTOMERS REPORT'!G269+'CUSTOMERS REPORT'!G309+'CUSTOMERS REPORT'!G350+'CUSTOMERS REPORT'!G392+'CUSTOMERS REPORT'!G431+'CUSTOMERS REPORT'!G469+'CUSTOMERS REPORT'!G505+'CUSTOMERS REPORT'!G542+'CUSTOMERS REPORT'!G580+'CUSTOMERS REPORT'!G616+'CUSTOMERS REPORT'!G654+'CUSTOMERS REPORT'!G692+'CUSTOMERS REPORT'!G730+'CUSTOMERS REPORT'!G768+'CUSTOMERS REPORT'!G806+'CUSTOMERS REPORT'!G844+'CUSTOMERS REPORT'!G882+'CUSTOMERS REPORT'!G921+'CUSTOMERS REPORT'!G960+'CUSTOMERS REPORT'!G998+'CUSTOMERS REPORT'!G1036+'CUSTOMERS REPORT'!G1074+'CUSTOMERS REPORT'!G1112+'CUSTOMERS REPORT'!G1150+'CUSTOMERS REPORT'!G1187+'CUSTOMERS REPORT'!G1224+'CUSTOMERS REPORT'!G1261+'CUSTOMERS REPORT'!G1298+'CUSTOMERS REPORT'!G1335+'CUSTOMERS REPORT'!G1372+'CUSTOMERS REPORT'!G1409+'CUSTOMERS REPORT'!G1445</f>
        <v>0</v>
      </c>
      <c r="Z54" s="852">
        <f>'CUSTOMERS REPORT'!H31+'CUSTOMERS REPORT'!H77+'CUSTOMERS REPORT'!H115+'CUSTOMERS REPORT'!H154+'CUSTOMERS REPORT'!H192+'CUSTOMERS REPORT'!H232+'CUSTOMERS REPORT'!H269+'CUSTOMERS REPORT'!H309+'CUSTOMERS REPORT'!H350+'CUSTOMERS REPORT'!H392+'CUSTOMERS REPORT'!H431+'CUSTOMERS REPORT'!H469+'CUSTOMERS REPORT'!H505+'CUSTOMERS REPORT'!H542+'CUSTOMERS REPORT'!H580+'CUSTOMERS REPORT'!H616+'CUSTOMERS REPORT'!H654+'CUSTOMERS REPORT'!H692+'CUSTOMERS REPORT'!H730+'CUSTOMERS REPORT'!H768+'CUSTOMERS REPORT'!H806+'CUSTOMERS REPORT'!H844+'CUSTOMERS REPORT'!H882+'CUSTOMERS REPORT'!H921+'CUSTOMERS REPORT'!H960+'CUSTOMERS REPORT'!H998+'CUSTOMERS REPORT'!H1036+'CUSTOMERS REPORT'!H1074+'CUSTOMERS REPORT'!H1112+'CUSTOMERS REPORT'!H1150+'CUSTOMERS REPORT'!H1187+'CUSTOMERS REPORT'!H1224+'CUSTOMERS REPORT'!H1261+'CUSTOMERS REPORT'!H1298+'CUSTOMERS REPORT'!H1335+'CUSTOMERS REPORT'!H1372+'CUSTOMERS REPORT'!H1409+'CUSTOMERS REPORT'!H1445</f>
        <v>0</v>
      </c>
      <c r="AA54" s="852">
        <f>'CUSTOMERS REPORT'!I31+'CUSTOMERS REPORT'!I77+'CUSTOMERS REPORT'!I115+'CUSTOMERS REPORT'!I154+'CUSTOMERS REPORT'!I192+'CUSTOMERS REPORT'!I232+'CUSTOMERS REPORT'!I269+'CUSTOMERS REPORT'!I309+'CUSTOMERS REPORT'!I350+'CUSTOMERS REPORT'!I392+'CUSTOMERS REPORT'!I431+'CUSTOMERS REPORT'!I469+'CUSTOMERS REPORT'!I505+'CUSTOMERS REPORT'!I542+'CUSTOMERS REPORT'!I580+'CUSTOMERS REPORT'!I616+'CUSTOMERS REPORT'!I654+'CUSTOMERS REPORT'!I692+'CUSTOMERS REPORT'!I730+'CUSTOMERS REPORT'!I768+'CUSTOMERS REPORT'!I806+'CUSTOMERS REPORT'!I844+'CUSTOMERS REPORT'!I882+'CUSTOMERS REPORT'!I921+'CUSTOMERS REPORT'!I960+'CUSTOMERS REPORT'!I998+'CUSTOMERS REPORT'!I1036+'CUSTOMERS REPORT'!I1074+'CUSTOMERS REPORT'!I1112+'CUSTOMERS REPORT'!I1150+'CUSTOMERS REPORT'!I1187+'CUSTOMERS REPORT'!I1224+'CUSTOMERS REPORT'!I1261+'CUSTOMERS REPORT'!I1298+'CUSTOMERS REPORT'!I1335+'CUSTOMERS REPORT'!I1372+'CUSTOMERS REPORT'!I1409+'CUSTOMERS REPORT'!I1445</f>
        <v>0</v>
      </c>
      <c r="AB54" s="852">
        <f>'CUSTOMERS REPORT'!J31+'CUSTOMERS REPORT'!J77+'CUSTOMERS REPORT'!J115+'CUSTOMERS REPORT'!J154+'CUSTOMERS REPORT'!J192+'CUSTOMERS REPORT'!J232+'CUSTOMERS REPORT'!J269+'CUSTOMERS REPORT'!J309+'CUSTOMERS REPORT'!J350+'CUSTOMERS REPORT'!J392+'CUSTOMERS REPORT'!J431+'CUSTOMERS REPORT'!J469+'CUSTOMERS REPORT'!J505+'CUSTOMERS REPORT'!J542+'CUSTOMERS REPORT'!J580+'CUSTOMERS REPORT'!J616+'CUSTOMERS REPORT'!J654+'CUSTOMERS REPORT'!J692+'CUSTOMERS REPORT'!J730+'CUSTOMERS REPORT'!J768+'CUSTOMERS REPORT'!J806+'CUSTOMERS REPORT'!J844+'CUSTOMERS REPORT'!J882+'CUSTOMERS REPORT'!J921+'CUSTOMERS REPORT'!J960+'CUSTOMERS REPORT'!J998+'CUSTOMERS REPORT'!J1036+'CUSTOMERS REPORT'!J1074+'CUSTOMERS REPORT'!J1112+'CUSTOMERS REPORT'!J1150+'CUSTOMERS REPORT'!J1187+'CUSTOMERS REPORT'!J1224+'CUSTOMERS REPORT'!J1261+'CUSTOMERS REPORT'!J1298+'CUSTOMERS REPORT'!J1335+'CUSTOMERS REPORT'!J1372+'CUSTOMERS REPORT'!J1409+'CUSTOMERS REPORT'!J1445</f>
        <v>0</v>
      </c>
      <c r="AC54" s="852">
        <f>'CUSTOMERS REPORT'!K31+'CUSTOMERS REPORT'!K77+'CUSTOMERS REPORT'!K115+'CUSTOMERS REPORT'!K154+'CUSTOMERS REPORT'!K192+'CUSTOMERS REPORT'!K232+'CUSTOMERS REPORT'!K269+'CUSTOMERS REPORT'!K309+'CUSTOMERS REPORT'!K350+'CUSTOMERS REPORT'!K392+'CUSTOMERS REPORT'!K431+'CUSTOMERS REPORT'!K469+'CUSTOMERS REPORT'!K505+'CUSTOMERS REPORT'!K542+'CUSTOMERS REPORT'!K580+'CUSTOMERS REPORT'!K616+'CUSTOMERS REPORT'!K654+'CUSTOMERS REPORT'!K692+'CUSTOMERS REPORT'!K730+'CUSTOMERS REPORT'!K768+'CUSTOMERS REPORT'!K806+'CUSTOMERS REPORT'!K844+'CUSTOMERS REPORT'!K882+'CUSTOMERS REPORT'!K921+'CUSTOMERS REPORT'!K960+'CUSTOMERS REPORT'!K998+'CUSTOMERS REPORT'!K1036+'CUSTOMERS REPORT'!K1074+'CUSTOMERS REPORT'!K1112+'CUSTOMERS REPORT'!K1150+'CUSTOMERS REPORT'!K1187+'CUSTOMERS REPORT'!K1224+'CUSTOMERS REPORT'!K1261+'CUSTOMERS REPORT'!K1298+'CUSTOMERS REPORT'!K1335+'CUSTOMERS REPORT'!K1372+'CUSTOMERS REPORT'!K1409+'CUSTOMERS REPORT'!K1445</f>
        <v>0</v>
      </c>
      <c r="AD54" s="852">
        <f>'CUSTOMERS REPORT'!L31+'CUSTOMERS REPORT'!L77+'CUSTOMERS REPORT'!L115+'CUSTOMERS REPORT'!L154+'CUSTOMERS REPORT'!L192+'CUSTOMERS REPORT'!L232+'CUSTOMERS REPORT'!L269+'CUSTOMERS REPORT'!L309+'CUSTOMERS REPORT'!L350+'CUSTOMERS REPORT'!L392+'CUSTOMERS REPORT'!L431+'CUSTOMERS REPORT'!L469+'CUSTOMERS REPORT'!L505+'CUSTOMERS REPORT'!L542+'CUSTOMERS REPORT'!L580+'CUSTOMERS REPORT'!L616+'CUSTOMERS REPORT'!L654+'CUSTOMERS REPORT'!L692+'CUSTOMERS REPORT'!L730+'CUSTOMERS REPORT'!L768+'CUSTOMERS REPORT'!L806+'CUSTOMERS REPORT'!L844+'CUSTOMERS REPORT'!L882+'CUSTOMERS REPORT'!L921+'CUSTOMERS REPORT'!L960+'CUSTOMERS REPORT'!L998+'CUSTOMERS REPORT'!L1036+'CUSTOMERS REPORT'!L1074+'CUSTOMERS REPORT'!L1112+'CUSTOMERS REPORT'!L1150+'CUSTOMERS REPORT'!L1187+'CUSTOMERS REPORT'!L1224+'CUSTOMERS REPORT'!L1261+'CUSTOMERS REPORT'!L1298+'CUSTOMERS REPORT'!L1335+'CUSTOMERS REPORT'!L1372+'CUSTOMERS REPORT'!L1409+'CUSTOMERS REPORT'!L1445</f>
        <v>0</v>
      </c>
      <c r="AE54" s="852">
        <f>'CUSTOMERS REPORT'!M31+'CUSTOMERS REPORT'!M77+'CUSTOMERS REPORT'!M115+'CUSTOMERS REPORT'!M154+'CUSTOMERS REPORT'!M192+'CUSTOMERS REPORT'!M232+'CUSTOMERS REPORT'!M269+'CUSTOMERS REPORT'!M309+'CUSTOMERS REPORT'!M350+'CUSTOMERS REPORT'!M392+'CUSTOMERS REPORT'!M431+'CUSTOMERS REPORT'!M469+'CUSTOMERS REPORT'!M505+'CUSTOMERS REPORT'!M542+'CUSTOMERS REPORT'!M580+'CUSTOMERS REPORT'!M616+'CUSTOMERS REPORT'!M654+'CUSTOMERS REPORT'!M692+'CUSTOMERS REPORT'!M730+'CUSTOMERS REPORT'!M768+'CUSTOMERS REPORT'!M806+'CUSTOMERS REPORT'!M844+'CUSTOMERS REPORT'!M882+'CUSTOMERS REPORT'!M921+'CUSTOMERS REPORT'!M960+'CUSTOMERS REPORT'!M998+'CUSTOMERS REPORT'!M1036+'CUSTOMERS REPORT'!M1074+'CUSTOMERS REPORT'!M1112+'CUSTOMERS REPORT'!M1150+'CUSTOMERS REPORT'!M1187+'CUSTOMERS REPORT'!M1224+'CUSTOMERS REPORT'!M1261+'CUSTOMERS REPORT'!M1298+'CUSTOMERS REPORT'!M1335+'CUSTOMERS REPORT'!M1372+'CUSTOMERS REPORT'!M1409+'CUSTOMERS REPORT'!M1445</f>
        <v>0</v>
      </c>
      <c r="AF54" s="852">
        <f>'CUSTOMERS REPORT'!N31+'CUSTOMERS REPORT'!N77+'CUSTOMERS REPORT'!N115+'CUSTOMERS REPORT'!N154+'CUSTOMERS REPORT'!N192+'CUSTOMERS REPORT'!N232+'CUSTOMERS REPORT'!N269+'CUSTOMERS REPORT'!N309+'CUSTOMERS REPORT'!N350+'CUSTOMERS REPORT'!N392+'CUSTOMERS REPORT'!N431+'CUSTOMERS REPORT'!N469+'CUSTOMERS REPORT'!N505+'CUSTOMERS REPORT'!N542+'CUSTOMERS REPORT'!N580+'CUSTOMERS REPORT'!N616+'CUSTOMERS REPORT'!N654+'CUSTOMERS REPORT'!N692+'CUSTOMERS REPORT'!N730+'CUSTOMERS REPORT'!N768+'CUSTOMERS REPORT'!N806+'CUSTOMERS REPORT'!N844+'CUSTOMERS REPORT'!N882+'CUSTOMERS REPORT'!N921+'CUSTOMERS REPORT'!N960+'CUSTOMERS REPORT'!N998+'CUSTOMERS REPORT'!N1036+'CUSTOMERS REPORT'!N1074+'CUSTOMERS REPORT'!N1112+'CUSTOMERS REPORT'!N1150+'CUSTOMERS REPORT'!N1187+'CUSTOMERS REPORT'!N1224+'CUSTOMERS REPORT'!N1261+'CUSTOMERS REPORT'!N1298+'CUSTOMERS REPORT'!N1335+'CUSTOMERS REPORT'!N1372+'CUSTOMERS REPORT'!N1409+'CUSTOMERS REPORT'!N1445</f>
        <v>0</v>
      </c>
      <c r="AG54" s="852">
        <f>'CUSTOMERS REPORT'!O31+'CUSTOMERS REPORT'!O77+'CUSTOMERS REPORT'!O115+'CUSTOMERS REPORT'!O154+'CUSTOMERS REPORT'!O192+'CUSTOMERS REPORT'!O232+'CUSTOMERS REPORT'!O269+'CUSTOMERS REPORT'!O309+'CUSTOMERS REPORT'!O350+'CUSTOMERS REPORT'!O392+'CUSTOMERS REPORT'!O431+'CUSTOMERS REPORT'!O469+'CUSTOMERS REPORT'!O505+'CUSTOMERS REPORT'!O542+'CUSTOMERS REPORT'!O580+'CUSTOMERS REPORT'!O616+'CUSTOMERS REPORT'!O654+'CUSTOMERS REPORT'!O692+'CUSTOMERS REPORT'!O730+'CUSTOMERS REPORT'!O768+'CUSTOMERS REPORT'!O806+'CUSTOMERS REPORT'!O844+'CUSTOMERS REPORT'!O882+'CUSTOMERS REPORT'!O921+'CUSTOMERS REPORT'!O960+'CUSTOMERS REPORT'!O998+'CUSTOMERS REPORT'!O1036+'CUSTOMERS REPORT'!O1074+'CUSTOMERS REPORT'!O1112+'CUSTOMERS REPORT'!O1150+'CUSTOMERS REPORT'!O1187+'CUSTOMERS REPORT'!O1224+'CUSTOMERS REPORT'!O1261+'CUSTOMERS REPORT'!O1298+'CUSTOMERS REPORT'!O1335+'CUSTOMERS REPORT'!O1372+'CUSTOMERS REPORT'!O1409+'CUSTOMERS REPORT'!O1445</f>
        <v>0</v>
      </c>
      <c r="AH54" s="852">
        <f>'CUSTOMERS REPORT'!P31+'CUSTOMERS REPORT'!P77+'CUSTOMERS REPORT'!P115+'CUSTOMERS REPORT'!P154+'CUSTOMERS REPORT'!P192+'CUSTOMERS REPORT'!P232+'CUSTOMERS REPORT'!P269+'CUSTOMERS REPORT'!P309+'CUSTOMERS REPORT'!P350+'CUSTOMERS REPORT'!P392+'CUSTOMERS REPORT'!P431+'CUSTOMERS REPORT'!P469+'CUSTOMERS REPORT'!P505+'CUSTOMERS REPORT'!P542+'CUSTOMERS REPORT'!P580+'CUSTOMERS REPORT'!P616+'CUSTOMERS REPORT'!P654+'CUSTOMERS REPORT'!P692+'CUSTOMERS REPORT'!P730+'CUSTOMERS REPORT'!P768+'CUSTOMERS REPORT'!P806+'CUSTOMERS REPORT'!P844+'CUSTOMERS REPORT'!P882+'CUSTOMERS REPORT'!P921+'CUSTOMERS REPORT'!P960+'CUSTOMERS REPORT'!P998+'CUSTOMERS REPORT'!P1036+'CUSTOMERS REPORT'!P1074+'CUSTOMERS REPORT'!P1112+'CUSTOMERS REPORT'!P1150+'CUSTOMERS REPORT'!P1187+'CUSTOMERS REPORT'!P1224+'CUSTOMERS REPORT'!P1261+'CUSTOMERS REPORT'!P1298+'CUSTOMERS REPORT'!P1335+'CUSTOMERS REPORT'!P1372+'CUSTOMERS REPORT'!P1409+'CUSTOMERS REPORT'!P1445</f>
        <v>0</v>
      </c>
      <c r="AI54" s="852">
        <f>'CUSTOMERS REPORT'!Q31+'CUSTOMERS REPORT'!Q77+'CUSTOMERS REPORT'!Q115+'CUSTOMERS REPORT'!Q154+'CUSTOMERS REPORT'!Q192+'CUSTOMERS REPORT'!Q232+'CUSTOMERS REPORT'!Q269+'CUSTOMERS REPORT'!Q309+'CUSTOMERS REPORT'!Q350+'CUSTOMERS REPORT'!Q392+'CUSTOMERS REPORT'!Q431+'CUSTOMERS REPORT'!Q469+'CUSTOMERS REPORT'!Q505+'CUSTOMERS REPORT'!Q542+'CUSTOMERS REPORT'!Q580+'CUSTOMERS REPORT'!Q616+'CUSTOMERS REPORT'!Q654+'CUSTOMERS REPORT'!Q692+'CUSTOMERS REPORT'!Q730+'CUSTOMERS REPORT'!Q768+'CUSTOMERS REPORT'!Q806+'CUSTOMERS REPORT'!Q844+'CUSTOMERS REPORT'!Q882+'CUSTOMERS REPORT'!Q921+'CUSTOMERS REPORT'!Q960+'CUSTOMERS REPORT'!Q998+'CUSTOMERS REPORT'!Q1036+'CUSTOMERS REPORT'!Q1074+'CUSTOMERS REPORT'!Q1112+'CUSTOMERS REPORT'!Q1150+'CUSTOMERS REPORT'!Q1187+'CUSTOMERS REPORT'!Q1224+'CUSTOMERS REPORT'!Q1261+'CUSTOMERS REPORT'!Q1298+'CUSTOMERS REPORT'!Q1335+'CUSTOMERS REPORT'!Q1372+'CUSTOMERS REPORT'!Q1409+'CUSTOMERS REPORT'!Q1445</f>
        <v>0</v>
      </c>
      <c r="AJ54" s="852">
        <f>'CUSTOMERS REPORT'!R31+'CUSTOMERS REPORT'!R77+'CUSTOMERS REPORT'!R115+'CUSTOMERS REPORT'!R154+'CUSTOMERS REPORT'!R192+'CUSTOMERS REPORT'!R232+'CUSTOMERS REPORT'!R269+'CUSTOMERS REPORT'!R309+'CUSTOMERS REPORT'!R350+'CUSTOMERS REPORT'!R392+'CUSTOMERS REPORT'!R431+'CUSTOMERS REPORT'!R469+'CUSTOMERS REPORT'!R505+'CUSTOMERS REPORT'!R542+'CUSTOMERS REPORT'!R580+'CUSTOMERS REPORT'!R616+'CUSTOMERS REPORT'!R654+'CUSTOMERS REPORT'!R692+'CUSTOMERS REPORT'!R730+'CUSTOMERS REPORT'!R768+'CUSTOMERS REPORT'!R806+'CUSTOMERS REPORT'!R844+'CUSTOMERS REPORT'!R882+'CUSTOMERS REPORT'!R921+'CUSTOMERS REPORT'!R960+'CUSTOMERS REPORT'!R998+'CUSTOMERS REPORT'!R1036+'CUSTOMERS REPORT'!R1074+'CUSTOMERS REPORT'!R1112+'CUSTOMERS REPORT'!R1150+'CUSTOMERS REPORT'!R1187+'CUSTOMERS REPORT'!R1224+'CUSTOMERS REPORT'!R1261+'CUSTOMERS REPORT'!R1298+'CUSTOMERS REPORT'!R1335+'CUSTOMERS REPORT'!R1372+'CUSTOMERS REPORT'!R1409+'CUSTOMERS REPORT'!R1445</f>
        <v>0</v>
      </c>
      <c r="AK54" s="852">
        <f>'CUSTOMERS REPORT'!S31+'CUSTOMERS REPORT'!S77+'CUSTOMERS REPORT'!S115+'CUSTOMERS REPORT'!S154+'CUSTOMERS REPORT'!S192+'CUSTOMERS REPORT'!S232+'CUSTOMERS REPORT'!S269+'CUSTOMERS REPORT'!S309+'CUSTOMERS REPORT'!S350+'CUSTOMERS REPORT'!S392+'CUSTOMERS REPORT'!S431+'CUSTOMERS REPORT'!S469+'CUSTOMERS REPORT'!S505+'CUSTOMERS REPORT'!S542+'CUSTOMERS REPORT'!S580+'CUSTOMERS REPORT'!S616+'CUSTOMERS REPORT'!S654+'CUSTOMERS REPORT'!S692+'CUSTOMERS REPORT'!S730+'CUSTOMERS REPORT'!S768+'CUSTOMERS REPORT'!S806+'CUSTOMERS REPORT'!S844+'CUSTOMERS REPORT'!S882+'CUSTOMERS REPORT'!S921+'CUSTOMERS REPORT'!S960+'CUSTOMERS REPORT'!S998+'CUSTOMERS REPORT'!S1036+'CUSTOMERS REPORT'!S1074+'CUSTOMERS REPORT'!S1112+'CUSTOMERS REPORT'!S1150+'CUSTOMERS REPORT'!S1187+'CUSTOMERS REPORT'!S1224+'CUSTOMERS REPORT'!S1261+'CUSTOMERS REPORT'!S1298+'CUSTOMERS REPORT'!S1335+'CUSTOMERS REPORT'!S1372+'CUSTOMERS REPORT'!S1409+'CUSTOMERS REPORT'!S1445</f>
        <v>0</v>
      </c>
      <c r="AL54" s="852">
        <f>'CUSTOMERS REPORT'!T31+'CUSTOMERS REPORT'!T77+'CUSTOMERS REPORT'!T115+'CUSTOMERS REPORT'!T154+'CUSTOMERS REPORT'!T192+'CUSTOMERS REPORT'!T232+'CUSTOMERS REPORT'!T269+'CUSTOMERS REPORT'!T309+'CUSTOMERS REPORT'!T350+'CUSTOMERS REPORT'!T392+'CUSTOMERS REPORT'!T431+'CUSTOMERS REPORT'!T469+'CUSTOMERS REPORT'!T505+'CUSTOMERS REPORT'!T542+'CUSTOMERS REPORT'!T580+'CUSTOMERS REPORT'!T616+'CUSTOMERS REPORT'!T654+'CUSTOMERS REPORT'!T692+'CUSTOMERS REPORT'!T730+'CUSTOMERS REPORT'!T768+'CUSTOMERS REPORT'!T806+'CUSTOMERS REPORT'!T844+'CUSTOMERS REPORT'!T882+'CUSTOMERS REPORT'!T921+'CUSTOMERS REPORT'!T960+'CUSTOMERS REPORT'!T998+'CUSTOMERS REPORT'!T1036+'CUSTOMERS REPORT'!T1074+'CUSTOMERS REPORT'!T1112+'CUSTOMERS REPORT'!T1150</f>
        <v>0</v>
      </c>
      <c r="AM54" s="852">
        <f>'CUSTOMERS REPORT'!U31+'CUSTOMERS REPORT'!U77+'CUSTOMERS REPORT'!U115+'CUSTOMERS REPORT'!U154+'CUSTOMERS REPORT'!U192+'CUSTOMERS REPORT'!U232+'CUSTOMERS REPORT'!U269+'CUSTOMERS REPORT'!U309+'CUSTOMERS REPORT'!U350+'CUSTOMERS REPORT'!U392+'CUSTOMERS REPORT'!U431+'CUSTOMERS REPORT'!U469+'CUSTOMERS REPORT'!U505+'CUSTOMERS REPORT'!U542+'CUSTOMERS REPORT'!U580+'CUSTOMERS REPORT'!U616+'CUSTOMERS REPORT'!U654+'CUSTOMERS REPORT'!U692+'CUSTOMERS REPORT'!U730+'CUSTOMERS REPORT'!U768+'CUSTOMERS REPORT'!U806+'CUSTOMERS REPORT'!U844+'CUSTOMERS REPORT'!U882+'CUSTOMERS REPORT'!U921+'CUSTOMERS REPORT'!U960+'CUSTOMERS REPORT'!U998+'CUSTOMERS REPORT'!U1036+'CUSTOMERS REPORT'!U1074+'CUSTOMERS REPORT'!U1112+'CUSTOMERS REPORT'!U1150</f>
        <v>0</v>
      </c>
      <c r="AN54" s="852">
        <f>'CUSTOMERS REPORT'!V31+'CUSTOMERS REPORT'!V77+'CUSTOMERS REPORT'!V115+'CUSTOMERS REPORT'!V154+'CUSTOMERS REPORT'!V192+'CUSTOMERS REPORT'!V232+'CUSTOMERS REPORT'!V269+'CUSTOMERS REPORT'!V309+'CUSTOMERS REPORT'!V350+'CUSTOMERS REPORT'!V392+'CUSTOMERS REPORT'!V431+'CUSTOMERS REPORT'!V469+'CUSTOMERS REPORT'!V505+'CUSTOMERS REPORT'!V542+'CUSTOMERS REPORT'!V580+'CUSTOMERS REPORT'!V616+'CUSTOMERS REPORT'!V654+'CUSTOMERS REPORT'!V692+'CUSTOMERS REPORT'!V730+'CUSTOMERS REPORT'!V768+'CUSTOMERS REPORT'!V806+'CUSTOMERS REPORT'!V844+'CUSTOMERS REPORT'!V882+'CUSTOMERS REPORT'!V921+'CUSTOMERS REPORT'!V960+'CUSTOMERS REPORT'!V998+'CUSTOMERS REPORT'!V1036+'CUSTOMERS REPORT'!V1074+'CUSTOMERS REPORT'!V1112+'CUSTOMERS REPORT'!V1150</f>
        <v>0</v>
      </c>
    </row>
    <row r="55" spans="1:40" ht="24.95" customHeight="1" thickBot="1">
      <c r="L55" s="417">
        <v>20</v>
      </c>
      <c r="M55" s="417"/>
      <c r="N55" s="417">
        <f t="shared" si="10"/>
        <v>0</v>
      </c>
      <c r="R55" s="123">
        <f>'23'!R57</f>
        <v>91</v>
      </c>
      <c r="S55" s="865" t="s">
        <v>169</v>
      </c>
      <c r="T55" s="866">
        <f t="shared" ref="T55:AN55" si="12">T53-T54-T51</f>
        <v>0</v>
      </c>
      <c r="U55" s="866">
        <f t="shared" si="12"/>
        <v>0</v>
      </c>
      <c r="V55" s="866">
        <f t="shared" si="12"/>
        <v>123</v>
      </c>
      <c r="W55" s="866">
        <f t="shared" si="12"/>
        <v>19</v>
      </c>
      <c r="X55" s="866">
        <f t="shared" si="12"/>
        <v>0</v>
      </c>
      <c r="Y55" s="866">
        <f t="shared" si="12"/>
        <v>0</v>
      </c>
      <c r="Z55" s="866">
        <f t="shared" si="12"/>
        <v>-3</v>
      </c>
      <c r="AA55" s="866">
        <f t="shared" si="12"/>
        <v>2522</v>
      </c>
      <c r="AB55" s="866">
        <f t="shared" si="12"/>
        <v>170</v>
      </c>
      <c r="AC55" s="866">
        <f t="shared" si="12"/>
        <v>2623</v>
      </c>
      <c r="AD55" s="866">
        <f t="shared" si="12"/>
        <v>1020</v>
      </c>
      <c r="AE55" s="866">
        <f t="shared" si="12"/>
        <v>0</v>
      </c>
      <c r="AF55" s="866">
        <f>AF53-AF54-AF51</f>
        <v>2520</v>
      </c>
      <c r="AG55" s="866">
        <f t="shared" si="12"/>
        <v>1086</v>
      </c>
      <c r="AH55" s="866">
        <f t="shared" si="12"/>
        <v>2011</v>
      </c>
      <c r="AI55" s="866">
        <f t="shared" si="12"/>
        <v>631</v>
      </c>
      <c r="AJ55" s="866">
        <f t="shared" si="12"/>
        <v>0</v>
      </c>
      <c r="AK55" s="866">
        <f t="shared" si="12"/>
        <v>-1</v>
      </c>
      <c r="AL55" s="866" t="e">
        <f t="shared" si="12"/>
        <v>#VALUE!</v>
      </c>
      <c r="AM55" s="866" t="e">
        <f t="shared" si="12"/>
        <v>#VALUE!</v>
      </c>
      <c r="AN55" s="872" t="e">
        <f t="shared" si="12"/>
        <v>#VALUE!</v>
      </c>
    </row>
    <row r="56" spans="1:40" ht="28.5" thickBot="1">
      <c r="A56" s="114"/>
      <c r="B56" s="120"/>
      <c r="C56" s="115"/>
      <c r="L56" s="417">
        <v>10</v>
      </c>
      <c r="M56" s="417"/>
      <c r="N56" s="417">
        <f t="shared" si="10"/>
        <v>0</v>
      </c>
      <c r="R56" s="123">
        <f>T56+U56+V56+W56+X56+Y56+Z56+AA56+AB56+AC56+AD56+AE56+AF56+AG56+AH56+AI56+AJ56+AK56+AL56+AM56+AN56</f>
        <v>13</v>
      </c>
      <c r="S56" s="874" t="s">
        <v>170</v>
      </c>
      <c r="T56" s="875"/>
      <c r="U56" s="875"/>
      <c r="V56" s="875">
        <v>1</v>
      </c>
      <c r="W56" s="875"/>
      <c r="X56" s="875"/>
      <c r="Y56" s="875"/>
      <c r="Z56" s="876"/>
      <c r="AA56" s="875"/>
      <c r="AB56" s="875"/>
      <c r="AC56" s="875">
        <v>2</v>
      </c>
      <c r="AD56" s="875">
        <v>7</v>
      </c>
      <c r="AE56" s="875"/>
      <c r="AF56" s="875"/>
      <c r="AG56" s="875"/>
      <c r="AH56" s="875">
        <v>3</v>
      </c>
      <c r="AI56" s="875"/>
      <c r="AJ56" s="877"/>
      <c r="AK56" s="877"/>
      <c r="AL56" s="877"/>
      <c r="AM56" s="877"/>
      <c r="AN56" s="877"/>
    </row>
    <row r="57" spans="1:40" ht="27" customHeight="1" thickBot="1">
      <c r="A57" s="114"/>
      <c r="B57" s="131"/>
      <c r="C57" s="115"/>
      <c r="D57" s="115"/>
      <c r="E57" s="19"/>
      <c r="F57" s="19"/>
      <c r="G57" s="19"/>
      <c r="H57" s="19"/>
      <c r="I57" s="19"/>
      <c r="J57" s="19"/>
      <c r="K57" s="19"/>
      <c r="L57" s="418">
        <v>1</v>
      </c>
      <c r="M57" s="418"/>
      <c r="N57" s="417">
        <f t="shared" si="10"/>
        <v>0</v>
      </c>
      <c r="O57" s="19"/>
      <c r="R57" s="123">
        <f>SUM(R55:R56)</f>
        <v>104</v>
      </c>
      <c r="S57" s="882" t="s">
        <v>23</v>
      </c>
      <c r="T57" s="883" t="e">
        <f t="shared" ref="T57:AI57" si="13">T50/T56</f>
        <v>#DIV/0!</v>
      </c>
      <c r="U57" s="883" t="e">
        <f t="shared" si="13"/>
        <v>#DIV/0!</v>
      </c>
      <c r="V57" s="883">
        <f t="shared" si="13"/>
        <v>63</v>
      </c>
      <c r="W57" s="883" t="e">
        <f t="shared" si="13"/>
        <v>#DIV/0!</v>
      </c>
      <c r="X57" s="883" t="e">
        <f t="shared" si="13"/>
        <v>#DIV/0!</v>
      </c>
      <c r="Y57" s="883" t="e">
        <f t="shared" si="13"/>
        <v>#DIV/0!</v>
      </c>
      <c r="Z57" s="883" t="e">
        <f t="shared" si="13"/>
        <v>#DIV/0!</v>
      </c>
      <c r="AA57" s="883" t="e">
        <f t="shared" si="13"/>
        <v>#DIV/0!</v>
      </c>
      <c r="AB57" s="883" t="e">
        <f t="shared" si="13"/>
        <v>#DIV/0!</v>
      </c>
      <c r="AC57" s="883">
        <f t="shared" si="13"/>
        <v>89.5</v>
      </c>
      <c r="AD57" s="883">
        <f t="shared" si="13"/>
        <v>75.142857142857139</v>
      </c>
      <c r="AE57" s="883" t="e">
        <f t="shared" si="13"/>
        <v>#DIV/0!</v>
      </c>
      <c r="AF57" s="883" t="e">
        <f t="shared" si="13"/>
        <v>#DIV/0!</v>
      </c>
      <c r="AG57" s="883" t="e">
        <f t="shared" si="13"/>
        <v>#DIV/0!</v>
      </c>
      <c r="AH57" s="883">
        <f t="shared" si="13"/>
        <v>290.66666666666669</v>
      </c>
      <c r="AI57" s="883" t="e">
        <f t="shared" si="13"/>
        <v>#DIV/0!</v>
      </c>
      <c r="AJ57" s="883" t="e">
        <f>AJ50/AJ56</f>
        <v>#DIV/0!</v>
      </c>
      <c r="AK57" s="883" t="e">
        <f>AK50/AK56</f>
        <v>#DIV/0!</v>
      </c>
      <c r="AL57" s="883" t="e">
        <f t="shared" ref="AL57:AN57" si="14">AL50/AL56</f>
        <v>#DIV/0!</v>
      </c>
      <c r="AM57" s="883" t="e">
        <f t="shared" si="14"/>
        <v>#DIV/0!</v>
      </c>
      <c r="AN57" s="884" t="e">
        <f t="shared" si="14"/>
        <v>#DIV/0!</v>
      </c>
    </row>
    <row r="58" spans="1:40" ht="27" customHeight="1" thickBot="1">
      <c r="A58" s="114"/>
      <c r="B58" s="131"/>
      <c r="C58" s="115"/>
      <c r="D58" s="115" t="s">
        <v>1</v>
      </c>
      <c r="L58" s="1501" t="s">
        <v>171</v>
      </c>
      <c r="M58" s="1501"/>
      <c r="N58" s="419">
        <f>SUM(N50:N57)</f>
        <v>0</v>
      </c>
      <c r="R58" s="19"/>
      <c r="S58" s="878" t="s">
        <v>172</v>
      </c>
      <c r="T58" s="879">
        <f>T54</f>
        <v>0</v>
      </c>
      <c r="U58" s="879">
        <f t="shared" ref="U58:AI58" si="15">U54</f>
        <v>0</v>
      </c>
      <c r="V58" s="879">
        <f t="shared" si="15"/>
        <v>0</v>
      </c>
      <c r="W58" s="879">
        <f t="shared" si="15"/>
        <v>0</v>
      </c>
      <c r="X58" s="879">
        <f t="shared" si="15"/>
        <v>0</v>
      </c>
      <c r="Y58" s="879">
        <f t="shared" si="15"/>
        <v>0</v>
      </c>
      <c r="Z58" s="879">
        <f t="shared" si="15"/>
        <v>0</v>
      </c>
      <c r="AA58" s="879">
        <f t="shared" si="15"/>
        <v>0</v>
      </c>
      <c r="AB58" s="879">
        <f t="shared" si="15"/>
        <v>0</v>
      </c>
      <c r="AC58" s="879">
        <f t="shared" si="15"/>
        <v>0</v>
      </c>
      <c r="AD58" s="879">
        <f t="shared" si="15"/>
        <v>0</v>
      </c>
      <c r="AE58" s="879">
        <f t="shared" si="15"/>
        <v>0</v>
      </c>
      <c r="AF58" s="879">
        <f t="shared" si="15"/>
        <v>0</v>
      </c>
      <c r="AG58" s="879">
        <f t="shared" si="15"/>
        <v>0</v>
      </c>
      <c r="AH58" s="879">
        <f t="shared" si="15"/>
        <v>0</v>
      </c>
      <c r="AI58" s="879">
        <f t="shared" si="15"/>
        <v>0</v>
      </c>
      <c r="AJ58" s="879">
        <f>AJ54</f>
        <v>0</v>
      </c>
      <c r="AK58" s="879">
        <f>AK54</f>
        <v>0</v>
      </c>
      <c r="AL58" s="880"/>
      <c r="AM58" s="880"/>
      <c r="AN58" s="881"/>
    </row>
    <row r="59" spans="1:40" ht="27" customHeight="1">
      <c r="A59" s="114"/>
      <c r="B59" s="132"/>
      <c r="C59" s="115"/>
      <c r="D59" s="115" t="s">
        <v>1</v>
      </c>
      <c r="K59" t="s">
        <v>1</v>
      </c>
      <c r="L59" s="1486" t="s">
        <v>173</v>
      </c>
      <c r="M59" s="1486"/>
      <c r="N59" s="420">
        <f>N58-Q48</f>
        <v>3911340</v>
      </c>
      <c r="R59" s="19"/>
      <c r="S59" s="114"/>
      <c r="T59" s="121"/>
      <c r="U59" s="121"/>
      <c r="V59" s="121"/>
      <c r="W59" s="121"/>
      <c r="X59" s="121"/>
      <c r="Y59" s="121"/>
      <c r="Z59" s="122"/>
      <c r="AA59" s="121"/>
      <c r="AB59" s="121"/>
      <c r="AC59" s="121"/>
      <c r="AD59" s="121"/>
      <c r="AE59" s="121"/>
      <c r="AF59" s="121"/>
      <c r="AG59" s="121"/>
      <c r="AH59" s="119"/>
      <c r="AI59" s="119"/>
    </row>
    <row r="60" spans="1:40" ht="23.25">
      <c r="A60" s="114"/>
      <c r="B60" s="132"/>
      <c r="C60" s="115"/>
      <c r="D60" s="115"/>
      <c r="P60" s="19"/>
      <c r="Q60" s="19"/>
      <c r="R60" s="19"/>
      <c r="S60" s="19"/>
      <c r="U60" t="s">
        <v>1</v>
      </c>
    </row>
    <row r="61" spans="1:40" ht="23.25">
      <c r="A61" s="114"/>
      <c r="B61" s="132"/>
      <c r="C61" s="115"/>
      <c r="D61" s="116"/>
      <c r="M61" t="s">
        <v>1</v>
      </c>
      <c r="P61" s="185"/>
      <c r="Q61" s="186"/>
      <c r="R61" s="19"/>
      <c r="S61" s="19"/>
      <c r="U61" t="s">
        <v>1</v>
      </c>
    </row>
    <row r="62" spans="1:40" ht="20.25">
      <c r="C62" s="116"/>
      <c r="P62" s="19"/>
      <c r="Q62" s="19"/>
      <c r="R62" s="19"/>
      <c r="S62" s="19"/>
    </row>
    <row r="63" spans="1:40">
      <c r="E63" s="19"/>
    </row>
    <row r="64" spans="1:40">
      <c r="E64" s="19"/>
      <c r="J64" t="s">
        <v>3</v>
      </c>
    </row>
    <row r="65" spans="3:20" ht="21">
      <c r="C65" s="251"/>
      <c r="E65" s="19"/>
      <c r="T65" t="s">
        <v>1</v>
      </c>
    </row>
    <row r="66" spans="3:20">
      <c r="E66" s="49"/>
    </row>
    <row r="67" spans="3:20" ht="23.25">
      <c r="E67" s="113"/>
    </row>
  </sheetData>
  <mergeCells count="21">
    <mergeCell ref="AL47:AM47"/>
    <mergeCell ref="L58:M58"/>
    <mergeCell ref="L59:M59"/>
    <mergeCell ref="T47:W47"/>
    <mergeCell ref="X47:Z47"/>
    <mergeCell ref="S47:S48"/>
    <mergeCell ref="AI7:AJ7"/>
    <mergeCell ref="AI20:AJ20"/>
    <mergeCell ref="AA47:AB47"/>
    <mergeCell ref="AC47:AI47"/>
    <mergeCell ref="AJ47:AK47"/>
    <mergeCell ref="A6:Q6"/>
    <mergeCell ref="S6:AE6"/>
    <mergeCell ref="A7:B7"/>
    <mergeCell ref="P7:Q7"/>
    <mergeCell ref="H48:I48"/>
    <mergeCell ref="P24:Q24"/>
    <mergeCell ref="P33:Q33"/>
    <mergeCell ref="P42:Q42"/>
    <mergeCell ref="H46:I46"/>
    <mergeCell ref="H47:I47"/>
  </mergeCells>
  <conditionalFormatting sqref="M48:N48">
    <cfRule type="duplicateValues" dxfId="160" priority="29"/>
    <cfRule type="duplicateValues" dxfId="159" priority="30"/>
    <cfRule type="duplicateValues" dxfId="158" priority="31"/>
    <cfRule type="duplicateValues" dxfId="157" priority="32"/>
  </conditionalFormatting>
  <conditionalFormatting sqref="L48 N48">
    <cfRule type="cellIs" dxfId="156" priority="28" operator="equal">
      <formula>66890</formula>
    </cfRule>
  </conditionalFormatting>
  <conditionalFormatting sqref="N48">
    <cfRule type="cellIs" dxfId="155" priority="27" operator="lessThan">
      <formula>1</formula>
    </cfRule>
  </conditionalFormatting>
  <conditionalFormatting sqref="T57">
    <cfRule type="cellIs" dxfId="154" priority="16" operator="lessThan">
      <formula>63</formula>
    </cfRule>
  </conditionalFormatting>
  <conditionalFormatting sqref="U57">
    <cfRule type="cellIs" dxfId="153" priority="14" operator="lessThan">
      <formula>63</formula>
    </cfRule>
    <cfRule type="cellIs" dxfId="152" priority="15" operator="lessThan">
      <formula>63</formula>
    </cfRule>
  </conditionalFormatting>
  <conditionalFormatting sqref="W57">
    <cfRule type="cellIs" dxfId="151" priority="13" operator="lessThan">
      <formula>140</formula>
    </cfRule>
  </conditionalFormatting>
  <conditionalFormatting sqref="X57">
    <cfRule type="cellIs" dxfId="150" priority="12" operator="lessThan">
      <formula>125</formula>
    </cfRule>
  </conditionalFormatting>
  <conditionalFormatting sqref="Y57">
    <cfRule type="cellIs" dxfId="149" priority="11" operator="lessThan">
      <formula>150</formula>
    </cfRule>
  </conditionalFormatting>
  <conditionalFormatting sqref="Z57">
    <cfRule type="cellIs" dxfId="148" priority="10" operator="lessThan">
      <formula>590</formula>
    </cfRule>
  </conditionalFormatting>
  <conditionalFormatting sqref="AA57">
    <cfRule type="cellIs" dxfId="147" priority="9" operator="lessThan">
      <formula>704</formula>
    </cfRule>
  </conditionalFormatting>
  <conditionalFormatting sqref="AC57">
    <cfRule type="cellIs" dxfId="146" priority="8" operator="lessThan">
      <formula>52</formula>
    </cfRule>
  </conditionalFormatting>
  <conditionalFormatting sqref="AD57">
    <cfRule type="cellIs" dxfId="145" priority="7" operator="lessThan">
      <formula>52</formula>
    </cfRule>
  </conditionalFormatting>
  <conditionalFormatting sqref="AH57">
    <cfRule type="cellIs" dxfId="144" priority="6" operator="lessThan">
      <formula>63</formula>
    </cfRule>
  </conditionalFormatting>
  <conditionalFormatting sqref="AI57">
    <cfRule type="cellIs" dxfId="143" priority="5" operator="lessThan">
      <formula>63</formula>
    </cfRule>
  </conditionalFormatting>
  <conditionalFormatting sqref="AK57">
    <cfRule type="cellIs" dxfId="142" priority="4" operator="lessThan">
      <formula>270</formula>
    </cfRule>
  </conditionalFormatting>
  <conditionalFormatting sqref="AJ57">
    <cfRule type="cellIs" dxfId="141" priority="3" operator="lessThan">
      <formula>270</formula>
    </cfRule>
  </conditionalFormatting>
  <conditionalFormatting sqref="AL57:AN57">
    <cfRule type="cellIs" dxfId="140" priority="1" operator="lessThan">
      <formula>270</formula>
    </cfRule>
  </conditionalFormatting>
  <printOptions horizontalCentered="1" verticalCentered="1"/>
  <pageMargins left="0" right="0.5" top="0" bottom="0" header="0" footer="0"/>
  <pageSetup paperSize="5" scale="47" orientation="landscape" cellComments="asDisplayed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AP67"/>
  <sheetViews>
    <sheetView topLeftCell="S1" zoomScale="90" zoomScaleNormal="90" workbookViewId="0">
      <selection activeCell="V2" sqref="V2"/>
    </sheetView>
  </sheetViews>
  <sheetFormatPr defaultRowHeight="15"/>
  <cols>
    <col min="1" max="1" width="32.7109375" bestFit="1" customWidth="1"/>
    <col min="2" max="2" width="17.7109375" customWidth="1"/>
    <col min="3" max="4" width="20.7109375" customWidth="1"/>
    <col min="5" max="5" width="4.7109375" customWidth="1"/>
    <col min="6" max="6" width="35.85546875" bestFit="1" customWidth="1"/>
    <col min="7" max="7" width="17.7109375" customWidth="1"/>
    <col min="8" max="9" width="19.140625" bestFit="1" customWidth="1"/>
    <col min="10" max="11" width="17.7109375" customWidth="1"/>
    <col min="12" max="12" width="19.140625" bestFit="1" customWidth="1"/>
    <col min="13" max="14" width="18.7109375" customWidth="1"/>
    <col min="15" max="15" width="7.7109375" customWidth="1"/>
    <col min="16" max="16" width="28.7109375" customWidth="1"/>
    <col min="17" max="17" width="23.42578125" bestFit="1" customWidth="1"/>
    <col min="18" max="18" width="11.5703125" bestFit="1" customWidth="1"/>
    <col min="19" max="19" width="32.7109375" customWidth="1"/>
    <col min="20" max="20" width="20.28515625" bestFit="1" customWidth="1"/>
    <col min="21" max="21" width="17.7109375" customWidth="1"/>
    <col min="22" max="22" width="20.28515625" bestFit="1" customWidth="1"/>
    <col min="23" max="23" width="17.7109375" customWidth="1"/>
    <col min="24" max="24" width="20.28515625" bestFit="1" customWidth="1"/>
    <col min="25" max="25" width="14.7109375" customWidth="1"/>
    <col min="26" max="26" width="23.7109375" bestFit="1" customWidth="1"/>
    <col min="27" max="27" width="20.140625" bestFit="1" customWidth="1"/>
    <col min="28" max="28" width="18.140625" bestFit="1" customWidth="1"/>
    <col min="29" max="29" width="20.140625" bestFit="1" customWidth="1"/>
    <col min="30" max="30" width="17.7109375" customWidth="1"/>
    <col min="31" max="31" width="20.140625" bestFit="1" customWidth="1"/>
    <col min="32" max="33" width="20.7109375" customWidth="1"/>
    <col min="34" max="37" width="17.7109375" customWidth="1"/>
    <col min="38" max="40" width="13" hidden="1" customWidth="1"/>
  </cols>
  <sheetData>
    <row r="1" spans="1:36">
      <c r="E1" s="5"/>
    </row>
    <row r="2" spans="1:36">
      <c r="E2" s="5"/>
    </row>
    <row r="3" spans="1:36" ht="15.75" thickBot="1">
      <c r="E3" s="5" t="s">
        <v>1</v>
      </c>
      <c r="F3" t="s">
        <v>1</v>
      </c>
      <c r="N3" t="s">
        <v>1</v>
      </c>
      <c r="S3" t="s">
        <v>1</v>
      </c>
      <c r="U3" t="s">
        <v>1</v>
      </c>
    </row>
    <row r="4" spans="1:36" ht="21.75" thickTop="1">
      <c r="B4" t="s">
        <v>1</v>
      </c>
      <c r="D4" t="s">
        <v>1</v>
      </c>
      <c r="E4" t="s">
        <v>1</v>
      </c>
      <c r="P4" s="617" t="s">
        <v>108</v>
      </c>
      <c r="Q4" s="618">
        <f>'24'!Q4+'25'!Q9+'25'!Q10+'25'!Q19+'25'!Q20+'25'!Q21+'25'!Q22</f>
        <v>0</v>
      </c>
    </row>
    <row r="5" spans="1:36" ht="21.75" thickBot="1">
      <c r="P5" s="619" t="s">
        <v>109</v>
      </c>
      <c r="Q5" s="620">
        <f>'24'!Q5+'25'!Q25+'25'!Q26+'25'!Q27+'25'!Q28+'25'!Q29+'25'!Q30+'25'!Q31</f>
        <v>0</v>
      </c>
    </row>
    <row r="6" spans="1:36" ht="48" thickTop="1" thickBot="1">
      <c r="A6" s="1502">
        <f>'Main Page'!E41</f>
        <v>44890</v>
      </c>
      <c r="B6" s="1507"/>
      <c r="C6" s="1507"/>
      <c r="D6" s="1507"/>
      <c r="E6" s="1507"/>
      <c r="F6" s="1507"/>
      <c r="G6" s="1507"/>
      <c r="H6" s="1507"/>
      <c r="I6" s="1507"/>
      <c r="J6" s="1507"/>
      <c r="K6" s="1507"/>
      <c r="L6" s="1507"/>
      <c r="M6" s="1507"/>
      <c r="N6" s="1507"/>
      <c r="O6" s="1507"/>
      <c r="P6" s="1507"/>
      <c r="Q6" s="1515"/>
      <c r="R6" t="s">
        <v>1</v>
      </c>
      <c r="S6" s="1502">
        <f>A6</f>
        <v>44890</v>
      </c>
      <c r="T6" s="1503"/>
      <c r="U6" s="1503"/>
      <c r="V6" s="1503"/>
      <c r="W6" s="1503"/>
      <c r="X6" s="1503"/>
      <c r="Y6" s="1503"/>
      <c r="Z6" s="1503"/>
      <c r="AA6" s="1503"/>
      <c r="AB6" s="1503"/>
      <c r="AC6" s="1503"/>
      <c r="AD6" s="1503"/>
      <c r="AE6" s="1504"/>
    </row>
    <row r="7" spans="1:36" ht="39.950000000000003" customHeight="1" thickTop="1" thickBot="1">
      <c r="A7" s="1505" t="s">
        <v>110</v>
      </c>
      <c r="B7" s="1506"/>
      <c r="C7" s="367" t="s">
        <v>97</v>
      </c>
      <c r="D7" s="368" t="s">
        <v>74</v>
      </c>
      <c r="F7" s="363" t="s">
        <v>111</v>
      </c>
      <c r="G7" s="364" t="s">
        <v>112</v>
      </c>
      <c r="H7" s="365" t="s">
        <v>113</v>
      </c>
      <c r="I7" s="365" t="s">
        <v>26</v>
      </c>
      <c r="J7" s="365" t="s">
        <v>114</v>
      </c>
      <c r="K7" s="366" t="s">
        <v>115</v>
      </c>
      <c r="L7" s="365" t="s">
        <v>116</v>
      </c>
      <c r="M7" s="365" t="s">
        <v>117</v>
      </c>
      <c r="N7" s="365" t="s">
        <v>118</v>
      </c>
      <c r="P7" s="1510" t="s">
        <v>69</v>
      </c>
      <c r="Q7" s="1511"/>
      <c r="S7" s="380" t="s">
        <v>58</v>
      </c>
      <c r="T7" s="380" t="s">
        <v>59</v>
      </c>
      <c r="U7" s="380" t="s">
        <v>119</v>
      </c>
      <c r="V7" s="380" t="s">
        <v>74</v>
      </c>
      <c r="W7" s="380" t="s">
        <v>120</v>
      </c>
      <c r="X7" s="380" t="s">
        <v>59</v>
      </c>
      <c r="Z7" s="367" t="s">
        <v>121</v>
      </c>
      <c r="AA7" s="367" t="s">
        <v>97</v>
      </c>
      <c r="AB7" s="415" t="s">
        <v>122</v>
      </c>
      <c r="AC7" s="416" t="s">
        <v>90</v>
      </c>
      <c r="AD7" s="367" t="s">
        <v>56</v>
      </c>
      <c r="AE7" s="381" t="s">
        <v>100</v>
      </c>
      <c r="AF7" s="560" t="s">
        <v>122</v>
      </c>
      <c r="AG7" s="570" t="s">
        <v>56</v>
      </c>
      <c r="AI7" s="1487" t="s">
        <v>123</v>
      </c>
      <c r="AJ7" s="1488"/>
    </row>
    <row r="8" spans="1:36" ht="27" customHeight="1" thickTop="1" thickBot="1">
      <c r="A8" s="718"/>
      <c r="B8" s="526"/>
      <c r="C8" s="463"/>
      <c r="D8" s="233"/>
      <c r="F8" s="478" t="str">
        <f>'24'!F8</f>
        <v>ISHAQ ANSARI</v>
      </c>
      <c r="G8" s="405">
        <f>'CUSTOMERS REPORT'!Y32</f>
        <v>0</v>
      </c>
      <c r="H8" s="503">
        <f>'CUSTOMERS REPORT'!Z32</f>
        <v>0</v>
      </c>
      <c r="I8" s="405">
        <f>'CUSTOMERS REPORT'!AA32</f>
        <v>0</v>
      </c>
      <c r="J8" s="497">
        <f>'CUSTOMERS REPORT'!AB32</f>
        <v>0</v>
      </c>
      <c r="K8" s="497">
        <f>'CUSTOMERS REPORT'!AC32</f>
        <v>0</v>
      </c>
      <c r="L8" s="508">
        <f>'CUSTOMERS REPORT'!AD32</f>
        <v>0</v>
      </c>
      <c r="M8" s="413">
        <f>'24'!M8+'25'!G8</f>
        <v>0</v>
      </c>
      <c r="N8" s="411">
        <f>'24'!N8+'25'!J8</f>
        <v>0</v>
      </c>
      <c r="P8" s="191" t="s">
        <v>124</v>
      </c>
      <c r="Q8" s="223">
        <f>'24'!Q32</f>
        <v>0</v>
      </c>
      <c r="S8" s="399" t="str">
        <f>'24'!S8</f>
        <v>FLOUR</v>
      </c>
      <c r="T8" s="446">
        <f>'24'!X8</f>
        <v>-8</v>
      </c>
      <c r="U8" s="455"/>
      <c r="V8" s="450">
        <f t="shared" ref="V8:V43" si="0">SUM(T8:U8)</f>
        <v>-8</v>
      </c>
      <c r="W8" s="450"/>
      <c r="X8" s="446">
        <f t="shared" ref="X8:X43" si="1">V8-W8</f>
        <v>-8</v>
      </c>
      <c r="Z8" s="382" t="str">
        <f>'24'!Z8</f>
        <v>GHAZI</v>
      </c>
      <c r="AA8" s="464">
        <f>'24'!AE8</f>
        <v>-352500</v>
      </c>
      <c r="AB8" s="459"/>
      <c r="AC8" s="233">
        <f t="shared" ref="AC8:AC41" si="2">AA8+AB8</f>
        <v>-352500</v>
      </c>
      <c r="AD8" s="468"/>
      <c r="AE8" s="463">
        <f t="shared" ref="AE8:AE42" si="3">AC8-AD8</f>
        <v>-352500</v>
      </c>
      <c r="AF8" s="563">
        <f>'24'!AF8+'25'!AB8</f>
        <v>347500</v>
      </c>
      <c r="AG8" s="233">
        <f>'24'!AG8+'25'!AD8</f>
        <v>700000</v>
      </c>
      <c r="AI8" s="391" t="s">
        <v>126</v>
      </c>
      <c r="AJ8" s="392">
        <f>'24'!AJ10</f>
        <v>181820</v>
      </c>
    </row>
    <row r="9" spans="1:36" ht="27" customHeight="1" thickTop="1">
      <c r="A9" s="718"/>
      <c r="B9" s="528"/>
      <c r="C9" s="348"/>
      <c r="D9" s="550"/>
      <c r="F9" s="479" t="str">
        <f>'24'!F9</f>
        <v>MAKKI BAKERY</v>
      </c>
      <c r="G9" s="406">
        <f>'CUSTOMERS REPORT'!Y78</f>
        <v>0</v>
      </c>
      <c r="H9" s="504">
        <f>'CUSTOMERS REPORT'!Z78</f>
        <v>0</v>
      </c>
      <c r="I9" s="406">
        <f>'CUSTOMERS REPORT'!AA78</f>
        <v>0</v>
      </c>
      <c r="J9" s="498">
        <f>'CUSTOMERS REPORT'!AB78</f>
        <v>0</v>
      </c>
      <c r="K9" s="498">
        <f>'CUSTOMERS REPORT'!AC78</f>
        <v>0</v>
      </c>
      <c r="L9" s="509">
        <f>'CUSTOMERS REPORT'!AD78</f>
        <v>0</v>
      </c>
      <c r="M9" s="414">
        <f>'24'!M9+'25'!G9</f>
        <v>0</v>
      </c>
      <c r="N9" s="412">
        <f>'24'!N9+'25'!J9</f>
        <v>0</v>
      </c>
      <c r="P9" s="432"/>
      <c r="Q9" s="436"/>
      <c r="S9" s="400" t="str">
        <f>'24'!S9</f>
        <v>SUGAR</v>
      </c>
      <c r="T9" s="446">
        <f>'24'!X9</f>
        <v>-1140</v>
      </c>
      <c r="U9" s="456"/>
      <c r="V9" s="451">
        <f t="shared" si="0"/>
        <v>-1140</v>
      </c>
      <c r="W9" s="451"/>
      <c r="X9" s="447">
        <f t="shared" si="1"/>
        <v>-1140</v>
      </c>
      <c r="Z9" s="375" t="str">
        <f>'24'!Z9</f>
        <v>SOHNI</v>
      </c>
      <c r="AA9" s="464">
        <f>'24'!AE9</f>
        <v>20000</v>
      </c>
      <c r="AB9" s="460"/>
      <c r="AC9" s="462">
        <f t="shared" si="2"/>
        <v>20000</v>
      </c>
      <c r="AD9" s="469"/>
      <c r="AE9" s="350">
        <f t="shared" si="3"/>
        <v>20000</v>
      </c>
      <c r="AF9" s="563">
        <f>'24'!AF9+'25'!AB9</f>
        <v>370000</v>
      </c>
      <c r="AG9" s="234">
        <f>'24'!AG9+'25'!AD9</f>
        <v>350000</v>
      </c>
      <c r="AI9" s="393" t="s">
        <v>128</v>
      </c>
      <c r="AJ9" s="394">
        <f>B26</f>
        <v>0</v>
      </c>
    </row>
    <row r="10" spans="1:36" ht="27" customHeight="1" thickBot="1">
      <c r="A10" s="718"/>
      <c r="B10" s="528"/>
      <c r="C10" s="350"/>
      <c r="D10" s="550"/>
      <c r="F10" s="479" t="str">
        <f>'24'!F10</f>
        <v>ABID HUSSAIN</v>
      </c>
      <c r="G10" s="406">
        <f>'CUSTOMERS REPORT'!Y116</f>
        <v>0</v>
      </c>
      <c r="H10" s="504">
        <f>'CUSTOMERS REPORT'!Z116</f>
        <v>0</v>
      </c>
      <c r="I10" s="406">
        <f>'CUSTOMERS REPORT'!AA116</f>
        <v>0</v>
      </c>
      <c r="J10" s="498">
        <f>'CUSTOMERS REPORT'!AB116</f>
        <v>0</v>
      </c>
      <c r="K10" s="498">
        <f>'CUSTOMERS REPORT'!AC116</f>
        <v>0</v>
      </c>
      <c r="L10" s="509">
        <f>'CUSTOMERS REPORT'!AD116</f>
        <v>0</v>
      </c>
      <c r="M10" s="414">
        <f>'24'!M10+'25'!G10</f>
        <v>0</v>
      </c>
      <c r="N10" s="412">
        <f>'24'!N10+'25'!J10</f>
        <v>0</v>
      </c>
      <c r="P10" s="433"/>
      <c r="Q10" s="437"/>
      <c r="S10" s="400" t="str">
        <f>'24'!S10</f>
        <v>GHEE</v>
      </c>
      <c r="T10" s="446">
        <f>'24'!X10</f>
        <v>-17</v>
      </c>
      <c r="U10" s="456"/>
      <c r="V10" s="451">
        <f t="shared" si="0"/>
        <v>-17</v>
      </c>
      <c r="W10" s="451"/>
      <c r="X10" s="447">
        <f t="shared" si="1"/>
        <v>-17</v>
      </c>
      <c r="Z10" s="375" t="str">
        <f>'24'!Z10</f>
        <v>HUSSAINI</v>
      </c>
      <c r="AA10" s="464">
        <f>'24'!AE10</f>
        <v>-94100</v>
      </c>
      <c r="AB10" s="460"/>
      <c r="AC10" s="462">
        <f t="shared" si="2"/>
        <v>-94100</v>
      </c>
      <c r="AD10" s="469"/>
      <c r="AE10" s="348">
        <f t="shared" si="3"/>
        <v>-94100</v>
      </c>
      <c r="AF10" s="563">
        <f>'24'!AF10+'25'!AB10</f>
        <v>62000</v>
      </c>
      <c r="AG10" s="234">
        <f>'24'!AG10+'25'!AD10</f>
        <v>156100</v>
      </c>
      <c r="AI10" s="395" t="s">
        <v>74</v>
      </c>
      <c r="AJ10" s="396">
        <f>AJ8+AJ9</f>
        <v>181820</v>
      </c>
    </row>
    <row r="11" spans="1:36" ht="27" customHeight="1" thickTop="1">
      <c r="A11" s="718"/>
      <c r="B11" s="528"/>
      <c r="C11" s="350"/>
      <c r="D11" s="550"/>
      <c r="F11" s="479" t="str">
        <f>'24'!F11</f>
        <v>SHAHID 5 #</v>
      </c>
      <c r="G11" s="406">
        <f>'CUSTOMERS REPORT'!Y155</f>
        <v>0</v>
      </c>
      <c r="H11" s="504">
        <f>'CUSTOMERS REPORT'!Z155</f>
        <v>0</v>
      </c>
      <c r="I11" s="406">
        <f>'CUSTOMERS REPORT'!AA155</f>
        <v>0</v>
      </c>
      <c r="J11" s="498">
        <f>'CUSTOMERS REPORT'!AB155</f>
        <v>0</v>
      </c>
      <c r="K11" s="498">
        <f>'CUSTOMERS REPORT'!AC155</f>
        <v>0</v>
      </c>
      <c r="L11" s="509">
        <f>'CUSTOMERS REPORT'!AD155</f>
        <v>0</v>
      </c>
      <c r="M11" s="414">
        <f>'24'!M11+'25'!G11</f>
        <v>0</v>
      </c>
      <c r="N11" s="412">
        <f>'24'!N11+'25'!J11</f>
        <v>0</v>
      </c>
      <c r="P11" s="432"/>
      <c r="Q11" s="437"/>
      <c r="S11" s="400" t="str">
        <f>'24'!S11</f>
        <v>YEAST</v>
      </c>
      <c r="T11" s="446">
        <f>'24'!X11</f>
        <v>-105</v>
      </c>
      <c r="U11" s="456"/>
      <c r="V11" s="451">
        <f t="shared" ref="V11:V20" si="4">SUM(T11:U11)</f>
        <v>-105</v>
      </c>
      <c r="W11" s="451"/>
      <c r="X11" s="447">
        <f t="shared" ref="X11:X20" si="5">V11-W11</f>
        <v>-105</v>
      </c>
      <c r="Z11" s="375" t="str">
        <f>'24'!Z11</f>
        <v>IMRAN ALAM</v>
      </c>
      <c r="AA11" s="464">
        <f>'24'!AE11</f>
        <v>-439000</v>
      </c>
      <c r="AB11" s="460"/>
      <c r="AC11" s="462">
        <f t="shared" ref="AC11:AC20" si="6">AA11+AB11</f>
        <v>-439000</v>
      </c>
      <c r="AD11" s="469"/>
      <c r="AE11" s="348">
        <f t="shared" ref="AE11:AE20" si="7">AC11-AD11</f>
        <v>-439000</v>
      </c>
      <c r="AF11" s="563">
        <f>'24'!AF11+'25'!AB11</f>
        <v>0</v>
      </c>
      <c r="AG11" s="234">
        <f>'24'!AG11+'25'!AD11</f>
        <v>439000</v>
      </c>
      <c r="AI11" s="1031"/>
      <c r="AJ11" s="1032"/>
    </row>
    <row r="12" spans="1:36" ht="27" customHeight="1">
      <c r="A12" s="718"/>
      <c r="B12" s="528"/>
      <c r="C12" s="350"/>
      <c r="D12" s="550"/>
      <c r="F12" s="479" t="str">
        <f>'24'!F12</f>
        <v>ZULFIQAR</v>
      </c>
      <c r="G12" s="406">
        <f>'CUSTOMERS REPORT'!Y193</f>
        <v>0</v>
      </c>
      <c r="H12" s="504">
        <f>'CUSTOMERS REPORT'!Z193</f>
        <v>0</v>
      </c>
      <c r="I12" s="406">
        <f>'CUSTOMERS REPORT'!AA193</f>
        <v>0</v>
      </c>
      <c r="J12" s="498">
        <f>'CUSTOMERS REPORT'!AB193</f>
        <v>0</v>
      </c>
      <c r="K12" s="498">
        <f>'CUSTOMERS REPORT'!AC193</f>
        <v>0</v>
      </c>
      <c r="L12" s="509">
        <f>'CUSTOMERS REPORT'!AD193</f>
        <v>0</v>
      </c>
      <c r="M12" s="414">
        <f>'24'!M12+'25'!G12</f>
        <v>0</v>
      </c>
      <c r="N12" s="412">
        <f>'24'!N12+'25'!J12</f>
        <v>0</v>
      </c>
      <c r="P12" s="433"/>
      <c r="Q12" s="437"/>
      <c r="S12" s="400" t="str">
        <f>'24'!S12</f>
        <v xml:space="preserve">EKKA </v>
      </c>
      <c r="T12" s="446">
        <f>'24'!X12</f>
        <v>0</v>
      </c>
      <c r="U12" s="456"/>
      <c r="V12" s="451">
        <f t="shared" si="4"/>
        <v>0</v>
      </c>
      <c r="W12" s="451"/>
      <c r="X12" s="447">
        <f t="shared" si="5"/>
        <v>0</v>
      </c>
      <c r="Z12" s="375" t="str">
        <f>'24'!Z12</f>
        <v>ZAHEER</v>
      </c>
      <c r="AA12" s="464">
        <f>'24'!AE12</f>
        <v>-23200</v>
      </c>
      <c r="AB12" s="460"/>
      <c r="AC12" s="462">
        <f t="shared" si="6"/>
        <v>-23200</v>
      </c>
      <c r="AD12" s="469"/>
      <c r="AE12" s="348">
        <f t="shared" si="7"/>
        <v>-23200</v>
      </c>
      <c r="AF12" s="563">
        <f>'24'!AF12+'25'!AB12</f>
        <v>0</v>
      </c>
      <c r="AG12" s="234">
        <f>'24'!AG12+'25'!AD12</f>
        <v>23200</v>
      </c>
      <c r="AI12" s="1031"/>
      <c r="AJ12" s="1032"/>
    </row>
    <row r="13" spans="1:36" ht="27" customHeight="1">
      <c r="A13" s="718"/>
      <c r="B13" s="528"/>
      <c r="C13" s="350"/>
      <c r="D13" s="550"/>
      <c r="F13" s="479" t="str">
        <f>'24'!F13</f>
        <v>QASIM ORANGI</v>
      </c>
      <c r="G13" s="406">
        <f>'CUSTOMERS REPORT'!Y233</f>
        <v>0</v>
      </c>
      <c r="H13" s="504">
        <f>'CUSTOMERS REPORT'!Z233</f>
        <v>0</v>
      </c>
      <c r="I13" s="406">
        <f>'CUSTOMERS REPORT'!AA233</f>
        <v>0</v>
      </c>
      <c r="J13" s="498">
        <f>'CUSTOMERS REPORT'!AB233</f>
        <v>0</v>
      </c>
      <c r="K13" s="498">
        <f>'CUSTOMERS REPORT'!AC233</f>
        <v>0</v>
      </c>
      <c r="L13" s="509">
        <f>'CUSTOMERS REPORT'!AD233</f>
        <v>0</v>
      </c>
      <c r="M13" s="414">
        <f>'24'!M13+'25'!G13</f>
        <v>0</v>
      </c>
      <c r="N13" s="412">
        <f>'24'!N13+'25'!J13</f>
        <v>0</v>
      </c>
      <c r="P13" s="433"/>
      <c r="Q13" s="437"/>
      <c r="S13" s="400" t="str">
        <f>'24'!S13</f>
        <v>VANILLA</v>
      </c>
      <c r="T13" s="446">
        <f>'24'!X13</f>
        <v>0</v>
      </c>
      <c r="U13" s="456"/>
      <c r="V13" s="451">
        <f t="shared" si="4"/>
        <v>0</v>
      </c>
      <c r="W13" s="451"/>
      <c r="X13" s="447">
        <f t="shared" si="5"/>
        <v>0</v>
      </c>
      <c r="Z13" s="375" t="str">
        <f>'24'!Z13</f>
        <v>FAISAL</v>
      </c>
      <c r="AA13" s="464">
        <f>'24'!AE13</f>
        <v>-100000</v>
      </c>
      <c r="AB13" s="460"/>
      <c r="AC13" s="462">
        <f t="shared" si="6"/>
        <v>-100000</v>
      </c>
      <c r="AD13" s="469"/>
      <c r="AE13" s="348">
        <f t="shared" si="7"/>
        <v>-100000</v>
      </c>
      <c r="AF13" s="563">
        <f>'24'!AF13+'25'!AB13</f>
        <v>0</v>
      </c>
      <c r="AG13" s="234">
        <f>'24'!AG13+'25'!AD13</f>
        <v>100000</v>
      </c>
      <c r="AI13" s="1031"/>
      <c r="AJ13" s="1032"/>
    </row>
    <row r="14" spans="1:36" ht="27" customHeight="1">
      <c r="A14" s="718"/>
      <c r="B14" s="528"/>
      <c r="C14" s="350"/>
      <c r="D14" s="550"/>
      <c r="F14" s="479" t="str">
        <f>'24'!F14</f>
        <v>BADSHAH KHAN HYD</v>
      </c>
      <c r="G14" s="406">
        <f>'CUSTOMERS REPORT'!Y270</f>
        <v>0</v>
      </c>
      <c r="H14" s="504">
        <f>'CUSTOMERS REPORT'!Z270</f>
        <v>0</v>
      </c>
      <c r="I14" s="406">
        <f>'CUSTOMERS REPORT'!AA270</f>
        <v>0</v>
      </c>
      <c r="J14" s="498">
        <f>'CUSTOMERS REPORT'!AB270</f>
        <v>0</v>
      </c>
      <c r="K14" s="498">
        <f>'CUSTOMERS REPORT'!AC270</f>
        <v>0</v>
      </c>
      <c r="L14" s="509">
        <f>'CUSTOMERS REPORT'!AD270</f>
        <v>0</v>
      </c>
      <c r="M14" s="414">
        <f>'24'!M14+'25'!G14</f>
        <v>0</v>
      </c>
      <c r="N14" s="412">
        <f>'24'!N14+'25'!J14</f>
        <v>0</v>
      </c>
      <c r="P14" s="433"/>
      <c r="Q14" s="437"/>
      <c r="S14" s="400" t="str">
        <f>'24'!S14</f>
        <v>COLOUR</v>
      </c>
      <c r="T14" s="446">
        <f>'24'!X14</f>
        <v>25</v>
      </c>
      <c r="U14" s="456"/>
      <c r="V14" s="451">
        <f t="shared" si="4"/>
        <v>25</v>
      </c>
      <c r="W14" s="451"/>
      <c r="X14" s="447">
        <f t="shared" si="5"/>
        <v>25</v>
      </c>
      <c r="Z14" s="375" t="str">
        <f>'24'!Z14</f>
        <v>RANA EKKA</v>
      </c>
      <c r="AA14" s="464">
        <f>'24'!AE14</f>
        <v>0</v>
      </c>
      <c r="AB14" s="460"/>
      <c r="AC14" s="462">
        <f t="shared" si="6"/>
        <v>0</v>
      </c>
      <c r="AD14" s="469"/>
      <c r="AE14" s="348">
        <f t="shared" si="7"/>
        <v>0</v>
      </c>
      <c r="AF14" s="563">
        <f>'24'!AF14+'25'!AB14</f>
        <v>0</v>
      </c>
      <c r="AG14" s="234">
        <f>'24'!AG14+'25'!AD14</f>
        <v>0</v>
      </c>
      <c r="AI14" s="1031"/>
      <c r="AJ14" s="1032"/>
    </row>
    <row r="15" spans="1:36" ht="27" customHeight="1">
      <c r="A15" s="718"/>
      <c r="B15" s="528"/>
      <c r="C15" s="350"/>
      <c r="D15" s="550"/>
      <c r="F15" s="479" t="str">
        <f>'24'!F15</f>
        <v>SHAMOON</v>
      </c>
      <c r="G15" s="406">
        <f>'CUSTOMERS REPORT'!Y310</f>
        <v>0</v>
      </c>
      <c r="H15" s="504">
        <f>'CUSTOMERS REPORT'!Z310</f>
        <v>0</v>
      </c>
      <c r="I15" s="406">
        <f>'CUSTOMERS REPORT'!AA310</f>
        <v>0</v>
      </c>
      <c r="J15" s="498">
        <f>'CUSTOMERS REPORT'!AB310</f>
        <v>0</v>
      </c>
      <c r="K15" s="498">
        <f>'CUSTOMERS REPORT'!AC310</f>
        <v>0</v>
      </c>
      <c r="L15" s="509">
        <f>'CUSTOMERS REPORT'!AD310</f>
        <v>0</v>
      </c>
      <c r="M15" s="414">
        <f>'24'!M15+'25'!G15</f>
        <v>0</v>
      </c>
      <c r="N15" s="412">
        <f>'24'!N15+'25'!J15</f>
        <v>0</v>
      </c>
      <c r="P15" s="433"/>
      <c r="Q15" s="437"/>
      <c r="S15" s="400" t="str">
        <f>'24'!S15</f>
        <v>TILL</v>
      </c>
      <c r="T15" s="446">
        <f>'24'!X15</f>
        <v>0</v>
      </c>
      <c r="U15" s="456"/>
      <c r="V15" s="451">
        <f t="shared" si="4"/>
        <v>0</v>
      </c>
      <c r="W15" s="451"/>
      <c r="X15" s="447">
        <f t="shared" si="5"/>
        <v>0</v>
      </c>
      <c r="Z15" s="375" t="str">
        <f>'24'!Z15</f>
        <v>sheeba</v>
      </c>
      <c r="AA15" s="464">
        <f>'24'!AE15</f>
        <v>-410250</v>
      </c>
      <c r="AB15" s="460"/>
      <c r="AC15" s="462">
        <f t="shared" si="6"/>
        <v>-410250</v>
      </c>
      <c r="AD15" s="469"/>
      <c r="AE15" s="348">
        <f t="shared" si="7"/>
        <v>-410250</v>
      </c>
      <c r="AF15" s="563">
        <f>'24'!AF15+'25'!AB15</f>
        <v>0</v>
      </c>
      <c r="AG15" s="234">
        <f>'24'!AG15+'25'!AD15</f>
        <v>410250</v>
      </c>
      <c r="AI15" s="1031"/>
      <c r="AJ15" s="1032"/>
    </row>
    <row r="16" spans="1:36" ht="27" customHeight="1">
      <c r="A16" s="718"/>
      <c r="B16" s="528"/>
      <c r="C16" s="350"/>
      <c r="D16" s="550"/>
      <c r="F16" s="479" t="str">
        <f>'24'!F16</f>
        <v>MATEEN</v>
      </c>
      <c r="G16" s="406">
        <f>'CUSTOMERS REPORT'!Y351</f>
        <v>0</v>
      </c>
      <c r="H16" s="504">
        <f>'CUSTOMERS REPORT'!Z351</f>
        <v>0</v>
      </c>
      <c r="I16" s="406">
        <f>'CUSTOMERS REPORT'!AA351</f>
        <v>0</v>
      </c>
      <c r="J16" s="498">
        <f>'CUSTOMERS REPORT'!AB351</f>
        <v>0</v>
      </c>
      <c r="K16" s="498">
        <f>'CUSTOMERS REPORT'!AC351</f>
        <v>0</v>
      </c>
      <c r="L16" s="509">
        <f>'CUSTOMERS REPORT'!AD351</f>
        <v>0</v>
      </c>
      <c r="M16" s="414">
        <f>'24'!M16+'25'!G16</f>
        <v>0</v>
      </c>
      <c r="N16" s="412">
        <f>'24'!N16+'25'!J16</f>
        <v>0</v>
      </c>
      <c r="P16" s="433"/>
      <c r="Q16" s="437"/>
      <c r="S16" s="400" t="str">
        <f>'24'!S16</f>
        <v>ILLAICHI</v>
      </c>
      <c r="T16" s="446">
        <f>'24'!X16</f>
        <v>0</v>
      </c>
      <c r="U16" s="456"/>
      <c r="V16" s="451">
        <f t="shared" si="4"/>
        <v>0</v>
      </c>
      <c r="W16" s="451"/>
      <c r="X16" s="447">
        <f t="shared" si="5"/>
        <v>0</v>
      </c>
      <c r="Z16" s="375" t="str">
        <f>'24'!Z16</f>
        <v>COTTON</v>
      </c>
      <c r="AA16" s="464">
        <f>'24'!AE16</f>
        <v>0</v>
      </c>
      <c r="AB16" s="460"/>
      <c r="AC16" s="462">
        <f t="shared" si="6"/>
        <v>0</v>
      </c>
      <c r="AD16" s="469"/>
      <c r="AE16" s="348">
        <f t="shared" si="7"/>
        <v>0</v>
      </c>
      <c r="AF16" s="563">
        <f>'24'!AF16+'25'!AB16</f>
        <v>26400</v>
      </c>
      <c r="AG16" s="234">
        <f>'24'!AG16+'25'!AD16</f>
        <v>26400</v>
      </c>
      <c r="AI16" s="1031"/>
      <c r="AJ16" s="1032"/>
    </row>
    <row r="17" spans="1:36" ht="27" customHeight="1">
      <c r="A17" s="718"/>
      <c r="B17" s="528"/>
      <c r="C17" s="350"/>
      <c r="D17" s="550"/>
      <c r="F17" s="479" t="str">
        <f>'24'!F17</f>
        <v>AMJAD ORANGI</v>
      </c>
      <c r="G17" s="406">
        <f>'CUSTOMERS REPORT'!Y393</f>
        <v>0</v>
      </c>
      <c r="H17" s="504">
        <f>'CUSTOMERS REPORT'!Z393</f>
        <v>0</v>
      </c>
      <c r="I17" s="406">
        <f>'CUSTOMERS REPORT'!AA393</f>
        <v>0</v>
      </c>
      <c r="J17" s="498">
        <f>'CUSTOMERS REPORT'!AB393</f>
        <v>0</v>
      </c>
      <c r="K17" s="498">
        <f>'CUSTOMERS REPORT'!AC393</f>
        <v>0</v>
      </c>
      <c r="L17" s="509">
        <f>'CUSTOMERS REPORT'!AD393</f>
        <v>0</v>
      </c>
      <c r="M17" s="414">
        <f>'24'!M17+'25'!G17</f>
        <v>0</v>
      </c>
      <c r="N17" s="412">
        <f>'24'!N17+'25'!J17</f>
        <v>0</v>
      </c>
      <c r="P17" s="433"/>
      <c r="Q17" s="437"/>
      <c r="S17" s="400" t="str">
        <f>'24'!S17</f>
        <v>S-THELLI</v>
      </c>
      <c r="T17" s="446">
        <f>'24'!X17</f>
        <v>0</v>
      </c>
      <c r="U17" s="456"/>
      <c r="V17" s="451">
        <f t="shared" si="4"/>
        <v>0</v>
      </c>
      <c r="W17" s="451"/>
      <c r="X17" s="447">
        <f t="shared" si="5"/>
        <v>0</v>
      </c>
      <c r="Z17" s="375" t="str">
        <f>'24'!Z17</f>
        <v>SHAHID UP</v>
      </c>
      <c r="AA17" s="464">
        <f>'24'!AE17</f>
        <v>0</v>
      </c>
      <c r="AB17" s="460"/>
      <c r="AC17" s="462">
        <f t="shared" si="6"/>
        <v>0</v>
      </c>
      <c r="AD17" s="469"/>
      <c r="AE17" s="348">
        <f t="shared" si="7"/>
        <v>0</v>
      </c>
      <c r="AF17" s="563">
        <f>'24'!AF17+'25'!AB17</f>
        <v>21250</v>
      </c>
      <c r="AG17" s="234">
        <f>'24'!AG17+'25'!AD17</f>
        <v>21250</v>
      </c>
      <c r="AI17" s="1031"/>
      <c r="AJ17" s="1032"/>
    </row>
    <row r="18" spans="1:36" ht="27" customHeight="1">
      <c r="A18" s="718"/>
      <c r="B18" s="528"/>
      <c r="C18" s="350"/>
      <c r="D18" s="550"/>
      <c r="F18" s="479" t="str">
        <f>'24'!F18</f>
        <v>HAFIZ DRIVER</v>
      </c>
      <c r="G18" s="406">
        <f>'CUSTOMERS REPORT'!Y432</f>
        <v>0</v>
      </c>
      <c r="H18" s="504">
        <f>'CUSTOMERS REPORT'!Z432</f>
        <v>0</v>
      </c>
      <c r="I18" s="406">
        <f>'CUSTOMERS REPORT'!AA432</f>
        <v>0</v>
      </c>
      <c r="J18" s="498">
        <f>'CUSTOMERS REPORT'!AB432</f>
        <v>0</v>
      </c>
      <c r="K18" s="498">
        <f>'CUSTOMERS REPORT'!AC432</f>
        <v>0</v>
      </c>
      <c r="L18" s="509">
        <f>'CUSTOMERS REPORT'!AD432</f>
        <v>0</v>
      </c>
      <c r="M18" s="414">
        <f>'24'!M18+'25'!G18</f>
        <v>0</v>
      </c>
      <c r="N18" s="412">
        <f>'24'!N18+'25'!J18</f>
        <v>0</v>
      </c>
      <c r="P18" s="433"/>
      <c r="Q18" s="437"/>
      <c r="S18" s="400" t="str">
        <f>'24'!S18</f>
        <v>P-THELLI</v>
      </c>
      <c r="T18" s="446">
        <f>'24'!X18</f>
        <v>0</v>
      </c>
      <c r="U18" s="456"/>
      <c r="V18" s="451">
        <f t="shared" si="4"/>
        <v>0</v>
      </c>
      <c r="W18" s="451"/>
      <c r="X18" s="447">
        <f t="shared" si="5"/>
        <v>0</v>
      </c>
      <c r="Z18" s="375" t="str">
        <f>'24'!Z18</f>
        <v>SALT</v>
      </c>
      <c r="AA18" s="464">
        <f>'24'!AE18</f>
        <v>0</v>
      </c>
      <c r="AB18" s="460"/>
      <c r="AC18" s="462">
        <f t="shared" si="6"/>
        <v>0</v>
      </c>
      <c r="AD18" s="469"/>
      <c r="AE18" s="348">
        <f t="shared" si="7"/>
        <v>0</v>
      </c>
      <c r="AF18" s="563">
        <f>'24'!AF18+'25'!AB18</f>
        <v>1500</v>
      </c>
      <c r="AG18" s="234">
        <f>'24'!AG18+'25'!AD18</f>
        <v>1500</v>
      </c>
      <c r="AI18" s="1031"/>
      <c r="AJ18" s="1032"/>
    </row>
    <row r="19" spans="1:36" ht="27" customHeight="1" thickBot="1">
      <c r="A19" s="719"/>
      <c r="B19" s="529"/>
      <c r="C19" s="350"/>
      <c r="D19" s="550"/>
      <c r="F19" s="479" t="str">
        <f>'24'!F19</f>
        <v>GHULAM QUETTA</v>
      </c>
      <c r="G19" s="406">
        <f>'CUSTOMERS REPORT'!Y470</f>
        <v>0</v>
      </c>
      <c r="H19" s="504">
        <f>'CUSTOMERS REPORT'!Z470</f>
        <v>0</v>
      </c>
      <c r="I19" s="406">
        <f>'CUSTOMERS REPORT'!AA470</f>
        <v>0</v>
      </c>
      <c r="J19" s="498">
        <f>'CUSTOMERS REPORT'!AB470</f>
        <v>0</v>
      </c>
      <c r="K19" s="498">
        <f>'CUSTOMERS REPORT'!AC470</f>
        <v>0</v>
      </c>
      <c r="L19" s="509">
        <f>'CUSTOMERS REPORT'!AD470</f>
        <v>0</v>
      </c>
      <c r="M19" s="414">
        <f>'24'!M19+'25'!G19</f>
        <v>0</v>
      </c>
      <c r="N19" s="412">
        <f>'24'!N19+'25'!J19</f>
        <v>0</v>
      </c>
      <c r="P19" s="433"/>
      <c r="Q19" s="437"/>
      <c r="S19" s="400" t="str">
        <f>'24'!S19</f>
        <v>RUBBER</v>
      </c>
      <c r="T19" s="446">
        <f>'24'!X19</f>
        <v>0</v>
      </c>
      <c r="U19" s="456"/>
      <c r="V19" s="451">
        <f t="shared" si="4"/>
        <v>0</v>
      </c>
      <c r="W19" s="451"/>
      <c r="X19" s="447">
        <f t="shared" si="5"/>
        <v>0</v>
      </c>
      <c r="Z19" s="375" t="str">
        <f>'24'!Z19</f>
        <v>NAVEED</v>
      </c>
      <c r="AA19" s="464">
        <f>'24'!AE19</f>
        <v>0</v>
      </c>
      <c r="AB19" s="460"/>
      <c r="AC19" s="462">
        <f t="shared" si="6"/>
        <v>0</v>
      </c>
      <c r="AD19" s="469"/>
      <c r="AE19" s="348">
        <f t="shared" si="7"/>
        <v>0</v>
      </c>
      <c r="AF19" s="563">
        <f>'24'!AF19+'25'!AB19</f>
        <v>0</v>
      </c>
      <c r="AG19" s="234">
        <f>'24'!AG19+'25'!AD19</f>
        <v>0</v>
      </c>
    </row>
    <row r="20" spans="1:36" ht="27" customHeight="1" thickTop="1" thickBot="1">
      <c r="A20" s="719"/>
      <c r="B20" s="529"/>
      <c r="C20" s="350"/>
      <c r="D20" s="550"/>
      <c r="F20" s="479" t="str">
        <f>'24'!F20</f>
        <v>HUSSAN GWADAR</v>
      </c>
      <c r="G20" s="406">
        <f>'CUSTOMERS REPORT'!Y506</f>
        <v>0</v>
      </c>
      <c r="H20" s="504">
        <f>'CUSTOMERS REPORT'!Z506</f>
        <v>0</v>
      </c>
      <c r="I20" s="406">
        <f>'CUSTOMERS REPORT'!AA506</f>
        <v>0</v>
      </c>
      <c r="J20" s="498">
        <f>'CUSTOMERS REPORT'!AB506</f>
        <v>0</v>
      </c>
      <c r="K20" s="498">
        <f>'CUSTOMERS REPORT'!AC506</f>
        <v>0</v>
      </c>
      <c r="L20" s="509">
        <f>'CUSTOMERS REPORT'!AD506</f>
        <v>0</v>
      </c>
      <c r="M20" s="414">
        <f>'24'!M20+'25'!G20</f>
        <v>0</v>
      </c>
      <c r="N20" s="412">
        <f>'24'!N20+'25'!J20</f>
        <v>0</v>
      </c>
      <c r="P20" s="433"/>
      <c r="Q20" s="437"/>
      <c r="S20" s="400" t="str">
        <f>'24'!S20</f>
        <v>SALT</v>
      </c>
      <c r="T20" s="446">
        <f>'24'!X20</f>
        <v>250</v>
      </c>
      <c r="U20" s="456"/>
      <c r="V20" s="451">
        <f t="shared" si="4"/>
        <v>250</v>
      </c>
      <c r="W20" s="451"/>
      <c r="X20" s="447">
        <f t="shared" si="5"/>
        <v>250</v>
      </c>
      <c r="Z20" s="375" t="str">
        <f>'24'!Z20</f>
        <v>YOUSUF BHAI</v>
      </c>
      <c r="AA20" s="464">
        <f>'24'!AE20</f>
        <v>-107300</v>
      </c>
      <c r="AB20" s="460"/>
      <c r="AC20" s="462">
        <f t="shared" si="6"/>
        <v>-107300</v>
      </c>
      <c r="AD20" s="469"/>
      <c r="AE20" s="348">
        <f t="shared" si="7"/>
        <v>-107300</v>
      </c>
      <c r="AF20" s="563">
        <f>'24'!AF20+'25'!AB20</f>
        <v>447100</v>
      </c>
      <c r="AG20" s="234">
        <f>'24'!AG20+'25'!AD20</f>
        <v>554400</v>
      </c>
      <c r="AI20" s="1487" t="s">
        <v>132</v>
      </c>
      <c r="AJ20" s="1488"/>
    </row>
    <row r="21" spans="1:36" ht="27" customHeight="1" thickTop="1" thickBot="1">
      <c r="A21" s="1199"/>
      <c r="B21" s="531"/>
      <c r="C21" s="531"/>
      <c r="D21" s="553"/>
      <c r="F21" s="479" t="str">
        <f>'24'!F21</f>
        <v>AQASH S KOT</v>
      </c>
      <c r="G21" s="406">
        <f>'CUSTOMERS REPORT'!Y543</f>
        <v>0</v>
      </c>
      <c r="H21" s="504">
        <f>'CUSTOMERS REPORT'!Z543</f>
        <v>0</v>
      </c>
      <c r="I21" s="406">
        <f>'CUSTOMERS REPORT'!AA543</f>
        <v>0</v>
      </c>
      <c r="J21" s="498">
        <f>'CUSTOMERS REPORT'!AB543</f>
        <v>0</v>
      </c>
      <c r="K21" s="498">
        <f>'CUSTOMERS REPORT'!AC543</f>
        <v>0</v>
      </c>
      <c r="L21" s="509">
        <f>'CUSTOMERS REPORT'!AD543</f>
        <v>0</v>
      </c>
      <c r="M21" s="414">
        <f>'24'!M21+'25'!G21</f>
        <v>0</v>
      </c>
      <c r="N21" s="412">
        <f>'24'!N21+'25'!J21</f>
        <v>0</v>
      </c>
      <c r="P21" s="433"/>
      <c r="Q21" s="435"/>
      <c r="S21" s="400" t="str">
        <f>'24'!S21</f>
        <v>TAPE</v>
      </c>
      <c r="T21" s="446">
        <f>'24'!X21</f>
        <v>0</v>
      </c>
      <c r="U21" s="456"/>
      <c r="V21" s="451">
        <f t="shared" si="0"/>
        <v>0</v>
      </c>
      <c r="W21" s="451"/>
      <c r="X21" s="447">
        <f t="shared" si="1"/>
        <v>0</v>
      </c>
      <c r="Z21" s="375" t="str">
        <f>'24'!Z21</f>
        <v>SULEMAN  PRINT</v>
      </c>
      <c r="AA21" s="464">
        <f>'24'!AE21</f>
        <v>-312000</v>
      </c>
      <c r="AB21" s="460"/>
      <c r="AC21" s="462">
        <f t="shared" si="2"/>
        <v>-312000</v>
      </c>
      <c r="AD21" s="469"/>
      <c r="AE21" s="348">
        <f t="shared" si="3"/>
        <v>-312000</v>
      </c>
      <c r="AF21" s="563">
        <f>'24'!AF21+'25'!AB21</f>
        <v>0</v>
      </c>
      <c r="AG21" s="234">
        <f>'24'!AG21+'25'!AD21</f>
        <v>312000</v>
      </c>
      <c r="AI21" s="391" t="s">
        <v>126</v>
      </c>
      <c r="AJ21" s="392">
        <f>'24'!AJ23</f>
        <v>187200</v>
      </c>
    </row>
    <row r="22" spans="1:36" ht="27" customHeight="1" thickTop="1" thickBot="1">
      <c r="A22" s="486" t="s">
        <v>74</v>
      </c>
      <c r="B22" s="533">
        <f>SUM(B8:B21)</f>
        <v>0</v>
      </c>
      <c r="C22" s="534">
        <f>'24'!D22</f>
        <v>3252660</v>
      </c>
      <c r="D22" s="535">
        <f t="shared" ref="D22" si="8">B22+C22</f>
        <v>3252660</v>
      </c>
      <c r="F22" s="479" t="str">
        <f>'24'!F22</f>
        <v>SALEEM T JAM</v>
      </c>
      <c r="G22" s="406">
        <f>'CUSTOMERS REPORT'!Y581</f>
        <v>0</v>
      </c>
      <c r="H22" s="504">
        <f>'CUSTOMERS REPORT'!Z581</f>
        <v>0</v>
      </c>
      <c r="I22" s="406">
        <f>'CUSTOMERS REPORT'!AA581</f>
        <v>0</v>
      </c>
      <c r="J22" s="498">
        <f>'CUSTOMERS REPORT'!AB581</f>
        <v>0</v>
      </c>
      <c r="K22" s="498">
        <f>'CUSTOMERS REPORT'!AC581</f>
        <v>0</v>
      </c>
      <c r="L22" s="509">
        <f>'CUSTOMERS REPORT'!AD581</f>
        <v>0</v>
      </c>
      <c r="M22" s="414">
        <f>'24'!M22+'25'!G22</f>
        <v>0</v>
      </c>
      <c r="N22" s="412">
        <f>'24'!N22+'25'!J22</f>
        <v>0</v>
      </c>
      <c r="P22" s="433"/>
      <c r="Q22" s="438"/>
      <c r="S22" s="400" t="str">
        <f>'24'!S22</f>
        <v>COTTON</v>
      </c>
      <c r="T22" s="446">
        <f>'24'!X22</f>
        <v>220</v>
      </c>
      <c r="U22" s="456"/>
      <c r="V22" s="451">
        <f t="shared" si="0"/>
        <v>220</v>
      </c>
      <c r="W22" s="451"/>
      <c r="X22" s="447">
        <f t="shared" si="1"/>
        <v>220</v>
      </c>
      <c r="Z22" s="375" t="str">
        <f>'24'!Z22</f>
        <v>IRFAN VANILA</v>
      </c>
      <c r="AA22" s="464">
        <f>'24'!AE22</f>
        <v>-110000</v>
      </c>
      <c r="AB22" s="460"/>
      <c r="AC22" s="462">
        <f t="shared" si="2"/>
        <v>-110000</v>
      </c>
      <c r="AD22" s="469"/>
      <c r="AE22" s="348">
        <f t="shared" si="3"/>
        <v>-110000</v>
      </c>
      <c r="AF22" s="563">
        <f>'24'!AF22+'25'!AB22</f>
        <v>0</v>
      </c>
      <c r="AG22" s="234">
        <f>'24'!AG22+'25'!AD22</f>
        <v>110000</v>
      </c>
      <c r="AI22" s="393">
        <f>R56</f>
        <v>0</v>
      </c>
      <c r="AJ22" s="394">
        <f>R56*1800</f>
        <v>0</v>
      </c>
    </row>
    <row r="23" spans="1:36" ht="27" customHeight="1" thickTop="1" thickBot="1">
      <c r="A23" s="715" t="str">
        <f>'24'!A23</f>
        <v>OFFICE FOOD</v>
      </c>
      <c r="B23" s="462"/>
      <c r="C23" s="536">
        <f>'24'!D23</f>
        <v>2990</v>
      </c>
      <c r="D23" s="537">
        <f t="shared" ref="D23:D48" si="9">B23+C23</f>
        <v>2990</v>
      </c>
      <c r="F23" s="479" t="str">
        <f>'24'!F23</f>
        <v>JAMSHAD BADEEN</v>
      </c>
      <c r="G23" s="406">
        <f>'CUSTOMERS REPORT'!Y617</f>
        <v>0</v>
      </c>
      <c r="H23" s="504">
        <f>'CUSTOMERS REPORT'!Z617</f>
        <v>0</v>
      </c>
      <c r="I23" s="406">
        <f>'CUSTOMERS REPORT'!AA617</f>
        <v>0</v>
      </c>
      <c r="J23" s="498">
        <f>'CUSTOMERS REPORT'!AB617</f>
        <v>0</v>
      </c>
      <c r="K23" s="498">
        <f>'CUSTOMERS REPORT'!AC617</f>
        <v>0</v>
      </c>
      <c r="L23" s="509">
        <f>'CUSTOMERS REPORT'!AD617</f>
        <v>0</v>
      </c>
      <c r="M23" s="414">
        <f>'24'!M23+'25'!G23</f>
        <v>0</v>
      </c>
      <c r="N23" s="412">
        <f>'24'!N23+'25'!J23</f>
        <v>0</v>
      </c>
      <c r="P23" s="190" t="s">
        <v>48</v>
      </c>
      <c r="Q23" s="439">
        <f>SUM(Q8:Q22)</f>
        <v>0</v>
      </c>
      <c r="S23" s="400" t="str">
        <f>'24'!S23</f>
        <v>WHITE 6</v>
      </c>
      <c r="T23" s="446">
        <f>'24'!X23</f>
        <v>0</v>
      </c>
      <c r="U23" s="456"/>
      <c r="V23" s="451">
        <f t="shared" si="0"/>
        <v>0</v>
      </c>
      <c r="W23" s="451"/>
      <c r="X23" s="447">
        <f t="shared" si="1"/>
        <v>0</v>
      </c>
      <c r="Z23" s="375" t="str">
        <f>'24'!Z23</f>
        <v>IRANI GHEE</v>
      </c>
      <c r="AA23" s="464">
        <f>'24'!AE23</f>
        <v>0</v>
      </c>
      <c r="AB23" s="460"/>
      <c r="AC23" s="462">
        <f t="shared" si="2"/>
        <v>0</v>
      </c>
      <c r="AD23" s="469"/>
      <c r="AE23" s="348">
        <f t="shared" si="3"/>
        <v>0</v>
      </c>
      <c r="AF23" s="563">
        <f>'24'!AF23+'25'!AB23</f>
        <v>0</v>
      </c>
      <c r="AG23" s="234">
        <f>'24'!AG23+'25'!AD23</f>
        <v>0</v>
      </c>
      <c r="AI23" s="395" t="s">
        <v>74</v>
      </c>
      <c r="AJ23" s="396">
        <f>AJ21+AJ22</f>
        <v>187200</v>
      </c>
    </row>
    <row r="24" spans="1:36" ht="27" customHeight="1" thickTop="1" thickBot="1">
      <c r="A24" s="715" t="str">
        <f>'24'!A24</f>
        <v>LABOUR FOOD EXP</v>
      </c>
      <c r="B24" s="234"/>
      <c r="C24" s="348">
        <f>'24'!D24</f>
        <v>30000</v>
      </c>
      <c r="D24" s="234">
        <f t="shared" si="9"/>
        <v>30000</v>
      </c>
      <c r="F24" s="479" t="str">
        <f>'24'!F24</f>
        <v>SARFAZ MP</v>
      </c>
      <c r="G24" s="406">
        <f>'CUSTOMERS REPORT'!Y655</f>
        <v>0</v>
      </c>
      <c r="H24" s="504">
        <f>'CUSTOMERS REPORT'!Z655</f>
        <v>0</v>
      </c>
      <c r="I24" s="406">
        <f>'CUSTOMERS REPORT'!AA655</f>
        <v>0</v>
      </c>
      <c r="J24" s="498">
        <f>'CUSTOMERS REPORT'!AB655</f>
        <v>0</v>
      </c>
      <c r="K24" s="498">
        <f>'CUSTOMERS REPORT'!AC655</f>
        <v>0</v>
      </c>
      <c r="L24" s="509">
        <f>'CUSTOMERS REPORT'!AD655</f>
        <v>0</v>
      </c>
      <c r="M24" s="414">
        <f>'24'!M24+'25'!G24</f>
        <v>0</v>
      </c>
      <c r="N24" s="412">
        <f>'24'!N24+'25'!J24</f>
        <v>0</v>
      </c>
      <c r="P24" s="1514" t="s">
        <v>137</v>
      </c>
      <c r="Q24" s="1514"/>
      <c r="R24" t="s">
        <v>1</v>
      </c>
      <c r="S24" s="400" t="str">
        <f>'24'!S24</f>
        <v>ORANGE</v>
      </c>
      <c r="T24" s="446">
        <f>'24'!X24</f>
        <v>0</v>
      </c>
      <c r="U24" s="456"/>
      <c r="V24" s="451">
        <f t="shared" si="0"/>
        <v>0</v>
      </c>
      <c r="W24" s="451"/>
      <c r="X24" s="447">
        <f t="shared" si="1"/>
        <v>0</v>
      </c>
      <c r="Z24" s="375">
        <f>'24'!Z24</f>
        <v>0</v>
      </c>
      <c r="AA24" s="464">
        <f>'24'!AE24</f>
        <v>0</v>
      </c>
      <c r="AB24" s="460"/>
      <c r="AC24" s="462">
        <f t="shared" si="2"/>
        <v>0</v>
      </c>
      <c r="AD24" s="469"/>
      <c r="AE24" s="348">
        <f t="shared" si="3"/>
        <v>0</v>
      </c>
      <c r="AF24" s="563">
        <f>'24'!AF24+'25'!AB24</f>
        <v>0</v>
      </c>
      <c r="AG24" s="234">
        <f>'24'!AG24+'25'!AD24</f>
        <v>0</v>
      </c>
    </row>
    <row r="25" spans="1:36" ht="27" customHeight="1" thickTop="1" thickBot="1">
      <c r="A25" s="715" t="str">
        <f>'24'!A25</f>
        <v>OFFICE SALARY</v>
      </c>
      <c r="B25" s="234">
        <f>ATTENDANCE!AY28</f>
        <v>0</v>
      </c>
      <c r="C25" s="348">
        <f>'24'!D25</f>
        <v>37000</v>
      </c>
      <c r="D25" s="234">
        <f t="shared" si="9"/>
        <v>37000</v>
      </c>
      <c r="F25" s="479" t="str">
        <f>'24'!F25</f>
        <v>AFZAL MATLI</v>
      </c>
      <c r="G25" s="406">
        <f>'CUSTOMERS REPORT'!Y693</f>
        <v>0</v>
      </c>
      <c r="H25" s="504">
        <f>'CUSTOMERS REPORT'!Z693</f>
        <v>0</v>
      </c>
      <c r="I25" s="406">
        <f>'CUSTOMERS REPORT'!AA693</f>
        <v>0</v>
      </c>
      <c r="J25" s="498">
        <f>'CUSTOMERS REPORT'!AB693</f>
        <v>0</v>
      </c>
      <c r="K25" s="498">
        <f>'CUSTOMERS REPORT'!AC693</f>
        <v>0</v>
      </c>
      <c r="L25" s="509">
        <f>'CUSTOMERS REPORT'!AD693</f>
        <v>0</v>
      </c>
      <c r="M25" s="414">
        <f>'24'!M25+'25'!G25</f>
        <v>0</v>
      </c>
      <c r="N25" s="412">
        <f>'24'!N25+'25'!J25</f>
        <v>0</v>
      </c>
      <c r="P25" s="434"/>
      <c r="Q25" s="440"/>
      <c r="S25" s="400" t="str">
        <f>'24'!S25</f>
        <v>MAKKI 7</v>
      </c>
      <c r="T25" s="446">
        <f>'24'!X25</f>
        <v>0</v>
      </c>
      <c r="U25" s="456"/>
      <c r="V25" s="451">
        <f t="shared" si="0"/>
        <v>0</v>
      </c>
      <c r="W25" s="451"/>
      <c r="X25" s="447">
        <f t="shared" si="1"/>
        <v>0</v>
      </c>
      <c r="Z25" s="375">
        <f>'24'!Z25</f>
        <v>0</v>
      </c>
      <c r="AA25" s="464">
        <f>'24'!AE25</f>
        <v>0</v>
      </c>
      <c r="AB25" s="745">
        <f>U32*490+U33*490+U39*490</f>
        <v>0</v>
      </c>
      <c r="AC25" s="462">
        <f t="shared" si="2"/>
        <v>0</v>
      </c>
      <c r="AD25" s="469"/>
      <c r="AE25" s="348">
        <f t="shared" si="3"/>
        <v>0</v>
      </c>
      <c r="AF25" s="563">
        <f>'24'!AF25+'25'!AB25</f>
        <v>0</v>
      </c>
      <c r="AG25" s="234">
        <f>'24'!AG25+'25'!AD25</f>
        <v>0</v>
      </c>
      <c r="AI25" s="397" t="s">
        <v>59</v>
      </c>
      <c r="AJ25" s="398">
        <f>AJ23-AJ10</f>
        <v>5380</v>
      </c>
    </row>
    <row r="26" spans="1:36" ht="27" customHeight="1" thickTop="1">
      <c r="A26" s="715" t="str">
        <f>'24'!A26</f>
        <v>LABOUR SALARY</v>
      </c>
      <c r="B26" s="234">
        <f>SUM('SALERY SHEET'!AZ97:BA97)</f>
        <v>0</v>
      </c>
      <c r="C26" s="348">
        <f>'24'!D26</f>
        <v>181820</v>
      </c>
      <c r="D26" s="234">
        <f t="shared" si="9"/>
        <v>181820</v>
      </c>
      <c r="F26" s="479" t="str">
        <f>'24'!F26</f>
        <v xml:space="preserve">ABDUL RASHEED </v>
      </c>
      <c r="G26" s="406">
        <f>'CUSTOMERS REPORT'!Y731</f>
        <v>0</v>
      </c>
      <c r="H26" s="504">
        <f>'CUSTOMERS REPORT'!Z731</f>
        <v>0</v>
      </c>
      <c r="I26" s="406">
        <f>'CUSTOMERS REPORT'!AA731</f>
        <v>0</v>
      </c>
      <c r="J26" s="498">
        <f>'CUSTOMERS REPORT'!AB731</f>
        <v>0</v>
      </c>
      <c r="K26" s="498">
        <f>'CUSTOMERS REPORT'!AC731</f>
        <v>0</v>
      </c>
      <c r="L26" s="509">
        <f>'CUSTOMERS REPORT'!AD731</f>
        <v>0</v>
      </c>
      <c r="M26" s="414">
        <f>'24'!M26+'25'!G26</f>
        <v>0</v>
      </c>
      <c r="N26" s="412">
        <f>'24'!N26+'25'!J26</f>
        <v>0</v>
      </c>
      <c r="P26" s="433"/>
      <c r="Q26" s="438"/>
      <c r="R26" t="s">
        <v>1</v>
      </c>
      <c r="S26" s="400" t="str">
        <f>'24'!S26</f>
        <v>BLUE 125 GM</v>
      </c>
      <c r="T26" s="446">
        <f>'24'!X26</f>
        <v>0</v>
      </c>
      <c r="U26" s="456"/>
      <c r="V26" s="451">
        <f t="shared" si="0"/>
        <v>0</v>
      </c>
      <c r="W26" s="451"/>
      <c r="X26" s="447">
        <f t="shared" si="1"/>
        <v>0</v>
      </c>
      <c r="Z26" s="375">
        <f>'24'!Z26</f>
        <v>0</v>
      </c>
      <c r="AA26" s="464">
        <f>'24'!AE26</f>
        <v>0</v>
      </c>
      <c r="AB26" s="460"/>
      <c r="AC26" s="462">
        <f t="shared" si="2"/>
        <v>0</v>
      </c>
      <c r="AD26" s="469"/>
      <c r="AE26" s="348">
        <f t="shared" si="3"/>
        <v>0</v>
      </c>
      <c r="AF26" s="563">
        <f>'24'!AF26+'25'!AB26</f>
        <v>0</v>
      </c>
      <c r="AG26" s="234">
        <f>'24'!AG26+'25'!AD26</f>
        <v>0</v>
      </c>
    </row>
    <row r="27" spans="1:36" ht="27" customHeight="1">
      <c r="A27" s="715" t="str">
        <f>'24'!A27</f>
        <v>SHAHZORE</v>
      </c>
      <c r="B27" s="234"/>
      <c r="C27" s="348">
        <f>'24'!D27</f>
        <v>0</v>
      </c>
      <c r="D27" s="234">
        <f t="shared" si="9"/>
        <v>0</v>
      </c>
      <c r="F27" s="479" t="str">
        <f>'24'!F27</f>
        <v>SALEEM ORANGI</v>
      </c>
      <c r="G27" s="406">
        <f>'CUSTOMERS REPORT'!Y769</f>
        <v>0</v>
      </c>
      <c r="H27" s="504">
        <f>'CUSTOMERS REPORT'!Z769</f>
        <v>0</v>
      </c>
      <c r="I27" s="406">
        <f>'CUSTOMERS REPORT'!AA769</f>
        <v>0</v>
      </c>
      <c r="J27" s="498">
        <f>'CUSTOMERS REPORT'!AB769</f>
        <v>0</v>
      </c>
      <c r="K27" s="498">
        <f>'CUSTOMERS REPORT'!AC769</f>
        <v>0</v>
      </c>
      <c r="L27" s="509">
        <f>'CUSTOMERS REPORT'!AD769</f>
        <v>0</v>
      </c>
      <c r="M27" s="414">
        <f>'24'!M27+'25'!G27</f>
        <v>0</v>
      </c>
      <c r="N27" s="412">
        <f>'24'!N27+'25'!J27</f>
        <v>0</v>
      </c>
      <c r="P27" s="433"/>
      <c r="Q27" s="435"/>
      <c r="R27" t="s">
        <v>1</v>
      </c>
      <c r="S27" s="400" t="str">
        <f>'24'!S27</f>
        <v>MAKKI 5</v>
      </c>
      <c r="T27" s="446">
        <f>'24'!X27</f>
        <v>0</v>
      </c>
      <c r="U27" s="456"/>
      <c r="V27" s="451">
        <f t="shared" si="0"/>
        <v>0</v>
      </c>
      <c r="W27" s="451"/>
      <c r="X27" s="447">
        <f t="shared" si="1"/>
        <v>0</v>
      </c>
      <c r="Z27" s="375">
        <f>'24'!Z27</f>
        <v>0</v>
      </c>
      <c r="AA27" s="464">
        <f>'24'!AE27</f>
        <v>0</v>
      </c>
      <c r="AB27" s="460"/>
      <c r="AC27" s="462">
        <f t="shared" si="2"/>
        <v>0</v>
      </c>
      <c r="AD27" s="469"/>
      <c r="AE27" s="348">
        <f t="shared" si="3"/>
        <v>0</v>
      </c>
      <c r="AF27" s="563">
        <f>'24'!AF27+'25'!AB27</f>
        <v>0</v>
      </c>
      <c r="AG27" s="234">
        <f>'24'!AG27+'25'!AD27</f>
        <v>0</v>
      </c>
    </row>
    <row r="28" spans="1:36" ht="27" customHeight="1">
      <c r="A28" s="715" t="str">
        <f>'24'!A28</f>
        <v>GENERATOR</v>
      </c>
      <c r="B28" s="234"/>
      <c r="C28" s="348">
        <f>'24'!D28</f>
        <v>43700</v>
      </c>
      <c r="D28" s="234">
        <f t="shared" si="9"/>
        <v>43700</v>
      </c>
      <c r="F28" s="479" t="str">
        <f>'24'!F28</f>
        <v>AYAZ OUSTA</v>
      </c>
      <c r="G28" s="406">
        <f>'CUSTOMERS REPORT'!Y807</f>
        <v>0</v>
      </c>
      <c r="H28" s="504">
        <f>'CUSTOMERS REPORT'!Z807</f>
        <v>0</v>
      </c>
      <c r="I28" s="406">
        <f>'CUSTOMERS REPORT'!AA807</f>
        <v>0</v>
      </c>
      <c r="J28" s="498">
        <f>'CUSTOMERS REPORT'!AB807</f>
        <v>0</v>
      </c>
      <c r="K28" s="498">
        <f>'CUSTOMERS REPORT'!AC807</f>
        <v>0</v>
      </c>
      <c r="L28" s="509">
        <f>'CUSTOMERS REPORT'!AD807</f>
        <v>0</v>
      </c>
      <c r="M28" s="414">
        <f>'24'!M28+'25'!G28</f>
        <v>0</v>
      </c>
      <c r="N28" s="412">
        <f>'24'!N28+'25'!J28</f>
        <v>0</v>
      </c>
      <c r="P28" s="433"/>
      <c r="Q28" s="438"/>
      <c r="S28" s="400" t="str">
        <f>'24'!S28</f>
        <v>MAKKI 2 PES</v>
      </c>
      <c r="T28" s="446">
        <f>'24'!X28</f>
        <v>0</v>
      </c>
      <c r="U28" s="456"/>
      <c r="V28" s="451">
        <f t="shared" si="0"/>
        <v>0</v>
      </c>
      <c r="W28" s="451"/>
      <c r="X28" s="447">
        <f t="shared" si="1"/>
        <v>0</v>
      </c>
      <c r="Z28" s="375">
        <f>'24'!Z28</f>
        <v>0</v>
      </c>
      <c r="AA28" s="464">
        <f>'24'!AE28</f>
        <v>0</v>
      </c>
      <c r="AB28" s="460"/>
      <c r="AC28" s="462">
        <f t="shared" si="2"/>
        <v>0</v>
      </c>
      <c r="AD28" s="469"/>
      <c r="AE28" s="348">
        <f t="shared" si="3"/>
        <v>0</v>
      </c>
      <c r="AF28" s="563">
        <f>'24'!AF28+'25'!AB28</f>
        <v>0</v>
      </c>
      <c r="AG28" s="234">
        <f>'24'!AG28+'25'!AD28</f>
        <v>0</v>
      </c>
    </row>
    <row r="29" spans="1:36" ht="27" customHeight="1">
      <c r="A29" s="715" t="str">
        <f>'24'!A29</f>
        <v>PATROL FAW</v>
      </c>
      <c r="B29" s="234"/>
      <c r="C29" s="348">
        <f>'24'!D29</f>
        <v>30270</v>
      </c>
      <c r="D29" s="234">
        <f t="shared" si="9"/>
        <v>30270</v>
      </c>
      <c r="F29" s="479" t="str">
        <f>'24'!F29</f>
        <v>AZHAR BADEEN</v>
      </c>
      <c r="G29" s="406">
        <f>'CUSTOMERS REPORT'!Y845</f>
        <v>0</v>
      </c>
      <c r="H29" s="504">
        <f>'CUSTOMERS REPORT'!Z845</f>
        <v>0</v>
      </c>
      <c r="I29" s="406">
        <f>'CUSTOMERS REPORT'!AA845</f>
        <v>0</v>
      </c>
      <c r="J29" s="498">
        <f>'CUSTOMERS REPORT'!AB845</f>
        <v>0</v>
      </c>
      <c r="K29" s="498">
        <f>'CUSTOMERS REPORT'!AC845</f>
        <v>0</v>
      </c>
      <c r="L29" s="509">
        <f>'CUSTOMERS REPORT'!AD845</f>
        <v>0</v>
      </c>
      <c r="M29" s="414">
        <f>'24'!M29+'25'!G29</f>
        <v>0</v>
      </c>
      <c r="N29" s="412">
        <f>'24'!N29+'25'!J29</f>
        <v>0</v>
      </c>
      <c r="P29" s="433"/>
      <c r="Q29" s="441"/>
      <c r="S29" s="400" t="str">
        <f>'24'!S29</f>
        <v xml:space="preserve">PRIME </v>
      </c>
      <c r="T29" s="446">
        <f>'24'!X29</f>
        <v>0</v>
      </c>
      <c r="U29" s="456"/>
      <c r="V29" s="451">
        <f t="shared" si="0"/>
        <v>0</v>
      </c>
      <c r="W29" s="451"/>
      <c r="X29" s="447">
        <f t="shared" si="1"/>
        <v>0</v>
      </c>
      <c r="Z29" s="375">
        <f>'24'!Z29</f>
        <v>0</v>
      </c>
      <c r="AA29" s="464">
        <f>'24'!AE29</f>
        <v>0</v>
      </c>
      <c r="AB29" s="460"/>
      <c r="AC29" s="462">
        <f t="shared" si="2"/>
        <v>0</v>
      </c>
      <c r="AD29" s="469"/>
      <c r="AE29" s="348">
        <f t="shared" si="3"/>
        <v>0</v>
      </c>
      <c r="AF29" s="563">
        <f>'24'!AF29+'25'!AB29</f>
        <v>0</v>
      </c>
      <c r="AG29" s="234">
        <f>'24'!AG29+'25'!AD29</f>
        <v>0</v>
      </c>
    </row>
    <row r="30" spans="1:36" ht="27" customHeight="1">
      <c r="A30" s="715" t="str">
        <f>'24'!A30</f>
        <v>FOTON DIESEL</v>
      </c>
      <c r="B30" s="234"/>
      <c r="C30" s="348">
        <f>'24'!D30</f>
        <v>15800</v>
      </c>
      <c r="D30" s="234">
        <f t="shared" si="9"/>
        <v>15800</v>
      </c>
      <c r="F30" s="479" t="str">
        <f>'24'!F30</f>
        <v>FAISAL HUB</v>
      </c>
      <c r="G30" s="406">
        <f>'CUSTOMERS REPORT'!Y883</f>
        <v>0</v>
      </c>
      <c r="H30" s="504">
        <f>'CUSTOMERS REPORT'!Z883</f>
        <v>0</v>
      </c>
      <c r="I30" s="406">
        <f>'CUSTOMERS REPORT'!AA883</f>
        <v>0</v>
      </c>
      <c r="J30" s="498">
        <f>'CUSTOMERS REPORT'!AB883</f>
        <v>0</v>
      </c>
      <c r="K30" s="498">
        <f>'CUSTOMERS REPORT'!AC883</f>
        <v>0</v>
      </c>
      <c r="L30" s="509">
        <f>'CUSTOMERS REPORT'!AD883</f>
        <v>0</v>
      </c>
      <c r="M30" s="414">
        <f>'24'!M30+'25'!G30</f>
        <v>0</v>
      </c>
      <c r="N30" s="412">
        <f>'24'!N30+'25'!J30</f>
        <v>0</v>
      </c>
      <c r="P30" s="433"/>
      <c r="Q30" s="442"/>
      <c r="S30" s="400" t="str">
        <f>'24'!S30</f>
        <v>PRIMR 15</v>
      </c>
      <c r="T30" s="446">
        <f>'24'!X30</f>
        <v>0</v>
      </c>
      <c r="U30" s="456"/>
      <c r="V30" s="451">
        <f t="shared" si="0"/>
        <v>0</v>
      </c>
      <c r="W30" s="451"/>
      <c r="X30" s="447">
        <f t="shared" si="1"/>
        <v>0</v>
      </c>
      <c r="Z30" s="375">
        <f>'24'!Z30</f>
        <v>0</v>
      </c>
      <c r="AA30" s="464">
        <f>'24'!AE30</f>
        <v>0</v>
      </c>
      <c r="AB30" s="460"/>
      <c r="AC30" s="462">
        <f t="shared" si="2"/>
        <v>0</v>
      </c>
      <c r="AD30" s="469"/>
      <c r="AE30" s="348">
        <f t="shared" si="3"/>
        <v>0</v>
      </c>
      <c r="AF30" s="563">
        <f>'24'!AF30+'25'!AB30</f>
        <v>0</v>
      </c>
      <c r="AG30" s="234">
        <f>'24'!AG30+'25'!AD30</f>
        <v>0</v>
      </c>
    </row>
    <row r="31" spans="1:36" ht="27" customHeight="1" thickBot="1">
      <c r="A31" s="715" t="str">
        <f>'24'!A31</f>
        <v>UTILITY BILLS</v>
      </c>
      <c r="B31" s="234"/>
      <c r="C31" s="348">
        <f>'24'!D31</f>
        <v>44420</v>
      </c>
      <c r="D31" s="234">
        <f t="shared" si="9"/>
        <v>44420</v>
      </c>
      <c r="F31" s="479" t="str">
        <f>'24'!F31</f>
        <v>ABDUL RAHMAN</v>
      </c>
      <c r="G31" s="406">
        <f>'CUSTOMERS REPORT'!Y922</f>
        <v>0</v>
      </c>
      <c r="H31" s="504">
        <f>'CUSTOMERS REPORT'!Z922</f>
        <v>0</v>
      </c>
      <c r="I31" s="406">
        <f>'CUSTOMERS REPORT'!AA922</f>
        <v>0</v>
      </c>
      <c r="J31" s="498">
        <f>'CUSTOMERS REPORT'!AB922</f>
        <v>0</v>
      </c>
      <c r="K31" s="498">
        <f>'CUSTOMERS REPORT'!AC922</f>
        <v>0</v>
      </c>
      <c r="L31" s="509">
        <f>'CUSTOMERS REPORT'!AD922</f>
        <v>0</v>
      </c>
      <c r="M31" s="414">
        <f>'24'!M31+'25'!G31</f>
        <v>0</v>
      </c>
      <c r="N31" s="412">
        <f>'24'!N31+'25'!J31</f>
        <v>0</v>
      </c>
      <c r="P31" s="433"/>
      <c r="Q31" s="435"/>
      <c r="S31" s="400" t="str">
        <f>'24'!S31</f>
        <v>KARACHI</v>
      </c>
      <c r="T31" s="446">
        <f>'24'!X31</f>
        <v>0</v>
      </c>
      <c r="U31" s="456"/>
      <c r="V31" s="451">
        <f t="shared" si="0"/>
        <v>0</v>
      </c>
      <c r="W31" s="451"/>
      <c r="X31" s="447">
        <f t="shared" si="1"/>
        <v>0</v>
      </c>
      <c r="Z31" s="375">
        <f>'24'!Z31</f>
        <v>0</v>
      </c>
      <c r="AA31" s="464">
        <f>'24'!AE31</f>
        <v>0</v>
      </c>
      <c r="AB31" s="460"/>
      <c r="AC31" s="462">
        <f t="shared" si="2"/>
        <v>0</v>
      </c>
      <c r="AD31" s="469"/>
      <c r="AE31" s="348">
        <f t="shared" si="3"/>
        <v>0</v>
      </c>
      <c r="AF31" s="563">
        <f>'24'!AF31+'25'!AB31</f>
        <v>0</v>
      </c>
      <c r="AG31" s="234">
        <f>'24'!AG31+'25'!AD31</f>
        <v>0</v>
      </c>
      <c r="AI31" t="s">
        <v>1</v>
      </c>
    </row>
    <row r="32" spans="1:36" ht="27" customHeight="1" thickTop="1" thickBot="1">
      <c r="A32" s="715" t="str">
        <f>'24'!A32</f>
        <v>WOOD</v>
      </c>
      <c r="B32" s="234"/>
      <c r="C32" s="348">
        <f>'24'!D32</f>
        <v>150000</v>
      </c>
      <c r="D32" s="234">
        <f t="shared" si="9"/>
        <v>150000</v>
      </c>
      <c r="F32" s="479" t="str">
        <f>'24'!F32</f>
        <v>HAJI JAN GIWANI</v>
      </c>
      <c r="G32" s="406">
        <f>'CUSTOMERS REPORT'!Y961</f>
        <v>0</v>
      </c>
      <c r="H32" s="504">
        <f>'CUSTOMERS REPORT'!Z961</f>
        <v>0</v>
      </c>
      <c r="I32" s="406">
        <f>'CUSTOMERS REPORT'!AA961</f>
        <v>0</v>
      </c>
      <c r="J32" s="498">
        <f>'CUSTOMERS REPORT'!AB961</f>
        <v>0</v>
      </c>
      <c r="K32" s="498">
        <f>'CUSTOMERS REPORT'!AC961</f>
        <v>0</v>
      </c>
      <c r="L32" s="509">
        <f>'CUSTOMERS REPORT'!AD961</f>
        <v>0</v>
      </c>
      <c r="M32" s="414">
        <f>'24'!M32+'25'!G32</f>
        <v>0</v>
      </c>
      <c r="N32" s="412">
        <f>'24'!N32+'25'!J32</f>
        <v>0</v>
      </c>
      <c r="P32" s="190" t="s">
        <v>51</v>
      </c>
      <c r="Q32" s="439">
        <f>Q23-Q25-Q26-Q27-Q28-Q29-Q30-Q31</f>
        <v>0</v>
      </c>
      <c r="R32" t="s">
        <v>1</v>
      </c>
      <c r="S32" s="400" t="str">
        <f>'24'!S32</f>
        <v>MARVI</v>
      </c>
      <c r="T32" s="446">
        <f>'24'!X32</f>
        <v>0</v>
      </c>
      <c r="U32" s="456"/>
      <c r="V32" s="451">
        <f t="shared" si="0"/>
        <v>0</v>
      </c>
      <c r="W32" s="451"/>
      <c r="X32" s="447">
        <f t="shared" si="1"/>
        <v>0</v>
      </c>
      <c r="Z32" s="375">
        <f>'24'!Z32</f>
        <v>0</v>
      </c>
      <c r="AA32" s="464">
        <f>'24'!AE32</f>
        <v>0</v>
      </c>
      <c r="AB32" s="460"/>
      <c r="AC32" s="462">
        <f t="shared" si="2"/>
        <v>0</v>
      </c>
      <c r="AD32" s="469"/>
      <c r="AE32" s="348">
        <f t="shared" si="3"/>
        <v>0</v>
      </c>
      <c r="AF32" s="563">
        <f>'24'!AF32+'25'!AB32</f>
        <v>0</v>
      </c>
      <c r="AG32" s="234">
        <f>'24'!AG32+'25'!AD32</f>
        <v>0</v>
      </c>
    </row>
    <row r="33" spans="1:40" ht="27" customHeight="1" thickTop="1" thickBot="1">
      <c r="A33" s="715" t="str">
        <f>'24'!A33</f>
        <v>TOLL</v>
      </c>
      <c r="B33" s="538"/>
      <c r="C33" s="348">
        <f>'24'!D33</f>
        <v>200</v>
      </c>
      <c r="D33" s="234">
        <f t="shared" si="9"/>
        <v>200</v>
      </c>
      <c r="F33" s="479" t="str">
        <f>'24'!F33</f>
        <v>ALI QURESHI HYD</v>
      </c>
      <c r="G33" s="406">
        <f>'CUSTOMERS REPORT'!Y999</f>
        <v>0</v>
      </c>
      <c r="H33" s="504">
        <f>'CUSTOMERS REPORT'!Z999</f>
        <v>0</v>
      </c>
      <c r="I33" s="406">
        <f>'CUSTOMERS REPORT'!AA999</f>
        <v>0</v>
      </c>
      <c r="J33" s="498">
        <f>'CUSTOMERS REPORT'!AB999</f>
        <v>0</v>
      </c>
      <c r="K33" s="498">
        <f>'CUSTOMERS REPORT'!AC999</f>
        <v>0</v>
      </c>
      <c r="L33" s="509">
        <f>'CUSTOMERS REPORT'!AD999</f>
        <v>0</v>
      </c>
      <c r="M33" s="414">
        <f>'24'!M33+'25'!G33</f>
        <v>0</v>
      </c>
      <c r="N33" s="412">
        <f>'24'!N33+'25'!J33</f>
        <v>0</v>
      </c>
      <c r="P33" s="1499" t="s">
        <v>149</v>
      </c>
      <c r="Q33" s="1500"/>
      <c r="S33" s="400" t="str">
        <f>'24'!S33</f>
        <v>TS</v>
      </c>
      <c r="T33" s="446">
        <f>'24'!X33</f>
        <v>0</v>
      </c>
      <c r="U33" s="456"/>
      <c r="V33" s="451">
        <f t="shared" si="0"/>
        <v>0</v>
      </c>
      <c r="W33" s="451"/>
      <c r="X33" s="447">
        <f t="shared" si="1"/>
        <v>0</v>
      </c>
      <c r="Z33" s="375">
        <f>'24'!Z33</f>
        <v>0</v>
      </c>
      <c r="AA33" s="464">
        <f>'24'!AE33</f>
        <v>0</v>
      </c>
      <c r="AB33" s="460">
        <f>'SHAKEEL RUSK'!D32+'SHAKEEL RUSK'!G32</f>
        <v>0</v>
      </c>
      <c r="AC33" s="462">
        <f t="shared" si="2"/>
        <v>0</v>
      </c>
      <c r="AD33" s="469"/>
      <c r="AE33" s="348">
        <f t="shared" si="3"/>
        <v>0</v>
      </c>
      <c r="AF33" s="563">
        <f>'24'!AF33+'25'!AB33</f>
        <v>0</v>
      </c>
      <c r="AG33" s="234">
        <f>'24'!AG33+'25'!AD33</f>
        <v>0</v>
      </c>
    </row>
    <row r="34" spans="1:40" ht="27" customHeight="1" thickTop="1" thickBot="1">
      <c r="A34" s="716" t="str">
        <f>'24'!A34</f>
        <v>FLOUR / SHGER</v>
      </c>
      <c r="B34" s="538"/>
      <c r="C34" s="348">
        <f>'24'!D34</f>
        <v>1120</v>
      </c>
      <c r="D34" s="234">
        <f t="shared" si="9"/>
        <v>1120</v>
      </c>
      <c r="F34" s="479" t="str">
        <f>'24'!F34</f>
        <v>ALI RAZA KAND KOT</v>
      </c>
      <c r="G34" s="406">
        <f>'CUSTOMERS REPORT'!Y1037</f>
        <v>0</v>
      </c>
      <c r="H34" s="504">
        <f>'CUSTOMERS REPORT'!Z1037</f>
        <v>0</v>
      </c>
      <c r="I34" s="406">
        <f>'CUSTOMERS REPORT'!AA1037</f>
        <v>0</v>
      </c>
      <c r="J34" s="498">
        <f>'CUSTOMERS REPORT'!AB1037</f>
        <v>0</v>
      </c>
      <c r="K34" s="498">
        <f>'CUSTOMERS REPORT'!AC1037</f>
        <v>0</v>
      </c>
      <c r="L34" s="509">
        <f>'CUSTOMERS REPORT'!AD1037</f>
        <v>0</v>
      </c>
      <c r="M34" s="414">
        <f>'24'!M34+'25'!G34</f>
        <v>0</v>
      </c>
      <c r="N34" s="412">
        <f>'24'!N34+'25'!J34</f>
        <v>0</v>
      </c>
      <c r="P34" s="220" t="s">
        <v>150</v>
      </c>
      <c r="Q34" s="223">
        <f>'24'!Q34</f>
        <v>0</v>
      </c>
      <c r="S34" s="400" t="str">
        <f>'24'!S34</f>
        <v>MAXI</v>
      </c>
      <c r="T34" s="446">
        <f>'24'!X34</f>
        <v>0</v>
      </c>
      <c r="U34" s="457"/>
      <c r="V34" s="452">
        <f t="shared" si="0"/>
        <v>0</v>
      </c>
      <c r="W34" s="452"/>
      <c r="X34" s="448">
        <f t="shared" si="1"/>
        <v>0</v>
      </c>
      <c r="Z34" s="375">
        <f>'24'!Z34</f>
        <v>0</v>
      </c>
      <c r="AA34" s="464">
        <f>'24'!AE34</f>
        <v>0</v>
      </c>
      <c r="AB34" s="460"/>
      <c r="AC34" s="462">
        <f t="shared" si="2"/>
        <v>0</v>
      </c>
      <c r="AD34" s="469"/>
      <c r="AE34" s="348">
        <f t="shared" si="3"/>
        <v>0</v>
      </c>
      <c r="AF34" s="563">
        <f>'24'!AF34+'25'!AB34</f>
        <v>0</v>
      </c>
      <c r="AG34" s="234">
        <f>'24'!AG34+'25'!AD34</f>
        <v>0</v>
      </c>
    </row>
    <row r="35" spans="1:40" ht="27" customHeight="1" thickTop="1">
      <c r="A35" s="716" t="str">
        <f>'24'!A35</f>
        <v>OVEN &amp; PP MACHINE</v>
      </c>
      <c r="B35" s="529"/>
      <c r="C35" s="348">
        <f>'24'!D35</f>
        <v>0</v>
      </c>
      <c r="D35" s="529">
        <f t="shared" si="9"/>
        <v>0</v>
      </c>
      <c r="F35" s="479" t="str">
        <f>'24'!F35</f>
        <v>IQBAL MORO</v>
      </c>
      <c r="G35" s="407">
        <f>'CUSTOMERS REPORT'!Y1075</f>
        <v>0</v>
      </c>
      <c r="H35" s="505">
        <f>'CUSTOMERS REPORT'!Z1075</f>
        <v>0</v>
      </c>
      <c r="I35" s="407">
        <f>'CUSTOMERS REPORT'!AA1075</f>
        <v>0</v>
      </c>
      <c r="J35" s="499">
        <f>'CUSTOMERS REPORT'!AB1075</f>
        <v>0</v>
      </c>
      <c r="K35" s="499">
        <f>'CUSTOMERS REPORT'!AC1075</f>
        <v>0</v>
      </c>
      <c r="L35" s="510">
        <f>'CUSTOMERS REPORT'!AD1075</f>
        <v>0</v>
      </c>
      <c r="M35" s="414">
        <f>'24'!M35+'25'!G35</f>
        <v>0</v>
      </c>
      <c r="N35" s="412">
        <f>'24'!N35+'25'!J35</f>
        <v>0</v>
      </c>
      <c r="P35" s="252" t="s">
        <v>151</v>
      </c>
      <c r="Q35" s="443">
        <f>'24'!Q35</f>
        <v>0</v>
      </c>
      <c r="R35" t="s">
        <v>1</v>
      </c>
      <c r="S35" s="400" t="str">
        <f>'24'!S35</f>
        <v>M A WHITE</v>
      </c>
      <c r="T35" s="446">
        <f>'24'!X35</f>
        <v>0</v>
      </c>
      <c r="U35" s="457"/>
      <c r="V35" s="452">
        <f t="shared" si="0"/>
        <v>0</v>
      </c>
      <c r="W35" s="452"/>
      <c r="X35" s="448">
        <f t="shared" si="1"/>
        <v>0</v>
      </c>
      <c r="Z35" s="375">
        <f>'24'!Z35</f>
        <v>0</v>
      </c>
      <c r="AA35" s="464">
        <f>'24'!AE35</f>
        <v>0</v>
      </c>
      <c r="AB35" s="460"/>
      <c r="AC35" s="462">
        <f t="shared" si="2"/>
        <v>0</v>
      </c>
      <c r="AD35" s="469"/>
      <c r="AE35" s="348">
        <f t="shared" si="3"/>
        <v>0</v>
      </c>
      <c r="AF35" s="563">
        <f>'24'!AF35+'25'!AB35</f>
        <v>0</v>
      </c>
      <c r="AG35" s="234">
        <f>'24'!AG35+'25'!AD35</f>
        <v>0</v>
      </c>
    </row>
    <row r="36" spans="1:40" ht="27" customHeight="1">
      <c r="A36" s="716" t="str">
        <f>'24'!A36</f>
        <v>zakat</v>
      </c>
      <c r="B36" s="539"/>
      <c r="C36" s="348">
        <f>'24'!D36</f>
        <v>0</v>
      </c>
      <c r="D36" s="529">
        <f t="shared" si="9"/>
        <v>0</v>
      </c>
      <c r="F36" s="479" t="str">
        <f>'24'!F36</f>
        <v>SARFARAZ T ADAM</v>
      </c>
      <c r="G36" s="407">
        <f>'CUSTOMERS REPORT'!Y1113</f>
        <v>0</v>
      </c>
      <c r="H36" s="505">
        <f>'CUSTOMERS REPORT'!Z1113</f>
        <v>0</v>
      </c>
      <c r="I36" s="407">
        <f>'CUSTOMERS REPORT'!AA1113</f>
        <v>0</v>
      </c>
      <c r="J36" s="499">
        <f>'CUSTOMERS REPORT'!AB1113</f>
        <v>0</v>
      </c>
      <c r="K36" s="499">
        <f>'CUSTOMERS REPORT'!AC1113</f>
        <v>0</v>
      </c>
      <c r="L36" s="510">
        <f>'CUSTOMERS REPORT'!AD1113</f>
        <v>0</v>
      </c>
      <c r="M36" s="414">
        <f>'24'!M36+'25'!G36</f>
        <v>0</v>
      </c>
      <c r="N36" s="412">
        <f>'24'!N36+'25'!J36</f>
        <v>0</v>
      </c>
      <c r="P36" s="372" t="s">
        <v>152</v>
      </c>
      <c r="Q36" s="444">
        <f>J48</f>
        <v>0</v>
      </c>
      <c r="R36" t="s">
        <v>1</v>
      </c>
      <c r="S36" s="400" t="str">
        <f>'24'!S36</f>
        <v>M A ORING</v>
      </c>
      <c r="T36" s="446">
        <f>'24'!X36</f>
        <v>0</v>
      </c>
      <c r="U36" s="456"/>
      <c r="V36" s="451">
        <f t="shared" si="0"/>
        <v>0</v>
      </c>
      <c r="W36" s="452"/>
      <c r="X36" s="448">
        <f t="shared" si="1"/>
        <v>0</v>
      </c>
      <c r="Z36" s="375">
        <f>'24'!Z36</f>
        <v>0</v>
      </c>
      <c r="AA36" s="464">
        <f>'24'!AE36</f>
        <v>0</v>
      </c>
      <c r="AB36" s="460"/>
      <c r="AC36" s="462">
        <f t="shared" si="2"/>
        <v>0</v>
      </c>
      <c r="AD36" s="469"/>
      <c r="AE36" s="348">
        <f t="shared" si="3"/>
        <v>0</v>
      </c>
      <c r="AF36" s="563">
        <f>'24'!AF36+'25'!AB36</f>
        <v>0</v>
      </c>
      <c r="AG36" s="234">
        <f>'24'!AG36+'25'!AD36</f>
        <v>0</v>
      </c>
    </row>
    <row r="37" spans="1:40" ht="27" customHeight="1">
      <c r="A37" s="716" t="str">
        <f>'24'!A37</f>
        <v>javeed manghopir</v>
      </c>
      <c r="B37" s="234"/>
      <c r="C37" s="348">
        <f>'24'!D37</f>
        <v>0</v>
      </c>
      <c r="D37" s="234">
        <f t="shared" si="9"/>
        <v>0</v>
      </c>
      <c r="F37" s="479" t="str">
        <f>'24'!F37</f>
        <v>MUMTAZ K N SHAH</v>
      </c>
      <c r="G37" s="406">
        <f>'CUSTOMERS REPORT'!Y1151</f>
        <v>0</v>
      </c>
      <c r="H37" s="504">
        <f>'CUSTOMERS REPORT'!Z1151</f>
        <v>0</v>
      </c>
      <c r="I37" s="406">
        <f>'CUSTOMERS REPORT'!AA1151</f>
        <v>0</v>
      </c>
      <c r="J37" s="498">
        <f>'CUSTOMERS REPORT'!AB1151</f>
        <v>0</v>
      </c>
      <c r="K37" s="498">
        <f>'CUSTOMERS REPORT'!AC1151</f>
        <v>0</v>
      </c>
      <c r="L37" s="509">
        <f>'CUSTOMERS REPORT'!AD1151</f>
        <v>0</v>
      </c>
      <c r="M37" s="414">
        <f>'24'!M37+'25'!G37</f>
        <v>0</v>
      </c>
      <c r="N37" s="412">
        <f>'24'!N37+'25'!J37</f>
        <v>0</v>
      </c>
      <c r="P37" s="373" t="s">
        <v>153</v>
      </c>
      <c r="Q37" s="445">
        <f>Q34+Q35+Q36</f>
        <v>0</v>
      </c>
      <c r="R37" t="s">
        <v>1</v>
      </c>
      <c r="S37" s="400">
        <f>'24'!S37</f>
        <v>0</v>
      </c>
      <c r="T37" s="446">
        <f>'24'!X37</f>
        <v>0</v>
      </c>
      <c r="U37" s="456"/>
      <c r="V37" s="451">
        <f t="shared" si="0"/>
        <v>0</v>
      </c>
      <c r="W37" s="452"/>
      <c r="X37" s="448">
        <f t="shared" si="1"/>
        <v>0</v>
      </c>
      <c r="Z37" s="375">
        <f>'24'!Z37</f>
        <v>0</v>
      </c>
      <c r="AA37" s="464">
        <f>'24'!AE37</f>
        <v>0</v>
      </c>
      <c r="AB37" s="460"/>
      <c r="AC37" s="462">
        <f t="shared" si="2"/>
        <v>0</v>
      </c>
      <c r="AD37" s="469"/>
      <c r="AE37" s="348">
        <f t="shared" si="3"/>
        <v>0</v>
      </c>
      <c r="AF37" s="563">
        <f>'24'!AF37+'25'!AB37</f>
        <v>0</v>
      </c>
      <c r="AG37" s="234">
        <f>'24'!AG37+'25'!AD37</f>
        <v>0</v>
      </c>
    </row>
    <row r="38" spans="1:40" ht="27" customHeight="1">
      <c r="A38" s="715" t="str">
        <f>'24'!A38</f>
        <v>EXSIS CASH</v>
      </c>
      <c r="B38" s="234"/>
      <c r="C38" s="348">
        <f>'24'!D38</f>
        <v>0</v>
      </c>
      <c r="D38" s="234">
        <f t="shared" si="9"/>
        <v>0</v>
      </c>
      <c r="F38" s="479" t="str">
        <f>'24'!F38</f>
        <v>GHULAM RASOOL QU</v>
      </c>
      <c r="G38" s="408">
        <f>'CUSTOMERS REPORT'!Y1188</f>
        <v>0</v>
      </c>
      <c r="H38" s="506">
        <f>'CUSTOMERS REPORT'!Z1188</f>
        <v>0</v>
      </c>
      <c r="I38" s="408">
        <f>'CUSTOMERS REPORT'!AA1188</f>
        <v>0</v>
      </c>
      <c r="J38" s="500">
        <f>'CUSTOMERS REPORT'!AB1188</f>
        <v>0</v>
      </c>
      <c r="K38" s="500">
        <f>'CUSTOMERS REPORT'!AC1188</f>
        <v>0</v>
      </c>
      <c r="L38" s="511">
        <f>'CUSTOMERS REPORT'!AD1188</f>
        <v>0</v>
      </c>
      <c r="M38" s="414">
        <f>'24'!M38+'25'!G38</f>
        <v>0</v>
      </c>
      <c r="N38" s="412">
        <f>'24'!N38+'25'!J38</f>
        <v>0</v>
      </c>
      <c r="P38" s="373" t="s">
        <v>154</v>
      </c>
      <c r="Q38" s="445">
        <f>D48</f>
        <v>3911340</v>
      </c>
      <c r="S38" s="400">
        <f>'24'!S38</f>
        <v>0</v>
      </c>
      <c r="T38" s="446">
        <f>'24'!X38</f>
        <v>0</v>
      </c>
      <c r="U38" s="456"/>
      <c r="V38" s="451">
        <f t="shared" si="0"/>
        <v>0</v>
      </c>
      <c r="W38" s="452"/>
      <c r="X38" s="448">
        <f t="shared" si="1"/>
        <v>0</v>
      </c>
      <c r="Z38" s="375">
        <f>'24'!Z38</f>
        <v>0</v>
      </c>
      <c r="AA38" s="464">
        <f>'24'!AE38</f>
        <v>0</v>
      </c>
      <c r="AB38" s="460"/>
      <c r="AC38" s="462">
        <f t="shared" si="2"/>
        <v>0</v>
      </c>
      <c r="AD38" s="469"/>
      <c r="AE38" s="348">
        <f t="shared" si="3"/>
        <v>0</v>
      </c>
      <c r="AF38" s="563">
        <f>'24'!AF38+'25'!AB38</f>
        <v>0</v>
      </c>
      <c r="AG38" s="234">
        <f>'24'!AG38+'25'!AD38</f>
        <v>0</v>
      </c>
    </row>
    <row r="39" spans="1:40" ht="27" customHeight="1">
      <c r="A39" s="715" t="str">
        <f>'24'!A39</f>
        <v>SHORT CASH</v>
      </c>
      <c r="B39" s="234"/>
      <c r="C39" s="348">
        <f>'24'!D39</f>
        <v>1950</v>
      </c>
      <c r="D39" s="234">
        <f t="shared" si="9"/>
        <v>1950</v>
      </c>
      <c r="F39" s="479" t="str">
        <f>'24'!F39</f>
        <v>SHAMSHAD UNCLE</v>
      </c>
      <c r="G39" s="406">
        <f>'CUSTOMERS REPORT'!Y1225</f>
        <v>0</v>
      </c>
      <c r="H39" s="504">
        <f>'CUSTOMERS REPORT'!Z1225</f>
        <v>0</v>
      </c>
      <c r="I39" s="406">
        <f>'CUSTOMERS REPORT'!AA1225</f>
        <v>0</v>
      </c>
      <c r="J39" s="498">
        <f>'CUSTOMERS REPORT'!AB1225</f>
        <v>0</v>
      </c>
      <c r="K39" s="498">
        <f>'CUSTOMERS REPORT'!AC1225</f>
        <v>0</v>
      </c>
      <c r="L39" s="509">
        <f>'CUSTOMERS REPORT'!AD1225</f>
        <v>0</v>
      </c>
      <c r="M39" s="414">
        <f>'24'!M39+'25'!G39</f>
        <v>0</v>
      </c>
      <c r="N39" s="412">
        <f>'24'!N39+'25'!J39</f>
        <v>0</v>
      </c>
      <c r="P39" s="373" t="s">
        <v>109</v>
      </c>
      <c r="Q39" s="445">
        <f>'24'!Q39+'25'!Q25+'25'!Q26+'25'!Q27+'25'!Q28+'25'!Q29+'25'!Q30+'25'!Q31</f>
        <v>0</v>
      </c>
      <c r="R39" t="s">
        <v>1</v>
      </c>
      <c r="S39" s="400">
        <f>'24'!S39</f>
        <v>0</v>
      </c>
      <c r="T39" s="446">
        <f>'24'!X39</f>
        <v>0</v>
      </c>
      <c r="U39" s="456"/>
      <c r="V39" s="451">
        <f t="shared" si="0"/>
        <v>0</v>
      </c>
      <c r="W39" s="452"/>
      <c r="X39" s="448">
        <f t="shared" si="1"/>
        <v>0</v>
      </c>
      <c r="Z39" s="375">
        <f>'24'!Z39</f>
        <v>0</v>
      </c>
      <c r="AA39" s="464">
        <f>'24'!AE39</f>
        <v>0</v>
      </c>
      <c r="AB39" s="460"/>
      <c r="AC39" s="462">
        <f t="shared" si="2"/>
        <v>0</v>
      </c>
      <c r="AD39" s="469"/>
      <c r="AE39" s="348">
        <f t="shared" si="3"/>
        <v>0</v>
      </c>
      <c r="AF39" s="563">
        <f>'24'!AF39+'25'!AB39</f>
        <v>0</v>
      </c>
      <c r="AG39" s="234">
        <f>'24'!AG39+'25'!AD39</f>
        <v>0</v>
      </c>
    </row>
    <row r="40" spans="1:40" ht="27" customHeight="1" thickBot="1">
      <c r="A40" s="715" t="str">
        <f>'24'!A40</f>
        <v>ASSETS</v>
      </c>
      <c r="B40" s="234"/>
      <c r="C40" s="348">
        <f>'24'!D40</f>
        <v>0</v>
      </c>
      <c r="D40" s="550">
        <f t="shared" si="9"/>
        <v>0</v>
      </c>
      <c r="F40" s="479" t="str">
        <f>'24'!F40</f>
        <v>IBRAHEEM D.G KHAN</v>
      </c>
      <c r="G40" s="406">
        <f>'CUSTOMERS REPORT'!Y1262</f>
        <v>0</v>
      </c>
      <c r="H40" s="504">
        <f>'CUSTOMERS REPORT'!Z1262</f>
        <v>0</v>
      </c>
      <c r="I40" s="406">
        <f>'CUSTOMERS REPORT'!AA1262</f>
        <v>0</v>
      </c>
      <c r="J40" s="498">
        <f>'CUSTOMERS REPORT'!AB1262</f>
        <v>0</v>
      </c>
      <c r="K40" s="498">
        <f>'CUSTOMERS REPORT'!AC1262</f>
        <v>0</v>
      </c>
      <c r="L40" s="509">
        <f>'CUSTOMERS REPORT'!AD1262</f>
        <v>0</v>
      </c>
      <c r="M40" s="414">
        <f>'24'!M40+'25'!G40</f>
        <v>0</v>
      </c>
      <c r="N40" s="412">
        <f>'24'!N40+'25'!J40</f>
        <v>0</v>
      </c>
      <c r="P40" s="374" t="s">
        <v>155</v>
      </c>
      <c r="Q40" s="445">
        <f>Q48</f>
        <v>-3911340</v>
      </c>
      <c r="S40" s="400">
        <f>'24'!S40</f>
        <v>0</v>
      </c>
      <c r="T40" s="446">
        <f>'24'!X40</f>
        <v>0</v>
      </c>
      <c r="U40" s="456"/>
      <c r="V40" s="451">
        <f t="shared" si="0"/>
        <v>0</v>
      </c>
      <c r="W40" s="452"/>
      <c r="X40" s="448">
        <f t="shared" si="1"/>
        <v>0</v>
      </c>
      <c r="Z40" s="375">
        <f>'24'!Z40</f>
        <v>0</v>
      </c>
      <c r="AA40" s="464">
        <f>'24'!AE40</f>
        <v>0</v>
      </c>
      <c r="AB40" s="460"/>
      <c r="AC40" s="462">
        <f t="shared" si="2"/>
        <v>0</v>
      </c>
      <c r="AD40" s="469"/>
      <c r="AE40" s="348">
        <f t="shared" si="3"/>
        <v>0</v>
      </c>
      <c r="AF40" s="563">
        <f>'24'!AF40+'25'!AB40</f>
        <v>0</v>
      </c>
      <c r="AG40" s="234">
        <f>'24'!AG40+'25'!AD40</f>
        <v>0</v>
      </c>
    </row>
    <row r="41" spans="1:40" ht="27" customHeight="1" thickTop="1" thickBot="1">
      <c r="A41" s="715" t="str">
        <f>'24'!A41</f>
        <v>BIKE.INSTALMINT</v>
      </c>
      <c r="B41" s="234"/>
      <c r="C41" s="348">
        <f>'24'!D41</f>
        <v>12200</v>
      </c>
      <c r="D41" s="234">
        <f t="shared" si="9"/>
        <v>12200</v>
      </c>
      <c r="E41" t="s">
        <v>1</v>
      </c>
      <c r="F41" s="479" t="str">
        <f>'24'!F41</f>
        <v>PISHAWAR</v>
      </c>
      <c r="G41" s="409">
        <f>'CUSTOMERS REPORT'!Y1299</f>
        <v>0</v>
      </c>
      <c r="H41" s="507">
        <f>'CUSTOMERS REPORT'!Z1299</f>
        <v>0</v>
      </c>
      <c r="I41" s="409">
        <f>'CUSTOMERS REPORT'!AA1299</f>
        <v>0</v>
      </c>
      <c r="J41" s="501">
        <f>'CUSTOMERS REPORT'!AB1299</f>
        <v>0</v>
      </c>
      <c r="K41" s="501">
        <f>'CUSTOMERS REPORT'!AC1299</f>
        <v>0</v>
      </c>
      <c r="L41" s="512">
        <f>'CUSTOMERS REPORT'!AD1299</f>
        <v>0</v>
      </c>
      <c r="M41" s="414">
        <f>'24'!M41+'25'!G41</f>
        <v>0</v>
      </c>
      <c r="N41" s="412">
        <f>'24'!N41+'25'!J41</f>
        <v>0</v>
      </c>
      <c r="P41" s="221" t="s">
        <v>51</v>
      </c>
      <c r="Q41" s="223">
        <f>Q37-Q38-Q39-Q40</f>
        <v>0</v>
      </c>
      <c r="S41" s="400">
        <f>'24'!S41</f>
        <v>0</v>
      </c>
      <c r="T41" s="446">
        <f>'24'!X41</f>
        <v>0</v>
      </c>
      <c r="U41" s="456"/>
      <c r="V41" s="451">
        <f t="shared" si="0"/>
        <v>0</v>
      </c>
      <c r="W41" s="452"/>
      <c r="X41" s="448">
        <f t="shared" si="1"/>
        <v>0</v>
      </c>
      <c r="Z41" s="375">
        <f>'24'!Z41</f>
        <v>0</v>
      </c>
      <c r="AA41" s="464">
        <f>'24'!AE41</f>
        <v>0</v>
      </c>
      <c r="AB41" s="460"/>
      <c r="AC41" s="462">
        <f t="shared" si="2"/>
        <v>0</v>
      </c>
      <c r="AD41" s="469"/>
      <c r="AE41" s="348">
        <f t="shared" si="3"/>
        <v>0</v>
      </c>
      <c r="AF41" s="563">
        <f>'24'!AF41+'25'!AB41</f>
        <v>0</v>
      </c>
      <c r="AG41" s="234">
        <f>'24'!AG41+'25'!AD41</f>
        <v>0</v>
      </c>
    </row>
    <row r="42" spans="1:40" ht="27" customHeight="1" thickTop="1" thickBot="1">
      <c r="A42" s="715" t="str">
        <f>'24'!A42</f>
        <v>B.C</v>
      </c>
      <c r="B42" s="529"/>
      <c r="C42" s="348">
        <f>'24'!D42</f>
        <v>0</v>
      </c>
      <c r="D42" s="529">
        <f t="shared" si="9"/>
        <v>0</v>
      </c>
      <c r="F42" s="479" t="str">
        <f>'24'!F42</f>
        <v>HUZAFA KOTRI</v>
      </c>
      <c r="G42" s="409">
        <f>'CUSTOMERS REPORT'!Y1336</f>
        <v>0</v>
      </c>
      <c r="H42" s="507">
        <f>'CUSTOMERS REPORT'!Z1336</f>
        <v>0</v>
      </c>
      <c r="I42" s="409">
        <f>'CUSTOMERS REPORT'!AA1336</f>
        <v>0</v>
      </c>
      <c r="J42" s="501">
        <f>'CUSTOMERS REPORT'!AB1336</f>
        <v>0</v>
      </c>
      <c r="K42" s="501">
        <f>'CUSTOMERS REPORT'!AC1336</f>
        <v>0</v>
      </c>
      <c r="L42" s="512">
        <f>'CUSTOMERS REPORT'!AD1336</f>
        <v>0</v>
      </c>
      <c r="M42" s="414">
        <f>'24'!M42+'25'!G42</f>
        <v>0</v>
      </c>
      <c r="N42" s="412">
        <f>'24'!N42+'25'!J42</f>
        <v>0</v>
      </c>
      <c r="P42" s="1499" t="s">
        <v>157</v>
      </c>
      <c r="Q42" s="1500"/>
      <c r="S42" s="400">
        <f>'24'!S42</f>
        <v>0</v>
      </c>
      <c r="T42" s="446">
        <f>'24'!X42</f>
        <v>0</v>
      </c>
      <c r="U42" s="458"/>
      <c r="V42" s="453">
        <f t="shared" si="0"/>
        <v>0</v>
      </c>
      <c r="W42" s="454"/>
      <c r="X42" s="449">
        <f t="shared" si="1"/>
        <v>0</v>
      </c>
      <c r="Z42" s="375">
        <f>'24'!Z42</f>
        <v>0</v>
      </c>
      <c r="AA42" s="464">
        <f>'24'!AE42</f>
        <v>0</v>
      </c>
      <c r="AB42" s="461"/>
      <c r="AC42" s="462">
        <f>AA42+AB42</f>
        <v>0</v>
      </c>
      <c r="AD42" s="470"/>
      <c r="AE42" s="348">
        <f t="shared" si="3"/>
        <v>0</v>
      </c>
      <c r="AF42" s="564">
        <f>'24'!AF42+'25'!AB42</f>
        <v>0</v>
      </c>
      <c r="AG42" s="572">
        <f>'24'!AG42+'25'!AD42</f>
        <v>0</v>
      </c>
    </row>
    <row r="43" spans="1:40" ht="27" customHeight="1" thickTop="1" thickBot="1">
      <c r="A43" s="715" t="str">
        <f>'24'!A43</f>
        <v>AQEEL</v>
      </c>
      <c r="B43" s="539"/>
      <c r="C43" s="348">
        <f>'24'!D43</f>
        <v>0</v>
      </c>
      <c r="D43" s="529">
        <f t="shared" si="9"/>
        <v>0</v>
      </c>
      <c r="F43" s="479" t="str">
        <f>'24'!F43</f>
        <v>ZAHID LAHORE</v>
      </c>
      <c r="G43" s="409">
        <f>'CUSTOMERS REPORT'!Y1373</f>
        <v>0</v>
      </c>
      <c r="H43" s="507">
        <f>'CUSTOMERS REPORT'!Z1373</f>
        <v>0</v>
      </c>
      <c r="I43" s="409">
        <f>'CUSTOMERS REPORT'!AA1373</f>
        <v>0</v>
      </c>
      <c r="J43" s="501">
        <f>'CUSTOMERS REPORT'!AB1373</f>
        <v>0</v>
      </c>
      <c r="K43" s="501">
        <f>'CUSTOMERS REPORT'!AC1373</f>
        <v>0</v>
      </c>
      <c r="L43" s="512">
        <f>'CUSTOMERS REPORT'!AD1373</f>
        <v>0</v>
      </c>
      <c r="M43" s="414">
        <f>'24'!M43+'25'!G43</f>
        <v>0</v>
      </c>
      <c r="N43" s="412">
        <f>'24'!N43+'25'!J43</f>
        <v>0</v>
      </c>
      <c r="P43" s="220" t="s">
        <v>124</v>
      </c>
      <c r="Q43" s="223">
        <f>'24'!Q48</f>
        <v>-3911340</v>
      </c>
      <c r="R43" t="s">
        <v>1</v>
      </c>
      <c r="S43" s="400">
        <f>'24'!S43</f>
        <v>0</v>
      </c>
      <c r="T43" s="446">
        <f>'24'!X43</f>
        <v>0</v>
      </c>
      <c r="U43" s="358"/>
      <c r="V43" s="453">
        <f t="shared" si="0"/>
        <v>0</v>
      </c>
      <c r="W43" s="403"/>
      <c r="X43" s="449">
        <f t="shared" si="1"/>
        <v>0</v>
      </c>
      <c r="Z43" s="383"/>
      <c r="AA43" s="356">
        <f>SUM(AA8:AA42)</f>
        <v>-1928350</v>
      </c>
      <c r="AB43" s="385">
        <f>SUM(AB8:AB42)</f>
        <v>0</v>
      </c>
      <c r="AC43" s="357" t="s">
        <v>74</v>
      </c>
      <c r="AD43" s="387">
        <f>SUM(AD8:AD42)</f>
        <v>0</v>
      </c>
      <c r="AE43" s="358">
        <f>SUM(AE8:AE42)</f>
        <v>-1928350</v>
      </c>
      <c r="AF43" s="565">
        <f>SUM(AF8:AF42)</f>
        <v>1275750</v>
      </c>
      <c r="AG43" s="571">
        <f>SUM(AG8:AG42)</f>
        <v>3204100</v>
      </c>
    </row>
    <row r="44" spans="1:40" ht="27" customHeight="1" thickTop="1">
      <c r="A44" s="715" t="str">
        <f>'24'!A44</f>
        <v>M.YOUSUF</v>
      </c>
      <c r="B44" s="234"/>
      <c r="C44" s="348">
        <f>'24'!D44</f>
        <v>60000</v>
      </c>
      <c r="D44" s="234">
        <f t="shared" si="9"/>
        <v>60000</v>
      </c>
      <c r="F44" s="479" t="str">
        <f>'24'!F44</f>
        <v>CASH SALE</v>
      </c>
      <c r="G44" s="409">
        <f>'CUSTOMERS REPORT'!Y1410</f>
        <v>0</v>
      </c>
      <c r="H44" s="507">
        <f>'CUSTOMERS REPORT'!Z1410</f>
        <v>0</v>
      </c>
      <c r="I44" s="409">
        <f>'CUSTOMERS REPORT'!AA1410</f>
        <v>0</v>
      </c>
      <c r="J44" s="501">
        <f>'CUSTOMERS REPORT'!AB1410</f>
        <v>0</v>
      </c>
      <c r="K44" s="501">
        <f>'CUSTOMERS REPORT'!AC1410</f>
        <v>0</v>
      </c>
      <c r="L44" s="512">
        <f>'CUSTOMERS REPORT'!AD1410</f>
        <v>0</v>
      </c>
      <c r="M44" s="414">
        <f>'24'!M44+'25'!G44</f>
        <v>0</v>
      </c>
      <c r="N44" s="412">
        <f>'24'!N44+'25'!J44</f>
        <v>0</v>
      </c>
      <c r="P44" s="222" t="s">
        <v>114</v>
      </c>
      <c r="Q44" s="377">
        <f>J46</f>
        <v>0</v>
      </c>
      <c r="S44" s="400"/>
      <c r="T44" s="348"/>
      <c r="U44" s="306"/>
      <c r="V44" s="349"/>
      <c r="W44" s="351"/>
      <c r="X44" s="350"/>
      <c r="Z44" s="375"/>
      <c r="AA44" s="339"/>
      <c r="AB44" s="386">
        <f>'24'!AB45</f>
        <v>1275750</v>
      </c>
      <c r="AC44" s="340" t="s">
        <v>126</v>
      </c>
      <c r="AD44" s="388">
        <f>'24'!AD45</f>
        <v>3204100</v>
      </c>
      <c r="AE44" s="341"/>
      <c r="AF44" s="561"/>
      <c r="AG44" s="83" t="s">
        <v>1</v>
      </c>
    </row>
    <row r="45" spans="1:40" ht="27" customHeight="1" thickBot="1">
      <c r="A45" s="715" t="str">
        <f>'24'!A45</f>
        <v>SHAKEEL</v>
      </c>
      <c r="B45" s="234"/>
      <c r="C45" s="348">
        <f>'24'!D45</f>
        <v>47210</v>
      </c>
      <c r="D45" s="234">
        <f t="shared" si="9"/>
        <v>47210</v>
      </c>
      <c r="F45" s="479" t="str">
        <f>'24'!F45</f>
        <v xml:space="preserve">FREE </v>
      </c>
      <c r="G45" s="410">
        <f>'CUSTOMERS REPORT'!Y1446</f>
        <v>0</v>
      </c>
      <c r="H45" s="362">
        <f>'CUSTOMERS REPORT'!Z1446</f>
        <v>0</v>
      </c>
      <c r="I45" s="410">
        <f>'CUSTOMERS REPORT'!AA1446</f>
        <v>0</v>
      </c>
      <c r="J45" s="502">
        <f>'CUSTOMERS REPORT'!AB1446</f>
        <v>0</v>
      </c>
      <c r="K45" s="502">
        <f>'CUSTOMERS REPORT'!AC1446</f>
        <v>0</v>
      </c>
      <c r="L45" s="513">
        <f>'CUSTOMERS REPORT'!AD1446</f>
        <v>0</v>
      </c>
      <c r="M45" s="414">
        <f>'24'!M45+'25'!G45</f>
        <v>0</v>
      </c>
      <c r="N45" s="412">
        <f>'24'!N45+'25'!J45</f>
        <v>0</v>
      </c>
      <c r="P45" s="222" t="s">
        <v>153</v>
      </c>
      <c r="Q45" s="378">
        <f>Q43+Q44</f>
        <v>-3911340</v>
      </c>
      <c r="S45" s="401"/>
      <c r="T45" s="352"/>
      <c r="U45" s="307"/>
      <c r="V45" s="353"/>
      <c r="W45" s="354"/>
      <c r="X45" s="355"/>
      <c r="Z45" s="384"/>
      <c r="AA45" s="359"/>
      <c r="AB45" s="390">
        <f>SUM(AB43:AB44)</f>
        <v>1275750</v>
      </c>
      <c r="AC45" s="360" t="s">
        <v>74</v>
      </c>
      <c r="AD45" s="389">
        <f>SUM(AD43:AD44)</f>
        <v>3204100</v>
      </c>
      <c r="AE45" s="361"/>
      <c r="AF45" s="562"/>
      <c r="AG45" s="573"/>
    </row>
    <row r="46" spans="1:40" ht="27" customHeight="1" thickTop="1" thickBot="1">
      <c r="A46" s="715" t="str">
        <f>'24'!A46</f>
        <v>ZAHID HUSSAN</v>
      </c>
      <c r="B46" s="234"/>
      <c r="C46" s="348">
        <f>'24'!D46</f>
        <v>0</v>
      </c>
      <c r="D46" s="234">
        <f t="shared" si="9"/>
        <v>0</v>
      </c>
      <c r="F46" s="369"/>
      <c r="G46" s="424">
        <f>SUM(G8:G45)</f>
        <v>0</v>
      </c>
      <c r="H46" s="1497" t="s">
        <v>160</v>
      </c>
      <c r="I46" s="1498"/>
      <c r="J46" s="421">
        <f>SUM(J8:J45)</f>
        <v>0</v>
      </c>
      <c r="K46" s="427">
        <f>SUM(K8:K45)</f>
        <v>0</v>
      </c>
      <c r="L46" s="431">
        <f>SUM(L8:L45)</f>
        <v>0</v>
      </c>
      <c r="M46" s="429">
        <f>SUM(M8:M45)</f>
        <v>0</v>
      </c>
      <c r="N46" s="430">
        <f>SUM(N8:N45)</f>
        <v>0</v>
      </c>
      <c r="P46" s="222" t="s">
        <v>154</v>
      </c>
      <c r="Q46" s="378">
        <f>B48</f>
        <v>0</v>
      </c>
    </row>
    <row r="47" spans="1:40" ht="27" customHeight="1" thickBot="1">
      <c r="A47" s="715" t="str">
        <f>'24'!A47</f>
        <v xml:space="preserve">INVESTOR </v>
      </c>
      <c r="B47" s="540"/>
      <c r="C47" s="348">
        <f>'24'!D47</f>
        <v>0</v>
      </c>
      <c r="D47" s="542">
        <f t="shared" si="9"/>
        <v>0</v>
      </c>
      <c r="F47" s="370"/>
      <c r="G47" s="425">
        <f>'24'!G48</f>
        <v>0</v>
      </c>
      <c r="H47" s="1512" t="s">
        <v>162</v>
      </c>
      <c r="I47" s="1513"/>
      <c r="J47" s="423">
        <f>'24'!J48</f>
        <v>0</v>
      </c>
      <c r="K47" s="423">
        <f>'24'!K48</f>
        <v>0</v>
      </c>
      <c r="L47" s="343"/>
      <c r="M47" s="344"/>
      <c r="N47" s="345"/>
      <c r="P47" s="375" t="s">
        <v>163</v>
      </c>
      <c r="Q47" s="378">
        <f>Q9+Q10+Q19+Q20+Q21+Q22</f>
        <v>0</v>
      </c>
      <c r="R47" s="19"/>
      <c r="S47" s="1489" t="s">
        <v>92</v>
      </c>
      <c r="T47" s="1516" t="s">
        <v>95</v>
      </c>
      <c r="U47" s="1518"/>
      <c r="V47" s="1518"/>
      <c r="W47" s="1517"/>
      <c r="X47" s="1516" t="s">
        <v>7</v>
      </c>
      <c r="Y47" s="1518"/>
      <c r="Z47" s="1517"/>
      <c r="AA47" s="1516" t="s">
        <v>8</v>
      </c>
      <c r="AB47" s="1517"/>
      <c r="AC47" s="1516" t="s">
        <v>9</v>
      </c>
      <c r="AD47" s="1518"/>
      <c r="AE47" s="1518"/>
      <c r="AF47" s="1518"/>
      <c r="AG47" s="1518"/>
      <c r="AH47" s="1518"/>
      <c r="AI47" s="1518"/>
      <c r="AJ47" s="1405" t="s">
        <v>10</v>
      </c>
      <c r="AK47" s="1406"/>
      <c r="AL47" s="1400" t="s">
        <v>289</v>
      </c>
      <c r="AM47" s="1401"/>
      <c r="AN47" s="842" t="s">
        <v>290</v>
      </c>
    </row>
    <row r="48" spans="1:40" ht="27" customHeight="1" thickTop="1" thickBot="1">
      <c r="A48" s="192" t="s">
        <v>74</v>
      </c>
      <c r="B48" s="544">
        <f>SUM(B22:B47)</f>
        <v>0</v>
      </c>
      <c r="C48" s="543">
        <f>'24'!D48</f>
        <v>3911340</v>
      </c>
      <c r="D48" s="544">
        <f t="shared" si="9"/>
        <v>3911340</v>
      </c>
      <c r="F48" s="371"/>
      <c r="G48" s="426">
        <f>G46+G47</f>
        <v>0</v>
      </c>
      <c r="H48" s="1495" t="s">
        <v>164</v>
      </c>
      <c r="I48" s="1496"/>
      <c r="J48" s="422">
        <f>J46+J47</f>
        <v>0</v>
      </c>
      <c r="K48" s="428">
        <f>K46+K47</f>
        <v>0</v>
      </c>
      <c r="L48" s="346"/>
      <c r="M48" s="347"/>
      <c r="N48" s="622">
        <f>G48-J48</f>
        <v>0</v>
      </c>
      <c r="P48" s="376" t="s">
        <v>155</v>
      </c>
      <c r="Q48" s="379">
        <f>Q45-Q46-Q47</f>
        <v>-3911340</v>
      </c>
      <c r="R48" s="19"/>
      <c r="S48" s="1490"/>
      <c r="T48" s="482" t="s">
        <v>12</v>
      </c>
      <c r="U48" s="482" t="s">
        <v>13</v>
      </c>
      <c r="V48" s="482" t="s">
        <v>14</v>
      </c>
      <c r="W48" s="958" t="s">
        <v>263</v>
      </c>
      <c r="X48" s="482" t="s">
        <v>12</v>
      </c>
      <c r="Y48" s="482" t="s">
        <v>13</v>
      </c>
      <c r="Z48" s="482" t="s">
        <v>282</v>
      </c>
      <c r="AA48" s="482" t="s">
        <v>12</v>
      </c>
      <c r="AB48" s="482" t="s">
        <v>16</v>
      </c>
      <c r="AC48" s="482" t="s">
        <v>17</v>
      </c>
      <c r="AD48" s="482" t="s">
        <v>18</v>
      </c>
      <c r="AE48" s="482" t="s">
        <v>19</v>
      </c>
      <c r="AF48" s="484" t="s">
        <v>96</v>
      </c>
      <c r="AG48" s="484" t="s">
        <v>257</v>
      </c>
      <c r="AH48" s="482" t="s">
        <v>254</v>
      </c>
      <c r="AI48" s="482" t="s">
        <v>20</v>
      </c>
      <c r="AJ48" s="483" t="s">
        <v>14</v>
      </c>
      <c r="AK48" s="482" t="s">
        <v>13</v>
      </c>
      <c r="AL48" s="846" t="s">
        <v>284</v>
      </c>
      <c r="AM48" s="846" t="s">
        <v>288</v>
      </c>
      <c r="AN48" s="966" t="s">
        <v>291</v>
      </c>
    </row>
    <row r="49" spans="1:42" ht="24.95" customHeight="1" thickTop="1" thickBot="1">
      <c r="Q49" s="111">
        <f>Q48+Q41</f>
        <v>-3911340</v>
      </c>
      <c r="R49" s="19"/>
      <c r="S49" s="865" t="s">
        <v>165</v>
      </c>
      <c r="T49" s="866">
        <f>'24'!T55</f>
        <v>0</v>
      </c>
      <c r="U49" s="866">
        <f>'24'!U55</f>
        <v>0</v>
      </c>
      <c r="V49" s="866">
        <f>'24'!V55</f>
        <v>123</v>
      </c>
      <c r="W49" s="866">
        <f>'24'!W55</f>
        <v>19</v>
      </c>
      <c r="X49" s="866">
        <f>'24'!X55</f>
        <v>0</v>
      </c>
      <c r="Y49" s="866">
        <f>'24'!Y55</f>
        <v>0</v>
      </c>
      <c r="Z49" s="866">
        <f>'24'!Z55</f>
        <v>-3</v>
      </c>
      <c r="AA49" s="866">
        <f>'24'!AA55</f>
        <v>2522</v>
      </c>
      <c r="AB49" s="866">
        <f>'24'!AB55</f>
        <v>170</v>
      </c>
      <c r="AC49" s="866">
        <f>'24'!AC55</f>
        <v>2623</v>
      </c>
      <c r="AD49" s="866">
        <f>'24'!AD55</f>
        <v>1020</v>
      </c>
      <c r="AE49" s="866">
        <f>'24'!AE55</f>
        <v>0</v>
      </c>
      <c r="AF49" s="866">
        <f>'24'!AF55</f>
        <v>2520</v>
      </c>
      <c r="AG49" s="866">
        <f>'24'!AG55</f>
        <v>1086</v>
      </c>
      <c r="AH49" s="866">
        <f>'24'!AH55</f>
        <v>2011</v>
      </c>
      <c r="AI49" s="866">
        <f>'24'!AI55</f>
        <v>631</v>
      </c>
      <c r="AJ49" s="866">
        <f>'24'!AJ55</f>
        <v>0</v>
      </c>
      <c r="AK49" s="866">
        <f>'24'!AK55</f>
        <v>-1</v>
      </c>
      <c r="AL49" s="866" t="e">
        <f>'24'!AL55</f>
        <v>#VALUE!</v>
      </c>
      <c r="AM49" s="866" t="e">
        <f>'24'!AM55</f>
        <v>#VALUE!</v>
      </c>
      <c r="AN49" s="866" t="e">
        <f>'24'!AN55</f>
        <v>#VALUE!</v>
      </c>
      <c r="AP49" t="s">
        <v>1</v>
      </c>
    </row>
    <row r="50" spans="1:42" ht="24.95" customHeight="1" thickBot="1">
      <c r="C50" t="s">
        <v>1</v>
      </c>
      <c r="L50" s="417">
        <v>5000</v>
      </c>
      <c r="M50" s="417"/>
      <c r="N50" s="417">
        <f t="shared" ref="N50:N57" si="10">L50*M50</f>
        <v>0</v>
      </c>
      <c r="Q50" s="111">
        <f>Q48-Q49</f>
        <v>0</v>
      </c>
      <c r="R50" s="19"/>
      <c r="S50" s="854" t="s">
        <v>166</v>
      </c>
      <c r="T50" s="852"/>
      <c r="U50" s="852"/>
      <c r="V50" s="852"/>
      <c r="W50" s="852"/>
      <c r="X50" s="852"/>
      <c r="Y50" s="852"/>
      <c r="Z50" s="852"/>
      <c r="AA50" s="852"/>
      <c r="AB50" s="852"/>
      <c r="AC50" s="852"/>
      <c r="AD50" s="852"/>
      <c r="AE50" s="852"/>
      <c r="AF50" s="855"/>
      <c r="AG50" s="852"/>
      <c r="AH50" s="852"/>
      <c r="AI50" s="848"/>
      <c r="AJ50" s="848"/>
      <c r="AK50" s="887"/>
      <c r="AL50" s="849"/>
      <c r="AM50" s="850"/>
      <c r="AN50" s="1007"/>
    </row>
    <row r="51" spans="1:42" ht="24.95" customHeight="1" thickBot="1">
      <c r="L51" s="417">
        <v>1000</v>
      </c>
      <c r="M51" s="417"/>
      <c r="N51" s="417">
        <f t="shared" si="10"/>
        <v>0</v>
      </c>
      <c r="P51">
        <v>9</v>
      </c>
      <c r="R51" s="19"/>
      <c r="S51" s="867" t="s">
        <v>91</v>
      </c>
      <c r="T51" s="868"/>
      <c r="U51" s="868"/>
      <c r="V51" s="868"/>
      <c r="W51" s="868"/>
      <c r="X51" s="868"/>
      <c r="Y51" s="868"/>
      <c r="Z51" s="868"/>
      <c r="AA51" s="868"/>
      <c r="AB51" s="868"/>
      <c r="AC51" s="868"/>
      <c r="AD51" s="868"/>
      <c r="AE51" s="868"/>
      <c r="AF51" s="869"/>
      <c r="AG51" s="868"/>
      <c r="AH51" s="870"/>
      <c r="AI51" s="868"/>
      <c r="AJ51" s="868"/>
      <c r="AK51" s="849"/>
      <c r="AL51" s="849"/>
      <c r="AM51" s="850"/>
      <c r="AN51" s="850"/>
    </row>
    <row r="52" spans="1:42" ht="24.95" customHeight="1" thickBot="1">
      <c r="L52" s="417">
        <v>500</v>
      </c>
      <c r="M52" s="417"/>
      <c r="N52" s="417">
        <f t="shared" si="10"/>
        <v>0</v>
      </c>
      <c r="O52" t="s">
        <v>1</v>
      </c>
      <c r="P52">
        <v>122</v>
      </c>
      <c r="R52" s="19"/>
      <c r="S52" s="856" t="s">
        <v>167</v>
      </c>
      <c r="T52" s="857"/>
      <c r="U52" s="857"/>
      <c r="V52" s="857"/>
      <c r="W52" s="857"/>
      <c r="X52" s="857"/>
      <c r="Y52" s="857"/>
      <c r="Z52" s="857"/>
      <c r="AA52" s="857"/>
      <c r="AB52" s="857"/>
      <c r="AC52" s="857"/>
      <c r="AD52" s="857"/>
      <c r="AE52" s="857"/>
      <c r="AF52" s="858"/>
      <c r="AG52" s="859"/>
      <c r="AH52" s="860"/>
      <c r="AI52" s="851"/>
      <c r="AJ52" s="851"/>
      <c r="AK52" s="849"/>
      <c r="AL52" s="849"/>
      <c r="AM52" s="850"/>
      <c r="AN52" s="850"/>
    </row>
    <row r="53" spans="1:42" ht="24.95" customHeight="1" thickBot="1">
      <c r="L53" s="417">
        <v>100</v>
      </c>
      <c r="M53" s="417"/>
      <c r="N53" s="417">
        <f t="shared" si="10"/>
        <v>0</v>
      </c>
      <c r="R53" s="19"/>
      <c r="S53" s="871" t="s">
        <v>81</v>
      </c>
      <c r="T53" s="866">
        <f t="shared" ref="T53:AB53" si="11">SUM(T49+T50+T52)</f>
        <v>0</v>
      </c>
      <c r="U53" s="866">
        <f t="shared" si="11"/>
        <v>0</v>
      </c>
      <c r="V53" s="866">
        <f t="shared" si="11"/>
        <v>123</v>
      </c>
      <c r="W53" s="866">
        <f t="shared" si="11"/>
        <v>19</v>
      </c>
      <c r="X53" s="866">
        <f t="shared" si="11"/>
        <v>0</v>
      </c>
      <c r="Y53" s="866">
        <f t="shared" si="11"/>
        <v>0</v>
      </c>
      <c r="Z53" s="866">
        <f t="shared" si="11"/>
        <v>-3</v>
      </c>
      <c r="AA53" s="866">
        <f t="shared" si="11"/>
        <v>2522</v>
      </c>
      <c r="AB53" s="866">
        <f t="shared" si="11"/>
        <v>170</v>
      </c>
      <c r="AC53" s="866">
        <f t="shared" ref="AC53:AM53" si="12">SUM(AC49+AC50+AC52)</f>
        <v>2623</v>
      </c>
      <c r="AD53" s="866">
        <f t="shared" si="12"/>
        <v>1020</v>
      </c>
      <c r="AE53" s="866">
        <f t="shared" si="12"/>
        <v>0</v>
      </c>
      <c r="AF53" s="866">
        <f t="shared" si="12"/>
        <v>2520</v>
      </c>
      <c r="AG53" s="866">
        <f t="shared" si="12"/>
        <v>1086</v>
      </c>
      <c r="AH53" s="866">
        <f t="shared" si="12"/>
        <v>2011</v>
      </c>
      <c r="AI53" s="866">
        <f t="shared" si="12"/>
        <v>631</v>
      </c>
      <c r="AJ53" s="866">
        <f t="shared" si="12"/>
        <v>0</v>
      </c>
      <c r="AK53" s="866">
        <f t="shared" si="12"/>
        <v>-1</v>
      </c>
      <c r="AL53" s="866" t="e">
        <f t="shared" si="12"/>
        <v>#VALUE!</v>
      </c>
      <c r="AM53" s="872" t="e">
        <f t="shared" si="12"/>
        <v>#VALUE!</v>
      </c>
      <c r="AN53" s="872" t="e">
        <f t="shared" ref="AN53" si="13">SUM(AN49+AN50+AN52)</f>
        <v>#VALUE!</v>
      </c>
    </row>
    <row r="54" spans="1:42" ht="24.95" customHeight="1" thickBot="1">
      <c r="L54" s="417">
        <v>50</v>
      </c>
      <c r="M54" s="417"/>
      <c r="N54" s="417">
        <f t="shared" si="10"/>
        <v>0</v>
      </c>
      <c r="R54" s="19"/>
      <c r="S54" s="854" t="s">
        <v>168</v>
      </c>
      <c r="T54" s="852">
        <f>'CUSTOMERS REPORT'!B32+'CUSTOMERS REPORT'!B78+'CUSTOMERS REPORT'!B116+'CUSTOMERS REPORT'!B155+'CUSTOMERS REPORT'!B193+'CUSTOMERS REPORT'!B233+'CUSTOMERS REPORT'!B270+'CUSTOMERS REPORT'!B310+'CUSTOMERS REPORT'!B351+'CUSTOMERS REPORT'!B393+'CUSTOMERS REPORT'!B432+'CUSTOMERS REPORT'!B470+'CUSTOMERS REPORT'!B506+'CUSTOMERS REPORT'!B543+'CUSTOMERS REPORT'!B581+'CUSTOMERS REPORT'!B617+'CUSTOMERS REPORT'!B655+'CUSTOMERS REPORT'!B693+'CUSTOMERS REPORT'!B731+'CUSTOMERS REPORT'!B769+'CUSTOMERS REPORT'!B807+'CUSTOMERS REPORT'!B845+'CUSTOMERS REPORT'!B883+'CUSTOMERS REPORT'!B922+'CUSTOMERS REPORT'!B961+'CUSTOMERS REPORT'!B999+'CUSTOMERS REPORT'!B1037+'CUSTOMERS REPORT'!B1075+'CUSTOMERS REPORT'!B1113+'CUSTOMERS REPORT'!B1151+'CUSTOMERS REPORT'!B1188+'CUSTOMERS REPORT'!B1225+'CUSTOMERS REPORT'!B1262+'CUSTOMERS REPORT'!B1299+'CUSTOMERS REPORT'!B1336+'CUSTOMERS REPORT'!B1373+'CUSTOMERS REPORT'!B1410+'CUSTOMERS REPORT'!B1446</f>
        <v>0</v>
      </c>
      <c r="U54" s="852">
        <f>'CUSTOMERS REPORT'!C32+'CUSTOMERS REPORT'!C78+'CUSTOMERS REPORT'!C116+'CUSTOMERS REPORT'!C155+'CUSTOMERS REPORT'!C193+'CUSTOMERS REPORT'!C233+'CUSTOMERS REPORT'!C270+'CUSTOMERS REPORT'!C310+'CUSTOMERS REPORT'!C351+'CUSTOMERS REPORT'!C393+'CUSTOMERS REPORT'!C432+'CUSTOMERS REPORT'!C470+'CUSTOMERS REPORT'!C506+'CUSTOMERS REPORT'!C543+'CUSTOMERS REPORT'!C581+'CUSTOMERS REPORT'!C617+'CUSTOMERS REPORT'!C655+'CUSTOMERS REPORT'!C693+'CUSTOMERS REPORT'!C731+'CUSTOMERS REPORT'!C769+'CUSTOMERS REPORT'!C807+'CUSTOMERS REPORT'!C845+'CUSTOMERS REPORT'!C883+'CUSTOMERS REPORT'!C922+'CUSTOMERS REPORT'!C961+'CUSTOMERS REPORT'!C999+'CUSTOMERS REPORT'!C1037+'CUSTOMERS REPORT'!C1075+'CUSTOMERS REPORT'!C1113+'CUSTOMERS REPORT'!C1151+'CUSTOMERS REPORT'!C1188+'CUSTOMERS REPORT'!C1225+'CUSTOMERS REPORT'!C1262+'CUSTOMERS REPORT'!C1299+'CUSTOMERS REPORT'!C1336+'CUSTOMERS REPORT'!C1373+'CUSTOMERS REPORT'!C1410+'CUSTOMERS REPORT'!C1446</f>
        <v>0</v>
      </c>
      <c r="V54" s="852">
        <f>'CUSTOMERS REPORT'!D32+'CUSTOMERS REPORT'!D78+'CUSTOMERS REPORT'!D116+'CUSTOMERS REPORT'!D155+'CUSTOMERS REPORT'!D193+'CUSTOMERS REPORT'!D233+'CUSTOMERS REPORT'!D270+'CUSTOMERS REPORT'!D310+'CUSTOMERS REPORT'!D351+'CUSTOMERS REPORT'!D393+'CUSTOMERS REPORT'!D432+'CUSTOMERS REPORT'!D470+'CUSTOMERS REPORT'!D506+'CUSTOMERS REPORT'!D543+'CUSTOMERS REPORT'!D581+'CUSTOMERS REPORT'!D617+'CUSTOMERS REPORT'!D655+'CUSTOMERS REPORT'!D693+'CUSTOMERS REPORT'!D731+'CUSTOMERS REPORT'!D769+'CUSTOMERS REPORT'!D807+'CUSTOMERS REPORT'!D845+'CUSTOMERS REPORT'!D883+'CUSTOMERS REPORT'!D922+'CUSTOMERS REPORT'!D961+'CUSTOMERS REPORT'!D999+'CUSTOMERS REPORT'!D1037+'CUSTOMERS REPORT'!D1075+'CUSTOMERS REPORT'!D1113+'CUSTOMERS REPORT'!D1151+'CUSTOMERS REPORT'!D1188+'CUSTOMERS REPORT'!D1225+'CUSTOMERS REPORT'!D1262+'CUSTOMERS REPORT'!D1299+'CUSTOMERS REPORT'!D1336+'CUSTOMERS REPORT'!D1373+'CUSTOMERS REPORT'!D1410+'CUSTOMERS REPORT'!D1446</f>
        <v>0</v>
      </c>
      <c r="W54" s="852">
        <f>'CUSTOMERS REPORT'!E32+'CUSTOMERS REPORT'!E78+'CUSTOMERS REPORT'!E116+'CUSTOMERS REPORT'!E155+'CUSTOMERS REPORT'!E193+'CUSTOMERS REPORT'!E233+'CUSTOMERS REPORT'!E270+'CUSTOMERS REPORT'!E310+'CUSTOMERS REPORT'!E351+'CUSTOMERS REPORT'!E393+'CUSTOMERS REPORT'!E432+'CUSTOMERS REPORT'!E470+'CUSTOMERS REPORT'!E506+'CUSTOMERS REPORT'!E543+'CUSTOMERS REPORT'!E581+'CUSTOMERS REPORT'!E617+'CUSTOMERS REPORT'!E655+'CUSTOMERS REPORT'!E693+'CUSTOMERS REPORT'!E731+'CUSTOMERS REPORT'!E769+'CUSTOMERS REPORT'!E807+'CUSTOMERS REPORT'!E845+'CUSTOMERS REPORT'!E883+'CUSTOMERS REPORT'!E922+'CUSTOMERS REPORT'!E961+'CUSTOMERS REPORT'!E999+'CUSTOMERS REPORT'!E1037+'CUSTOMERS REPORT'!E1075+'CUSTOMERS REPORT'!E1113+'CUSTOMERS REPORT'!E1151+'CUSTOMERS REPORT'!E1188+'CUSTOMERS REPORT'!E1225+'CUSTOMERS REPORT'!E1262+'CUSTOMERS REPORT'!E1299+'CUSTOMERS REPORT'!E1336+'CUSTOMERS REPORT'!E1373+'CUSTOMERS REPORT'!E1410+'CUSTOMERS REPORT'!E1446</f>
        <v>0</v>
      </c>
      <c r="X54" s="852">
        <f>'CUSTOMERS REPORT'!F32+'CUSTOMERS REPORT'!F78+'CUSTOMERS REPORT'!F116+'CUSTOMERS REPORT'!F155+'CUSTOMERS REPORT'!F193+'CUSTOMERS REPORT'!F233+'CUSTOMERS REPORT'!F270+'CUSTOMERS REPORT'!F310+'CUSTOMERS REPORT'!F351+'CUSTOMERS REPORT'!F393+'CUSTOMERS REPORT'!F432+'CUSTOMERS REPORT'!F470+'CUSTOMERS REPORT'!F506+'CUSTOMERS REPORT'!F543+'CUSTOMERS REPORT'!F581+'CUSTOMERS REPORT'!F617+'CUSTOMERS REPORT'!F655+'CUSTOMERS REPORT'!F693+'CUSTOMERS REPORT'!F731+'CUSTOMERS REPORT'!F769+'CUSTOMERS REPORT'!F807+'CUSTOMERS REPORT'!F845+'CUSTOMERS REPORT'!F883+'CUSTOMERS REPORT'!F922+'CUSTOMERS REPORT'!F961+'CUSTOMERS REPORT'!F999+'CUSTOMERS REPORT'!F1037+'CUSTOMERS REPORT'!F1075+'CUSTOMERS REPORT'!F1113+'CUSTOMERS REPORT'!F1151+'CUSTOMERS REPORT'!F1188+'CUSTOMERS REPORT'!F1225+'CUSTOMERS REPORT'!F1262+'CUSTOMERS REPORT'!F1299+'CUSTOMERS REPORT'!F1336+'CUSTOMERS REPORT'!F1373+'CUSTOMERS REPORT'!F1410+'CUSTOMERS REPORT'!F1446</f>
        <v>0</v>
      </c>
      <c r="Y54" s="852">
        <f>'CUSTOMERS REPORT'!G32+'CUSTOMERS REPORT'!G78+'CUSTOMERS REPORT'!G116+'CUSTOMERS REPORT'!G155+'CUSTOMERS REPORT'!G193+'CUSTOMERS REPORT'!G233+'CUSTOMERS REPORT'!G270+'CUSTOMERS REPORT'!G310+'CUSTOMERS REPORT'!G351+'CUSTOMERS REPORT'!G393+'CUSTOMERS REPORT'!G432+'CUSTOMERS REPORT'!G470+'CUSTOMERS REPORT'!G506+'CUSTOMERS REPORT'!G543+'CUSTOMERS REPORT'!G581+'CUSTOMERS REPORT'!G617+'CUSTOMERS REPORT'!G655+'CUSTOMERS REPORT'!G693+'CUSTOMERS REPORT'!G731+'CUSTOMERS REPORT'!G769+'CUSTOMERS REPORT'!G807+'CUSTOMERS REPORT'!G845+'CUSTOMERS REPORT'!G883+'CUSTOMERS REPORT'!G922+'CUSTOMERS REPORT'!G961+'CUSTOMERS REPORT'!G999+'CUSTOMERS REPORT'!G1037+'CUSTOMERS REPORT'!G1075+'CUSTOMERS REPORT'!G1113+'CUSTOMERS REPORT'!G1151+'CUSTOMERS REPORT'!G1188+'CUSTOMERS REPORT'!G1225+'CUSTOMERS REPORT'!G1262+'CUSTOMERS REPORT'!G1299+'CUSTOMERS REPORT'!G1336+'CUSTOMERS REPORT'!G1373+'CUSTOMERS REPORT'!G1410+'CUSTOMERS REPORT'!G1446</f>
        <v>0</v>
      </c>
      <c r="Z54" s="852">
        <f>'CUSTOMERS REPORT'!H32+'CUSTOMERS REPORT'!H78+'CUSTOMERS REPORT'!H116+'CUSTOMERS REPORT'!H155+'CUSTOMERS REPORT'!H193+'CUSTOMERS REPORT'!H233+'CUSTOMERS REPORT'!H270+'CUSTOMERS REPORT'!H310+'CUSTOMERS REPORT'!H351+'CUSTOMERS REPORT'!H393+'CUSTOMERS REPORT'!H432+'CUSTOMERS REPORT'!H470+'CUSTOMERS REPORT'!H506+'CUSTOMERS REPORT'!H543+'CUSTOMERS REPORT'!H581+'CUSTOMERS REPORT'!H617+'CUSTOMERS REPORT'!H655+'CUSTOMERS REPORT'!H693+'CUSTOMERS REPORT'!H731+'CUSTOMERS REPORT'!H769+'CUSTOMERS REPORT'!H807+'CUSTOMERS REPORT'!H845+'CUSTOMERS REPORT'!H883+'CUSTOMERS REPORT'!H922+'CUSTOMERS REPORT'!H961+'CUSTOMERS REPORT'!H999+'CUSTOMERS REPORT'!H1037+'CUSTOMERS REPORT'!H1075+'CUSTOMERS REPORT'!H1113+'CUSTOMERS REPORT'!H1151+'CUSTOMERS REPORT'!H1188+'CUSTOMERS REPORT'!H1225+'CUSTOMERS REPORT'!H1262+'CUSTOMERS REPORT'!H1299+'CUSTOMERS REPORT'!H1336+'CUSTOMERS REPORT'!H1373+'CUSTOMERS REPORT'!H1410+'CUSTOMERS REPORT'!H1446</f>
        <v>0</v>
      </c>
      <c r="AA54" s="852">
        <f>'CUSTOMERS REPORT'!I32+'CUSTOMERS REPORT'!I78+'CUSTOMERS REPORT'!I116+'CUSTOMERS REPORT'!I155+'CUSTOMERS REPORT'!I193+'CUSTOMERS REPORT'!I233+'CUSTOMERS REPORT'!I270+'CUSTOMERS REPORT'!I310+'CUSTOMERS REPORT'!I351+'CUSTOMERS REPORT'!I393+'CUSTOMERS REPORT'!I432+'CUSTOMERS REPORT'!I470+'CUSTOMERS REPORT'!I506+'CUSTOMERS REPORT'!I543+'CUSTOMERS REPORT'!I581+'CUSTOMERS REPORT'!I617+'CUSTOMERS REPORT'!I655+'CUSTOMERS REPORT'!I693+'CUSTOMERS REPORT'!I731+'CUSTOMERS REPORT'!I769+'CUSTOMERS REPORT'!I807+'CUSTOMERS REPORT'!I845+'CUSTOMERS REPORT'!I883+'CUSTOMERS REPORT'!I922+'CUSTOMERS REPORT'!I961+'CUSTOMERS REPORT'!I999+'CUSTOMERS REPORT'!I1037+'CUSTOMERS REPORT'!I1075+'CUSTOMERS REPORT'!I1113+'CUSTOMERS REPORT'!I1151+'CUSTOMERS REPORT'!I1188+'CUSTOMERS REPORT'!I1225+'CUSTOMERS REPORT'!I1262+'CUSTOMERS REPORT'!I1299+'CUSTOMERS REPORT'!I1336+'CUSTOMERS REPORT'!I1373+'CUSTOMERS REPORT'!I1410+'CUSTOMERS REPORT'!I1446</f>
        <v>0</v>
      </c>
      <c r="AB54" s="852">
        <f>'CUSTOMERS REPORT'!J32+'CUSTOMERS REPORT'!J78+'CUSTOMERS REPORT'!J116+'CUSTOMERS REPORT'!J155+'CUSTOMERS REPORT'!J193+'CUSTOMERS REPORT'!J233+'CUSTOMERS REPORT'!J270+'CUSTOMERS REPORT'!J310+'CUSTOMERS REPORT'!J351+'CUSTOMERS REPORT'!J393+'CUSTOMERS REPORT'!J432+'CUSTOMERS REPORT'!J470+'CUSTOMERS REPORT'!J506+'CUSTOMERS REPORT'!J543+'CUSTOMERS REPORT'!J581+'CUSTOMERS REPORT'!J617+'CUSTOMERS REPORT'!J655+'CUSTOMERS REPORT'!J693+'CUSTOMERS REPORT'!J731+'CUSTOMERS REPORT'!J769+'CUSTOMERS REPORT'!J807+'CUSTOMERS REPORT'!J845+'CUSTOMERS REPORT'!J883+'CUSTOMERS REPORT'!J922+'CUSTOMERS REPORT'!J961+'CUSTOMERS REPORT'!J999+'CUSTOMERS REPORT'!J1037+'CUSTOMERS REPORT'!J1075+'CUSTOMERS REPORT'!J1113+'CUSTOMERS REPORT'!J1151+'CUSTOMERS REPORT'!J1188+'CUSTOMERS REPORT'!J1225+'CUSTOMERS REPORT'!J1262+'CUSTOMERS REPORT'!J1299+'CUSTOMERS REPORT'!J1336+'CUSTOMERS REPORT'!J1373+'CUSTOMERS REPORT'!J1410+'CUSTOMERS REPORT'!J1446</f>
        <v>0</v>
      </c>
      <c r="AC54" s="852">
        <f>'CUSTOMERS REPORT'!K32+'CUSTOMERS REPORT'!K78+'CUSTOMERS REPORT'!K116+'CUSTOMERS REPORT'!K155+'CUSTOMERS REPORT'!K193+'CUSTOMERS REPORT'!K233+'CUSTOMERS REPORT'!K270+'CUSTOMERS REPORT'!K310+'CUSTOMERS REPORT'!K351+'CUSTOMERS REPORT'!K393+'CUSTOMERS REPORT'!K432+'CUSTOMERS REPORT'!K470+'CUSTOMERS REPORT'!K506+'CUSTOMERS REPORT'!K543+'CUSTOMERS REPORT'!K581+'CUSTOMERS REPORT'!K617+'CUSTOMERS REPORT'!K655+'CUSTOMERS REPORT'!K693+'CUSTOMERS REPORT'!K731+'CUSTOMERS REPORT'!K769+'CUSTOMERS REPORT'!K807+'CUSTOMERS REPORT'!K845+'CUSTOMERS REPORT'!K883+'CUSTOMERS REPORT'!K922+'CUSTOMERS REPORT'!K961+'CUSTOMERS REPORT'!K999+'CUSTOMERS REPORT'!K1037+'CUSTOMERS REPORT'!K1075+'CUSTOMERS REPORT'!K1113+'CUSTOMERS REPORT'!K1151+'CUSTOMERS REPORT'!K1188+'CUSTOMERS REPORT'!K1225+'CUSTOMERS REPORT'!K1262+'CUSTOMERS REPORT'!K1299+'CUSTOMERS REPORT'!K1336+'CUSTOMERS REPORT'!K1373+'CUSTOMERS REPORT'!K1410+'CUSTOMERS REPORT'!K1446</f>
        <v>0</v>
      </c>
      <c r="AD54" s="852">
        <f>'CUSTOMERS REPORT'!L32+'CUSTOMERS REPORT'!L78+'CUSTOMERS REPORT'!L116+'CUSTOMERS REPORT'!L155+'CUSTOMERS REPORT'!L193+'CUSTOMERS REPORT'!L233+'CUSTOMERS REPORT'!L270+'CUSTOMERS REPORT'!L310+'CUSTOMERS REPORT'!L351+'CUSTOMERS REPORT'!L393+'CUSTOMERS REPORT'!L432+'CUSTOMERS REPORT'!L470+'CUSTOMERS REPORT'!L506+'CUSTOMERS REPORT'!L543+'CUSTOMERS REPORT'!L581+'CUSTOMERS REPORT'!L617+'CUSTOMERS REPORT'!L655+'CUSTOMERS REPORT'!L693+'CUSTOMERS REPORT'!L731+'CUSTOMERS REPORT'!L769+'CUSTOMERS REPORT'!L807+'CUSTOMERS REPORT'!L845+'CUSTOMERS REPORT'!L883+'CUSTOMERS REPORT'!L922+'CUSTOMERS REPORT'!L961+'CUSTOMERS REPORT'!L999+'CUSTOMERS REPORT'!L1037+'CUSTOMERS REPORT'!L1075+'CUSTOMERS REPORT'!L1113+'CUSTOMERS REPORT'!L1151+'CUSTOMERS REPORT'!L1188+'CUSTOMERS REPORT'!L1225+'CUSTOMERS REPORT'!L1262+'CUSTOMERS REPORT'!L1299+'CUSTOMERS REPORT'!L1336+'CUSTOMERS REPORT'!L1373+'CUSTOMERS REPORT'!L1410+'CUSTOMERS REPORT'!L1446</f>
        <v>0</v>
      </c>
      <c r="AE54" s="852">
        <f>'CUSTOMERS REPORT'!M32+'CUSTOMERS REPORT'!M78+'CUSTOMERS REPORT'!M116+'CUSTOMERS REPORT'!M155+'CUSTOMERS REPORT'!M193+'CUSTOMERS REPORT'!M233+'CUSTOMERS REPORT'!M270+'CUSTOMERS REPORT'!M310+'CUSTOMERS REPORT'!M351+'CUSTOMERS REPORT'!M393+'CUSTOMERS REPORT'!M432+'CUSTOMERS REPORT'!M470+'CUSTOMERS REPORT'!M506+'CUSTOMERS REPORT'!M543+'CUSTOMERS REPORT'!M581+'CUSTOMERS REPORT'!M617+'CUSTOMERS REPORT'!M655+'CUSTOMERS REPORT'!M693+'CUSTOMERS REPORT'!M731+'CUSTOMERS REPORT'!M769+'CUSTOMERS REPORT'!M807+'CUSTOMERS REPORT'!M845+'CUSTOMERS REPORT'!M883+'CUSTOMERS REPORT'!M922+'CUSTOMERS REPORT'!M961+'CUSTOMERS REPORT'!M999+'CUSTOMERS REPORT'!M1037+'CUSTOMERS REPORT'!M1075+'CUSTOMERS REPORT'!M1113+'CUSTOMERS REPORT'!M1151+'CUSTOMERS REPORT'!M1188+'CUSTOMERS REPORT'!M1225+'CUSTOMERS REPORT'!M1262+'CUSTOMERS REPORT'!M1299+'CUSTOMERS REPORT'!M1336+'CUSTOMERS REPORT'!M1373+'CUSTOMERS REPORT'!M1410+'CUSTOMERS REPORT'!M1446</f>
        <v>0</v>
      </c>
      <c r="AF54" s="852">
        <f>'CUSTOMERS REPORT'!N32+'CUSTOMERS REPORT'!N78+'CUSTOMERS REPORT'!N116+'CUSTOMERS REPORT'!N155+'CUSTOMERS REPORT'!N193+'CUSTOMERS REPORT'!N233+'CUSTOMERS REPORT'!N270+'CUSTOMERS REPORT'!N310+'CUSTOMERS REPORT'!N351+'CUSTOMERS REPORT'!N393+'CUSTOMERS REPORT'!N432+'CUSTOMERS REPORT'!N470+'CUSTOMERS REPORT'!N506+'CUSTOMERS REPORT'!N543+'CUSTOMERS REPORT'!N581+'CUSTOMERS REPORT'!N617+'CUSTOMERS REPORT'!N655+'CUSTOMERS REPORT'!N693+'CUSTOMERS REPORT'!N731+'CUSTOMERS REPORT'!N769+'CUSTOMERS REPORT'!N807+'CUSTOMERS REPORT'!N845+'CUSTOMERS REPORT'!N883+'CUSTOMERS REPORT'!N922+'CUSTOMERS REPORT'!N961+'CUSTOMERS REPORT'!N999+'CUSTOMERS REPORT'!N1037+'CUSTOMERS REPORT'!N1075+'CUSTOMERS REPORT'!N1113+'CUSTOMERS REPORT'!N1151+'CUSTOMERS REPORT'!N1188+'CUSTOMERS REPORT'!N1225+'CUSTOMERS REPORT'!N1262+'CUSTOMERS REPORT'!N1299+'CUSTOMERS REPORT'!N1336+'CUSTOMERS REPORT'!N1373+'CUSTOMERS REPORT'!N1410+'CUSTOMERS REPORT'!N1446</f>
        <v>0</v>
      </c>
      <c r="AG54" s="852">
        <f>'CUSTOMERS REPORT'!O32+'CUSTOMERS REPORT'!O78+'CUSTOMERS REPORT'!O116+'CUSTOMERS REPORT'!O155+'CUSTOMERS REPORT'!O193+'CUSTOMERS REPORT'!O233+'CUSTOMERS REPORT'!O270+'CUSTOMERS REPORT'!O310+'CUSTOMERS REPORT'!O351+'CUSTOMERS REPORT'!O393+'CUSTOMERS REPORT'!O432+'CUSTOMERS REPORT'!O470+'CUSTOMERS REPORT'!O506+'CUSTOMERS REPORT'!O543+'CUSTOMERS REPORT'!O581+'CUSTOMERS REPORT'!O617+'CUSTOMERS REPORT'!O655+'CUSTOMERS REPORT'!O693+'CUSTOMERS REPORT'!O731+'CUSTOMERS REPORT'!O769+'CUSTOMERS REPORT'!O807+'CUSTOMERS REPORT'!O845+'CUSTOMERS REPORT'!O883+'CUSTOMERS REPORT'!O922+'CUSTOMERS REPORT'!O961+'CUSTOMERS REPORT'!O999+'CUSTOMERS REPORT'!O1037+'CUSTOMERS REPORT'!O1075+'CUSTOMERS REPORT'!O1113+'CUSTOMERS REPORT'!O1151+'CUSTOMERS REPORT'!O1188+'CUSTOMERS REPORT'!O1225+'CUSTOMERS REPORT'!O1262+'CUSTOMERS REPORT'!O1299+'CUSTOMERS REPORT'!O1336+'CUSTOMERS REPORT'!O1373+'CUSTOMERS REPORT'!O1410+'CUSTOMERS REPORT'!O1446</f>
        <v>0</v>
      </c>
      <c r="AH54" s="852">
        <f>'CUSTOMERS REPORT'!P32+'CUSTOMERS REPORT'!P78+'CUSTOMERS REPORT'!P116+'CUSTOMERS REPORT'!P155+'CUSTOMERS REPORT'!P193+'CUSTOMERS REPORT'!P233+'CUSTOMERS REPORT'!P270+'CUSTOMERS REPORT'!P310+'CUSTOMERS REPORT'!P351+'CUSTOMERS REPORT'!P393+'CUSTOMERS REPORT'!P432+'CUSTOMERS REPORT'!P470+'CUSTOMERS REPORT'!P506+'CUSTOMERS REPORT'!P543+'CUSTOMERS REPORT'!P581+'CUSTOMERS REPORT'!P617+'CUSTOMERS REPORT'!P655+'CUSTOMERS REPORT'!P693+'CUSTOMERS REPORT'!P731+'CUSTOMERS REPORT'!P769+'CUSTOMERS REPORT'!P807+'CUSTOMERS REPORT'!P845+'CUSTOMERS REPORT'!P883+'CUSTOMERS REPORT'!P922+'CUSTOMERS REPORT'!P961+'CUSTOMERS REPORT'!P999+'CUSTOMERS REPORT'!P1037+'CUSTOMERS REPORT'!P1075+'CUSTOMERS REPORT'!P1113+'CUSTOMERS REPORT'!P1151+'CUSTOMERS REPORT'!P1188+'CUSTOMERS REPORT'!P1225+'CUSTOMERS REPORT'!P1262+'CUSTOMERS REPORT'!P1299+'CUSTOMERS REPORT'!P1336+'CUSTOMERS REPORT'!P1373+'CUSTOMERS REPORT'!P1410+'CUSTOMERS REPORT'!P1446</f>
        <v>0</v>
      </c>
      <c r="AI54" s="852">
        <f>'CUSTOMERS REPORT'!Q32+'CUSTOMERS REPORT'!Q78+'CUSTOMERS REPORT'!Q116+'CUSTOMERS REPORT'!Q155+'CUSTOMERS REPORT'!Q193+'CUSTOMERS REPORT'!Q233+'CUSTOMERS REPORT'!Q270+'CUSTOMERS REPORT'!Q310+'CUSTOMERS REPORT'!Q351+'CUSTOMERS REPORT'!Q393+'CUSTOMERS REPORT'!Q432+'CUSTOMERS REPORT'!Q470+'CUSTOMERS REPORT'!Q506+'CUSTOMERS REPORT'!Q543+'CUSTOMERS REPORT'!Q581+'CUSTOMERS REPORT'!Q617+'CUSTOMERS REPORT'!Q655+'CUSTOMERS REPORT'!Q693+'CUSTOMERS REPORT'!Q731+'CUSTOMERS REPORT'!Q769+'CUSTOMERS REPORT'!Q807+'CUSTOMERS REPORT'!Q845+'CUSTOMERS REPORT'!Q883+'CUSTOMERS REPORT'!Q922+'CUSTOMERS REPORT'!Q961+'CUSTOMERS REPORT'!Q999+'CUSTOMERS REPORT'!Q1037+'CUSTOMERS REPORT'!Q1075+'CUSTOMERS REPORT'!Q1113+'CUSTOMERS REPORT'!Q1151+'CUSTOMERS REPORT'!Q1188+'CUSTOMERS REPORT'!Q1225+'CUSTOMERS REPORT'!Q1262+'CUSTOMERS REPORT'!Q1299+'CUSTOMERS REPORT'!Q1336+'CUSTOMERS REPORT'!Q1373+'CUSTOMERS REPORT'!Q1410+'CUSTOMERS REPORT'!Q1446</f>
        <v>0</v>
      </c>
      <c r="AJ54" s="852">
        <f>'CUSTOMERS REPORT'!R32+'CUSTOMERS REPORT'!R78+'CUSTOMERS REPORT'!R116+'CUSTOMERS REPORT'!R155+'CUSTOMERS REPORT'!R193+'CUSTOMERS REPORT'!R233+'CUSTOMERS REPORT'!R270+'CUSTOMERS REPORT'!R310+'CUSTOMERS REPORT'!R351+'CUSTOMERS REPORT'!R393+'CUSTOMERS REPORT'!R432+'CUSTOMERS REPORT'!R470+'CUSTOMERS REPORT'!R506+'CUSTOMERS REPORT'!R543+'CUSTOMERS REPORT'!R581+'CUSTOMERS REPORT'!R617+'CUSTOMERS REPORT'!R655+'CUSTOMERS REPORT'!R693+'CUSTOMERS REPORT'!R731+'CUSTOMERS REPORT'!R769+'CUSTOMERS REPORT'!R807+'CUSTOMERS REPORT'!R845+'CUSTOMERS REPORT'!R883+'CUSTOMERS REPORT'!R922+'CUSTOMERS REPORT'!R961+'CUSTOMERS REPORT'!R999+'CUSTOMERS REPORT'!R1037+'CUSTOMERS REPORT'!R1075+'CUSTOMERS REPORT'!R1113+'CUSTOMERS REPORT'!R1151+'CUSTOMERS REPORT'!R1188+'CUSTOMERS REPORT'!R1225+'CUSTOMERS REPORT'!R1262+'CUSTOMERS REPORT'!R1299+'CUSTOMERS REPORT'!R1336+'CUSTOMERS REPORT'!R1373+'CUSTOMERS REPORT'!R1410+'CUSTOMERS REPORT'!R1446</f>
        <v>0</v>
      </c>
      <c r="AK54" s="852">
        <f>'CUSTOMERS REPORT'!S32+'CUSTOMERS REPORT'!S78+'CUSTOMERS REPORT'!S116+'CUSTOMERS REPORT'!S155+'CUSTOMERS REPORT'!S193+'CUSTOMERS REPORT'!S233+'CUSTOMERS REPORT'!S270+'CUSTOMERS REPORT'!S310+'CUSTOMERS REPORT'!S351+'CUSTOMERS REPORT'!S393+'CUSTOMERS REPORT'!S432+'CUSTOMERS REPORT'!S470+'CUSTOMERS REPORT'!S506+'CUSTOMERS REPORT'!S543+'CUSTOMERS REPORT'!S581+'CUSTOMERS REPORT'!S617+'CUSTOMERS REPORT'!S655+'CUSTOMERS REPORT'!S693+'CUSTOMERS REPORT'!S731+'CUSTOMERS REPORT'!S769+'CUSTOMERS REPORT'!S807+'CUSTOMERS REPORT'!S845+'CUSTOMERS REPORT'!S883+'CUSTOMERS REPORT'!S922+'CUSTOMERS REPORT'!S961+'CUSTOMERS REPORT'!S999+'CUSTOMERS REPORT'!S1037+'CUSTOMERS REPORT'!S1075+'CUSTOMERS REPORT'!S1113+'CUSTOMERS REPORT'!S1151+'CUSTOMERS REPORT'!S1188+'CUSTOMERS REPORT'!S1225+'CUSTOMERS REPORT'!S1262+'CUSTOMERS REPORT'!S1299+'CUSTOMERS REPORT'!S1336+'CUSTOMERS REPORT'!S1373+'CUSTOMERS REPORT'!S1410+'CUSTOMERS REPORT'!S1446</f>
        <v>0</v>
      </c>
      <c r="AL54" s="852">
        <f>'CUSTOMERS REPORT'!T32+'CUSTOMERS REPORT'!T78+'CUSTOMERS REPORT'!T116+'CUSTOMERS REPORT'!T155+'CUSTOMERS REPORT'!T193+'CUSTOMERS REPORT'!T233+'CUSTOMERS REPORT'!T270+'CUSTOMERS REPORT'!T310+'CUSTOMERS REPORT'!T351+'CUSTOMERS REPORT'!T393+'CUSTOMERS REPORT'!T432+'CUSTOMERS REPORT'!T470+'CUSTOMERS REPORT'!T506+'CUSTOMERS REPORT'!T543+'CUSTOMERS REPORT'!T581+'CUSTOMERS REPORT'!T617+'CUSTOMERS REPORT'!T655+'CUSTOMERS REPORT'!T693+'CUSTOMERS REPORT'!T731+'CUSTOMERS REPORT'!T769+'CUSTOMERS REPORT'!T807+'CUSTOMERS REPORT'!T845+'CUSTOMERS REPORT'!T883+'CUSTOMERS REPORT'!T922+'CUSTOMERS REPORT'!T961+'CUSTOMERS REPORT'!T999+'CUSTOMERS REPORT'!T1037+'CUSTOMERS REPORT'!T1075+'CUSTOMERS REPORT'!T1113+'CUSTOMERS REPORT'!T1151</f>
        <v>0</v>
      </c>
      <c r="AM54" s="852">
        <f>'CUSTOMERS REPORT'!U32+'CUSTOMERS REPORT'!U78+'CUSTOMERS REPORT'!U116+'CUSTOMERS REPORT'!U155+'CUSTOMERS REPORT'!U193+'CUSTOMERS REPORT'!U233+'CUSTOMERS REPORT'!U270+'CUSTOMERS REPORT'!U310+'CUSTOMERS REPORT'!U351+'CUSTOMERS REPORT'!U393+'CUSTOMERS REPORT'!U432+'CUSTOMERS REPORT'!U470+'CUSTOMERS REPORT'!U506+'CUSTOMERS REPORT'!U543+'CUSTOMERS REPORT'!U581+'CUSTOMERS REPORT'!U617+'CUSTOMERS REPORT'!U655+'CUSTOMERS REPORT'!U693+'CUSTOMERS REPORT'!U731+'CUSTOMERS REPORT'!U769+'CUSTOMERS REPORT'!U807+'CUSTOMERS REPORT'!U845+'CUSTOMERS REPORT'!U883+'CUSTOMERS REPORT'!U922+'CUSTOMERS REPORT'!U961+'CUSTOMERS REPORT'!U999+'CUSTOMERS REPORT'!U1037+'CUSTOMERS REPORT'!U1075+'CUSTOMERS REPORT'!U1113+'CUSTOMERS REPORT'!U1151</f>
        <v>0</v>
      </c>
      <c r="AN54" s="852">
        <f>'CUSTOMERS REPORT'!V32+'CUSTOMERS REPORT'!V78+'CUSTOMERS REPORT'!V116+'CUSTOMERS REPORT'!V155+'CUSTOMERS REPORT'!V193+'CUSTOMERS REPORT'!V233+'CUSTOMERS REPORT'!V270+'CUSTOMERS REPORT'!V310+'CUSTOMERS REPORT'!V351+'CUSTOMERS REPORT'!V393+'CUSTOMERS REPORT'!V432+'CUSTOMERS REPORT'!V470+'CUSTOMERS REPORT'!V506+'CUSTOMERS REPORT'!V543+'CUSTOMERS REPORT'!V581+'CUSTOMERS REPORT'!V617+'CUSTOMERS REPORT'!V655+'CUSTOMERS REPORT'!V693+'CUSTOMERS REPORT'!V731+'CUSTOMERS REPORT'!V769+'CUSTOMERS REPORT'!V807+'CUSTOMERS REPORT'!V845+'CUSTOMERS REPORT'!V883+'CUSTOMERS REPORT'!V922+'CUSTOMERS REPORT'!V961+'CUSTOMERS REPORT'!V999+'CUSTOMERS REPORT'!V1037+'CUSTOMERS REPORT'!V1075+'CUSTOMERS REPORT'!V1113+'CUSTOMERS REPORT'!V1151</f>
        <v>0</v>
      </c>
    </row>
    <row r="55" spans="1:42" ht="24.95" customHeight="1" thickBot="1">
      <c r="L55" s="417">
        <v>20</v>
      </c>
      <c r="M55" s="417"/>
      <c r="N55" s="417">
        <f t="shared" si="10"/>
        <v>0</v>
      </c>
      <c r="R55" s="123">
        <f>'24'!R57</f>
        <v>104</v>
      </c>
      <c r="S55" s="865" t="s">
        <v>169</v>
      </c>
      <c r="T55" s="866">
        <f t="shared" ref="T55:AB55" si="14">T53-T54-T51</f>
        <v>0</v>
      </c>
      <c r="U55" s="866">
        <f t="shared" si="14"/>
        <v>0</v>
      </c>
      <c r="V55" s="866">
        <f t="shared" si="14"/>
        <v>123</v>
      </c>
      <c r="W55" s="866">
        <f t="shared" si="14"/>
        <v>19</v>
      </c>
      <c r="X55" s="866">
        <f t="shared" si="14"/>
        <v>0</v>
      </c>
      <c r="Y55" s="866">
        <f t="shared" si="14"/>
        <v>0</v>
      </c>
      <c r="Z55" s="866">
        <f t="shared" si="14"/>
        <v>-3</v>
      </c>
      <c r="AA55" s="866">
        <f t="shared" si="14"/>
        <v>2522</v>
      </c>
      <c r="AB55" s="866">
        <f t="shared" si="14"/>
        <v>170</v>
      </c>
      <c r="AC55" s="866">
        <f t="shared" ref="AC55:AM55" si="15">AC53-AC54-AC51</f>
        <v>2623</v>
      </c>
      <c r="AD55" s="866">
        <f t="shared" si="15"/>
        <v>1020</v>
      </c>
      <c r="AE55" s="866">
        <f t="shared" si="15"/>
        <v>0</v>
      </c>
      <c r="AF55" s="866">
        <f t="shared" si="15"/>
        <v>2520</v>
      </c>
      <c r="AG55" s="866">
        <f t="shared" si="15"/>
        <v>1086</v>
      </c>
      <c r="AH55" s="866">
        <f t="shared" si="15"/>
        <v>2011</v>
      </c>
      <c r="AI55" s="866">
        <f t="shared" si="15"/>
        <v>631</v>
      </c>
      <c r="AJ55" s="866">
        <f t="shared" si="15"/>
        <v>0</v>
      </c>
      <c r="AK55" s="866">
        <f t="shared" si="15"/>
        <v>-1</v>
      </c>
      <c r="AL55" s="866" t="e">
        <f t="shared" si="15"/>
        <v>#VALUE!</v>
      </c>
      <c r="AM55" s="872" t="e">
        <f t="shared" si="15"/>
        <v>#VALUE!</v>
      </c>
      <c r="AN55" s="872" t="e">
        <f t="shared" ref="AN55" si="16">AN53-AN54-AN51</f>
        <v>#VALUE!</v>
      </c>
    </row>
    <row r="56" spans="1:42" ht="29.25" thickBot="1">
      <c r="A56" s="114"/>
      <c r="B56" s="120"/>
      <c r="C56" s="115"/>
      <c r="L56" s="417">
        <v>10</v>
      </c>
      <c r="M56" s="417"/>
      <c r="N56" s="417">
        <f t="shared" si="10"/>
        <v>0</v>
      </c>
      <c r="P56" t="s">
        <v>1</v>
      </c>
      <c r="R56" s="123">
        <f>T56+U56+V56+W56+X56+Y56+Z56+AA56+AB56+AC56+AD56+AE56+AF56+AG56+AH56+AI56+AJ56+AK56+AL56+AM56+AN56</f>
        <v>0</v>
      </c>
      <c r="S56" s="874" t="s">
        <v>170</v>
      </c>
      <c r="T56" s="875"/>
      <c r="U56" s="875"/>
      <c r="V56" s="875"/>
      <c r="W56" s="875"/>
      <c r="X56" s="875"/>
      <c r="Y56" s="875"/>
      <c r="Z56" s="876"/>
      <c r="AA56" s="875"/>
      <c r="AB56" s="875"/>
      <c r="AC56" s="875"/>
      <c r="AD56" s="875"/>
      <c r="AE56" s="875"/>
      <c r="AF56" s="875"/>
      <c r="AG56" s="875"/>
      <c r="AH56" s="875"/>
      <c r="AI56" s="877"/>
      <c r="AJ56" s="877"/>
      <c r="AK56" s="886"/>
      <c r="AL56" s="52"/>
      <c r="AM56" s="853"/>
      <c r="AN56" s="1006"/>
    </row>
    <row r="57" spans="1:42" ht="27" customHeight="1" thickBot="1">
      <c r="A57" s="114"/>
      <c r="B57" s="131"/>
      <c r="C57" s="115"/>
      <c r="D57" s="115"/>
      <c r="E57" s="19"/>
      <c r="F57" s="19"/>
      <c r="G57" s="19"/>
      <c r="H57" s="19"/>
      <c r="I57" s="19"/>
      <c r="J57" s="19"/>
      <c r="K57" s="19"/>
      <c r="L57" s="418">
        <v>1</v>
      </c>
      <c r="M57" s="418"/>
      <c r="N57" s="417">
        <f t="shared" si="10"/>
        <v>0</v>
      </c>
      <c r="O57" s="19"/>
      <c r="R57" s="123">
        <f>SUM(R55:R56)</f>
        <v>104</v>
      </c>
      <c r="S57" s="882" t="s">
        <v>23</v>
      </c>
      <c r="T57" s="883" t="e">
        <f t="shared" ref="T57:AB57" si="17">T50/T56</f>
        <v>#DIV/0!</v>
      </c>
      <c r="U57" s="883" t="e">
        <f t="shared" si="17"/>
        <v>#DIV/0!</v>
      </c>
      <c r="V57" s="883" t="e">
        <f t="shared" si="17"/>
        <v>#DIV/0!</v>
      </c>
      <c r="W57" s="883" t="e">
        <f t="shared" si="17"/>
        <v>#DIV/0!</v>
      </c>
      <c r="X57" s="883" t="e">
        <f t="shared" si="17"/>
        <v>#DIV/0!</v>
      </c>
      <c r="Y57" s="883" t="e">
        <f t="shared" si="17"/>
        <v>#DIV/0!</v>
      </c>
      <c r="Z57" s="883" t="e">
        <f t="shared" si="17"/>
        <v>#DIV/0!</v>
      </c>
      <c r="AA57" s="883" t="e">
        <f t="shared" si="17"/>
        <v>#DIV/0!</v>
      </c>
      <c r="AB57" s="883" t="e">
        <f t="shared" si="17"/>
        <v>#DIV/0!</v>
      </c>
      <c r="AC57" s="883" t="e">
        <f>AC50/AC56</f>
        <v>#DIV/0!</v>
      </c>
      <c r="AD57" s="883" t="e">
        <f t="shared" ref="AD57:AJ57" si="18">AD50/AD56</f>
        <v>#DIV/0!</v>
      </c>
      <c r="AE57" s="883" t="e">
        <f t="shared" si="18"/>
        <v>#DIV/0!</v>
      </c>
      <c r="AF57" s="883" t="e">
        <f t="shared" si="18"/>
        <v>#DIV/0!</v>
      </c>
      <c r="AG57" s="883" t="e">
        <f t="shared" si="18"/>
        <v>#DIV/0!</v>
      </c>
      <c r="AH57" s="883" t="e">
        <f t="shared" si="18"/>
        <v>#DIV/0!</v>
      </c>
      <c r="AI57" s="883" t="e">
        <f t="shared" si="18"/>
        <v>#DIV/0!</v>
      </c>
      <c r="AJ57" s="883" t="e">
        <f t="shared" si="18"/>
        <v>#DIV/0!</v>
      </c>
      <c r="AK57" s="883" t="e">
        <f t="shared" ref="AK57:AM57" si="19">AK50/AK56</f>
        <v>#DIV/0!</v>
      </c>
      <c r="AL57" s="883" t="e">
        <f t="shared" si="19"/>
        <v>#DIV/0!</v>
      </c>
      <c r="AM57" s="884" t="e">
        <f t="shared" si="19"/>
        <v>#DIV/0!</v>
      </c>
      <c r="AN57" s="884" t="e">
        <f t="shared" ref="AN57" si="20">AN50/AN56</f>
        <v>#DIV/0!</v>
      </c>
    </row>
    <row r="58" spans="1:42" ht="27" customHeight="1" thickBot="1">
      <c r="A58" s="114"/>
      <c r="B58" s="131"/>
      <c r="C58" s="115"/>
      <c r="D58" s="115" t="s">
        <v>1</v>
      </c>
      <c r="L58" s="1501" t="s">
        <v>171</v>
      </c>
      <c r="M58" s="1501"/>
      <c r="N58" s="419">
        <f>SUM(N50:N57)</f>
        <v>0</v>
      </c>
      <c r="R58" s="19"/>
      <c r="S58" s="878" t="s">
        <v>172</v>
      </c>
      <c r="T58" s="879">
        <f>T54</f>
        <v>0</v>
      </c>
      <c r="U58" s="879">
        <f t="shared" ref="U58:AB58" si="21">U54</f>
        <v>0</v>
      </c>
      <c r="V58" s="879">
        <f t="shared" si="21"/>
        <v>0</v>
      </c>
      <c r="W58" s="879">
        <f t="shared" si="21"/>
        <v>0</v>
      </c>
      <c r="X58" s="879">
        <f t="shared" si="21"/>
        <v>0</v>
      </c>
      <c r="Y58" s="879">
        <f t="shared" si="21"/>
        <v>0</v>
      </c>
      <c r="Z58" s="879">
        <f t="shared" si="21"/>
        <v>0</v>
      </c>
      <c r="AA58" s="879">
        <f t="shared" si="21"/>
        <v>0</v>
      </c>
      <c r="AB58" s="879">
        <f t="shared" si="21"/>
        <v>0</v>
      </c>
      <c r="AC58" s="879">
        <f t="shared" ref="AC58:AJ58" si="22">AC54</f>
        <v>0</v>
      </c>
      <c r="AD58" s="879">
        <f t="shared" si="22"/>
        <v>0</v>
      </c>
      <c r="AE58" s="879">
        <f t="shared" si="22"/>
        <v>0</v>
      </c>
      <c r="AF58" s="879">
        <f t="shared" si="22"/>
        <v>0</v>
      </c>
      <c r="AG58" s="879">
        <f t="shared" si="22"/>
        <v>0</v>
      </c>
      <c r="AH58" s="879">
        <f t="shared" si="22"/>
        <v>0</v>
      </c>
      <c r="AI58" s="879">
        <f t="shared" si="22"/>
        <v>0</v>
      </c>
      <c r="AJ58" s="879">
        <f t="shared" si="22"/>
        <v>0</v>
      </c>
      <c r="AK58" s="880"/>
      <c r="AL58" s="880"/>
      <c r="AM58" s="881"/>
      <c r="AN58" s="881"/>
    </row>
    <row r="59" spans="1:42" ht="27" customHeight="1">
      <c r="A59" s="114"/>
      <c r="B59" s="132"/>
      <c r="C59" s="115"/>
      <c r="D59" s="115" t="s">
        <v>1</v>
      </c>
      <c r="K59" t="s">
        <v>1</v>
      </c>
      <c r="L59" s="1486" t="s">
        <v>173</v>
      </c>
      <c r="M59" s="1486"/>
      <c r="N59" s="420">
        <f>N58-Q48</f>
        <v>3911340</v>
      </c>
      <c r="R59" s="19"/>
      <c r="S59" s="114"/>
      <c r="T59" s="121"/>
      <c r="U59" s="121"/>
      <c r="V59" s="121"/>
      <c r="W59" s="121"/>
      <c r="X59" s="121"/>
      <c r="Y59" s="121"/>
      <c r="Z59" s="122"/>
      <c r="AA59" s="121"/>
      <c r="AB59" s="121"/>
      <c r="AC59" s="121"/>
      <c r="AD59" s="121"/>
      <c r="AE59" s="121"/>
      <c r="AF59" s="121"/>
      <c r="AG59" s="121"/>
      <c r="AH59" s="119"/>
      <c r="AI59" s="119"/>
    </row>
    <row r="60" spans="1:42" ht="23.25">
      <c r="A60" s="114"/>
      <c r="B60" s="132"/>
      <c r="C60" s="115"/>
      <c r="D60" s="115"/>
      <c r="P60" s="19"/>
      <c r="Q60" s="19"/>
      <c r="R60" s="19"/>
      <c r="S60" s="19"/>
      <c r="U60" t="s">
        <v>1</v>
      </c>
      <c r="AG60" t="s">
        <v>1</v>
      </c>
    </row>
    <row r="61" spans="1:42" ht="23.25">
      <c r="A61" s="114"/>
      <c r="B61" s="132"/>
      <c r="C61" s="115"/>
      <c r="D61" s="116"/>
      <c r="M61" t="s">
        <v>1</v>
      </c>
      <c r="P61" s="185"/>
      <c r="Q61" s="186"/>
      <c r="R61" s="19"/>
      <c r="S61" s="19"/>
    </row>
    <row r="62" spans="1:42" ht="20.25">
      <c r="C62" s="116"/>
      <c r="P62" s="19"/>
      <c r="Q62" s="19"/>
      <c r="R62" s="19"/>
      <c r="S62" s="19"/>
      <c r="U62" t="s">
        <v>1</v>
      </c>
    </row>
    <row r="63" spans="1:42">
      <c r="E63" s="19"/>
    </row>
    <row r="64" spans="1:42">
      <c r="E64" s="19"/>
      <c r="J64" t="s">
        <v>3</v>
      </c>
    </row>
    <row r="65" spans="3:5" ht="21">
      <c r="C65" s="251"/>
      <c r="E65" s="19"/>
    </row>
    <row r="66" spans="3:5">
      <c r="E66" s="49"/>
    </row>
    <row r="67" spans="3:5" ht="23.25">
      <c r="E67" s="113"/>
    </row>
  </sheetData>
  <mergeCells count="21">
    <mergeCell ref="AL47:AM47"/>
    <mergeCell ref="L58:M58"/>
    <mergeCell ref="L59:M59"/>
    <mergeCell ref="T47:W47"/>
    <mergeCell ref="X47:Z47"/>
    <mergeCell ref="S47:S48"/>
    <mergeCell ref="AI7:AJ7"/>
    <mergeCell ref="AI20:AJ20"/>
    <mergeCell ref="AA47:AB47"/>
    <mergeCell ref="AC47:AI47"/>
    <mergeCell ref="AJ47:AK47"/>
    <mergeCell ref="A6:Q6"/>
    <mergeCell ref="S6:AE6"/>
    <mergeCell ref="A7:B7"/>
    <mergeCell ref="P7:Q7"/>
    <mergeCell ref="H48:I48"/>
    <mergeCell ref="P24:Q24"/>
    <mergeCell ref="P33:Q33"/>
    <mergeCell ref="P42:Q42"/>
    <mergeCell ref="H46:I46"/>
    <mergeCell ref="H47:I47"/>
  </mergeCells>
  <conditionalFormatting sqref="M48:N48">
    <cfRule type="duplicateValues" dxfId="139" priority="29"/>
    <cfRule type="duplicateValues" dxfId="138" priority="30"/>
    <cfRule type="duplicateValues" dxfId="137" priority="31"/>
    <cfRule type="duplicateValues" dxfId="136" priority="32"/>
  </conditionalFormatting>
  <conditionalFormatting sqref="L48 N48">
    <cfRule type="cellIs" dxfId="135" priority="28" operator="equal">
      <formula>66890</formula>
    </cfRule>
  </conditionalFormatting>
  <conditionalFormatting sqref="N48">
    <cfRule type="cellIs" dxfId="134" priority="27" operator="lessThan">
      <formula>1</formula>
    </cfRule>
  </conditionalFormatting>
  <conditionalFormatting sqref="T57">
    <cfRule type="cellIs" dxfId="133" priority="16" operator="lessThan">
      <formula>63</formula>
    </cfRule>
  </conditionalFormatting>
  <conditionalFormatting sqref="U57">
    <cfRule type="cellIs" dxfId="132" priority="14" operator="lessThan">
      <formula>63</formula>
    </cfRule>
    <cfRule type="cellIs" dxfId="131" priority="15" operator="lessThan">
      <formula>63</formula>
    </cfRule>
  </conditionalFormatting>
  <conditionalFormatting sqref="W57">
    <cfRule type="cellIs" dxfId="130" priority="13" operator="lessThan">
      <formula>140</formula>
    </cfRule>
  </conditionalFormatting>
  <conditionalFormatting sqref="X57">
    <cfRule type="cellIs" dxfId="129" priority="12" operator="lessThan">
      <formula>125</formula>
    </cfRule>
  </conditionalFormatting>
  <conditionalFormatting sqref="Y57">
    <cfRule type="cellIs" dxfId="128" priority="11" operator="lessThan">
      <formula>150</formula>
    </cfRule>
  </conditionalFormatting>
  <conditionalFormatting sqref="Z57">
    <cfRule type="cellIs" dxfId="127" priority="10" operator="lessThan">
      <formula>590</formula>
    </cfRule>
  </conditionalFormatting>
  <conditionalFormatting sqref="AA57">
    <cfRule type="cellIs" dxfId="126" priority="9" operator="lessThan">
      <formula>704</formula>
    </cfRule>
  </conditionalFormatting>
  <conditionalFormatting sqref="AC57">
    <cfRule type="cellIs" dxfId="125" priority="7" operator="lessThan">
      <formula>52</formula>
    </cfRule>
  </conditionalFormatting>
  <conditionalFormatting sqref="AG57">
    <cfRule type="cellIs" dxfId="124" priority="6" operator="lessThan">
      <formula>63</formula>
    </cfRule>
  </conditionalFormatting>
  <conditionalFormatting sqref="AH57">
    <cfRule type="cellIs" dxfId="123" priority="5" operator="lessThan">
      <formula>63</formula>
    </cfRule>
  </conditionalFormatting>
  <conditionalFormatting sqref="AJ57">
    <cfRule type="cellIs" dxfId="122" priority="4" operator="lessThan">
      <formula>270</formula>
    </cfRule>
  </conditionalFormatting>
  <conditionalFormatting sqref="AI57">
    <cfRule type="cellIs" dxfId="121" priority="3" operator="lessThan">
      <formula>270</formula>
    </cfRule>
  </conditionalFormatting>
  <conditionalFormatting sqref="AK57:AN57">
    <cfRule type="cellIs" dxfId="120" priority="1" operator="lessThan">
      <formula>270</formula>
    </cfRule>
  </conditionalFormatting>
  <printOptions horizontalCentered="1" verticalCentered="1"/>
  <pageMargins left="0" right="0.5" top="0" bottom="0" header="0" footer="0"/>
  <pageSetup paperSize="5" scale="47" orientation="landscape" cellComments="asDisplayed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N67"/>
  <sheetViews>
    <sheetView topLeftCell="R1" zoomScale="90" zoomScaleNormal="90" workbookViewId="0">
      <selection activeCell="W10" sqref="W10"/>
    </sheetView>
  </sheetViews>
  <sheetFormatPr defaultRowHeight="15"/>
  <cols>
    <col min="1" max="1" width="32.7109375" bestFit="1" customWidth="1"/>
    <col min="2" max="2" width="17.7109375" customWidth="1"/>
    <col min="3" max="4" width="20.7109375" customWidth="1"/>
    <col min="5" max="5" width="4.7109375" customWidth="1"/>
    <col min="6" max="6" width="29.140625" bestFit="1" customWidth="1"/>
    <col min="7" max="7" width="17.7109375" customWidth="1"/>
    <col min="8" max="9" width="19.140625" bestFit="1" customWidth="1"/>
    <col min="10" max="11" width="17.7109375" customWidth="1"/>
    <col min="12" max="12" width="19.140625" bestFit="1" customWidth="1"/>
    <col min="13" max="14" width="18.7109375" customWidth="1"/>
    <col min="15" max="15" width="7.7109375" customWidth="1"/>
    <col min="16" max="16" width="28.7109375" customWidth="1"/>
    <col min="17" max="17" width="20.7109375" customWidth="1"/>
    <col min="18" max="18" width="11.5703125" bestFit="1" customWidth="1"/>
    <col min="19" max="19" width="32.7109375" customWidth="1"/>
    <col min="20" max="20" width="20.28515625" bestFit="1" customWidth="1"/>
    <col min="21" max="21" width="17.7109375" customWidth="1"/>
    <col min="22" max="22" width="20.28515625" bestFit="1" customWidth="1"/>
    <col min="23" max="23" width="17.7109375" customWidth="1"/>
    <col min="24" max="24" width="20.28515625" bestFit="1" customWidth="1"/>
    <col min="25" max="25" width="14.7109375" customWidth="1"/>
    <col min="26" max="26" width="16.28515625" bestFit="1" customWidth="1"/>
    <col min="27" max="27" width="20.140625" bestFit="1" customWidth="1"/>
    <col min="28" max="28" width="17.7109375" customWidth="1"/>
    <col min="29" max="29" width="20.140625" bestFit="1" customWidth="1"/>
    <col min="30" max="30" width="17.7109375" customWidth="1"/>
    <col min="31" max="31" width="20.140625" bestFit="1" customWidth="1"/>
    <col min="32" max="33" width="20.7109375" customWidth="1"/>
    <col min="34" max="37" width="17.7109375" customWidth="1"/>
    <col min="38" max="39" width="0" hidden="1" customWidth="1"/>
    <col min="40" max="40" width="13" hidden="1" customWidth="1"/>
  </cols>
  <sheetData>
    <row r="1" spans="1:36">
      <c r="E1" s="5"/>
    </row>
    <row r="2" spans="1:36">
      <c r="E2" s="5"/>
    </row>
    <row r="3" spans="1:36" ht="15.75" thickBot="1">
      <c r="C3" t="s">
        <v>1</v>
      </c>
      <c r="E3" s="5" t="s">
        <v>1</v>
      </c>
      <c r="F3" t="s">
        <v>1</v>
      </c>
      <c r="N3" t="s">
        <v>1</v>
      </c>
      <c r="S3" t="s">
        <v>1</v>
      </c>
      <c r="U3" t="s">
        <v>1</v>
      </c>
    </row>
    <row r="4" spans="1:36" ht="21.75" thickTop="1">
      <c r="B4" t="s">
        <v>1</v>
      </c>
      <c r="D4" t="s">
        <v>1</v>
      </c>
      <c r="E4" t="s">
        <v>1</v>
      </c>
      <c r="P4" s="617" t="s">
        <v>108</v>
      </c>
      <c r="Q4" s="618">
        <f>'25'!Q4+'26'!Q9+'26'!Q10+'26'!Q19+'26'!Q20+'26'!Q21+'26'!Q22</f>
        <v>0</v>
      </c>
    </row>
    <row r="5" spans="1:36" ht="21.75" thickBot="1">
      <c r="P5" s="619" t="s">
        <v>109</v>
      </c>
      <c r="Q5" s="620">
        <f>'25'!Q5+'26'!Q25+'26'!Q26+'26'!Q27+'26'!Q28+'26'!Q29+'26'!Q30+'26'!Q31</f>
        <v>0</v>
      </c>
    </row>
    <row r="6" spans="1:36" ht="48" thickTop="1" thickBot="1">
      <c r="A6" s="1502">
        <f>'Main Page'!E42</f>
        <v>44891</v>
      </c>
      <c r="B6" s="1507"/>
      <c r="C6" s="1507"/>
      <c r="D6" s="1507"/>
      <c r="E6" s="1507"/>
      <c r="F6" s="1507"/>
      <c r="G6" s="1507"/>
      <c r="H6" s="1507"/>
      <c r="I6" s="1507"/>
      <c r="J6" s="1507"/>
      <c r="K6" s="1507"/>
      <c r="L6" s="1507"/>
      <c r="M6" s="1507"/>
      <c r="N6" s="1507"/>
      <c r="O6" s="1507"/>
      <c r="P6" s="1507"/>
      <c r="Q6" s="1515"/>
      <c r="R6" t="s">
        <v>1</v>
      </c>
      <c r="S6" s="1502">
        <f>A6</f>
        <v>44891</v>
      </c>
      <c r="T6" s="1503"/>
      <c r="U6" s="1503"/>
      <c r="V6" s="1503"/>
      <c r="W6" s="1503"/>
      <c r="X6" s="1503"/>
      <c r="Y6" s="1503"/>
      <c r="Z6" s="1503"/>
      <c r="AA6" s="1503"/>
      <c r="AB6" s="1503"/>
      <c r="AC6" s="1503"/>
      <c r="AD6" s="1503"/>
      <c r="AE6" s="1504"/>
    </row>
    <row r="7" spans="1:36" ht="39.950000000000003" customHeight="1" thickTop="1" thickBot="1">
      <c r="A7" s="1505" t="s">
        <v>110</v>
      </c>
      <c r="B7" s="1506"/>
      <c r="C7" s="367" t="s">
        <v>97</v>
      </c>
      <c r="D7" s="368" t="s">
        <v>74</v>
      </c>
      <c r="F7" s="363" t="s">
        <v>111</v>
      </c>
      <c r="G7" s="364" t="s">
        <v>112</v>
      </c>
      <c r="H7" s="365" t="s">
        <v>113</v>
      </c>
      <c r="I7" s="365" t="s">
        <v>26</v>
      </c>
      <c r="J7" s="365" t="s">
        <v>114</v>
      </c>
      <c r="K7" s="366" t="s">
        <v>115</v>
      </c>
      <c r="L7" s="365" t="s">
        <v>116</v>
      </c>
      <c r="M7" s="365" t="s">
        <v>117</v>
      </c>
      <c r="N7" s="365" t="s">
        <v>118</v>
      </c>
      <c r="P7" s="1510" t="s">
        <v>69</v>
      </c>
      <c r="Q7" s="1511"/>
      <c r="S7" s="380" t="s">
        <v>58</v>
      </c>
      <c r="T7" s="380" t="s">
        <v>59</v>
      </c>
      <c r="U7" s="380" t="s">
        <v>119</v>
      </c>
      <c r="V7" s="380" t="s">
        <v>74</v>
      </c>
      <c r="W7" s="380" t="s">
        <v>120</v>
      </c>
      <c r="X7" s="380" t="s">
        <v>59</v>
      </c>
      <c r="Z7" s="367" t="s">
        <v>121</v>
      </c>
      <c r="AA7" s="367" t="s">
        <v>97</v>
      </c>
      <c r="AB7" s="415" t="s">
        <v>122</v>
      </c>
      <c r="AC7" s="416" t="s">
        <v>90</v>
      </c>
      <c r="AD7" s="367" t="s">
        <v>56</v>
      </c>
      <c r="AE7" s="381" t="s">
        <v>100</v>
      </c>
      <c r="AF7" s="560" t="s">
        <v>122</v>
      </c>
      <c r="AG7" s="570" t="s">
        <v>56</v>
      </c>
      <c r="AI7" s="1487" t="s">
        <v>123</v>
      </c>
      <c r="AJ7" s="1488"/>
    </row>
    <row r="8" spans="1:36" ht="27" customHeight="1" thickTop="1" thickBot="1">
      <c r="A8" s="717" t="s">
        <v>500</v>
      </c>
      <c r="B8" s="233">
        <v>77000</v>
      </c>
      <c r="C8" s="463"/>
      <c r="D8" s="233"/>
      <c r="F8" s="478" t="str">
        <f>'25'!F8</f>
        <v>ISHAQ ANSARI</v>
      </c>
      <c r="G8" s="405">
        <f>'CUSTOMERS REPORT'!Y33</f>
        <v>0</v>
      </c>
      <c r="H8" s="503">
        <f>'CUSTOMERS REPORT'!Z33</f>
        <v>0</v>
      </c>
      <c r="I8" s="405">
        <f>'CUSTOMERS REPORT'!AA33</f>
        <v>0</v>
      </c>
      <c r="J8" s="497">
        <f>'CUSTOMERS REPORT'!AB33</f>
        <v>0</v>
      </c>
      <c r="K8" s="497">
        <f>'CUSTOMERS REPORT'!AC33</f>
        <v>0</v>
      </c>
      <c r="L8" s="508">
        <f>'CUSTOMERS REPORT'!AD33</f>
        <v>0</v>
      </c>
      <c r="M8" s="413">
        <f>'25'!M8+'26'!G8</f>
        <v>0</v>
      </c>
      <c r="N8" s="411">
        <f>'25'!N8+'26'!J8</f>
        <v>0</v>
      </c>
      <c r="P8" s="191" t="s">
        <v>124</v>
      </c>
      <c r="Q8" s="223">
        <f>'25'!Q32</f>
        <v>0</v>
      </c>
      <c r="S8" s="399" t="str">
        <f>'25'!S8</f>
        <v>FLOUR</v>
      </c>
      <c r="T8" s="446">
        <f>'25'!X8</f>
        <v>-8</v>
      </c>
      <c r="U8" s="455"/>
      <c r="V8" s="450">
        <f t="shared" ref="V8:V43" si="0">SUM(T8:U8)</f>
        <v>-8</v>
      </c>
      <c r="W8" s="450">
        <v>26</v>
      </c>
      <c r="X8" s="446">
        <f t="shared" ref="X8:X43" si="1">V8-W8</f>
        <v>-34</v>
      </c>
      <c r="Z8" s="382" t="str">
        <f>'25'!Z8</f>
        <v>GHAZI</v>
      </c>
      <c r="AA8" s="464">
        <f>'25'!AE8</f>
        <v>-352500</v>
      </c>
      <c r="AB8" s="459"/>
      <c r="AC8" s="233">
        <f t="shared" ref="AC8:AC41" si="2">AA8+AB8</f>
        <v>-352500</v>
      </c>
      <c r="AD8" s="468">
        <v>77000</v>
      </c>
      <c r="AE8" s="463">
        <f t="shared" ref="AE8:AE42" si="3">AC8-AD8</f>
        <v>-429500</v>
      </c>
      <c r="AF8" s="563">
        <f>'25'!AF8+'26'!AB8</f>
        <v>347500</v>
      </c>
      <c r="AG8" s="233">
        <f>'25'!AG8+'26'!AD8</f>
        <v>777000</v>
      </c>
      <c r="AI8" s="391" t="s">
        <v>126</v>
      </c>
      <c r="AJ8" s="392">
        <f>'25'!AJ10</f>
        <v>181820</v>
      </c>
    </row>
    <row r="9" spans="1:36" ht="27" customHeight="1" thickTop="1">
      <c r="A9" s="718" t="s">
        <v>442</v>
      </c>
      <c r="B9" s="526">
        <v>130000</v>
      </c>
      <c r="C9" s="348"/>
      <c r="D9" s="550"/>
      <c r="F9" s="479" t="str">
        <f>'25'!F9</f>
        <v>MAKKI BAKERY</v>
      </c>
      <c r="G9" s="406">
        <f>'CUSTOMERS REPORT'!Y79</f>
        <v>0</v>
      </c>
      <c r="H9" s="504">
        <f>'CUSTOMERS REPORT'!Z79</f>
        <v>0</v>
      </c>
      <c r="I9" s="406">
        <f>'CUSTOMERS REPORT'!AA79</f>
        <v>0</v>
      </c>
      <c r="J9" s="498">
        <f>'CUSTOMERS REPORT'!AB79</f>
        <v>0</v>
      </c>
      <c r="K9" s="498">
        <f>'CUSTOMERS REPORT'!AC79</f>
        <v>0</v>
      </c>
      <c r="L9" s="509">
        <f>'CUSTOMERS REPORT'!AD79</f>
        <v>0</v>
      </c>
      <c r="M9" s="414">
        <f>'25'!M9+'26'!G9</f>
        <v>0</v>
      </c>
      <c r="N9" s="412">
        <f>'25'!N9+'26'!J9</f>
        <v>0</v>
      </c>
      <c r="P9" s="432"/>
      <c r="Q9" s="436"/>
      <c r="S9" s="400" t="str">
        <f>'25'!S9</f>
        <v>SUGAR</v>
      </c>
      <c r="T9" s="446">
        <f>'25'!X9</f>
        <v>-1140</v>
      </c>
      <c r="U9" s="456">
        <v>1000</v>
      </c>
      <c r="V9" s="451">
        <f t="shared" si="0"/>
        <v>-140</v>
      </c>
      <c r="W9" s="451">
        <v>455</v>
      </c>
      <c r="X9" s="447">
        <f t="shared" si="1"/>
        <v>-595</v>
      </c>
      <c r="Z9" s="375" t="str">
        <f>'25'!Z9</f>
        <v>SOHNI</v>
      </c>
      <c r="AA9" s="464">
        <f>'25'!AE9</f>
        <v>20000</v>
      </c>
      <c r="AB9" s="460"/>
      <c r="AC9" s="462">
        <f t="shared" si="2"/>
        <v>20000</v>
      </c>
      <c r="AD9" s="469">
        <v>130000</v>
      </c>
      <c r="AE9" s="348">
        <f t="shared" si="3"/>
        <v>-110000</v>
      </c>
      <c r="AF9" s="563">
        <f>'25'!AF9+'26'!AB9</f>
        <v>370000</v>
      </c>
      <c r="AG9" s="234">
        <f>'25'!AG9+'26'!AD9</f>
        <v>480000</v>
      </c>
      <c r="AI9" s="393" t="s">
        <v>128</v>
      </c>
      <c r="AJ9" s="394">
        <f>B26</f>
        <v>4000</v>
      </c>
    </row>
    <row r="10" spans="1:36" ht="27" customHeight="1" thickBot="1">
      <c r="A10" s="718" t="s">
        <v>502</v>
      </c>
      <c r="B10" s="528">
        <v>33000</v>
      </c>
      <c r="C10" s="350"/>
      <c r="D10" s="550"/>
      <c r="F10" s="479" t="str">
        <f>'25'!F10</f>
        <v>ABID HUSSAIN</v>
      </c>
      <c r="G10" s="406">
        <f>'CUSTOMERS REPORT'!Y117</f>
        <v>0</v>
      </c>
      <c r="H10" s="504">
        <f>'CUSTOMERS REPORT'!Z117</f>
        <v>0</v>
      </c>
      <c r="I10" s="406">
        <f>'CUSTOMERS REPORT'!AA117</f>
        <v>0</v>
      </c>
      <c r="J10" s="498">
        <f>'CUSTOMERS REPORT'!AB117</f>
        <v>0</v>
      </c>
      <c r="K10" s="498">
        <f>'CUSTOMERS REPORT'!AC117</f>
        <v>0</v>
      </c>
      <c r="L10" s="509">
        <f>'CUSTOMERS REPORT'!AD117</f>
        <v>0</v>
      </c>
      <c r="M10" s="414">
        <f>'25'!M10+'26'!G10</f>
        <v>0</v>
      </c>
      <c r="N10" s="412">
        <f>'25'!N10+'26'!J10</f>
        <v>0</v>
      </c>
      <c r="P10" s="433"/>
      <c r="Q10" s="437"/>
      <c r="S10" s="400" t="str">
        <f>'25'!S10</f>
        <v>GHEE</v>
      </c>
      <c r="T10" s="446">
        <f>'25'!X10</f>
        <v>-17</v>
      </c>
      <c r="U10" s="456">
        <v>10</v>
      </c>
      <c r="V10" s="451">
        <f t="shared" si="0"/>
        <v>-7</v>
      </c>
      <c r="W10" s="451">
        <v>5</v>
      </c>
      <c r="X10" s="447">
        <f t="shared" si="1"/>
        <v>-12</v>
      </c>
      <c r="Z10" s="375" t="str">
        <f>'25'!Z10</f>
        <v>HUSSAINI</v>
      </c>
      <c r="AA10" s="464">
        <f>'25'!AE10</f>
        <v>-94100</v>
      </c>
      <c r="AB10" s="460">
        <f>82000+67000</f>
        <v>149000</v>
      </c>
      <c r="AC10" s="462">
        <f t="shared" si="2"/>
        <v>54900</v>
      </c>
      <c r="AD10" s="469"/>
      <c r="AE10" s="348">
        <f t="shared" si="3"/>
        <v>54900</v>
      </c>
      <c r="AF10" s="563">
        <f>'25'!AF10+'26'!AB10</f>
        <v>211000</v>
      </c>
      <c r="AG10" s="234">
        <f>'25'!AG10+'26'!AD10</f>
        <v>156100</v>
      </c>
      <c r="AI10" s="395" t="s">
        <v>74</v>
      </c>
      <c r="AJ10" s="396">
        <f>AJ8+AJ9</f>
        <v>185820</v>
      </c>
    </row>
    <row r="11" spans="1:36" ht="27" customHeight="1" thickTop="1">
      <c r="A11" s="718"/>
      <c r="B11" s="528"/>
      <c r="C11" s="350"/>
      <c r="D11" s="550"/>
      <c r="F11" s="479" t="str">
        <f>'25'!F11</f>
        <v>SHAHID 5 #</v>
      </c>
      <c r="G11" s="406">
        <f>'CUSTOMERS REPORT'!Y156</f>
        <v>0</v>
      </c>
      <c r="H11" s="504">
        <f>'CUSTOMERS REPORT'!Z156</f>
        <v>0</v>
      </c>
      <c r="I11" s="406">
        <f>'CUSTOMERS REPORT'!AA156</f>
        <v>0</v>
      </c>
      <c r="J11" s="498">
        <f>'CUSTOMERS REPORT'!AB156</f>
        <v>0</v>
      </c>
      <c r="K11" s="498">
        <f>'CUSTOMERS REPORT'!AC156</f>
        <v>0</v>
      </c>
      <c r="L11" s="509">
        <f>'CUSTOMERS REPORT'!AD156</f>
        <v>0</v>
      </c>
      <c r="M11" s="414">
        <f>'25'!M11+'26'!G11</f>
        <v>0</v>
      </c>
      <c r="N11" s="412">
        <f>'25'!N11+'26'!J11</f>
        <v>0</v>
      </c>
      <c r="P11" s="433"/>
      <c r="Q11" s="437"/>
      <c r="S11" s="400" t="str">
        <f>'25'!S11</f>
        <v>YEAST</v>
      </c>
      <c r="T11" s="446">
        <f>'25'!X11</f>
        <v>-105</v>
      </c>
      <c r="U11" s="456"/>
      <c r="V11" s="451">
        <f t="shared" ref="V11:V19" si="4">SUM(T11:U11)</f>
        <v>-105</v>
      </c>
      <c r="W11" s="451">
        <v>13</v>
      </c>
      <c r="X11" s="447">
        <f t="shared" ref="X11:X19" si="5">V11-W11</f>
        <v>-118</v>
      </c>
      <c r="Z11" s="375" t="str">
        <f>'25'!Z11</f>
        <v>IMRAN ALAM</v>
      </c>
      <c r="AA11" s="464">
        <f>'25'!AE11</f>
        <v>-439000</v>
      </c>
      <c r="AB11" s="460"/>
      <c r="AC11" s="462">
        <f t="shared" ref="AC11:AC19" si="6">AA11+AB11</f>
        <v>-439000</v>
      </c>
      <c r="AD11" s="469"/>
      <c r="AE11" s="348">
        <f t="shared" ref="AE11:AE19" si="7">AC11-AD11</f>
        <v>-439000</v>
      </c>
      <c r="AF11" s="563">
        <f>'25'!AF11+'26'!AB11</f>
        <v>0</v>
      </c>
      <c r="AG11" s="234">
        <f>'25'!AG11+'26'!AD11</f>
        <v>439000</v>
      </c>
      <c r="AI11" s="1079"/>
      <c r="AJ11" s="1080"/>
    </row>
    <row r="12" spans="1:36" ht="27" customHeight="1">
      <c r="A12" s="718"/>
      <c r="B12" s="528"/>
      <c r="C12" s="350"/>
      <c r="D12" s="550"/>
      <c r="F12" s="479" t="str">
        <f>'25'!F12</f>
        <v>ZULFIQAR</v>
      </c>
      <c r="G12" s="406">
        <f>'CUSTOMERS REPORT'!Y194</f>
        <v>0</v>
      </c>
      <c r="H12" s="504">
        <f>'CUSTOMERS REPORT'!Z194</f>
        <v>0</v>
      </c>
      <c r="I12" s="406">
        <f>'CUSTOMERS REPORT'!AA194</f>
        <v>0</v>
      </c>
      <c r="J12" s="498">
        <f>'CUSTOMERS REPORT'!AB194</f>
        <v>0</v>
      </c>
      <c r="K12" s="498">
        <f>'CUSTOMERS REPORT'!AC194</f>
        <v>0</v>
      </c>
      <c r="L12" s="509">
        <f>'CUSTOMERS REPORT'!AD194</f>
        <v>0</v>
      </c>
      <c r="M12" s="414">
        <f>'25'!M12+'26'!G12</f>
        <v>0</v>
      </c>
      <c r="N12" s="412">
        <f>'25'!N12+'26'!J12</f>
        <v>0</v>
      </c>
      <c r="P12" s="433"/>
      <c r="Q12" s="437"/>
      <c r="S12" s="400" t="str">
        <f>'25'!S12</f>
        <v xml:space="preserve">EKKA </v>
      </c>
      <c r="T12" s="446">
        <f>'25'!X12</f>
        <v>0</v>
      </c>
      <c r="U12" s="456"/>
      <c r="V12" s="451">
        <f t="shared" si="4"/>
        <v>0</v>
      </c>
      <c r="W12" s="451"/>
      <c r="X12" s="447">
        <f t="shared" si="5"/>
        <v>0</v>
      </c>
      <c r="Z12" s="375" t="str">
        <f>'25'!Z12</f>
        <v>ZAHEER</v>
      </c>
      <c r="AA12" s="464">
        <f>'25'!AE12</f>
        <v>-23200</v>
      </c>
      <c r="AB12" s="460"/>
      <c r="AC12" s="462">
        <f t="shared" si="6"/>
        <v>-23200</v>
      </c>
      <c r="AD12" s="469"/>
      <c r="AE12" s="348">
        <f t="shared" si="7"/>
        <v>-23200</v>
      </c>
      <c r="AF12" s="563">
        <f>'25'!AF12+'26'!AB12</f>
        <v>0</v>
      </c>
      <c r="AG12" s="234">
        <f>'25'!AG12+'26'!AD12</f>
        <v>23200</v>
      </c>
      <c r="AI12" s="1079"/>
      <c r="AJ12" s="1080"/>
    </row>
    <row r="13" spans="1:36" ht="27" customHeight="1">
      <c r="A13" s="718"/>
      <c r="B13" s="528"/>
      <c r="C13" s="350"/>
      <c r="D13" s="550"/>
      <c r="F13" s="479" t="str">
        <f>'25'!F13</f>
        <v>QASIM ORANGI</v>
      </c>
      <c r="G13" s="406">
        <f>'CUSTOMERS REPORT'!Y234</f>
        <v>0</v>
      </c>
      <c r="H13" s="504">
        <f>'CUSTOMERS REPORT'!Z234</f>
        <v>0</v>
      </c>
      <c r="I13" s="406">
        <f>'CUSTOMERS REPORT'!AA234</f>
        <v>0</v>
      </c>
      <c r="J13" s="498">
        <f>'CUSTOMERS REPORT'!AB234</f>
        <v>0</v>
      </c>
      <c r="K13" s="498">
        <f>'CUSTOMERS REPORT'!AC234</f>
        <v>0</v>
      </c>
      <c r="L13" s="509">
        <f>'CUSTOMERS REPORT'!AD234</f>
        <v>0</v>
      </c>
      <c r="M13" s="414">
        <f>'25'!M13+'26'!G13</f>
        <v>0</v>
      </c>
      <c r="N13" s="412">
        <f>'25'!N13+'26'!J13</f>
        <v>0</v>
      </c>
      <c r="P13" s="433"/>
      <c r="Q13" s="437"/>
      <c r="S13" s="400" t="str">
        <f>'25'!S13</f>
        <v>VANILLA</v>
      </c>
      <c r="T13" s="446">
        <f>'25'!X13</f>
        <v>0</v>
      </c>
      <c r="U13" s="456"/>
      <c r="V13" s="451">
        <f t="shared" si="4"/>
        <v>0</v>
      </c>
      <c r="W13" s="451"/>
      <c r="X13" s="447">
        <f t="shared" si="5"/>
        <v>0</v>
      </c>
      <c r="Z13" s="375" t="str">
        <f>'25'!Z13</f>
        <v>FAISAL</v>
      </c>
      <c r="AA13" s="464">
        <f>'25'!AE13</f>
        <v>-100000</v>
      </c>
      <c r="AB13" s="460"/>
      <c r="AC13" s="462">
        <f t="shared" si="6"/>
        <v>-100000</v>
      </c>
      <c r="AD13" s="469"/>
      <c r="AE13" s="348">
        <f t="shared" si="7"/>
        <v>-100000</v>
      </c>
      <c r="AF13" s="563">
        <f>'25'!AF13+'26'!AB13</f>
        <v>0</v>
      </c>
      <c r="AG13" s="234">
        <f>'25'!AG13+'26'!AD13</f>
        <v>100000</v>
      </c>
      <c r="AI13" s="1079"/>
      <c r="AJ13" s="1080"/>
    </row>
    <row r="14" spans="1:36" ht="27" customHeight="1">
      <c r="A14" s="718"/>
      <c r="B14" s="528"/>
      <c r="C14" s="350"/>
      <c r="D14" s="550"/>
      <c r="F14" s="479" t="str">
        <f>'25'!F14</f>
        <v>BADSHAH KHAN HYD</v>
      </c>
      <c r="G14" s="406">
        <f>'CUSTOMERS REPORT'!Y271</f>
        <v>0</v>
      </c>
      <c r="H14" s="504">
        <f>'CUSTOMERS REPORT'!Z271</f>
        <v>0</v>
      </c>
      <c r="I14" s="406">
        <f>'CUSTOMERS REPORT'!AA271</f>
        <v>0</v>
      </c>
      <c r="J14" s="498">
        <f>'CUSTOMERS REPORT'!AB271</f>
        <v>0</v>
      </c>
      <c r="K14" s="498">
        <f>'CUSTOMERS REPORT'!AC271</f>
        <v>0</v>
      </c>
      <c r="L14" s="509">
        <f>'CUSTOMERS REPORT'!AD271</f>
        <v>0</v>
      </c>
      <c r="M14" s="414">
        <f>'25'!M14+'26'!G14</f>
        <v>0</v>
      </c>
      <c r="N14" s="412">
        <f>'25'!N14+'26'!J14</f>
        <v>0</v>
      </c>
      <c r="P14" s="433"/>
      <c r="Q14" s="437"/>
      <c r="S14" s="400" t="str">
        <f>'25'!S14</f>
        <v>COLOUR</v>
      </c>
      <c r="T14" s="446">
        <f>'25'!X14</f>
        <v>25</v>
      </c>
      <c r="U14" s="456"/>
      <c r="V14" s="451">
        <f t="shared" si="4"/>
        <v>25</v>
      </c>
      <c r="W14" s="451"/>
      <c r="X14" s="447">
        <f t="shared" si="5"/>
        <v>25</v>
      </c>
      <c r="Z14" s="375" t="str">
        <f>'25'!Z14</f>
        <v>RANA EKKA</v>
      </c>
      <c r="AA14" s="464">
        <f>'25'!AE14</f>
        <v>0</v>
      </c>
      <c r="AB14" s="460"/>
      <c r="AC14" s="462">
        <f t="shared" si="6"/>
        <v>0</v>
      </c>
      <c r="AD14" s="469"/>
      <c r="AE14" s="348">
        <f t="shared" si="7"/>
        <v>0</v>
      </c>
      <c r="AF14" s="563">
        <f>'25'!AF14+'26'!AB14</f>
        <v>0</v>
      </c>
      <c r="AG14" s="234">
        <f>'25'!AG14+'26'!AD14</f>
        <v>0</v>
      </c>
      <c r="AI14" s="1079"/>
      <c r="AJ14" s="1080"/>
    </row>
    <row r="15" spans="1:36" ht="27" customHeight="1">
      <c r="A15" s="718"/>
      <c r="B15" s="528"/>
      <c r="C15" s="350"/>
      <c r="D15" s="550"/>
      <c r="F15" s="479" t="str">
        <f>'25'!F15</f>
        <v>SHAMOON</v>
      </c>
      <c r="G15" s="406">
        <f>'CUSTOMERS REPORT'!Y311</f>
        <v>0</v>
      </c>
      <c r="H15" s="504">
        <f>'CUSTOMERS REPORT'!Z311</f>
        <v>0</v>
      </c>
      <c r="I15" s="406">
        <f>'CUSTOMERS REPORT'!AA311</f>
        <v>0</v>
      </c>
      <c r="J15" s="498">
        <f>'CUSTOMERS REPORT'!AB311</f>
        <v>0</v>
      </c>
      <c r="K15" s="498">
        <f>'CUSTOMERS REPORT'!AC311</f>
        <v>0</v>
      </c>
      <c r="L15" s="509">
        <f>'CUSTOMERS REPORT'!AD311</f>
        <v>0</v>
      </c>
      <c r="M15" s="414">
        <f>'25'!M15+'26'!G15</f>
        <v>0</v>
      </c>
      <c r="N15" s="412">
        <f>'25'!N15+'26'!J15</f>
        <v>0</v>
      </c>
      <c r="P15" s="433"/>
      <c r="Q15" s="437"/>
      <c r="S15" s="400" t="str">
        <f>'25'!S15</f>
        <v>TILL</v>
      </c>
      <c r="T15" s="446">
        <f>'25'!X15</f>
        <v>0</v>
      </c>
      <c r="U15" s="456"/>
      <c r="V15" s="451">
        <f t="shared" si="4"/>
        <v>0</v>
      </c>
      <c r="W15" s="451"/>
      <c r="X15" s="447">
        <f t="shared" si="5"/>
        <v>0</v>
      </c>
      <c r="Z15" s="375" t="str">
        <f>'25'!Z15</f>
        <v>sheeba</v>
      </c>
      <c r="AA15" s="464">
        <f>'25'!AE15</f>
        <v>-410250</v>
      </c>
      <c r="AB15" s="460"/>
      <c r="AC15" s="462">
        <f t="shared" si="6"/>
        <v>-410250</v>
      </c>
      <c r="AD15" s="469"/>
      <c r="AE15" s="348">
        <f t="shared" si="7"/>
        <v>-410250</v>
      </c>
      <c r="AF15" s="563">
        <f>'25'!AF15+'26'!AB15</f>
        <v>0</v>
      </c>
      <c r="AG15" s="234">
        <f>'25'!AG15+'26'!AD15</f>
        <v>410250</v>
      </c>
      <c r="AI15" s="1079"/>
      <c r="AJ15" s="1080"/>
    </row>
    <row r="16" spans="1:36" ht="27" customHeight="1">
      <c r="A16" s="718"/>
      <c r="B16" s="528"/>
      <c r="C16" s="350"/>
      <c r="D16" s="550"/>
      <c r="F16" s="479" t="str">
        <f>'25'!F16</f>
        <v>MATEEN</v>
      </c>
      <c r="G16" s="406">
        <f>'CUSTOMERS REPORT'!Y352</f>
        <v>0</v>
      </c>
      <c r="H16" s="504">
        <f>'CUSTOMERS REPORT'!Z352</f>
        <v>0</v>
      </c>
      <c r="I16" s="406">
        <f>'CUSTOMERS REPORT'!AA352</f>
        <v>0</v>
      </c>
      <c r="J16" s="498">
        <f>'CUSTOMERS REPORT'!AB352</f>
        <v>0</v>
      </c>
      <c r="K16" s="498">
        <f>'CUSTOMERS REPORT'!AC352</f>
        <v>0</v>
      </c>
      <c r="L16" s="509">
        <f>'CUSTOMERS REPORT'!AD352</f>
        <v>0</v>
      </c>
      <c r="M16" s="414">
        <f>'25'!M16+'26'!G16</f>
        <v>0</v>
      </c>
      <c r="N16" s="412">
        <f>'25'!N16+'26'!J16</f>
        <v>0</v>
      </c>
      <c r="P16" s="433"/>
      <c r="Q16" s="437"/>
      <c r="S16" s="400" t="str">
        <f>'25'!S16</f>
        <v>ILLAICHI</v>
      </c>
      <c r="T16" s="446">
        <f>'25'!X16</f>
        <v>0</v>
      </c>
      <c r="U16" s="456"/>
      <c r="V16" s="451">
        <f t="shared" si="4"/>
        <v>0</v>
      </c>
      <c r="W16" s="451"/>
      <c r="X16" s="447">
        <f t="shared" si="5"/>
        <v>0</v>
      </c>
      <c r="Z16" s="375" t="str">
        <f>'25'!Z16</f>
        <v>COTTON</v>
      </c>
      <c r="AA16" s="464">
        <f>'25'!AE16</f>
        <v>0</v>
      </c>
      <c r="AB16" s="460"/>
      <c r="AC16" s="462">
        <f t="shared" si="6"/>
        <v>0</v>
      </c>
      <c r="AD16" s="469"/>
      <c r="AE16" s="348">
        <f t="shared" si="7"/>
        <v>0</v>
      </c>
      <c r="AF16" s="563">
        <f>'25'!AF16+'26'!AB16</f>
        <v>26400</v>
      </c>
      <c r="AG16" s="234">
        <f>'25'!AG16+'26'!AD16</f>
        <v>26400</v>
      </c>
      <c r="AI16" s="1079"/>
      <c r="AJ16" s="1080"/>
    </row>
    <row r="17" spans="1:36" ht="27" customHeight="1">
      <c r="A17" s="718"/>
      <c r="B17" s="528"/>
      <c r="C17" s="350"/>
      <c r="D17" s="550"/>
      <c r="F17" s="479" t="str">
        <f>'25'!F17</f>
        <v>AMJAD ORANGI</v>
      </c>
      <c r="G17" s="406">
        <f>'CUSTOMERS REPORT'!Y394</f>
        <v>0</v>
      </c>
      <c r="H17" s="504">
        <f>'CUSTOMERS REPORT'!Z394</f>
        <v>0</v>
      </c>
      <c r="I17" s="406">
        <f>'CUSTOMERS REPORT'!AA394</f>
        <v>0</v>
      </c>
      <c r="J17" s="498">
        <f>'CUSTOMERS REPORT'!AB394</f>
        <v>0</v>
      </c>
      <c r="K17" s="498">
        <f>'CUSTOMERS REPORT'!AC394</f>
        <v>0</v>
      </c>
      <c r="L17" s="509">
        <f>'CUSTOMERS REPORT'!AD394</f>
        <v>0</v>
      </c>
      <c r="M17" s="414">
        <f>'25'!M17+'26'!G17</f>
        <v>0</v>
      </c>
      <c r="N17" s="412">
        <f>'25'!N17+'26'!J17</f>
        <v>0</v>
      </c>
      <c r="P17" s="433"/>
      <c r="Q17" s="437"/>
      <c r="S17" s="400" t="str">
        <f>'25'!S17</f>
        <v>S-THELLI</v>
      </c>
      <c r="T17" s="446">
        <f>'25'!X17</f>
        <v>0</v>
      </c>
      <c r="U17" s="456"/>
      <c r="V17" s="451">
        <f t="shared" si="4"/>
        <v>0</v>
      </c>
      <c r="W17" s="451"/>
      <c r="X17" s="447">
        <f t="shared" si="5"/>
        <v>0</v>
      </c>
      <c r="Z17" s="375" t="str">
        <f>'25'!Z17</f>
        <v>SHAHID UP</v>
      </c>
      <c r="AA17" s="464">
        <f>'25'!AE17</f>
        <v>0</v>
      </c>
      <c r="AB17" s="460"/>
      <c r="AC17" s="462">
        <f t="shared" si="6"/>
        <v>0</v>
      </c>
      <c r="AD17" s="469"/>
      <c r="AE17" s="348">
        <f t="shared" si="7"/>
        <v>0</v>
      </c>
      <c r="AF17" s="563">
        <f>'25'!AF17+'26'!AB17</f>
        <v>21250</v>
      </c>
      <c r="AG17" s="234">
        <f>'25'!AG17+'26'!AD17</f>
        <v>21250</v>
      </c>
      <c r="AI17" s="1079"/>
      <c r="AJ17" s="1080"/>
    </row>
    <row r="18" spans="1:36" ht="27" customHeight="1">
      <c r="A18" s="718"/>
      <c r="B18" s="528"/>
      <c r="C18" s="350"/>
      <c r="D18" s="550"/>
      <c r="F18" s="479" t="str">
        <f>'25'!F18</f>
        <v>HAFIZ DRIVER</v>
      </c>
      <c r="G18" s="406">
        <f>'CUSTOMERS REPORT'!Y433</f>
        <v>0</v>
      </c>
      <c r="H18" s="504">
        <f>'CUSTOMERS REPORT'!Z433</f>
        <v>0</v>
      </c>
      <c r="I18" s="406">
        <f>'CUSTOMERS REPORT'!AA433</f>
        <v>0</v>
      </c>
      <c r="J18" s="498">
        <f>'CUSTOMERS REPORT'!AB433</f>
        <v>0</v>
      </c>
      <c r="K18" s="498">
        <f>'CUSTOMERS REPORT'!AC433</f>
        <v>0</v>
      </c>
      <c r="L18" s="509">
        <f>'CUSTOMERS REPORT'!AD433</f>
        <v>0</v>
      </c>
      <c r="M18" s="414">
        <f>'25'!M18+'26'!G18</f>
        <v>0</v>
      </c>
      <c r="N18" s="412">
        <f>'25'!N18+'26'!J18</f>
        <v>0</v>
      </c>
      <c r="P18" s="433"/>
      <c r="Q18" s="437"/>
      <c r="S18" s="400" t="str">
        <f>'25'!S18</f>
        <v>P-THELLI</v>
      </c>
      <c r="T18" s="446">
        <f>'25'!X18</f>
        <v>0</v>
      </c>
      <c r="U18" s="456"/>
      <c r="V18" s="451">
        <f t="shared" si="4"/>
        <v>0</v>
      </c>
      <c r="W18" s="451"/>
      <c r="X18" s="447">
        <f t="shared" si="5"/>
        <v>0</v>
      </c>
      <c r="Z18" s="375" t="str">
        <f>'25'!Z18</f>
        <v>SALT</v>
      </c>
      <c r="AA18" s="464">
        <f>'25'!AE18</f>
        <v>0</v>
      </c>
      <c r="AB18" s="460"/>
      <c r="AC18" s="462">
        <f t="shared" si="6"/>
        <v>0</v>
      </c>
      <c r="AD18" s="469"/>
      <c r="AE18" s="348">
        <f t="shared" si="7"/>
        <v>0</v>
      </c>
      <c r="AF18" s="563">
        <f>'25'!AF18+'26'!AB18</f>
        <v>1500</v>
      </c>
      <c r="AG18" s="234">
        <f>'25'!AG18+'26'!AD18</f>
        <v>1500</v>
      </c>
      <c r="AI18" s="1079"/>
      <c r="AJ18" s="1080"/>
    </row>
    <row r="19" spans="1:36" ht="27" customHeight="1" thickBot="1">
      <c r="A19" s="719"/>
      <c r="B19" s="529"/>
      <c r="C19" s="350"/>
      <c r="D19" s="550"/>
      <c r="F19" s="479" t="str">
        <f>'25'!F19</f>
        <v>GHULAM QUETTA</v>
      </c>
      <c r="G19" s="406">
        <f>'CUSTOMERS REPORT'!Y471</f>
        <v>0</v>
      </c>
      <c r="H19" s="504">
        <f>'CUSTOMERS REPORT'!Z471</f>
        <v>0</v>
      </c>
      <c r="I19" s="406">
        <f>'CUSTOMERS REPORT'!AA471</f>
        <v>0</v>
      </c>
      <c r="J19" s="498">
        <f>'CUSTOMERS REPORT'!AB471</f>
        <v>0</v>
      </c>
      <c r="K19" s="498">
        <f>'CUSTOMERS REPORT'!AC471</f>
        <v>0</v>
      </c>
      <c r="L19" s="509">
        <f>'CUSTOMERS REPORT'!AD471</f>
        <v>0</v>
      </c>
      <c r="M19" s="414">
        <f>'25'!M19+'26'!G19</f>
        <v>0</v>
      </c>
      <c r="N19" s="412">
        <f>'25'!N19+'26'!J19</f>
        <v>0</v>
      </c>
      <c r="P19" s="433"/>
      <c r="Q19" s="437"/>
      <c r="S19" s="400" t="str">
        <f>'25'!S19</f>
        <v>RUBBER</v>
      </c>
      <c r="T19" s="446">
        <f>'25'!X19</f>
        <v>0</v>
      </c>
      <c r="U19" s="456"/>
      <c r="V19" s="451">
        <f t="shared" si="4"/>
        <v>0</v>
      </c>
      <c r="W19" s="451"/>
      <c r="X19" s="447">
        <f t="shared" si="5"/>
        <v>0</v>
      </c>
      <c r="Z19" s="375" t="str">
        <f>'25'!Z19</f>
        <v>NAVEED</v>
      </c>
      <c r="AA19" s="464">
        <f>'25'!AE19</f>
        <v>0</v>
      </c>
      <c r="AB19" s="460"/>
      <c r="AC19" s="462">
        <f t="shared" si="6"/>
        <v>0</v>
      </c>
      <c r="AD19" s="469"/>
      <c r="AE19" s="348">
        <f t="shared" si="7"/>
        <v>0</v>
      </c>
      <c r="AF19" s="563">
        <f>'25'!AF19+'26'!AB19</f>
        <v>0</v>
      </c>
      <c r="AG19" s="234">
        <f>'25'!AG19+'26'!AD19</f>
        <v>0</v>
      </c>
    </row>
    <row r="20" spans="1:36" ht="27" customHeight="1" thickTop="1" thickBot="1">
      <c r="A20" s="719"/>
      <c r="B20" s="529"/>
      <c r="C20" s="350"/>
      <c r="D20" s="550"/>
      <c r="F20" s="479" t="str">
        <f>'25'!F20</f>
        <v>HUSSAN GWADAR</v>
      </c>
      <c r="G20" s="406">
        <f>'CUSTOMERS REPORT'!Y507</f>
        <v>0</v>
      </c>
      <c r="H20" s="504">
        <f>'CUSTOMERS REPORT'!Z507</f>
        <v>0</v>
      </c>
      <c r="I20" s="406">
        <f>'CUSTOMERS REPORT'!AA507</f>
        <v>0</v>
      </c>
      <c r="J20" s="498">
        <f>'CUSTOMERS REPORT'!AB507</f>
        <v>0</v>
      </c>
      <c r="K20" s="498">
        <f>'CUSTOMERS REPORT'!AC507</f>
        <v>0</v>
      </c>
      <c r="L20" s="509">
        <f>'CUSTOMERS REPORT'!AD507</f>
        <v>0</v>
      </c>
      <c r="M20" s="414">
        <f>'25'!M20+'26'!G20</f>
        <v>0</v>
      </c>
      <c r="N20" s="412">
        <f>'25'!N20+'26'!J20</f>
        <v>0</v>
      </c>
      <c r="P20" s="433"/>
      <c r="Q20" s="437"/>
      <c r="S20" s="400" t="str">
        <f>'25'!S20</f>
        <v>SALT</v>
      </c>
      <c r="T20" s="446">
        <f>'25'!X20</f>
        <v>250</v>
      </c>
      <c r="U20" s="456"/>
      <c r="V20" s="451">
        <f t="shared" si="0"/>
        <v>250</v>
      </c>
      <c r="W20" s="451"/>
      <c r="X20" s="447">
        <f t="shared" si="1"/>
        <v>250</v>
      </c>
      <c r="Z20" s="375" t="str">
        <f>'25'!Z20</f>
        <v>YOUSUF BHAI</v>
      </c>
      <c r="AA20" s="464">
        <f>'25'!AE20</f>
        <v>-107300</v>
      </c>
      <c r="AB20" s="460"/>
      <c r="AC20" s="462">
        <f t="shared" si="2"/>
        <v>-107300</v>
      </c>
      <c r="AD20" s="469"/>
      <c r="AE20" s="348">
        <f t="shared" si="3"/>
        <v>-107300</v>
      </c>
      <c r="AF20" s="563">
        <f>'25'!AF20+'26'!AB20</f>
        <v>447100</v>
      </c>
      <c r="AG20" s="234">
        <f>'25'!AG20+'26'!AD20</f>
        <v>554400</v>
      </c>
      <c r="AI20" s="1487" t="s">
        <v>132</v>
      </c>
      <c r="AJ20" s="1488"/>
    </row>
    <row r="21" spans="1:36" ht="27" customHeight="1" thickTop="1" thickBot="1">
      <c r="A21" s="720"/>
      <c r="B21" s="530"/>
      <c r="C21" s="531"/>
      <c r="D21" s="553"/>
      <c r="F21" s="479" t="str">
        <f>'25'!F21</f>
        <v>AQASH S KOT</v>
      </c>
      <c r="G21" s="406">
        <f>'CUSTOMERS REPORT'!Y544</f>
        <v>0</v>
      </c>
      <c r="H21" s="504">
        <f>'CUSTOMERS REPORT'!Z544</f>
        <v>0</v>
      </c>
      <c r="I21" s="406">
        <f>'CUSTOMERS REPORT'!AA544</f>
        <v>0</v>
      </c>
      <c r="J21" s="498">
        <f>'CUSTOMERS REPORT'!AB544</f>
        <v>0</v>
      </c>
      <c r="K21" s="498">
        <f>'CUSTOMERS REPORT'!AC544</f>
        <v>0</v>
      </c>
      <c r="L21" s="509">
        <f>'CUSTOMERS REPORT'!AD544</f>
        <v>0</v>
      </c>
      <c r="M21" s="414">
        <f>'25'!M21+'26'!G21</f>
        <v>0</v>
      </c>
      <c r="N21" s="412">
        <f>'25'!N21+'26'!J21</f>
        <v>0</v>
      </c>
      <c r="P21" s="433"/>
      <c r="Q21" s="435"/>
      <c r="S21" s="400" t="str">
        <f>'25'!S21</f>
        <v>TAPE</v>
      </c>
      <c r="T21" s="446">
        <f>'25'!X21</f>
        <v>0</v>
      </c>
      <c r="U21" s="456"/>
      <c r="V21" s="451">
        <f t="shared" si="0"/>
        <v>0</v>
      </c>
      <c r="W21" s="451"/>
      <c r="X21" s="447">
        <f t="shared" si="1"/>
        <v>0</v>
      </c>
      <c r="Z21" s="375" t="str">
        <f>'25'!Z21</f>
        <v>SULEMAN  PRINT</v>
      </c>
      <c r="AA21" s="464">
        <f>'25'!AE21</f>
        <v>-312000</v>
      </c>
      <c r="AB21" s="460"/>
      <c r="AC21" s="462">
        <f t="shared" si="2"/>
        <v>-312000</v>
      </c>
      <c r="AD21" s="469"/>
      <c r="AE21" s="348">
        <f t="shared" si="3"/>
        <v>-312000</v>
      </c>
      <c r="AF21" s="563">
        <f>'25'!AF21+'26'!AB21</f>
        <v>0</v>
      </c>
      <c r="AG21" s="234">
        <f>'25'!AG21+'26'!AD21</f>
        <v>312000</v>
      </c>
      <c r="AI21" s="391" t="s">
        <v>126</v>
      </c>
      <c r="AJ21" s="392">
        <f>'25'!AJ23</f>
        <v>187200</v>
      </c>
    </row>
    <row r="22" spans="1:36" ht="27" customHeight="1" thickTop="1" thickBot="1">
      <c r="A22" s="486" t="s">
        <v>74</v>
      </c>
      <c r="B22" s="533">
        <f>SUM(B8:B21)</f>
        <v>240000</v>
      </c>
      <c r="C22" s="534">
        <f>'25'!D22</f>
        <v>3252660</v>
      </c>
      <c r="D22" s="535">
        <f t="shared" ref="D22" si="8">B22+C22</f>
        <v>3492660</v>
      </c>
      <c r="F22" s="479" t="str">
        <f>'25'!F22</f>
        <v>SALEEM T JAM</v>
      </c>
      <c r="G22" s="406">
        <f>'CUSTOMERS REPORT'!Y582</f>
        <v>0</v>
      </c>
      <c r="H22" s="504">
        <f>'CUSTOMERS REPORT'!Z582</f>
        <v>0</v>
      </c>
      <c r="I22" s="406">
        <f>'CUSTOMERS REPORT'!AA582</f>
        <v>0</v>
      </c>
      <c r="J22" s="498">
        <f>'CUSTOMERS REPORT'!AB582</f>
        <v>0</v>
      </c>
      <c r="K22" s="498">
        <f>'CUSTOMERS REPORT'!AC582</f>
        <v>0</v>
      </c>
      <c r="L22" s="509">
        <f>'CUSTOMERS REPORT'!AD582</f>
        <v>0</v>
      </c>
      <c r="M22" s="414">
        <f>'25'!M22+'26'!G22</f>
        <v>0</v>
      </c>
      <c r="N22" s="412">
        <f>'25'!N22+'26'!J22</f>
        <v>0</v>
      </c>
      <c r="P22" s="433"/>
      <c r="Q22" s="438"/>
      <c r="S22" s="400" t="str">
        <f>'25'!S22</f>
        <v>COTTON</v>
      </c>
      <c r="T22" s="446">
        <f>'25'!X22</f>
        <v>220</v>
      </c>
      <c r="U22" s="456"/>
      <c r="V22" s="451">
        <f t="shared" si="0"/>
        <v>220</v>
      </c>
      <c r="W22" s="451"/>
      <c r="X22" s="447">
        <f t="shared" si="1"/>
        <v>220</v>
      </c>
      <c r="Z22" s="375" t="str">
        <f>'25'!Z22</f>
        <v>IRFAN VANILA</v>
      </c>
      <c r="AA22" s="464">
        <f>'25'!AE22</f>
        <v>-110000</v>
      </c>
      <c r="AB22" s="460"/>
      <c r="AC22" s="462">
        <f t="shared" si="2"/>
        <v>-110000</v>
      </c>
      <c r="AD22" s="469"/>
      <c r="AE22" s="348">
        <f t="shared" si="3"/>
        <v>-110000</v>
      </c>
      <c r="AF22" s="563">
        <f>'25'!AF22+'26'!AB22</f>
        <v>0</v>
      </c>
      <c r="AG22" s="234">
        <f>'25'!AG22+'26'!AD22</f>
        <v>110000</v>
      </c>
      <c r="AI22" s="393">
        <f>R56</f>
        <v>13</v>
      </c>
      <c r="AJ22" s="394">
        <f>R56*1800</f>
        <v>23400</v>
      </c>
    </row>
    <row r="23" spans="1:36" ht="27" customHeight="1" thickTop="1" thickBot="1">
      <c r="A23" s="715" t="str">
        <f>'25'!A23</f>
        <v>OFFICE FOOD</v>
      </c>
      <c r="B23" s="462">
        <v>350</v>
      </c>
      <c r="C23" s="536">
        <f>'25'!D23</f>
        <v>2990</v>
      </c>
      <c r="D23" s="537">
        <f t="shared" ref="D23:D48" si="9">B23+C23</f>
        <v>3340</v>
      </c>
      <c r="F23" s="479" t="str">
        <f>'25'!F23</f>
        <v>JAMSHAD BADEEN</v>
      </c>
      <c r="G23" s="406">
        <f>'CUSTOMERS REPORT'!Y618</f>
        <v>0</v>
      </c>
      <c r="H23" s="504">
        <f>'CUSTOMERS REPORT'!Z618</f>
        <v>0</v>
      </c>
      <c r="I23" s="406">
        <f>'CUSTOMERS REPORT'!AA618</f>
        <v>0</v>
      </c>
      <c r="J23" s="498">
        <f>'CUSTOMERS REPORT'!AB618</f>
        <v>0</v>
      </c>
      <c r="K23" s="498">
        <f>'CUSTOMERS REPORT'!AC618</f>
        <v>0</v>
      </c>
      <c r="L23" s="509">
        <f>'CUSTOMERS REPORT'!AD618</f>
        <v>0</v>
      </c>
      <c r="M23" s="414">
        <f>'25'!M23+'26'!G23</f>
        <v>0</v>
      </c>
      <c r="N23" s="412">
        <f>'25'!N23+'26'!J23</f>
        <v>0</v>
      </c>
      <c r="P23" s="190" t="s">
        <v>48</v>
      </c>
      <c r="Q23" s="439">
        <f>SUM(Q8:Q22)</f>
        <v>0</v>
      </c>
      <c r="S23" s="400" t="str">
        <f>'25'!S23</f>
        <v>WHITE 6</v>
      </c>
      <c r="T23" s="446">
        <f>'25'!X23</f>
        <v>0</v>
      </c>
      <c r="U23" s="456"/>
      <c r="V23" s="451">
        <f t="shared" si="0"/>
        <v>0</v>
      </c>
      <c r="W23" s="451"/>
      <c r="X23" s="447">
        <f t="shared" si="1"/>
        <v>0</v>
      </c>
      <c r="Z23" s="375" t="str">
        <f>'25'!Z23</f>
        <v>IRANI GHEE</v>
      </c>
      <c r="AA23" s="464">
        <f>'25'!AE23</f>
        <v>0</v>
      </c>
      <c r="AB23" s="460"/>
      <c r="AC23" s="462">
        <f t="shared" si="2"/>
        <v>0</v>
      </c>
      <c r="AD23" s="469"/>
      <c r="AE23" s="348">
        <f t="shared" si="3"/>
        <v>0</v>
      </c>
      <c r="AF23" s="563">
        <f>'25'!AF23+'26'!AB23</f>
        <v>0</v>
      </c>
      <c r="AG23" s="234">
        <f>'25'!AG23+'26'!AD23</f>
        <v>0</v>
      </c>
      <c r="AH23">
        <v>736</v>
      </c>
      <c r="AI23" s="395" t="s">
        <v>74</v>
      </c>
      <c r="AJ23" s="396">
        <f>AJ21+AJ22</f>
        <v>210600</v>
      </c>
    </row>
    <row r="24" spans="1:36" ht="27" customHeight="1" thickTop="1" thickBot="1">
      <c r="A24" s="715" t="str">
        <f>'25'!A24</f>
        <v>LABOUR FOOD EXP</v>
      </c>
      <c r="B24" s="234">
        <v>1000</v>
      </c>
      <c r="C24" s="348">
        <f>'25'!D24</f>
        <v>30000</v>
      </c>
      <c r="D24" s="234">
        <f t="shared" si="9"/>
        <v>31000</v>
      </c>
      <c r="F24" s="479" t="str">
        <f>'25'!F24</f>
        <v>SARFAZ MP</v>
      </c>
      <c r="G24" s="406">
        <f>'CUSTOMERS REPORT'!Y656</f>
        <v>0</v>
      </c>
      <c r="H24" s="504">
        <f>'CUSTOMERS REPORT'!Z656</f>
        <v>0</v>
      </c>
      <c r="I24" s="406">
        <f>'CUSTOMERS REPORT'!AA656</f>
        <v>0</v>
      </c>
      <c r="J24" s="498">
        <f>'CUSTOMERS REPORT'!AB656</f>
        <v>0</v>
      </c>
      <c r="K24" s="498">
        <f>'CUSTOMERS REPORT'!AC656</f>
        <v>0</v>
      </c>
      <c r="L24" s="509">
        <f>'CUSTOMERS REPORT'!AD656</f>
        <v>0</v>
      </c>
      <c r="M24" s="414">
        <f>'25'!M24+'26'!G24</f>
        <v>0</v>
      </c>
      <c r="N24" s="412">
        <f>'25'!N24+'26'!J24</f>
        <v>0</v>
      </c>
      <c r="P24" s="1514" t="s">
        <v>137</v>
      </c>
      <c r="Q24" s="1514"/>
      <c r="R24" t="s">
        <v>1</v>
      </c>
      <c r="S24" s="400" t="str">
        <f>'25'!S24</f>
        <v>ORANGE</v>
      </c>
      <c r="T24" s="446">
        <f>'25'!X24</f>
        <v>0</v>
      </c>
      <c r="U24" s="456"/>
      <c r="V24" s="451">
        <f t="shared" si="0"/>
        <v>0</v>
      </c>
      <c r="W24" s="451"/>
      <c r="X24" s="447">
        <f t="shared" si="1"/>
        <v>0</v>
      </c>
      <c r="Z24" s="375">
        <f>'25'!Z24</f>
        <v>0</v>
      </c>
      <c r="AA24" s="464">
        <f>'25'!AE24</f>
        <v>0</v>
      </c>
      <c r="AB24" s="460"/>
      <c r="AC24" s="462">
        <f t="shared" si="2"/>
        <v>0</v>
      </c>
      <c r="AD24" s="469"/>
      <c r="AE24" s="348">
        <f t="shared" si="3"/>
        <v>0</v>
      </c>
      <c r="AF24" s="563">
        <f>'25'!AF24+'26'!AB24</f>
        <v>0</v>
      </c>
      <c r="AG24" s="234">
        <f>'25'!AG24+'26'!AD24</f>
        <v>0</v>
      </c>
    </row>
    <row r="25" spans="1:36" ht="27" customHeight="1" thickTop="1" thickBot="1">
      <c r="A25" s="715" t="str">
        <f>'25'!A25</f>
        <v>OFFICE SALARY</v>
      </c>
      <c r="B25" s="234">
        <f>ATTENDANCE!BA28</f>
        <v>0</v>
      </c>
      <c r="C25" s="348">
        <f>'25'!D25</f>
        <v>37000</v>
      </c>
      <c r="D25" s="234">
        <f t="shared" si="9"/>
        <v>37000</v>
      </c>
      <c r="F25" s="479" t="str">
        <f>'25'!F25</f>
        <v>AFZAL MATLI</v>
      </c>
      <c r="G25" s="406">
        <f>'CUSTOMERS REPORT'!Y694</f>
        <v>0</v>
      </c>
      <c r="H25" s="504">
        <f>'CUSTOMERS REPORT'!Z694</f>
        <v>0</v>
      </c>
      <c r="I25" s="406">
        <f>'CUSTOMERS REPORT'!AA694</f>
        <v>0</v>
      </c>
      <c r="J25" s="498">
        <f>'CUSTOMERS REPORT'!AB694</f>
        <v>0</v>
      </c>
      <c r="K25" s="498">
        <f>'CUSTOMERS REPORT'!AC694</f>
        <v>0</v>
      </c>
      <c r="L25" s="509">
        <f>'CUSTOMERS REPORT'!AD694</f>
        <v>0</v>
      </c>
      <c r="M25" s="414">
        <f>'25'!M25+'26'!G25</f>
        <v>0</v>
      </c>
      <c r="N25" s="412">
        <f>'25'!N25+'26'!J25</f>
        <v>0</v>
      </c>
      <c r="P25" s="434"/>
      <c r="Q25" s="440"/>
      <c r="S25" s="400" t="str">
        <f>'25'!S25</f>
        <v>MAKKI 7</v>
      </c>
      <c r="T25" s="446">
        <f>'25'!X25</f>
        <v>0</v>
      </c>
      <c r="U25" s="456"/>
      <c r="V25" s="451">
        <f t="shared" si="0"/>
        <v>0</v>
      </c>
      <c r="W25" s="451"/>
      <c r="X25" s="447">
        <f t="shared" si="1"/>
        <v>0</v>
      </c>
      <c r="Z25" s="375">
        <f>'25'!Z25</f>
        <v>0</v>
      </c>
      <c r="AA25" s="464">
        <f>'25'!AE25</f>
        <v>0</v>
      </c>
      <c r="AB25" s="460"/>
      <c r="AC25" s="462">
        <f t="shared" si="2"/>
        <v>0</v>
      </c>
      <c r="AD25" s="469"/>
      <c r="AE25" s="348">
        <f t="shared" si="3"/>
        <v>0</v>
      </c>
      <c r="AF25" s="563">
        <f>'25'!AF25+'26'!AB25</f>
        <v>0</v>
      </c>
      <c r="AG25" s="234">
        <f>'25'!AG25+'26'!AD25</f>
        <v>0</v>
      </c>
      <c r="AI25" s="397" t="s">
        <v>59</v>
      </c>
      <c r="AJ25" s="398">
        <f>AJ23-AJ10</f>
        <v>24780</v>
      </c>
    </row>
    <row r="26" spans="1:36" ht="27" customHeight="1" thickTop="1">
      <c r="A26" s="715" t="str">
        <f>'25'!A26</f>
        <v>LABOUR SALARY</v>
      </c>
      <c r="B26" s="234">
        <f>SUM('SALERY SHEET'!BB97:BC97)</f>
        <v>4000</v>
      </c>
      <c r="C26" s="348">
        <f>'25'!D26</f>
        <v>181820</v>
      </c>
      <c r="D26" s="234">
        <f t="shared" si="9"/>
        <v>185820</v>
      </c>
      <c r="F26" s="479" t="str">
        <f>'25'!F26</f>
        <v xml:space="preserve">ABDUL RASHEED </v>
      </c>
      <c r="G26" s="406">
        <f>'CUSTOMERS REPORT'!Y732</f>
        <v>0</v>
      </c>
      <c r="H26" s="504">
        <f>'CUSTOMERS REPORT'!Z732</f>
        <v>0</v>
      </c>
      <c r="I26" s="406">
        <f>'CUSTOMERS REPORT'!AA732</f>
        <v>0</v>
      </c>
      <c r="J26" s="498">
        <f>'CUSTOMERS REPORT'!AB732</f>
        <v>0</v>
      </c>
      <c r="K26" s="498">
        <f>'CUSTOMERS REPORT'!AC732</f>
        <v>0</v>
      </c>
      <c r="L26" s="509">
        <f>'CUSTOMERS REPORT'!AD732</f>
        <v>0</v>
      </c>
      <c r="M26" s="414">
        <f>'25'!M26+'26'!G26</f>
        <v>0</v>
      </c>
      <c r="N26" s="412">
        <f>'25'!N26+'26'!J26</f>
        <v>0</v>
      </c>
      <c r="P26" s="433"/>
      <c r="Q26" s="438"/>
      <c r="R26" t="s">
        <v>1</v>
      </c>
      <c r="S26" s="400" t="str">
        <f>'25'!S26</f>
        <v>BLUE 125 GM</v>
      </c>
      <c r="T26" s="446">
        <f>'25'!X26</f>
        <v>0</v>
      </c>
      <c r="U26" s="456"/>
      <c r="V26" s="451">
        <f t="shared" si="0"/>
        <v>0</v>
      </c>
      <c r="W26" s="451"/>
      <c r="X26" s="447">
        <f t="shared" si="1"/>
        <v>0</v>
      </c>
      <c r="Z26" s="375">
        <f>'25'!Z26</f>
        <v>0</v>
      </c>
      <c r="AA26" s="464">
        <f>'25'!AE26</f>
        <v>0</v>
      </c>
      <c r="AB26" s="460"/>
      <c r="AC26" s="462">
        <f t="shared" si="2"/>
        <v>0</v>
      </c>
      <c r="AD26" s="469"/>
      <c r="AE26" s="348">
        <f t="shared" si="3"/>
        <v>0</v>
      </c>
      <c r="AF26" s="563">
        <f>'25'!AF26+'26'!AB26</f>
        <v>0</v>
      </c>
      <c r="AG26" s="234">
        <f>'25'!AG26+'26'!AD26</f>
        <v>0</v>
      </c>
    </row>
    <row r="27" spans="1:36" ht="27" customHeight="1">
      <c r="A27" s="715" t="str">
        <f>'25'!A27</f>
        <v>SHAHZORE</v>
      </c>
      <c r="B27" s="234">
        <v>5250</v>
      </c>
      <c r="C27" s="348">
        <f>'25'!D27</f>
        <v>0</v>
      </c>
      <c r="D27" s="234">
        <f t="shared" si="9"/>
        <v>5250</v>
      </c>
      <c r="F27" s="479" t="str">
        <f>'25'!F27</f>
        <v>SALEEM ORANGI</v>
      </c>
      <c r="G27" s="406">
        <f>'CUSTOMERS REPORT'!Y770</f>
        <v>0</v>
      </c>
      <c r="H27" s="504">
        <f>'CUSTOMERS REPORT'!Z770</f>
        <v>0</v>
      </c>
      <c r="I27" s="406">
        <f>'CUSTOMERS REPORT'!AA770</f>
        <v>0</v>
      </c>
      <c r="J27" s="498">
        <f>'CUSTOMERS REPORT'!AB770</f>
        <v>0</v>
      </c>
      <c r="K27" s="498">
        <f>'CUSTOMERS REPORT'!AC770</f>
        <v>0</v>
      </c>
      <c r="L27" s="509">
        <f>'CUSTOMERS REPORT'!AD770</f>
        <v>0</v>
      </c>
      <c r="M27" s="414">
        <f>'25'!M27+'26'!G27</f>
        <v>0</v>
      </c>
      <c r="N27" s="412">
        <f>'25'!N27+'26'!J27</f>
        <v>0</v>
      </c>
      <c r="P27" s="433"/>
      <c r="Q27" s="435"/>
      <c r="R27" t="s">
        <v>1</v>
      </c>
      <c r="S27" s="400" t="str">
        <f>'25'!S27</f>
        <v>MAKKI 5</v>
      </c>
      <c r="T27" s="446">
        <f>'25'!X27</f>
        <v>0</v>
      </c>
      <c r="U27" s="456"/>
      <c r="V27" s="451">
        <f t="shared" si="0"/>
        <v>0</v>
      </c>
      <c r="W27" s="451"/>
      <c r="X27" s="447">
        <f t="shared" si="1"/>
        <v>0</v>
      </c>
      <c r="Z27" s="375">
        <f>'25'!Z27</f>
        <v>0</v>
      </c>
      <c r="AA27" s="464">
        <f>'25'!AE27</f>
        <v>0</v>
      </c>
      <c r="AB27" s="460"/>
      <c r="AC27" s="462">
        <f t="shared" si="2"/>
        <v>0</v>
      </c>
      <c r="AD27" s="469"/>
      <c r="AE27" s="348">
        <f t="shared" si="3"/>
        <v>0</v>
      </c>
      <c r="AF27" s="563">
        <f>'25'!AF27+'26'!AB27</f>
        <v>0</v>
      </c>
      <c r="AG27" s="234">
        <f>'25'!AG27+'26'!AD27</f>
        <v>0</v>
      </c>
    </row>
    <row r="28" spans="1:36" ht="27" customHeight="1">
      <c r="A28" s="715" t="str">
        <f>'25'!A28</f>
        <v>GENERATOR</v>
      </c>
      <c r="B28" s="234">
        <v>850</v>
      </c>
      <c r="C28" s="348">
        <f>'25'!D28</f>
        <v>43700</v>
      </c>
      <c r="D28" s="234">
        <f t="shared" si="9"/>
        <v>44550</v>
      </c>
      <c r="F28" s="479" t="str">
        <f>'25'!F28</f>
        <v>AYAZ OUSTA</v>
      </c>
      <c r="G28" s="406">
        <f>'CUSTOMERS REPORT'!Y808</f>
        <v>0</v>
      </c>
      <c r="H28" s="504">
        <f>'CUSTOMERS REPORT'!Z808</f>
        <v>0</v>
      </c>
      <c r="I28" s="406">
        <f>'CUSTOMERS REPORT'!AA808</f>
        <v>0</v>
      </c>
      <c r="J28" s="498">
        <f>'CUSTOMERS REPORT'!AB808</f>
        <v>0</v>
      </c>
      <c r="K28" s="498">
        <f>'CUSTOMERS REPORT'!AC808</f>
        <v>0</v>
      </c>
      <c r="L28" s="509">
        <f>'CUSTOMERS REPORT'!AD808</f>
        <v>0</v>
      </c>
      <c r="M28" s="414">
        <f>'25'!M28+'26'!G28</f>
        <v>0</v>
      </c>
      <c r="N28" s="412">
        <f>'25'!N28+'26'!J28</f>
        <v>0</v>
      </c>
      <c r="P28" s="433"/>
      <c r="Q28" s="438"/>
      <c r="S28" s="400" t="str">
        <f>'25'!S28</f>
        <v>MAKKI 2 PES</v>
      </c>
      <c r="T28" s="446">
        <f>'25'!X28</f>
        <v>0</v>
      </c>
      <c r="U28" s="456"/>
      <c r="V28" s="451">
        <f t="shared" si="0"/>
        <v>0</v>
      </c>
      <c r="W28" s="451"/>
      <c r="X28" s="447">
        <f t="shared" si="1"/>
        <v>0</v>
      </c>
      <c r="Z28" s="375">
        <f>'25'!Z28</f>
        <v>0</v>
      </c>
      <c r="AA28" s="464">
        <f>'25'!AE28</f>
        <v>0</v>
      </c>
      <c r="AB28" s="460"/>
      <c r="AC28" s="462">
        <f t="shared" si="2"/>
        <v>0</v>
      </c>
      <c r="AD28" s="469"/>
      <c r="AE28" s="348">
        <f t="shared" si="3"/>
        <v>0</v>
      </c>
      <c r="AF28" s="563">
        <f>'25'!AF28+'26'!AB28</f>
        <v>0</v>
      </c>
      <c r="AG28" s="234">
        <f>'25'!AG28+'26'!AD28</f>
        <v>0</v>
      </c>
    </row>
    <row r="29" spans="1:36" ht="27" customHeight="1">
      <c r="A29" s="715" t="str">
        <f>'25'!A29</f>
        <v>PATROL FAW</v>
      </c>
      <c r="B29" s="234"/>
      <c r="C29" s="348">
        <f>'25'!D29</f>
        <v>30270</v>
      </c>
      <c r="D29" s="234">
        <f t="shared" si="9"/>
        <v>30270</v>
      </c>
      <c r="F29" s="479" t="str">
        <f>'25'!F29</f>
        <v>AZHAR BADEEN</v>
      </c>
      <c r="G29" s="406">
        <f>'CUSTOMERS REPORT'!Y846</f>
        <v>0</v>
      </c>
      <c r="H29" s="504">
        <f>'CUSTOMERS REPORT'!Z846</f>
        <v>0</v>
      </c>
      <c r="I29" s="406">
        <f>'CUSTOMERS REPORT'!AA846</f>
        <v>0</v>
      </c>
      <c r="J29" s="498">
        <f>'CUSTOMERS REPORT'!AB846</f>
        <v>0</v>
      </c>
      <c r="K29" s="498">
        <f>'CUSTOMERS REPORT'!AC846</f>
        <v>0</v>
      </c>
      <c r="L29" s="509">
        <f>'CUSTOMERS REPORT'!AD846</f>
        <v>0</v>
      </c>
      <c r="M29" s="414">
        <f>'25'!M29+'26'!G29</f>
        <v>0</v>
      </c>
      <c r="N29" s="412">
        <f>'25'!N29+'26'!J29</f>
        <v>0</v>
      </c>
      <c r="P29" s="433"/>
      <c r="Q29" s="441"/>
      <c r="S29" s="400" t="str">
        <f>'25'!S29</f>
        <v xml:space="preserve">PRIME </v>
      </c>
      <c r="T29" s="446">
        <f>'25'!X29</f>
        <v>0</v>
      </c>
      <c r="U29" s="456"/>
      <c r="V29" s="451">
        <f t="shared" si="0"/>
        <v>0</v>
      </c>
      <c r="W29" s="451"/>
      <c r="X29" s="447">
        <f t="shared" si="1"/>
        <v>0</v>
      </c>
      <c r="Z29" s="375">
        <f>'25'!Z29</f>
        <v>0</v>
      </c>
      <c r="AA29" s="464">
        <f>'25'!AE29</f>
        <v>0</v>
      </c>
      <c r="AB29" s="460"/>
      <c r="AC29" s="462">
        <f t="shared" si="2"/>
        <v>0</v>
      </c>
      <c r="AD29" s="469"/>
      <c r="AE29" s="348">
        <f t="shared" si="3"/>
        <v>0</v>
      </c>
      <c r="AF29" s="563">
        <f>'25'!AF29+'26'!AB29</f>
        <v>0</v>
      </c>
      <c r="AG29" s="234">
        <f>'25'!AG29+'26'!AD29</f>
        <v>0</v>
      </c>
    </row>
    <row r="30" spans="1:36" ht="27" customHeight="1">
      <c r="A30" s="715" t="str">
        <f>'25'!A30</f>
        <v>FOTON DIESEL</v>
      </c>
      <c r="B30" s="234"/>
      <c r="C30" s="348">
        <f>'25'!D30</f>
        <v>15800</v>
      </c>
      <c r="D30" s="234">
        <f t="shared" si="9"/>
        <v>15800</v>
      </c>
      <c r="F30" s="479" t="str">
        <f>'25'!F30</f>
        <v>FAISAL HUB</v>
      </c>
      <c r="G30" s="406">
        <f>'CUSTOMERS REPORT'!Y884</f>
        <v>0</v>
      </c>
      <c r="H30" s="504">
        <f>'CUSTOMERS REPORT'!Z884</f>
        <v>0</v>
      </c>
      <c r="I30" s="406">
        <f>'CUSTOMERS REPORT'!AA884</f>
        <v>0</v>
      </c>
      <c r="J30" s="498">
        <f>'CUSTOMERS REPORT'!AB884</f>
        <v>0</v>
      </c>
      <c r="K30" s="498">
        <f>'CUSTOMERS REPORT'!AC884</f>
        <v>0</v>
      </c>
      <c r="L30" s="509">
        <f>'CUSTOMERS REPORT'!AD884</f>
        <v>0</v>
      </c>
      <c r="M30" s="414">
        <f>'25'!M30+'26'!G30</f>
        <v>0</v>
      </c>
      <c r="N30" s="412">
        <f>'25'!N30+'26'!J30</f>
        <v>0</v>
      </c>
      <c r="P30" s="433"/>
      <c r="Q30" s="442"/>
      <c r="S30" s="400" t="str">
        <f>'25'!S30</f>
        <v>PRIMR 15</v>
      </c>
      <c r="T30" s="446">
        <f>'25'!X30</f>
        <v>0</v>
      </c>
      <c r="U30" s="456"/>
      <c r="V30" s="451">
        <f t="shared" si="0"/>
        <v>0</v>
      </c>
      <c r="W30" s="451"/>
      <c r="X30" s="447">
        <f t="shared" si="1"/>
        <v>0</v>
      </c>
      <c r="Z30" s="375">
        <f>'25'!Z30</f>
        <v>0</v>
      </c>
      <c r="AA30" s="464">
        <f>'25'!AE30</f>
        <v>0</v>
      </c>
      <c r="AB30" s="460"/>
      <c r="AC30" s="462">
        <f t="shared" si="2"/>
        <v>0</v>
      </c>
      <c r="AD30" s="469"/>
      <c r="AE30" s="348">
        <f t="shared" si="3"/>
        <v>0</v>
      </c>
      <c r="AF30" s="563">
        <f>'25'!AF30+'26'!AB30</f>
        <v>0</v>
      </c>
      <c r="AG30" s="234">
        <f>'25'!AG30+'26'!AD30</f>
        <v>0</v>
      </c>
    </row>
    <row r="31" spans="1:36" ht="27" customHeight="1" thickBot="1">
      <c r="A31" s="715" t="str">
        <f>'25'!A31</f>
        <v>UTILITY BILLS</v>
      </c>
      <c r="B31" s="234"/>
      <c r="C31" s="348">
        <f>'25'!D31</f>
        <v>44420</v>
      </c>
      <c r="D31" s="234">
        <f t="shared" si="9"/>
        <v>44420</v>
      </c>
      <c r="F31" s="479" t="str">
        <f>'25'!F31</f>
        <v>ABDUL RAHMAN</v>
      </c>
      <c r="G31" s="406">
        <f>'CUSTOMERS REPORT'!Y923</f>
        <v>0</v>
      </c>
      <c r="H31" s="504">
        <f>'CUSTOMERS REPORT'!Z923</f>
        <v>0</v>
      </c>
      <c r="I31" s="406">
        <f>'CUSTOMERS REPORT'!AA923</f>
        <v>0</v>
      </c>
      <c r="J31" s="498">
        <f>'CUSTOMERS REPORT'!AB923</f>
        <v>0</v>
      </c>
      <c r="K31" s="498">
        <f>'CUSTOMERS REPORT'!AC923</f>
        <v>0</v>
      </c>
      <c r="L31" s="509">
        <f>'CUSTOMERS REPORT'!AD923</f>
        <v>0</v>
      </c>
      <c r="M31" s="414">
        <f>'25'!M31+'26'!G31</f>
        <v>0</v>
      </c>
      <c r="N31" s="412">
        <f>'25'!N31+'26'!J31</f>
        <v>0</v>
      </c>
      <c r="P31" s="433"/>
      <c r="Q31" s="435"/>
      <c r="S31" s="400" t="str">
        <f>'25'!S31</f>
        <v>KARACHI</v>
      </c>
      <c r="T31" s="446">
        <f>'25'!X31</f>
        <v>0</v>
      </c>
      <c r="U31" s="456"/>
      <c r="V31" s="451">
        <f t="shared" si="0"/>
        <v>0</v>
      </c>
      <c r="W31" s="451"/>
      <c r="X31" s="447">
        <f t="shared" si="1"/>
        <v>0</v>
      </c>
      <c r="Z31" s="375">
        <f>'25'!Z31</f>
        <v>0</v>
      </c>
      <c r="AA31" s="464">
        <f>'25'!AE31</f>
        <v>0</v>
      </c>
      <c r="AB31" s="460"/>
      <c r="AC31" s="462">
        <f t="shared" si="2"/>
        <v>0</v>
      </c>
      <c r="AD31" s="469"/>
      <c r="AE31" s="348">
        <f t="shared" si="3"/>
        <v>0</v>
      </c>
      <c r="AF31" s="563">
        <f>'25'!AF31+'26'!AB31</f>
        <v>0</v>
      </c>
      <c r="AG31" s="234">
        <f>'25'!AG31+'26'!AD31</f>
        <v>0</v>
      </c>
      <c r="AI31" t="s">
        <v>1</v>
      </c>
    </row>
    <row r="32" spans="1:36" ht="27" customHeight="1" thickTop="1" thickBot="1">
      <c r="A32" s="715" t="str">
        <f>'25'!A32</f>
        <v>WOOD</v>
      </c>
      <c r="B32" s="234"/>
      <c r="C32" s="348">
        <f>'25'!D32</f>
        <v>150000</v>
      </c>
      <c r="D32" s="234">
        <f t="shared" si="9"/>
        <v>150000</v>
      </c>
      <c r="F32" s="479" t="str">
        <f>'25'!F32</f>
        <v>HAJI JAN GIWANI</v>
      </c>
      <c r="G32" s="406">
        <f>'CUSTOMERS REPORT'!Y962</f>
        <v>0</v>
      </c>
      <c r="H32" s="504">
        <f>'CUSTOMERS REPORT'!Z962</f>
        <v>0</v>
      </c>
      <c r="I32" s="406">
        <f>'CUSTOMERS REPORT'!AA962</f>
        <v>0</v>
      </c>
      <c r="J32" s="498">
        <f>'CUSTOMERS REPORT'!AB962</f>
        <v>0</v>
      </c>
      <c r="K32" s="498">
        <f>'CUSTOMERS REPORT'!AC962</f>
        <v>0</v>
      </c>
      <c r="L32" s="509">
        <f>'CUSTOMERS REPORT'!AD962</f>
        <v>0</v>
      </c>
      <c r="M32" s="414">
        <f>'25'!M32+'26'!G32</f>
        <v>0</v>
      </c>
      <c r="N32" s="412">
        <f>'25'!N32+'26'!J32</f>
        <v>0</v>
      </c>
      <c r="P32" s="190" t="s">
        <v>51</v>
      </c>
      <c r="Q32" s="439">
        <f>Q23-Q25-Q26-Q27-Q28-Q29-Q30-Q31</f>
        <v>0</v>
      </c>
      <c r="R32" t="s">
        <v>1</v>
      </c>
      <c r="S32" s="400" t="str">
        <f>'25'!S32</f>
        <v>MARVI</v>
      </c>
      <c r="T32" s="446">
        <f>'25'!X32</f>
        <v>0</v>
      </c>
      <c r="U32" s="456"/>
      <c r="V32" s="451">
        <f t="shared" si="0"/>
        <v>0</v>
      </c>
      <c r="W32" s="451"/>
      <c r="X32" s="447">
        <f t="shared" si="1"/>
        <v>0</v>
      </c>
      <c r="Z32" s="375">
        <f>'25'!Z32</f>
        <v>0</v>
      </c>
      <c r="AA32" s="464">
        <f>'25'!AE32</f>
        <v>0</v>
      </c>
      <c r="AB32" s="460"/>
      <c r="AC32" s="462">
        <f t="shared" si="2"/>
        <v>0</v>
      </c>
      <c r="AD32" s="469"/>
      <c r="AE32" s="348">
        <f t="shared" si="3"/>
        <v>0</v>
      </c>
      <c r="AF32" s="563">
        <f>'25'!AF32+'26'!AB32</f>
        <v>0</v>
      </c>
      <c r="AG32" s="234">
        <f>'25'!AG32+'26'!AD32</f>
        <v>0</v>
      </c>
    </row>
    <row r="33" spans="1:40" ht="27" customHeight="1" thickTop="1" thickBot="1">
      <c r="A33" s="716" t="str">
        <f>'25'!A33</f>
        <v>TOLL</v>
      </c>
      <c r="B33" s="538"/>
      <c r="C33" s="548">
        <f>'25'!D33</f>
        <v>200</v>
      </c>
      <c r="D33" s="234">
        <f t="shared" si="9"/>
        <v>200</v>
      </c>
      <c r="F33" s="479" t="str">
        <f>'25'!F33</f>
        <v>ALI QURESHI HYD</v>
      </c>
      <c r="G33" s="406">
        <f>'CUSTOMERS REPORT'!Y1000</f>
        <v>0</v>
      </c>
      <c r="H33" s="504">
        <f>'CUSTOMERS REPORT'!Z1000</f>
        <v>0</v>
      </c>
      <c r="I33" s="406">
        <f>'CUSTOMERS REPORT'!AA1000</f>
        <v>0</v>
      </c>
      <c r="J33" s="498">
        <f>'CUSTOMERS REPORT'!AB1000</f>
        <v>0</v>
      </c>
      <c r="K33" s="498">
        <f>'CUSTOMERS REPORT'!AC1000</f>
        <v>0</v>
      </c>
      <c r="L33" s="509">
        <f>'CUSTOMERS REPORT'!AD1000</f>
        <v>0</v>
      </c>
      <c r="M33" s="414">
        <f>'25'!M33+'26'!G33</f>
        <v>0</v>
      </c>
      <c r="N33" s="412">
        <f>'25'!N33+'26'!J33</f>
        <v>0</v>
      </c>
      <c r="P33" s="1499" t="s">
        <v>149</v>
      </c>
      <c r="Q33" s="1500"/>
      <c r="S33" s="400" t="str">
        <f>'25'!S33</f>
        <v>TS</v>
      </c>
      <c r="T33" s="446">
        <f>'25'!X33</f>
        <v>0</v>
      </c>
      <c r="U33" s="456"/>
      <c r="V33" s="451">
        <f t="shared" si="0"/>
        <v>0</v>
      </c>
      <c r="W33" s="451"/>
      <c r="X33" s="447">
        <f t="shared" si="1"/>
        <v>0</v>
      </c>
      <c r="Z33" s="375">
        <f>'25'!Z33</f>
        <v>0</v>
      </c>
      <c r="AA33" s="464">
        <f>'25'!AE33</f>
        <v>0</v>
      </c>
      <c r="AB33" s="460">
        <f>'SHAKEEL RUSK'!D33+'SHAKEEL RUSK'!G33</f>
        <v>0</v>
      </c>
      <c r="AC33" s="462">
        <f t="shared" si="2"/>
        <v>0</v>
      </c>
      <c r="AD33" s="469"/>
      <c r="AE33" s="348">
        <f t="shared" si="3"/>
        <v>0</v>
      </c>
      <c r="AF33" s="563">
        <f>'25'!AF33+'26'!AB33</f>
        <v>0</v>
      </c>
      <c r="AG33" s="234">
        <f>'25'!AG33+'26'!AD33</f>
        <v>0</v>
      </c>
    </row>
    <row r="34" spans="1:40" ht="27" customHeight="1" thickTop="1" thickBot="1">
      <c r="A34" s="715" t="str">
        <f>'25'!A34</f>
        <v>FLOUR / SHGER</v>
      </c>
      <c r="B34" s="538">
        <v>80</v>
      </c>
      <c r="C34" s="348">
        <f>'25'!D34</f>
        <v>1120</v>
      </c>
      <c r="D34" s="234">
        <f t="shared" si="9"/>
        <v>1200</v>
      </c>
      <c r="F34" s="479" t="str">
        <f>'25'!F34</f>
        <v>ALI RAZA KAND KOT</v>
      </c>
      <c r="G34" s="406">
        <f>'CUSTOMERS REPORT'!Y1038</f>
        <v>0</v>
      </c>
      <c r="H34" s="504">
        <f>'CUSTOMERS REPORT'!Z1038</f>
        <v>0</v>
      </c>
      <c r="I34" s="406">
        <f>'CUSTOMERS REPORT'!AA1038</f>
        <v>0</v>
      </c>
      <c r="J34" s="498">
        <f>'CUSTOMERS REPORT'!AB1038</f>
        <v>0</v>
      </c>
      <c r="K34" s="498">
        <f>'CUSTOMERS REPORT'!AC1038</f>
        <v>0</v>
      </c>
      <c r="L34" s="509">
        <f>'CUSTOMERS REPORT'!AD1038</f>
        <v>0</v>
      </c>
      <c r="M34" s="414">
        <f>'25'!M34+'26'!G34</f>
        <v>0</v>
      </c>
      <c r="N34" s="412">
        <f>'25'!N34+'26'!J34</f>
        <v>0</v>
      </c>
      <c r="P34" s="220" t="s">
        <v>150</v>
      </c>
      <c r="Q34" s="223">
        <f>'25'!Q34</f>
        <v>0</v>
      </c>
      <c r="S34" s="400" t="str">
        <f>'25'!S34</f>
        <v>MAXI</v>
      </c>
      <c r="T34" s="446">
        <f>'25'!X34</f>
        <v>0</v>
      </c>
      <c r="U34" s="457"/>
      <c r="V34" s="452">
        <f t="shared" si="0"/>
        <v>0</v>
      </c>
      <c r="W34" s="452"/>
      <c r="X34" s="448">
        <f t="shared" si="1"/>
        <v>0</v>
      </c>
      <c r="Z34" s="375">
        <f>'25'!Z34</f>
        <v>0</v>
      </c>
      <c r="AA34" s="464">
        <f>'25'!AE34</f>
        <v>0</v>
      </c>
      <c r="AB34" s="460"/>
      <c r="AC34" s="462">
        <f t="shared" si="2"/>
        <v>0</v>
      </c>
      <c r="AD34" s="469"/>
      <c r="AE34" s="348">
        <f t="shared" si="3"/>
        <v>0</v>
      </c>
      <c r="AF34" s="563">
        <f>'25'!AF34+'26'!AB34</f>
        <v>0</v>
      </c>
      <c r="AG34" s="234">
        <f>'25'!AG34+'26'!AD34</f>
        <v>0</v>
      </c>
    </row>
    <row r="35" spans="1:40" ht="27" customHeight="1" thickTop="1">
      <c r="A35" s="716" t="str">
        <f>'25'!A35</f>
        <v>OVEN &amp; PP MACHINE</v>
      </c>
      <c r="B35" s="529"/>
      <c r="C35" s="348">
        <f>'25'!D35</f>
        <v>0</v>
      </c>
      <c r="D35" s="529">
        <f t="shared" si="9"/>
        <v>0</v>
      </c>
      <c r="F35" s="479" t="str">
        <f>'25'!F35</f>
        <v>IQBAL MORO</v>
      </c>
      <c r="G35" s="407">
        <f>'CUSTOMERS REPORT'!Y1076</f>
        <v>0</v>
      </c>
      <c r="H35" s="505">
        <f>'CUSTOMERS REPORT'!Z1076</f>
        <v>0</v>
      </c>
      <c r="I35" s="407">
        <f>'CUSTOMERS REPORT'!AA1076</f>
        <v>0</v>
      </c>
      <c r="J35" s="499">
        <f>'CUSTOMERS REPORT'!AB1076</f>
        <v>0</v>
      </c>
      <c r="K35" s="499">
        <f>'CUSTOMERS REPORT'!AC1076</f>
        <v>0</v>
      </c>
      <c r="L35" s="510">
        <f>'CUSTOMERS REPORT'!AD1076</f>
        <v>0</v>
      </c>
      <c r="M35" s="414">
        <f>'25'!M35+'26'!G35</f>
        <v>0</v>
      </c>
      <c r="N35" s="412">
        <f>'25'!N35+'26'!J35</f>
        <v>0</v>
      </c>
      <c r="P35" s="252" t="s">
        <v>151</v>
      </c>
      <c r="Q35" s="443">
        <f>'25'!Q35</f>
        <v>0</v>
      </c>
      <c r="R35" t="s">
        <v>1</v>
      </c>
      <c r="S35" s="400" t="str">
        <f>'25'!S35</f>
        <v>M A WHITE</v>
      </c>
      <c r="T35" s="446">
        <f>'25'!X35</f>
        <v>0</v>
      </c>
      <c r="U35" s="457"/>
      <c r="V35" s="452">
        <f t="shared" si="0"/>
        <v>0</v>
      </c>
      <c r="W35" s="452"/>
      <c r="X35" s="448">
        <f t="shared" si="1"/>
        <v>0</v>
      </c>
      <c r="Z35" s="375">
        <f>'25'!Z35</f>
        <v>0</v>
      </c>
      <c r="AA35" s="464">
        <f>'25'!AE35</f>
        <v>0</v>
      </c>
      <c r="AB35" s="460"/>
      <c r="AC35" s="462">
        <f t="shared" si="2"/>
        <v>0</v>
      </c>
      <c r="AD35" s="469"/>
      <c r="AE35" s="348">
        <f t="shared" si="3"/>
        <v>0</v>
      </c>
      <c r="AF35" s="563">
        <f>'25'!AF35+'26'!AB35</f>
        <v>0</v>
      </c>
      <c r="AG35" s="234">
        <f>'25'!AG35+'26'!AD35</f>
        <v>0</v>
      </c>
    </row>
    <row r="36" spans="1:40" ht="27" customHeight="1">
      <c r="A36" s="716" t="str">
        <f>'25'!A36</f>
        <v>zakat</v>
      </c>
      <c r="B36" s="539"/>
      <c r="C36" s="348">
        <f>'25'!D36</f>
        <v>0</v>
      </c>
      <c r="D36" s="529">
        <f t="shared" si="9"/>
        <v>0</v>
      </c>
      <c r="F36" s="479" t="str">
        <f>'25'!F36</f>
        <v>SARFARAZ T ADAM</v>
      </c>
      <c r="G36" s="407">
        <f>'CUSTOMERS REPORT'!Y1114</f>
        <v>0</v>
      </c>
      <c r="H36" s="505">
        <f>'CUSTOMERS REPORT'!Z1114</f>
        <v>0</v>
      </c>
      <c r="I36" s="407">
        <f>'CUSTOMERS REPORT'!AA1114</f>
        <v>0</v>
      </c>
      <c r="J36" s="499">
        <f>'CUSTOMERS REPORT'!AB1114</f>
        <v>0</v>
      </c>
      <c r="K36" s="499">
        <f>'CUSTOMERS REPORT'!AC1114</f>
        <v>0</v>
      </c>
      <c r="L36" s="510">
        <f>'CUSTOMERS REPORT'!AD1114</f>
        <v>0</v>
      </c>
      <c r="M36" s="414">
        <f>'25'!M36+'26'!G36</f>
        <v>0</v>
      </c>
      <c r="N36" s="412">
        <f>'25'!N36+'26'!J36</f>
        <v>0</v>
      </c>
      <c r="P36" s="372" t="s">
        <v>152</v>
      </c>
      <c r="Q36" s="444">
        <f>J48</f>
        <v>0</v>
      </c>
      <c r="R36" t="s">
        <v>1</v>
      </c>
      <c r="S36" s="400" t="str">
        <f>'25'!S36</f>
        <v>M A ORING</v>
      </c>
      <c r="T36" s="446">
        <f>'25'!X36</f>
        <v>0</v>
      </c>
      <c r="U36" s="456"/>
      <c r="V36" s="451">
        <f t="shared" si="0"/>
        <v>0</v>
      </c>
      <c r="W36" s="452"/>
      <c r="X36" s="448">
        <f t="shared" si="1"/>
        <v>0</v>
      </c>
      <c r="Z36" s="375">
        <f>'25'!Z36</f>
        <v>0</v>
      </c>
      <c r="AA36" s="464">
        <f>'25'!AE36</f>
        <v>0</v>
      </c>
      <c r="AB36" s="460"/>
      <c r="AC36" s="462">
        <f t="shared" si="2"/>
        <v>0</v>
      </c>
      <c r="AD36" s="469"/>
      <c r="AE36" s="348">
        <f t="shared" si="3"/>
        <v>0</v>
      </c>
      <c r="AF36" s="563">
        <f>'25'!AF36+'26'!AB36</f>
        <v>0</v>
      </c>
      <c r="AG36" s="234">
        <f>'25'!AG36+'26'!AD36</f>
        <v>0</v>
      </c>
    </row>
    <row r="37" spans="1:40" ht="27" customHeight="1">
      <c r="A37" s="716" t="str">
        <f>'25'!A37</f>
        <v>javeed manghopir</v>
      </c>
      <c r="B37" s="234"/>
      <c r="C37" s="348">
        <f>'25'!D37</f>
        <v>0</v>
      </c>
      <c r="D37" s="234">
        <f t="shared" si="9"/>
        <v>0</v>
      </c>
      <c r="F37" s="479" t="str">
        <f>'25'!F37</f>
        <v>MUMTAZ K N SHAH</v>
      </c>
      <c r="G37" s="406">
        <f>'CUSTOMERS REPORT'!Y1152</f>
        <v>0</v>
      </c>
      <c r="H37" s="504">
        <f>'CUSTOMERS REPORT'!Z1152</f>
        <v>0</v>
      </c>
      <c r="I37" s="406">
        <f>'CUSTOMERS REPORT'!AA1152</f>
        <v>0</v>
      </c>
      <c r="J37" s="498">
        <f>'CUSTOMERS REPORT'!AB1152</f>
        <v>0</v>
      </c>
      <c r="K37" s="498">
        <f>'CUSTOMERS REPORT'!AC1152</f>
        <v>0</v>
      </c>
      <c r="L37" s="509">
        <f>'CUSTOMERS REPORT'!AD1152</f>
        <v>0</v>
      </c>
      <c r="M37" s="414">
        <f>'25'!M37+'26'!G37</f>
        <v>0</v>
      </c>
      <c r="N37" s="412">
        <f>'25'!N37+'26'!J37</f>
        <v>0</v>
      </c>
      <c r="P37" s="373" t="s">
        <v>153</v>
      </c>
      <c r="Q37" s="445">
        <f>Q34+Q35+Q36</f>
        <v>0</v>
      </c>
      <c r="R37" t="s">
        <v>1</v>
      </c>
      <c r="S37" s="400">
        <f>'25'!S37</f>
        <v>0</v>
      </c>
      <c r="T37" s="446">
        <f>'25'!X37</f>
        <v>0</v>
      </c>
      <c r="U37" s="456"/>
      <c r="V37" s="451">
        <f t="shared" si="0"/>
        <v>0</v>
      </c>
      <c r="W37" s="452"/>
      <c r="X37" s="448">
        <f t="shared" si="1"/>
        <v>0</v>
      </c>
      <c r="Z37" s="375">
        <f>'25'!Z37</f>
        <v>0</v>
      </c>
      <c r="AA37" s="464">
        <f>'25'!AE37</f>
        <v>0</v>
      </c>
      <c r="AB37" s="460"/>
      <c r="AC37" s="462">
        <f t="shared" si="2"/>
        <v>0</v>
      </c>
      <c r="AD37" s="469"/>
      <c r="AE37" s="348">
        <f t="shared" si="3"/>
        <v>0</v>
      </c>
      <c r="AF37" s="563">
        <f>'25'!AF37+'26'!AB37</f>
        <v>0</v>
      </c>
      <c r="AG37" s="234">
        <f>'25'!AG37+'26'!AD37</f>
        <v>0</v>
      </c>
    </row>
    <row r="38" spans="1:40" ht="27" customHeight="1">
      <c r="A38" s="715" t="str">
        <f>'25'!A38</f>
        <v>EXSIS CASH</v>
      </c>
      <c r="B38" s="234"/>
      <c r="C38" s="348">
        <f>'25'!D38</f>
        <v>0</v>
      </c>
      <c r="D38" s="234">
        <f t="shared" si="9"/>
        <v>0</v>
      </c>
      <c r="F38" s="479" t="str">
        <f>'25'!F38</f>
        <v>GHULAM RASOOL QU</v>
      </c>
      <c r="G38" s="408">
        <f>'CUSTOMERS REPORT'!Y1189</f>
        <v>0</v>
      </c>
      <c r="H38" s="506">
        <f>'CUSTOMERS REPORT'!Z1189</f>
        <v>0</v>
      </c>
      <c r="I38" s="408">
        <f>'CUSTOMERS REPORT'!AA1189</f>
        <v>0</v>
      </c>
      <c r="J38" s="500">
        <f>'CUSTOMERS REPORT'!AB1189</f>
        <v>0</v>
      </c>
      <c r="K38" s="500">
        <f>'CUSTOMERS REPORT'!AC1189</f>
        <v>0</v>
      </c>
      <c r="L38" s="511">
        <f>'CUSTOMERS REPORT'!AD1189</f>
        <v>0</v>
      </c>
      <c r="M38" s="414">
        <f>'25'!M38+'26'!G38</f>
        <v>0</v>
      </c>
      <c r="N38" s="412">
        <f>'25'!N38+'26'!J38</f>
        <v>0</v>
      </c>
      <c r="P38" s="373" t="s">
        <v>154</v>
      </c>
      <c r="Q38" s="445">
        <f>D48</f>
        <v>4197970</v>
      </c>
      <c r="S38" s="400">
        <f>'25'!S38</f>
        <v>0</v>
      </c>
      <c r="T38" s="446">
        <f>'25'!X38</f>
        <v>0</v>
      </c>
      <c r="U38" s="456"/>
      <c r="V38" s="451">
        <f t="shared" si="0"/>
        <v>0</v>
      </c>
      <c r="W38" s="452"/>
      <c r="X38" s="448">
        <f t="shared" si="1"/>
        <v>0</v>
      </c>
      <c r="Z38" s="375">
        <f>'25'!Z38</f>
        <v>0</v>
      </c>
      <c r="AA38" s="464">
        <f>'25'!AE38</f>
        <v>0</v>
      </c>
      <c r="AB38" s="460"/>
      <c r="AC38" s="462">
        <f t="shared" si="2"/>
        <v>0</v>
      </c>
      <c r="AD38" s="469"/>
      <c r="AE38" s="348">
        <f t="shared" si="3"/>
        <v>0</v>
      </c>
      <c r="AF38" s="563">
        <f>'25'!AF38+'26'!AB38</f>
        <v>0</v>
      </c>
      <c r="AG38" s="234">
        <f>'25'!AG38+'26'!AD38</f>
        <v>0</v>
      </c>
    </row>
    <row r="39" spans="1:40" ht="27" customHeight="1">
      <c r="A39" s="715" t="str">
        <f>'25'!A39</f>
        <v>SHORT CASH</v>
      </c>
      <c r="B39" s="234"/>
      <c r="C39" s="348">
        <f>'25'!D39</f>
        <v>1950</v>
      </c>
      <c r="D39" s="550">
        <f t="shared" si="9"/>
        <v>1950</v>
      </c>
      <c r="F39" s="479" t="str">
        <f>'25'!F39</f>
        <v>SHAMSHAD UNCLE</v>
      </c>
      <c r="G39" s="406">
        <f>'CUSTOMERS REPORT'!Y1226</f>
        <v>0</v>
      </c>
      <c r="H39" s="504">
        <f>'CUSTOMERS REPORT'!Z1226</f>
        <v>0</v>
      </c>
      <c r="I39" s="406">
        <f>'CUSTOMERS REPORT'!AA1226</f>
        <v>0</v>
      </c>
      <c r="J39" s="498">
        <f>'CUSTOMERS REPORT'!AB1226</f>
        <v>0</v>
      </c>
      <c r="K39" s="498">
        <f>'CUSTOMERS REPORT'!AC1226</f>
        <v>0</v>
      </c>
      <c r="L39" s="509">
        <f>'CUSTOMERS REPORT'!AD1226</f>
        <v>0</v>
      </c>
      <c r="M39" s="414">
        <f>'25'!M39+'26'!G39</f>
        <v>0</v>
      </c>
      <c r="N39" s="412">
        <f>'25'!N39+'26'!J39</f>
        <v>0</v>
      </c>
      <c r="P39" s="373" t="s">
        <v>109</v>
      </c>
      <c r="Q39" s="445">
        <f>'25'!Q39+'26'!Q25+'26'!Q26+'26'!Q27+'26'!Q28+'26'!Q29+'26'!Q30+'26'!Q31</f>
        <v>0</v>
      </c>
      <c r="R39" t="s">
        <v>1</v>
      </c>
      <c r="S39" s="400">
        <f>'25'!S39</f>
        <v>0</v>
      </c>
      <c r="T39" s="446">
        <f>'25'!X39</f>
        <v>0</v>
      </c>
      <c r="U39" s="456"/>
      <c r="V39" s="451">
        <f t="shared" si="0"/>
        <v>0</v>
      </c>
      <c r="W39" s="452"/>
      <c r="X39" s="448">
        <f t="shared" si="1"/>
        <v>0</v>
      </c>
      <c r="Z39" s="375">
        <f>'25'!Z39</f>
        <v>0</v>
      </c>
      <c r="AA39" s="464">
        <f>'25'!AE39</f>
        <v>0</v>
      </c>
      <c r="AB39" s="460"/>
      <c r="AC39" s="462">
        <f t="shared" si="2"/>
        <v>0</v>
      </c>
      <c r="AD39" s="469"/>
      <c r="AE39" s="348">
        <f t="shared" si="3"/>
        <v>0</v>
      </c>
      <c r="AF39" s="563">
        <f>'25'!AF39+'26'!AB39</f>
        <v>0</v>
      </c>
      <c r="AG39" s="234">
        <f>'25'!AG39+'26'!AD39</f>
        <v>0</v>
      </c>
    </row>
    <row r="40" spans="1:40" ht="27" customHeight="1" thickBot="1">
      <c r="A40" s="715" t="str">
        <f>'25'!A40</f>
        <v>ASSETS</v>
      </c>
      <c r="B40" s="550"/>
      <c r="C40" s="348">
        <f>'25'!D40</f>
        <v>0</v>
      </c>
      <c r="D40" s="234">
        <f t="shared" si="9"/>
        <v>0</v>
      </c>
      <c r="F40" s="479" t="str">
        <f>'25'!F40</f>
        <v>IBRAHEEM D.G KHAN</v>
      </c>
      <c r="G40" s="406">
        <f>'CUSTOMERS REPORT'!Y1263</f>
        <v>0</v>
      </c>
      <c r="H40" s="504">
        <f>'CUSTOMERS REPORT'!Z1263</f>
        <v>0</v>
      </c>
      <c r="I40" s="406">
        <f>'CUSTOMERS REPORT'!AA1263</f>
        <v>0</v>
      </c>
      <c r="J40" s="498">
        <f>'CUSTOMERS REPORT'!AB1263</f>
        <v>0</v>
      </c>
      <c r="K40" s="498">
        <f>'CUSTOMERS REPORT'!AC1263</f>
        <v>0</v>
      </c>
      <c r="L40" s="509">
        <f>'CUSTOMERS REPORT'!AD1263</f>
        <v>0</v>
      </c>
      <c r="M40" s="414">
        <f>'25'!M40+'26'!G40</f>
        <v>0</v>
      </c>
      <c r="N40" s="412">
        <f>'25'!N40+'26'!J40</f>
        <v>0</v>
      </c>
      <c r="P40" s="374" t="s">
        <v>155</v>
      </c>
      <c r="Q40" s="445">
        <f>Q48</f>
        <v>-4197970</v>
      </c>
      <c r="S40" s="400">
        <f>'25'!S40</f>
        <v>0</v>
      </c>
      <c r="T40" s="446">
        <f>'25'!X40</f>
        <v>0</v>
      </c>
      <c r="U40" s="456"/>
      <c r="V40" s="451">
        <f t="shared" si="0"/>
        <v>0</v>
      </c>
      <c r="W40" s="452"/>
      <c r="X40" s="448">
        <f t="shared" si="1"/>
        <v>0</v>
      </c>
      <c r="Z40" s="375">
        <f>'25'!Z40</f>
        <v>0</v>
      </c>
      <c r="AA40" s="464">
        <f>'25'!AE40</f>
        <v>0</v>
      </c>
      <c r="AB40" s="460"/>
      <c r="AC40" s="462">
        <f t="shared" si="2"/>
        <v>0</v>
      </c>
      <c r="AD40" s="469"/>
      <c r="AE40" s="348">
        <f t="shared" si="3"/>
        <v>0</v>
      </c>
      <c r="AF40" s="563">
        <f>'25'!AF40+'26'!AB40</f>
        <v>0</v>
      </c>
      <c r="AG40" s="234">
        <f>'25'!AG40+'26'!AD40</f>
        <v>0</v>
      </c>
    </row>
    <row r="41" spans="1:40" ht="27" customHeight="1" thickTop="1" thickBot="1">
      <c r="A41" s="715" t="str">
        <f>'25'!A41</f>
        <v>BIKE.INSTALMINT</v>
      </c>
      <c r="B41" s="234"/>
      <c r="C41" s="348">
        <f>'25'!D41</f>
        <v>12200</v>
      </c>
      <c r="D41" s="234">
        <f t="shared" si="9"/>
        <v>12200</v>
      </c>
      <c r="E41" t="s">
        <v>1</v>
      </c>
      <c r="F41" s="479" t="str">
        <f>'25'!F41</f>
        <v>PISHAWAR</v>
      </c>
      <c r="G41" s="409">
        <f>'CUSTOMERS REPORT'!Y1300</f>
        <v>0</v>
      </c>
      <c r="H41" s="507">
        <f>'CUSTOMERS REPORT'!Z1300</f>
        <v>0</v>
      </c>
      <c r="I41" s="409">
        <f>'CUSTOMERS REPORT'!AA1300</f>
        <v>0</v>
      </c>
      <c r="J41" s="501">
        <f>'CUSTOMERS REPORT'!AB1300</f>
        <v>0</v>
      </c>
      <c r="K41" s="501">
        <f>'CUSTOMERS REPORT'!AC1300</f>
        <v>0</v>
      </c>
      <c r="L41" s="512">
        <f>'CUSTOMERS REPORT'!AD1300</f>
        <v>0</v>
      </c>
      <c r="M41" s="414">
        <f>'25'!M41+'26'!G41</f>
        <v>0</v>
      </c>
      <c r="N41" s="412">
        <f>'25'!N41+'26'!J41</f>
        <v>0</v>
      </c>
      <c r="P41" s="221" t="s">
        <v>51</v>
      </c>
      <c r="Q41" s="223">
        <f>Q37-Q38-Q39-Q40</f>
        <v>0</v>
      </c>
      <c r="S41" s="400">
        <f>'25'!S41</f>
        <v>0</v>
      </c>
      <c r="T41" s="446">
        <f>'25'!X41</f>
        <v>0</v>
      </c>
      <c r="U41" s="456"/>
      <c r="V41" s="451">
        <f t="shared" si="0"/>
        <v>0</v>
      </c>
      <c r="W41" s="452"/>
      <c r="X41" s="448">
        <f t="shared" si="1"/>
        <v>0</v>
      </c>
      <c r="Z41" s="375">
        <f>'25'!Z41</f>
        <v>0</v>
      </c>
      <c r="AA41" s="464">
        <f>'25'!AE41</f>
        <v>0</v>
      </c>
      <c r="AB41" s="460"/>
      <c r="AC41" s="462">
        <f t="shared" si="2"/>
        <v>0</v>
      </c>
      <c r="AD41" s="469"/>
      <c r="AE41" s="348">
        <f t="shared" si="3"/>
        <v>0</v>
      </c>
      <c r="AF41" s="563">
        <f>'25'!AF41+'26'!AB41</f>
        <v>0</v>
      </c>
      <c r="AG41" s="234">
        <f>'25'!AG41+'26'!AD41</f>
        <v>0</v>
      </c>
    </row>
    <row r="42" spans="1:40" ht="27" customHeight="1" thickTop="1" thickBot="1">
      <c r="A42" s="715" t="str">
        <f>'25'!A42</f>
        <v>B.C</v>
      </c>
      <c r="B42" s="529"/>
      <c r="C42" s="348">
        <f>'25'!D42</f>
        <v>0</v>
      </c>
      <c r="D42" s="529">
        <f t="shared" si="9"/>
        <v>0</v>
      </c>
      <c r="F42" s="479" t="str">
        <f>'25'!F42</f>
        <v>HUZAFA KOTRI</v>
      </c>
      <c r="G42" s="409">
        <f>'CUSTOMERS REPORT'!Y1337</f>
        <v>0</v>
      </c>
      <c r="H42" s="507">
        <f>'CUSTOMERS REPORT'!Z1337</f>
        <v>0</v>
      </c>
      <c r="I42" s="409">
        <f>'CUSTOMERS REPORT'!AA1337</f>
        <v>0</v>
      </c>
      <c r="J42" s="501">
        <f>'CUSTOMERS REPORT'!AB1337</f>
        <v>0</v>
      </c>
      <c r="K42" s="501">
        <f>'CUSTOMERS REPORT'!AC1337</f>
        <v>0</v>
      </c>
      <c r="L42" s="512">
        <f>'CUSTOMERS REPORT'!AD1337</f>
        <v>0</v>
      </c>
      <c r="M42" s="414">
        <f>'25'!M42+'26'!G42</f>
        <v>0</v>
      </c>
      <c r="N42" s="412">
        <f>'25'!N42+'26'!J42</f>
        <v>0</v>
      </c>
      <c r="P42" s="1499" t="s">
        <v>157</v>
      </c>
      <c r="Q42" s="1500"/>
      <c r="S42" s="400">
        <f>'25'!S42</f>
        <v>0</v>
      </c>
      <c r="T42" s="446">
        <f>'25'!X42</f>
        <v>0</v>
      </c>
      <c r="U42" s="458"/>
      <c r="V42" s="453">
        <f t="shared" si="0"/>
        <v>0</v>
      </c>
      <c r="W42" s="454"/>
      <c r="X42" s="449">
        <f t="shared" si="1"/>
        <v>0</v>
      </c>
      <c r="Z42" s="375">
        <f>'25'!Z42</f>
        <v>0</v>
      </c>
      <c r="AA42" s="464">
        <f>'25'!AE42</f>
        <v>0</v>
      </c>
      <c r="AB42" s="461"/>
      <c r="AC42" s="462">
        <f>AA42+AB42</f>
        <v>0</v>
      </c>
      <c r="AD42" s="470"/>
      <c r="AE42" s="348">
        <f t="shared" si="3"/>
        <v>0</v>
      </c>
      <c r="AF42" s="564">
        <f>'25'!AF42+'26'!AB42</f>
        <v>0</v>
      </c>
      <c r="AG42" s="572">
        <f>'25'!AG42+'26'!AD42</f>
        <v>0</v>
      </c>
    </row>
    <row r="43" spans="1:40" ht="27" customHeight="1" thickTop="1" thickBot="1">
      <c r="A43" s="715" t="str">
        <f>'25'!A43</f>
        <v>AQEEL</v>
      </c>
      <c r="B43" s="539"/>
      <c r="C43" s="348">
        <f>'25'!D43</f>
        <v>0</v>
      </c>
      <c r="D43" s="529">
        <f t="shared" si="9"/>
        <v>0</v>
      </c>
      <c r="F43" s="479" t="str">
        <f>'25'!F43</f>
        <v>ZAHID LAHORE</v>
      </c>
      <c r="G43" s="409">
        <f>'CUSTOMERS REPORT'!Y1374</f>
        <v>0</v>
      </c>
      <c r="H43" s="507">
        <f>'CUSTOMERS REPORT'!Z1374</f>
        <v>0</v>
      </c>
      <c r="I43" s="409">
        <f>'CUSTOMERS REPORT'!AA1374</f>
        <v>0</v>
      </c>
      <c r="J43" s="501">
        <f>'CUSTOMERS REPORT'!AB1374</f>
        <v>0</v>
      </c>
      <c r="K43" s="501">
        <f>'CUSTOMERS REPORT'!AC1374</f>
        <v>0</v>
      </c>
      <c r="L43" s="512">
        <f>'CUSTOMERS REPORT'!AD1374</f>
        <v>0</v>
      </c>
      <c r="M43" s="414">
        <f>'25'!M43+'26'!G43</f>
        <v>0</v>
      </c>
      <c r="N43" s="412">
        <f>'25'!N43+'26'!J43</f>
        <v>0</v>
      </c>
      <c r="P43" s="220" t="s">
        <v>124</v>
      </c>
      <c r="Q43" s="223">
        <f>'25'!Q48</f>
        <v>-3911340</v>
      </c>
      <c r="R43" t="s">
        <v>1</v>
      </c>
      <c r="S43" s="400">
        <f>'25'!S43</f>
        <v>0</v>
      </c>
      <c r="T43" s="446">
        <f>'25'!X43</f>
        <v>0</v>
      </c>
      <c r="U43" s="358"/>
      <c r="V43" s="453">
        <f t="shared" si="0"/>
        <v>0</v>
      </c>
      <c r="W43" s="403"/>
      <c r="X43" s="449">
        <f t="shared" si="1"/>
        <v>0</v>
      </c>
      <c r="Z43" s="383"/>
      <c r="AA43" s="356">
        <f>SUM(AA8:AA42)</f>
        <v>-1928350</v>
      </c>
      <c r="AB43" s="385">
        <f>SUM(AB8:AB42)</f>
        <v>149000</v>
      </c>
      <c r="AC43" s="357" t="s">
        <v>74</v>
      </c>
      <c r="AD43" s="387">
        <f>SUM(AD8:AD42)</f>
        <v>207000</v>
      </c>
      <c r="AE43" s="358">
        <f>SUM(AE8:AE42)</f>
        <v>-1986350</v>
      </c>
      <c r="AF43" s="565">
        <f>SUM(AF8:AF42)</f>
        <v>1424750</v>
      </c>
      <c r="AG43" s="571">
        <f>SUM(AG8:AG42)</f>
        <v>3411100</v>
      </c>
    </row>
    <row r="44" spans="1:40" ht="27" customHeight="1" thickTop="1">
      <c r="A44" s="715" t="str">
        <f>'25'!A44</f>
        <v>M.YOUSUF</v>
      </c>
      <c r="B44" s="234">
        <v>5100</v>
      </c>
      <c r="C44" s="348">
        <f>'25'!D44</f>
        <v>60000</v>
      </c>
      <c r="D44" s="234">
        <f t="shared" si="9"/>
        <v>65100</v>
      </c>
      <c r="F44" s="479" t="str">
        <f>'25'!F44</f>
        <v>CASH SALE</v>
      </c>
      <c r="G44" s="409">
        <f>'CUSTOMERS REPORT'!Y1411</f>
        <v>0</v>
      </c>
      <c r="H44" s="507">
        <f>'CUSTOMERS REPORT'!Z1411</f>
        <v>0</v>
      </c>
      <c r="I44" s="409">
        <f>'CUSTOMERS REPORT'!AA1411</f>
        <v>0</v>
      </c>
      <c r="J44" s="501">
        <f>'CUSTOMERS REPORT'!AB1411</f>
        <v>0</v>
      </c>
      <c r="K44" s="501">
        <f>'CUSTOMERS REPORT'!AC1411</f>
        <v>0</v>
      </c>
      <c r="L44" s="512">
        <f>'CUSTOMERS REPORT'!AD1411</f>
        <v>0</v>
      </c>
      <c r="M44" s="414">
        <f>'25'!M44+'26'!G44</f>
        <v>0</v>
      </c>
      <c r="N44" s="412">
        <f>'25'!N44+'26'!J44</f>
        <v>0</v>
      </c>
      <c r="P44" s="222" t="s">
        <v>114</v>
      </c>
      <c r="Q44" s="377">
        <f>J46</f>
        <v>0</v>
      </c>
      <c r="S44" s="400"/>
      <c r="T44" s="348"/>
      <c r="U44" s="306"/>
      <c r="V44" s="349"/>
      <c r="W44" s="351"/>
      <c r="X44" s="350"/>
      <c r="Z44" s="375"/>
      <c r="AA44" s="339"/>
      <c r="AB44" s="386">
        <f>'25'!AB45</f>
        <v>1275750</v>
      </c>
      <c r="AC44" s="340" t="s">
        <v>126</v>
      </c>
      <c r="AD44" s="388">
        <f>'25'!AD45</f>
        <v>3204100</v>
      </c>
      <c r="AE44" s="341"/>
      <c r="AF44" s="561"/>
      <c r="AG44" s="83" t="s">
        <v>1</v>
      </c>
    </row>
    <row r="45" spans="1:40" ht="27" customHeight="1" thickBot="1">
      <c r="A45" s="715" t="str">
        <f>'25'!A45</f>
        <v>SHAKEEL</v>
      </c>
      <c r="B45" s="234">
        <f>5000+25000</f>
        <v>30000</v>
      </c>
      <c r="C45" s="348">
        <f>'25'!D45</f>
        <v>47210</v>
      </c>
      <c r="D45" s="234">
        <f t="shared" si="9"/>
        <v>77210</v>
      </c>
      <c r="F45" s="479" t="str">
        <f>'25'!F45</f>
        <v xml:space="preserve">FREE </v>
      </c>
      <c r="G45" s="410">
        <f>'CUSTOMERS REPORT'!Y1447</f>
        <v>0</v>
      </c>
      <c r="H45" s="362">
        <f>'CUSTOMERS REPORT'!Z1447</f>
        <v>0</v>
      </c>
      <c r="I45" s="410">
        <f>'CUSTOMERS REPORT'!AA1447</f>
        <v>0</v>
      </c>
      <c r="J45" s="502">
        <f>'CUSTOMERS REPORT'!AB1447</f>
        <v>0</v>
      </c>
      <c r="K45" s="502">
        <f>'CUSTOMERS REPORT'!AC1447</f>
        <v>0</v>
      </c>
      <c r="L45" s="513">
        <f>'CUSTOMERS REPORT'!AD1447</f>
        <v>0</v>
      </c>
      <c r="M45" s="414">
        <f>'25'!M45+'26'!G45</f>
        <v>0</v>
      </c>
      <c r="N45" s="412">
        <f>'25'!N45+'26'!J45</f>
        <v>0</v>
      </c>
      <c r="P45" s="222" t="s">
        <v>153</v>
      </c>
      <c r="Q45" s="378">
        <f>Q43+Q44</f>
        <v>-3911340</v>
      </c>
      <c r="S45" s="401"/>
      <c r="T45" s="352"/>
      <c r="U45" s="307"/>
      <c r="V45" s="353"/>
      <c r="W45" s="354"/>
      <c r="X45" s="355"/>
      <c r="Z45" s="384"/>
      <c r="AA45" s="359"/>
      <c r="AB45" s="390">
        <f>SUM(AB43:AB44)</f>
        <v>1424750</v>
      </c>
      <c r="AC45" s="360" t="s">
        <v>74</v>
      </c>
      <c r="AD45" s="389">
        <f>SUM(AD43:AD44)</f>
        <v>3411100</v>
      </c>
      <c r="AE45" s="361"/>
      <c r="AF45" s="562"/>
      <c r="AG45" s="573"/>
    </row>
    <row r="46" spans="1:40" ht="27" customHeight="1" thickTop="1" thickBot="1">
      <c r="A46" s="715" t="str">
        <f>'25'!A46</f>
        <v>ZAHID HUSSAN</v>
      </c>
      <c r="B46" s="234"/>
      <c r="C46" s="348">
        <f>'25'!D46</f>
        <v>0</v>
      </c>
      <c r="D46" s="234">
        <f t="shared" si="9"/>
        <v>0</v>
      </c>
      <c r="F46" s="369"/>
      <c r="G46" s="424">
        <f>SUM(G8:G45)</f>
        <v>0</v>
      </c>
      <c r="H46" s="1497" t="s">
        <v>160</v>
      </c>
      <c r="I46" s="1498"/>
      <c r="J46" s="421">
        <f>SUM(J8:J45)</f>
        <v>0</v>
      </c>
      <c r="K46" s="427">
        <f>SUM(K8:K45)</f>
        <v>0</v>
      </c>
      <c r="L46" s="431">
        <f>SUM(L8:L45)</f>
        <v>0</v>
      </c>
      <c r="M46" s="429">
        <f>SUM(M8:M45)</f>
        <v>0</v>
      </c>
      <c r="N46" s="430">
        <f>SUM(N8:N45)</f>
        <v>0</v>
      </c>
      <c r="P46" s="222" t="s">
        <v>154</v>
      </c>
      <c r="Q46" s="378">
        <f>B48</f>
        <v>286630</v>
      </c>
    </row>
    <row r="47" spans="1:40" ht="27" customHeight="1" thickBot="1">
      <c r="A47" s="715" t="str">
        <f>'25'!A47</f>
        <v xml:space="preserve">INVESTOR </v>
      </c>
      <c r="B47" s="540"/>
      <c r="C47" s="348">
        <f>'25'!D47</f>
        <v>0</v>
      </c>
      <c r="D47" s="542">
        <f t="shared" si="9"/>
        <v>0</v>
      </c>
      <c r="F47" s="370"/>
      <c r="G47" s="425">
        <f>'25'!G48</f>
        <v>0</v>
      </c>
      <c r="H47" s="1512" t="s">
        <v>162</v>
      </c>
      <c r="I47" s="1513"/>
      <c r="J47" s="423">
        <f>'25'!J48</f>
        <v>0</v>
      </c>
      <c r="K47" s="423">
        <f>'25'!K48</f>
        <v>0</v>
      </c>
      <c r="L47" s="343"/>
      <c r="M47" s="344"/>
      <c r="N47" s="345"/>
      <c r="P47" s="375" t="s">
        <v>163</v>
      </c>
      <c r="Q47" s="378">
        <f>Q9+Q10+Q19+Q20+Q21+Q22</f>
        <v>0</v>
      </c>
      <c r="R47" s="19"/>
      <c r="S47" s="1489" t="s">
        <v>92</v>
      </c>
      <c r="T47" s="1516" t="s">
        <v>95</v>
      </c>
      <c r="U47" s="1518"/>
      <c r="V47" s="1518"/>
      <c r="W47" s="1517"/>
      <c r="X47" s="1516" t="s">
        <v>7</v>
      </c>
      <c r="Y47" s="1518"/>
      <c r="Z47" s="1517"/>
      <c r="AA47" s="1516" t="s">
        <v>8</v>
      </c>
      <c r="AB47" s="1517"/>
      <c r="AC47" s="1516" t="s">
        <v>9</v>
      </c>
      <c r="AD47" s="1518"/>
      <c r="AE47" s="1518"/>
      <c r="AF47" s="1518"/>
      <c r="AG47" s="1518"/>
      <c r="AH47" s="1518"/>
      <c r="AI47" s="1518"/>
      <c r="AJ47" s="1405" t="s">
        <v>10</v>
      </c>
      <c r="AK47" s="1406"/>
      <c r="AL47" s="1400" t="s">
        <v>289</v>
      </c>
      <c r="AM47" s="1401"/>
      <c r="AN47" s="842" t="s">
        <v>290</v>
      </c>
    </row>
    <row r="48" spans="1:40" ht="27" customHeight="1" thickTop="1" thickBot="1">
      <c r="A48" s="192" t="s">
        <v>74</v>
      </c>
      <c r="B48" s="544">
        <f>SUM(B22:B47)</f>
        <v>286630</v>
      </c>
      <c r="C48" s="543">
        <f>'25'!D48</f>
        <v>3911340</v>
      </c>
      <c r="D48" s="544">
        <f t="shared" si="9"/>
        <v>4197970</v>
      </c>
      <c r="F48" s="371"/>
      <c r="G48" s="426">
        <f>G46+G47</f>
        <v>0</v>
      </c>
      <c r="H48" s="1495" t="s">
        <v>164</v>
      </c>
      <c r="I48" s="1496"/>
      <c r="J48" s="422">
        <f>J46+J47</f>
        <v>0</v>
      </c>
      <c r="K48" s="428">
        <f>K46+K47</f>
        <v>0</v>
      </c>
      <c r="L48" s="346"/>
      <c r="M48" s="347"/>
      <c r="N48" s="622">
        <f>G48-J48</f>
        <v>0</v>
      </c>
      <c r="P48" s="376" t="s">
        <v>155</v>
      </c>
      <c r="Q48" s="379">
        <f>Q45-Q46-Q47</f>
        <v>-4197970</v>
      </c>
      <c r="R48" s="19"/>
      <c r="S48" s="1490"/>
      <c r="T48" s="482" t="s">
        <v>12</v>
      </c>
      <c r="U48" s="482" t="s">
        <v>13</v>
      </c>
      <c r="V48" s="482" t="s">
        <v>14</v>
      </c>
      <c r="W48" s="958" t="s">
        <v>263</v>
      </c>
      <c r="X48" s="482" t="s">
        <v>12</v>
      </c>
      <c r="Y48" s="482" t="s">
        <v>13</v>
      </c>
      <c r="Z48" s="482" t="s">
        <v>282</v>
      </c>
      <c r="AA48" s="482" t="s">
        <v>12</v>
      </c>
      <c r="AB48" s="482" t="s">
        <v>16</v>
      </c>
      <c r="AC48" s="482" t="s">
        <v>17</v>
      </c>
      <c r="AD48" s="482" t="s">
        <v>18</v>
      </c>
      <c r="AE48" s="482" t="s">
        <v>19</v>
      </c>
      <c r="AF48" s="484" t="s">
        <v>96</v>
      </c>
      <c r="AG48" s="484" t="s">
        <v>257</v>
      </c>
      <c r="AH48" s="482" t="s">
        <v>254</v>
      </c>
      <c r="AI48" s="482" t="s">
        <v>20</v>
      </c>
      <c r="AJ48" s="483" t="s">
        <v>14</v>
      </c>
      <c r="AK48" s="482" t="s">
        <v>13</v>
      </c>
      <c r="AL48" s="846" t="s">
        <v>284</v>
      </c>
      <c r="AM48" s="846" t="s">
        <v>288</v>
      </c>
      <c r="AN48" s="966" t="s">
        <v>291</v>
      </c>
    </row>
    <row r="49" spans="1:40" ht="24.95" customHeight="1" thickTop="1" thickBot="1">
      <c r="Q49" s="111">
        <f>Q48+Q41</f>
        <v>-4197970</v>
      </c>
      <c r="R49" s="19"/>
      <c r="S49" s="865" t="s">
        <v>165</v>
      </c>
      <c r="T49" s="866">
        <f>'25'!T55</f>
        <v>0</v>
      </c>
      <c r="U49" s="866">
        <f>'25'!U55</f>
        <v>0</v>
      </c>
      <c r="V49" s="866">
        <f>'25'!V55</f>
        <v>123</v>
      </c>
      <c r="W49" s="866">
        <f>'25'!W55</f>
        <v>19</v>
      </c>
      <c r="X49" s="866">
        <f>'25'!X55</f>
        <v>0</v>
      </c>
      <c r="Y49" s="866">
        <f>'25'!Y55</f>
        <v>0</v>
      </c>
      <c r="Z49" s="866">
        <f>'25'!Z55</f>
        <v>-3</v>
      </c>
      <c r="AA49" s="866">
        <f>'25'!AA55</f>
        <v>2522</v>
      </c>
      <c r="AB49" s="866">
        <f>'25'!AB55</f>
        <v>170</v>
      </c>
      <c r="AC49" s="866">
        <f>'25'!AC55</f>
        <v>2623</v>
      </c>
      <c r="AD49" s="866">
        <f>'25'!AD55</f>
        <v>1020</v>
      </c>
      <c r="AE49" s="866">
        <f>'25'!AE55</f>
        <v>0</v>
      </c>
      <c r="AF49" s="866">
        <f>'25'!AF55</f>
        <v>2520</v>
      </c>
      <c r="AG49" s="866">
        <f>'25'!AG55</f>
        <v>1086</v>
      </c>
      <c r="AH49" s="866">
        <f>'25'!AH55</f>
        <v>2011</v>
      </c>
      <c r="AI49" s="866">
        <f>'25'!AI55</f>
        <v>631</v>
      </c>
      <c r="AJ49" s="866">
        <f>'25'!AJ55</f>
        <v>0</v>
      </c>
      <c r="AK49" s="866">
        <f>'25'!AK55</f>
        <v>-1</v>
      </c>
      <c r="AL49" s="866" t="e">
        <f>'25'!AL55</f>
        <v>#VALUE!</v>
      </c>
      <c r="AM49" s="866" t="e">
        <f>'25'!AM55</f>
        <v>#VALUE!</v>
      </c>
      <c r="AN49" s="866" t="e">
        <f>'25'!AN55</f>
        <v>#VALUE!</v>
      </c>
    </row>
    <row r="50" spans="1:40" ht="24.95" customHeight="1" thickBot="1">
      <c r="C50" t="s">
        <v>1</v>
      </c>
      <c r="L50" s="417">
        <v>5000</v>
      </c>
      <c r="M50" s="417"/>
      <c r="N50" s="417">
        <f t="shared" ref="N50:N57" si="10">L50*M50</f>
        <v>0</v>
      </c>
      <c r="R50" s="19"/>
      <c r="S50" s="854" t="s">
        <v>166</v>
      </c>
      <c r="T50" s="852">
        <v>62</v>
      </c>
      <c r="U50" s="852"/>
      <c r="V50" s="852"/>
      <c r="W50" s="852"/>
      <c r="X50" s="852"/>
      <c r="Y50" s="852"/>
      <c r="Z50" s="852"/>
      <c r="AA50" s="852">
        <v>1300</v>
      </c>
      <c r="AB50" s="852"/>
      <c r="AC50" s="852">
        <v>261</v>
      </c>
      <c r="AD50" s="852">
        <v>146</v>
      </c>
      <c r="AE50" s="852"/>
      <c r="AF50" s="855">
        <v>378</v>
      </c>
      <c r="AG50" s="852"/>
      <c r="AH50" s="852"/>
      <c r="AI50" s="848"/>
      <c r="AJ50" s="848"/>
      <c r="AK50" s="848"/>
      <c r="AL50" s="849"/>
      <c r="AM50" s="850"/>
      <c r="AN50" s="850"/>
    </row>
    <row r="51" spans="1:40" ht="24.95" customHeight="1" thickBot="1">
      <c r="L51" s="417">
        <v>1000</v>
      </c>
      <c r="M51" s="417"/>
      <c r="N51" s="417">
        <f t="shared" si="10"/>
        <v>0</v>
      </c>
      <c r="R51" s="19"/>
      <c r="S51" s="867" t="s">
        <v>91</v>
      </c>
      <c r="T51" s="868"/>
      <c r="U51" s="868"/>
      <c r="V51" s="868"/>
      <c r="W51" s="868"/>
      <c r="X51" s="868"/>
      <c r="Y51" s="868"/>
      <c r="Z51" s="868"/>
      <c r="AA51" s="868"/>
      <c r="AB51" s="868">
        <v>10</v>
      </c>
      <c r="AC51" s="868"/>
      <c r="AD51" s="868"/>
      <c r="AE51" s="868"/>
      <c r="AF51" s="869"/>
      <c r="AG51" s="868">
        <v>2</v>
      </c>
      <c r="AH51" s="870"/>
      <c r="AI51" s="868"/>
      <c r="AJ51" s="868"/>
      <c r="AK51" s="849"/>
      <c r="AL51" s="849"/>
      <c r="AM51" s="850"/>
      <c r="AN51" s="850"/>
    </row>
    <row r="52" spans="1:40" ht="24.95" customHeight="1" thickBot="1">
      <c r="L52" s="417">
        <v>500</v>
      </c>
      <c r="M52" s="417"/>
      <c r="N52" s="417">
        <f t="shared" si="10"/>
        <v>0</v>
      </c>
      <c r="O52" t="s">
        <v>1</v>
      </c>
      <c r="R52" s="19"/>
      <c r="S52" s="856" t="s">
        <v>167</v>
      </c>
      <c r="T52" s="857"/>
      <c r="U52" s="857"/>
      <c r="V52" s="857"/>
      <c r="W52" s="857"/>
      <c r="X52" s="857"/>
      <c r="Y52" s="857"/>
      <c r="Z52" s="857"/>
      <c r="AA52" s="857"/>
      <c r="AB52" s="857"/>
      <c r="AC52" s="857"/>
      <c r="AD52" s="857"/>
      <c r="AE52" s="857"/>
      <c r="AF52" s="858"/>
      <c r="AG52" s="859"/>
      <c r="AH52" s="860"/>
      <c r="AI52" s="851"/>
      <c r="AJ52" s="851"/>
      <c r="AK52" s="849"/>
      <c r="AL52" s="849"/>
      <c r="AM52" s="850"/>
      <c r="AN52" s="850"/>
    </row>
    <row r="53" spans="1:40" ht="24.95" customHeight="1" thickBot="1">
      <c r="L53" s="417">
        <v>100</v>
      </c>
      <c r="M53" s="417"/>
      <c r="N53" s="417">
        <f t="shared" si="10"/>
        <v>0</v>
      </c>
      <c r="R53" s="19"/>
      <c r="S53" s="871" t="s">
        <v>81</v>
      </c>
      <c r="T53" s="866">
        <f t="shared" ref="T53:AB53" si="11">SUM(T49+T50+T52)</f>
        <v>62</v>
      </c>
      <c r="U53" s="866">
        <f t="shared" si="11"/>
        <v>0</v>
      </c>
      <c r="V53" s="866">
        <f t="shared" si="11"/>
        <v>123</v>
      </c>
      <c r="W53" s="866">
        <f t="shared" si="11"/>
        <v>19</v>
      </c>
      <c r="X53" s="866">
        <f t="shared" si="11"/>
        <v>0</v>
      </c>
      <c r="Y53" s="866">
        <f t="shared" si="11"/>
        <v>0</v>
      </c>
      <c r="Z53" s="866">
        <f t="shared" si="11"/>
        <v>-3</v>
      </c>
      <c r="AA53" s="866">
        <f t="shared" si="11"/>
        <v>3822</v>
      </c>
      <c r="AB53" s="866">
        <f t="shared" si="11"/>
        <v>170</v>
      </c>
      <c r="AC53" s="866">
        <f t="shared" ref="AC53:AM53" si="12">SUM(AC49+AC50+AC52)</f>
        <v>2884</v>
      </c>
      <c r="AD53" s="866">
        <f t="shared" si="12"/>
        <v>1166</v>
      </c>
      <c r="AE53" s="866">
        <f t="shared" si="12"/>
        <v>0</v>
      </c>
      <c r="AF53" s="866">
        <f t="shared" si="12"/>
        <v>2898</v>
      </c>
      <c r="AG53" s="866">
        <f t="shared" si="12"/>
        <v>1086</v>
      </c>
      <c r="AH53" s="866">
        <f t="shared" si="12"/>
        <v>2011</v>
      </c>
      <c r="AI53" s="866">
        <f t="shared" si="12"/>
        <v>631</v>
      </c>
      <c r="AJ53" s="866">
        <f t="shared" si="12"/>
        <v>0</v>
      </c>
      <c r="AK53" s="866">
        <f t="shared" si="12"/>
        <v>-1</v>
      </c>
      <c r="AL53" s="866" t="e">
        <f t="shared" si="12"/>
        <v>#VALUE!</v>
      </c>
      <c r="AM53" s="872" t="e">
        <f t="shared" si="12"/>
        <v>#VALUE!</v>
      </c>
      <c r="AN53" s="872" t="e">
        <f t="shared" ref="AN53" si="13">SUM(AN49+AN50+AN52)</f>
        <v>#VALUE!</v>
      </c>
    </row>
    <row r="54" spans="1:40" ht="24.95" customHeight="1" thickBot="1">
      <c r="L54" s="417">
        <v>50</v>
      </c>
      <c r="M54" s="417"/>
      <c r="N54" s="417">
        <f t="shared" si="10"/>
        <v>0</v>
      </c>
      <c r="R54" s="19"/>
      <c r="S54" s="854" t="s">
        <v>168</v>
      </c>
      <c r="T54" s="852">
        <f>'CUSTOMERS REPORT'!B33+'CUSTOMERS REPORT'!B79+'CUSTOMERS REPORT'!B117+'CUSTOMERS REPORT'!B156+'CUSTOMERS REPORT'!B194+'CUSTOMERS REPORT'!B234+'CUSTOMERS REPORT'!B271+'CUSTOMERS REPORT'!B311+'CUSTOMERS REPORT'!B352+'CUSTOMERS REPORT'!B394+'CUSTOMERS REPORT'!B433+'CUSTOMERS REPORT'!B471+'CUSTOMERS REPORT'!B507+'CUSTOMERS REPORT'!B544+'CUSTOMERS REPORT'!B582+'CUSTOMERS REPORT'!B618+'CUSTOMERS REPORT'!B656+'CUSTOMERS REPORT'!B694+'CUSTOMERS REPORT'!B732+'CUSTOMERS REPORT'!B770+'CUSTOMERS REPORT'!B808+'CUSTOMERS REPORT'!B846+'CUSTOMERS REPORT'!B884+'CUSTOMERS REPORT'!B923+'CUSTOMERS REPORT'!B962+'CUSTOMERS REPORT'!B1000+'CUSTOMERS REPORT'!B1038+'CUSTOMERS REPORT'!B1076+'CUSTOMERS REPORT'!B1114+'CUSTOMERS REPORT'!B1152+'CUSTOMERS REPORT'!B1189+'CUSTOMERS REPORT'!B1226+'CUSTOMERS REPORT'!B1263+'CUSTOMERS REPORT'!B1300+'CUSTOMERS REPORT'!B1337+'CUSTOMERS REPORT'!B1374+'CUSTOMERS REPORT'!B1411+'CUSTOMERS REPORT'!B1447</f>
        <v>0</v>
      </c>
      <c r="U54" s="852">
        <f>'CUSTOMERS REPORT'!C33+'CUSTOMERS REPORT'!C79+'CUSTOMERS REPORT'!C117+'CUSTOMERS REPORT'!C156+'CUSTOMERS REPORT'!C194+'CUSTOMERS REPORT'!C234+'CUSTOMERS REPORT'!C271+'CUSTOMERS REPORT'!C311+'CUSTOMERS REPORT'!C352+'CUSTOMERS REPORT'!C394+'CUSTOMERS REPORT'!C433+'CUSTOMERS REPORT'!C471+'CUSTOMERS REPORT'!C507+'CUSTOMERS REPORT'!C544+'CUSTOMERS REPORT'!C582+'CUSTOMERS REPORT'!C618+'CUSTOMERS REPORT'!C656+'CUSTOMERS REPORT'!C694+'CUSTOMERS REPORT'!C732+'CUSTOMERS REPORT'!C770+'CUSTOMERS REPORT'!C808+'CUSTOMERS REPORT'!C846+'CUSTOMERS REPORT'!C884+'CUSTOMERS REPORT'!C923+'CUSTOMERS REPORT'!C962+'CUSTOMERS REPORT'!C1000+'CUSTOMERS REPORT'!C1038+'CUSTOMERS REPORT'!C1076+'CUSTOMERS REPORT'!C1114+'CUSTOMERS REPORT'!C1152+'CUSTOMERS REPORT'!C1189+'CUSTOMERS REPORT'!C1226+'CUSTOMERS REPORT'!C1263+'CUSTOMERS REPORT'!C1300+'CUSTOMERS REPORT'!C1337+'CUSTOMERS REPORT'!C1374+'CUSTOMERS REPORT'!C1411+'CUSTOMERS REPORT'!C1447</f>
        <v>0</v>
      </c>
      <c r="V54" s="852">
        <f>'CUSTOMERS REPORT'!D33+'CUSTOMERS REPORT'!D79+'CUSTOMERS REPORT'!D117+'CUSTOMERS REPORT'!D156+'CUSTOMERS REPORT'!D194+'CUSTOMERS REPORT'!D234+'CUSTOMERS REPORT'!D271+'CUSTOMERS REPORT'!D311+'CUSTOMERS REPORT'!D352+'CUSTOMERS REPORT'!D394+'CUSTOMERS REPORT'!D433+'CUSTOMERS REPORT'!D471+'CUSTOMERS REPORT'!D507+'CUSTOMERS REPORT'!D544+'CUSTOMERS REPORT'!D582+'CUSTOMERS REPORT'!D618+'CUSTOMERS REPORT'!D656+'CUSTOMERS REPORT'!D694+'CUSTOMERS REPORT'!D732+'CUSTOMERS REPORT'!D770+'CUSTOMERS REPORT'!D808+'CUSTOMERS REPORT'!D846+'CUSTOMERS REPORT'!D884+'CUSTOMERS REPORT'!D923+'CUSTOMERS REPORT'!D962+'CUSTOMERS REPORT'!D1000+'CUSTOMERS REPORT'!D1038+'CUSTOMERS REPORT'!D1076+'CUSTOMERS REPORT'!D1114+'CUSTOMERS REPORT'!D1152+'CUSTOMERS REPORT'!D1189+'CUSTOMERS REPORT'!D1226+'CUSTOMERS REPORT'!D1263+'CUSTOMERS REPORT'!D1300+'CUSTOMERS REPORT'!D1337+'CUSTOMERS REPORT'!D1374+'CUSTOMERS REPORT'!D1411+'CUSTOMERS REPORT'!D1447</f>
        <v>0</v>
      </c>
      <c r="W54" s="852">
        <f>'CUSTOMERS REPORT'!E33+'CUSTOMERS REPORT'!E79+'CUSTOMERS REPORT'!E117+'CUSTOMERS REPORT'!E156+'CUSTOMERS REPORT'!E194+'CUSTOMERS REPORT'!E234+'CUSTOMERS REPORT'!E271+'CUSTOMERS REPORT'!E311+'CUSTOMERS REPORT'!E352+'CUSTOMERS REPORT'!E394+'CUSTOMERS REPORT'!E433+'CUSTOMERS REPORT'!E471+'CUSTOMERS REPORT'!E507+'CUSTOMERS REPORT'!E544+'CUSTOMERS REPORT'!E582+'CUSTOMERS REPORT'!E618+'CUSTOMERS REPORT'!E656+'CUSTOMERS REPORT'!E694+'CUSTOMERS REPORT'!E732+'CUSTOMERS REPORT'!E770+'CUSTOMERS REPORT'!E808+'CUSTOMERS REPORT'!E846+'CUSTOMERS REPORT'!E884+'CUSTOMERS REPORT'!E923+'CUSTOMERS REPORT'!E962+'CUSTOMERS REPORT'!E1000+'CUSTOMERS REPORT'!E1038+'CUSTOMERS REPORT'!E1076+'CUSTOMERS REPORT'!E1114+'CUSTOMERS REPORT'!E1152+'CUSTOMERS REPORT'!E1189+'CUSTOMERS REPORT'!E1226+'CUSTOMERS REPORT'!E1263+'CUSTOMERS REPORT'!E1300+'CUSTOMERS REPORT'!E1337+'CUSTOMERS REPORT'!E1374+'CUSTOMERS REPORT'!E1411+'CUSTOMERS REPORT'!E1447</f>
        <v>0</v>
      </c>
      <c r="X54" s="852">
        <f>'CUSTOMERS REPORT'!F33+'CUSTOMERS REPORT'!F79+'CUSTOMERS REPORT'!F117+'CUSTOMERS REPORT'!F156+'CUSTOMERS REPORT'!F194+'CUSTOMERS REPORT'!F234+'CUSTOMERS REPORT'!F271+'CUSTOMERS REPORT'!F311+'CUSTOMERS REPORT'!F352+'CUSTOMERS REPORT'!F394+'CUSTOMERS REPORT'!F433+'CUSTOMERS REPORT'!F471+'CUSTOMERS REPORT'!F507+'CUSTOMERS REPORT'!F544+'CUSTOMERS REPORT'!F582+'CUSTOMERS REPORT'!F618+'CUSTOMERS REPORT'!F656+'CUSTOMERS REPORT'!F694+'CUSTOMERS REPORT'!F732+'CUSTOMERS REPORT'!F770+'CUSTOMERS REPORT'!F808+'CUSTOMERS REPORT'!F846+'CUSTOMERS REPORT'!F884+'CUSTOMERS REPORT'!F923+'CUSTOMERS REPORT'!F962+'CUSTOMERS REPORT'!F1000+'CUSTOMERS REPORT'!F1038+'CUSTOMERS REPORT'!F1076+'CUSTOMERS REPORT'!F1114+'CUSTOMERS REPORT'!F1152+'CUSTOMERS REPORT'!F1189+'CUSTOMERS REPORT'!F1226+'CUSTOMERS REPORT'!F1263+'CUSTOMERS REPORT'!F1300+'CUSTOMERS REPORT'!F1337+'CUSTOMERS REPORT'!F1374+'CUSTOMERS REPORT'!F1411+'CUSTOMERS REPORT'!F1447</f>
        <v>0</v>
      </c>
      <c r="Y54" s="852">
        <f>'CUSTOMERS REPORT'!G33+'CUSTOMERS REPORT'!G79+'CUSTOMERS REPORT'!G117+'CUSTOMERS REPORT'!G156+'CUSTOMERS REPORT'!G194+'CUSTOMERS REPORT'!G234+'CUSTOMERS REPORT'!G271+'CUSTOMERS REPORT'!G311+'CUSTOMERS REPORT'!G352+'CUSTOMERS REPORT'!G394+'CUSTOMERS REPORT'!G433+'CUSTOMERS REPORT'!G471+'CUSTOMERS REPORT'!G507+'CUSTOMERS REPORT'!G544+'CUSTOMERS REPORT'!G582+'CUSTOMERS REPORT'!G618+'CUSTOMERS REPORT'!G656+'CUSTOMERS REPORT'!G694+'CUSTOMERS REPORT'!G732+'CUSTOMERS REPORT'!G770+'CUSTOMERS REPORT'!G808+'CUSTOMERS REPORT'!G846+'CUSTOMERS REPORT'!G884+'CUSTOMERS REPORT'!G923+'CUSTOMERS REPORT'!G962+'CUSTOMERS REPORT'!G1000+'CUSTOMERS REPORT'!G1038+'CUSTOMERS REPORT'!G1076+'CUSTOMERS REPORT'!G1114+'CUSTOMERS REPORT'!G1152+'CUSTOMERS REPORT'!G1189+'CUSTOMERS REPORT'!G1226+'CUSTOMERS REPORT'!G1263+'CUSTOMERS REPORT'!G1300+'CUSTOMERS REPORT'!G1337+'CUSTOMERS REPORT'!G1374+'CUSTOMERS REPORT'!G1411+'CUSTOMERS REPORT'!G1447</f>
        <v>0</v>
      </c>
      <c r="Z54" s="852">
        <f>'CUSTOMERS REPORT'!H33+'CUSTOMERS REPORT'!H79+'CUSTOMERS REPORT'!H117+'CUSTOMERS REPORT'!H156+'CUSTOMERS REPORT'!H194+'CUSTOMERS REPORT'!H234+'CUSTOMERS REPORT'!H271+'CUSTOMERS REPORT'!H311+'CUSTOMERS REPORT'!H352+'CUSTOMERS REPORT'!H394+'CUSTOMERS REPORT'!H433+'CUSTOMERS REPORT'!H471+'CUSTOMERS REPORT'!H507+'CUSTOMERS REPORT'!H544+'CUSTOMERS REPORT'!H582+'CUSTOMERS REPORT'!H618+'CUSTOMERS REPORT'!H656+'CUSTOMERS REPORT'!H694+'CUSTOMERS REPORT'!H732+'CUSTOMERS REPORT'!H770+'CUSTOMERS REPORT'!H808+'CUSTOMERS REPORT'!H846+'CUSTOMERS REPORT'!H884+'CUSTOMERS REPORT'!H923+'CUSTOMERS REPORT'!H962+'CUSTOMERS REPORT'!H1000+'CUSTOMERS REPORT'!H1038+'CUSTOMERS REPORT'!H1076+'CUSTOMERS REPORT'!H1114+'CUSTOMERS REPORT'!H1152+'CUSTOMERS REPORT'!H1189+'CUSTOMERS REPORT'!H1226+'CUSTOMERS REPORT'!H1263+'CUSTOMERS REPORT'!H1300+'CUSTOMERS REPORT'!H1337+'CUSTOMERS REPORT'!H1374+'CUSTOMERS REPORT'!H1411+'CUSTOMERS REPORT'!H1447</f>
        <v>0</v>
      </c>
      <c r="AA54" s="852">
        <f>'CUSTOMERS REPORT'!I33+'CUSTOMERS REPORT'!I79+'CUSTOMERS REPORT'!I117+'CUSTOMERS REPORT'!I156+'CUSTOMERS REPORT'!I194+'CUSTOMERS REPORT'!I234+'CUSTOMERS REPORT'!I271+'CUSTOMERS REPORT'!I311+'CUSTOMERS REPORT'!I352+'CUSTOMERS REPORT'!I394+'CUSTOMERS REPORT'!I433+'CUSTOMERS REPORT'!I471+'CUSTOMERS REPORT'!I507+'CUSTOMERS REPORT'!I544+'CUSTOMERS REPORT'!I582+'CUSTOMERS REPORT'!I618+'CUSTOMERS REPORT'!I656+'CUSTOMERS REPORT'!I694+'CUSTOMERS REPORT'!I732+'CUSTOMERS REPORT'!I770+'CUSTOMERS REPORT'!I808+'CUSTOMERS REPORT'!I846+'CUSTOMERS REPORT'!I884+'CUSTOMERS REPORT'!I923+'CUSTOMERS REPORT'!I962+'CUSTOMERS REPORT'!I1000+'CUSTOMERS REPORT'!I1038+'CUSTOMERS REPORT'!I1076+'CUSTOMERS REPORT'!I1114+'CUSTOMERS REPORT'!I1152+'CUSTOMERS REPORT'!I1189+'CUSTOMERS REPORT'!I1226+'CUSTOMERS REPORT'!I1263+'CUSTOMERS REPORT'!I1300+'CUSTOMERS REPORT'!I1337+'CUSTOMERS REPORT'!I1374+'CUSTOMERS REPORT'!I1411+'CUSTOMERS REPORT'!I1447</f>
        <v>0</v>
      </c>
      <c r="AB54" s="852">
        <f>'CUSTOMERS REPORT'!J33+'CUSTOMERS REPORT'!J79+'CUSTOMERS REPORT'!J117+'CUSTOMERS REPORT'!J156+'CUSTOMERS REPORT'!J194+'CUSTOMERS REPORT'!J234+'CUSTOMERS REPORT'!J271+'CUSTOMERS REPORT'!J311+'CUSTOMERS REPORT'!J352+'CUSTOMERS REPORT'!J394+'CUSTOMERS REPORT'!J433+'CUSTOMERS REPORT'!J471+'CUSTOMERS REPORT'!J507+'CUSTOMERS REPORT'!J544+'CUSTOMERS REPORT'!J582+'CUSTOMERS REPORT'!J618+'CUSTOMERS REPORT'!J656+'CUSTOMERS REPORT'!J694+'CUSTOMERS REPORT'!J732+'CUSTOMERS REPORT'!J770+'CUSTOMERS REPORT'!J808+'CUSTOMERS REPORT'!J846+'CUSTOMERS REPORT'!J884+'CUSTOMERS REPORT'!J923+'CUSTOMERS REPORT'!J962+'CUSTOMERS REPORT'!J1000+'CUSTOMERS REPORT'!J1038+'CUSTOMERS REPORT'!J1076+'CUSTOMERS REPORT'!J1114+'CUSTOMERS REPORT'!J1152+'CUSTOMERS REPORT'!J1189+'CUSTOMERS REPORT'!J1226+'CUSTOMERS REPORT'!J1263+'CUSTOMERS REPORT'!J1300+'CUSTOMERS REPORT'!J1337+'CUSTOMERS REPORT'!J1374+'CUSTOMERS REPORT'!J1411+'CUSTOMERS REPORT'!J1447</f>
        <v>0</v>
      </c>
      <c r="AC54" s="852">
        <f>'CUSTOMERS REPORT'!K33+'CUSTOMERS REPORT'!K79+'CUSTOMERS REPORT'!K117+'CUSTOMERS REPORT'!K156+'CUSTOMERS REPORT'!K194+'CUSTOMERS REPORT'!K234+'CUSTOMERS REPORT'!K271+'CUSTOMERS REPORT'!K311+'CUSTOMERS REPORT'!K352+'CUSTOMERS REPORT'!K394+'CUSTOMERS REPORT'!K433+'CUSTOMERS REPORT'!K471+'CUSTOMERS REPORT'!K507+'CUSTOMERS REPORT'!K544+'CUSTOMERS REPORT'!K582+'CUSTOMERS REPORT'!K618+'CUSTOMERS REPORT'!K656+'CUSTOMERS REPORT'!K694+'CUSTOMERS REPORT'!K732+'CUSTOMERS REPORT'!K770+'CUSTOMERS REPORT'!K808+'CUSTOMERS REPORT'!K846+'CUSTOMERS REPORT'!K884+'CUSTOMERS REPORT'!K923+'CUSTOMERS REPORT'!K962+'CUSTOMERS REPORT'!K1000+'CUSTOMERS REPORT'!K1038+'CUSTOMERS REPORT'!K1076+'CUSTOMERS REPORT'!K1114+'CUSTOMERS REPORT'!K1152+'CUSTOMERS REPORT'!K1189+'CUSTOMERS REPORT'!K1226+'CUSTOMERS REPORT'!K1263+'CUSTOMERS REPORT'!K1300+'CUSTOMERS REPORT'!K1337+'CUSTOMERS REPORT'!K1374+'CUSTOMERS REPORT'!K1411+'CUSTOMERS REPORT'!K1447</f>
        <v>0</v>
      </c>
      <c r="AD54" s="852">
        <f>'CUSTOMERS REPORT'!L33+'CUSTOMERS REPORT'!L79+'CUSTOMERS REPORT'!L117+'CUSTOMERS REPORT'!L156+'CUSTOMERS REPORT'!L194+'CUSTOMERS REPORT'!L234+'CUSTOMERS REPORT'!L271+'CUSTOMERS REPORT'!L311+'CUSTOMERS REPORT'!L352+'CUSTOMERS REPORT'!L394+'CUSTOMERS REPORT'!L433+'CUSTOMERS REPORT'!L471+'CUSTOMERS REPORT'!L507+'CUSTOMERS REPORT'!L544+'CUSTOMERS REPORT'!L582+'CUSTOMERS REPORT'!L618+'CUSTOMERS REPORT'!L656+'CUSTOMERS REPORT'!L694+'CUSTOMERS REPORT'!L732+'CUSTOMERS REPORT'!L770+'CUSTOMERS REPORT'!L808+'CUSTOMERS REPORT'!L846+'CUSTOMERS REPORT'!L884+'CUSTOMERS REPORT'!L923+'CUSTOMERS REPORT'!L962+'CUSTOMERS REPORT'!L1000+'CUSTOMERS REPORT'!L1038+'CUSTOMERS REPORT'!L1076+'CUSTOMERS REPORT'!L1114+'CUSTOMERS REPORT'!L1152+'CUSTOMERS REPORT'!L1189+'CUSTOMERS REPORT'!L1226+'CUSTOMERS REPORT'!L1263+'CUSTOMERS REPORT'!L1300+'CUSTOMERS REPORT'!L1337+'CUSTOMERS REPORT'!L1374+'CUSTOMERS REPORT'!L1411+'CUSTOMERS REPORT'!L1447</f>
        <v>0</v>
      </c>
      <c r="AE54" s="852">
        <f>'CUSTOMERS REPORT'!M33+'CUSTOMERS REPORT'!M79+'CUSTOMERS REPORT'!M117+'CUSTOMERS REPORT'!M156+'CUSTOMERS REPORT'!M194+'CUSTOMERS REPORT'!M234+'CUSTOMERS REPORT'!M271+'CUSTOMERS REPORT'!M311+'CUSTOMERS REPORT'!M352+'CUSTOMERS REPORT'!M394+'CUSTOMERS REPORT'!M433+'CUSTOMERS REPORT'!M471+'CUSTOMERS REPORT'!M507+'CUSTOMERS REPORT'!M544+'CUSTOMERS REPORT'!M582+'CUSTOMERS REPORT'!M618+'CUSTOMERS REPORT'!M656+'CUSTOMERS REPORT'!M694+'CUSTOMERS REPORT'!M732+'CUSTOMERS REPORT'!M770+'CUSTOMERS REPORT'!M808+'CUSTOMERS REPORT'!M846+'CUSTOMERS REPORT'!M884+'CUSTOMERS REPORT'!M923+'CUSTOMERS REPORT'!M962+'CUSTOMERS REPORT'!M1000+'CUSTOMERS REPORT'!M1038+'CUSTOMERS REPORT'!M1076+'CUSTOMERS REPORT'!M1114+'CUSTOMERS REPORT'!M1152+'CUSTOMERS REPORT'!M1189+'CUSTOMERS REPORT'!M1226+'CUSTOMERS REPORT'!M1263+'CUSTOMERS REPORT'!M1300+'CUSTOMERS REPORT'!M1337+'CUSTOMERS REPORT'!M1374+'CUSTOMERS REPORT'!M1411+'CUSTOMERS REPORT'!M1447</f>
        <v>0</v>
      </c>
      <c r="AF54" s="852">
        <f>'CUSTOMERS REPORT'!N33+'CUSTOMERS REPORT'!N79+'CUSTOMERS REPORT'!N117+'CUSTOMERS REPORT'!N156+'CUSTOMERS REPORT'!N194+'CUSTOMERS REPORT'!N234+'CUSTOMERS REPORT'!N271+'CUSTOMERS REPORT'!N311+'CUSTOMERS REPORT'!N352+'CUSTOMERS REPORT'!N394+'CUSTOMERS REPORT'!N433+'CUSTOMERS REPORT'!N471+'CUSTOMERS REPORT'!N507+'CUSTOMERS REPORT'!N544+'CUSTOMERS REPORT'!N582+'CUSTOMERS REPORT'!N618+'CUSTOMERS REPORT'!N656+'CUSTOMERS REPORT'!N694+'CUSTOMERS REPORT'!N732+'CUSTOMERS REPORT'!N770+'CUSTOMERS REPORT'!N808+'CUSTOMERS REPORT'!N846+'CUSTOMERS REPORT'!N884+'CUSTOMERS REPORT'!N923+'CUSTOMERS REPORT'!N962+'CUSTOMERS REPORT'!N1000+'CUSTOMERS REPORT'!N1038+'CUSTOMERS REPORT'!N1076+'CUSTOMERS REPORT'!N1114+'CUSTOMERS REPORT'!N1152+'CUSTOMERS REPORT'!N1189+'CUSTOMERS REPORT'!N1226+'CUSTOMERS REPORT'!N1263+'CUSTOMERS REPORT'!N1300+'CUSTOMERS REPORT'!N1337+'CUSTOMERS REPORT'!N1374+'CUSTOMERS REPORT'!N1411+'CUSTOMERS REPORT'!N1447</f>
        <v>0</v>
      </c>
      <c r="AG54" s="852">
        <f>'CUSTOMERS REPORT'!O33+'CUSTOMERS REPORT'!O79+'CUSTOMERS REPORT'!O117+'CUSTOMERS REPORT'!O156+'CUSTOMERS REPORT'!O194+'CUSTOMERS REPORT'!O234+'CUSTOMERS REPORT'!O271+'CUSTOMERS REPORT'!O311+'CUSTOMERS REPORT'!O352+'CUSTOMERS REPORT'!O394+'CUSTOMERS REPORT'!O433+'CUSTOMERS REPORT'!O471+'CUSTOMERS REPORT'!O507+'CUSTOMERS REPORT'!O544+'CUSTOMERS REPORT'!O582+'CUSTOMERS REPORT'!O618+'CUSTOMERS REPORT'!O656+'CUSTOMERS REPORT'!O694+'CUSTOMERS REPORT'!O732+'CUSTOMERS REPORT'!O770+'CUSTOMERS REPORT'!O808+'CUSTOMERS REPORT'!O846+'CUSTOMERS REPORT'!O884+'CUSTOMERS REPORT'!O923+'CUSTOMERS REPORT'!O962+'CUSTOMERS REPORT'!O1000+'CUSTOMERS REPORT'!O1038+'CUSTOMERS REPORT'!O1076+'CUSTOMERS REPORT'!O1114+'CUSTOMERS REPORT'!O1152+'CUSTOMERS REPORT'!O1189+'CUSTOMERS REPORT'!O1226+'CUSTOMERS REPORT'!O1263+'CUSTOMERS REPORT'!O1300+'CUSTOMERS REPORT'!O1337+'CUSTOMERS REPORT'!O1374+'CUSTOMERS REPORT'!O1411+'CUSTOMERS REPORT'!O1447</f>
        <v>0</v>
      </c>
      <c r="AH54" s="852">
        <f>'CUSTOMERS REPORT'!P33+'CUSTOMERS REPORT'!P79+'CUSTOMERS REPORT'!P117+'CUSTOMERS REPORT'!P156+'CUSTOMERS REPORT'!P194+'CUSTOMERS REPORT'!P234+'CUSTOMERS REPORT'!P271+'CUSTOMERS REPORT'!P311+'CUSTOMERS REPORT'!P352+'CUSTOMERS REPORT'!P394+'CUSTOMERS REPORT'!P433+'CUSTOMERS REPORT'!P471+'CUSTOMERS REPORT'!P507+'CUSTOMERS REPORT'!P544+'CUSTOMERS REPORT'!P582+'CUSTOMERS REPORT'!P618+'CUSTOMERS REPORT'!P656+'CUSTOMERS REPORT'!P694+'CUSTOMERS REPORT'!P732+'CUSTOMERS REPORT'!P770+'CUSTOMERS REPORT'!P808+'CUSTOMERS REPORT'!P846+'CUSTOMERS REPORT'!P884+'CUSTOMERS REPORT'!P923+'CUSTOMERS REPORT'!P962+'CUSTOMERS REPORT'!P1000+'CUSTOMERS REPORT'!P1038+'CUSTOMERS REPORT'!P1076+'CUSTOMERS REPORT'!P1114+'CUSTOMERS REPORT'!P1152+'CUSTOMERS REPORT'!P1189+'CUSTOMERS REPORT'!P1226+'CUSTOMERS REPORT'!P1263+'CUSTOMERS REPORT'!P1300+'CUSTOMERS REPORT'!P1337+'CUSTOMERS REPORT'!P1374+'CUSTOMERS REPORT'!P1411+'CUSTOMERS REPORT'!P1447</f>
        <v>0</v>
      </c>
      <c r="AI54" s="852">
        <f>'CUSTOMERS REPORT'!Q33+'CUSTOMERS REPORT'!Q79+'CUSTOMERS REPORT'!Q117+'CUSTOMERS REPORT'!Q156+'CUSTOMERS REPORT'!Q194+'CUSTOMERS REPORT'!Q234+'CUSTOMERS REPORT'!Q271+'CUSTOMERS REPORT'!Q311+'CUSTOMERS REPORT'!Q352+'CUSTOMERS REPORT'!Q394+'CUSTOMERS REPORT'!Q433+'CUSTOMERS REPORT'!Q471+'CUSTOMERS REPORT'!Q507+'CUSTOMERS REPORT'!Q544+'CUSTOMERS REPORT'!Q582+'CUSTOMERS REPORT'!Q618+'CUSTOMERS REPORT'!Q656+'CUSTOMERS REPORT'!Q694+'CUSTOMERS REPORT'!Q732+'CUSTOMERS REPORT'!Q770+'CUSTOMERS REPORT'!Q808+'CUSTOMERS REPORT'!Q846+'CUSTOMERS REPORT'!Q884+'CUSTOMERS REPORT'!Q923+'CUSTOMERS REPORT'!Q962+'CUSTOMERS REPORT'!Q1000+'CUSTOMERS REPORT'!Q1038+'CUSTOMERS REPORT'!Q1076+'CUSTOMERS REPORT'!Q1114+'CUSTOMERS REPORT'!Q1152+'CUSTOMERS REPORT'!Q1189+'CUSTOMERS REPORT'!Q1226+'CUSTOMERS REPORT'!Q1263+'CUSTOMERS REPORT'!Q1300+'CUSTOMERS REPORT'!Q1337+'CUSTOMERS REPORT'!Q1374+'CUSTOMERS REPORT'!Q1411+'CUSTOMERS REPORT'!Q1447</f>
        <v>0</v>
      </c>
      <c r="AJ54" s="852">
        <f>'CUSTOMERS REPORT'!R33+'CUSTOMERS REPORT'!R79+'CUSTOMERS REPORT'!R117+'CUSTOMERS REPORT'!R156+'CUSTOMERS REPORT'!R194+'CUSTOMERS REPORT'!R234+'CUSTOMERS REPORT'!R271+'CUSTOMERS REPORT'!R311+'CUSTOMERS REPORT'!R352+'CUSTOMERS REPORT'!R394+'CUSTOMERS REPORT'!R433+'CUSTOMERS REPORT'!R471+'CUSTOMERS REPORT'!R507+'CUSTOMERS REPORT'!R544+'CUSTOMERS REPORT'!R582+'CUSTOMERS REPORT'!R618+'CUSTOMERS REPORT'!R656+'CUSTOMERS REPORT'!R694+'CUSTOMERS REPORT'!R732+'CUSTOMERS REPORT'!R770+'CUSTOMERS REPORT'!R808+'CUSTOMERS REPORT'!R846+'CUSTOMERS REPORT'!R884+'CUSTOMERS REPORT'!R923+'CUSTOMERS REPORT'!R962+'CUSTOMERS REPORT'!R1000+'CUSTOMERS REPORT'!R1038+'CUSTOMERS REPORT'!R1076+'CUSTOMERS REPORT'!R1114+'CUSTOMERS REPORT'!R1152+'CUSTOMERS REPORT'!R1189+'CUSTOMERS REPORT'!R1226+'CUSTOMERS REPORT'!R1263+'CUSTOMERS REPORT'!R1300+'CUSTOMERS REPORT'!R1337+'CUSTOMERS REPORT'!R1374+'CUSTOMERS REPORT'!R1411+'CUSTOMERS REPORT'!R1447</f>
        <v>0</v>
      </c>
      <c r="AK54" s="852">
        <f>'CUSTOMERS REPORT'!S33+'CUSTOMERS REPORT'!S79+'CUSTOMERS REPORT'!S117+'CUSTOMERS REPORT'!S156+'CUSTOMERS REPORT'!S194+'CUSTOMERS REPORT'!S234+'CUSTOMERS REPORT'!S271+'CUSTOMERS REPORT'!S311+'CUSTOMERS REPORT'!S352+'CUSTOMERS REPORT'!S394+'CUSTOMERS REPORT'!S433+'CUSTOMERS REPORT'!S471+'CUSTOMERS REPORT'!S507+'CUSTOMERS REPORT'!S544+'CUSTOMERS REPORT'!S582+'CUSTOMERS REPORT'!S618+'CUSTOMERS REPORT'!S656+'CUSTOMERS REPORT'!S694+'CUSTOMERS REPORT'!S732+'CUSTOMERS REPORT'!S770+'CUSTOMERS REPORT'!S808+'CUSTOMERS REPORT'!S846+'CUSTOMERS REPORT'!S884+'CUSTOMERS REPORT'!S923+'CUSTOMERS REPORT'!S962+'CUSTOMERS REPORT'!S1000+'CUSTOMERS REPORT'!S1038+'CUSTOMERS REPORT'!S1076+'CUSTOMERS REPORT'!S1114+'CUSTOMERS REPORT'!S1152+'CUSTOMERS REPORT'!S1189+'CUSTOMERS REPORT'!S1226+'CUSTOMERS REPORT'!S1263+'CUSTOMERS REPORT'!S1300+'CUSTOMERS REPORT'!S1337+'CUSTOMERS REPORT'!S1374+'CUSTOMERS REPORT'!S1411+'CUSTOMERS REPORT'!S1447</f>
        <v>0</v>
      </c>
      <c r="AL54" s="852">
        <f>'CUSTOMERS REPORT'!T33+'CUSTOMERS REPORT'!T79+'CUSTOMERS REPORT'!T117+'CUSTOMERS REPORT'!T156+'CUSTOMERS REPORT'!T194+'CUSTOMERS REPORT'!T234+'CUSTOMERS REPORT'!T271+'CUSTOMERS REPORT'!T311+'CUSTOMERS REPORT'!T352+'CUSTOMERS REPORT'!T394+'CUSTOMERS REPORT'!T433+'CUSTOMERS REPORT'!T471+'CUSTOMERS REPORT'!T507+'CUSTOMERS REPORT'!T544+'CUSTOMERS REPORT'!T582+'CUSTOMERS REPORT'!T618+'CUSTOMERS REPORT'!T656+'CUSTOMERS REPORT'!T694+'CUSTOMERS REPORT'!T732+'CUSTOMERS REPORT'!T770+'CUSTOMERS REPORT'!T808+'CUSTOMERS REPORT'!T846+'CUSTOMERS REPORT'!T884+'CUSTOMERS REPORT'!T923+'CUSTOMERS REPORT'!T962+'CUSTOMERS REPORT'!T1000+'CUSTOMERS REPORT'!T1038+'CUSTOMERS REPORT'!T1076+'CUSTOMERS REPORT'!T1114+'CUSTOMERS REPORT'!T1152+'CUSTOMERS REPORT'!T1189+'CUSTOMERS REPORT'!T1226+'CUSTOMERS REPORT'!T1263+'CUSTOMERS REPORT'!T1300+'CUSTOMERS REPORT'!T1337+'CUSTOMERS REPORT'!T1374+'CUSTOMERS REPORT'!T1411+'CUSTOMERS REPORT'!T1447</f>
        <v>0</v>
      </c>
      <c r="AM54" s="852">
        <f>'CUSTOMERS REPORT'!U33+'CUSTOMERS REPORT'!U79+'CUSTOMERS REPORT'!U117+'CUSTOMERS REPORT'!U156+'CUSTOMERS REPORT'!U194+'CUSTOMERS REPORT'!U234+'CUSTOMERS REPORT'!U271+'CUSTOMERS REPORT'!U311+'CUSTOMERS REPORT'!U352+'CUSTOMERS REPORT'!U394+'CUSTOMERS REPORT'!U433+'CUSTOMERS REPORT'!U471+'CUSTOMERS REPORT'!U507+'CUSTOMERS REPORT'!U544+'CUSTOMERS REPORT'!U582+'CUSTOMERS REPORT'!U618+'CUSTOMERS REPORT'!U656+'CUSTOMERS REPORT'!U694+'CUSTOMERS REPORT'!U732+'CUSTOMERS REPORT'!U770+'CUSTOMERS REPORT'!U808+'CUSTOMERS REPORT'!U846+'CUSTOMERS REPORT'!U884+'CUSTOMERS REPORT'!U923+'CUSTOMERS REPORT'!U962+'CUSTOMERS REPORT'!U1000+'CUSTOMERS REPORT'!U1038+'CUSTOMERS REPORT'!U1076+'CUSTOMERS REPORT'!U1114+'CUSTOMERS REPORT'!U1152+'CUSTOMERS REPORT'!U1189+'CUSTOMERS REPORT'!U1226+'CUSTOMERS REPORT'!U1263+'CUSTOMERS REPORT'!U1300+'CUSTOMERS REPORT'!U1337+'CUSTOMERS REPORT'!U1374+'CUSTOMERS REPORT'!U1411+'CUSTOMERS REPORT'!U1447</f>
        <v>0</v>
      </c>
      <c r="AN54" s="852">
        <f>'CUSTOMERS REPORT'!V33+'CUSTOMERS REPORT'!V79+'CUSTOMERS REPORT'!V117+'CUSTOMERS REPORT'!V156+'CUSTOMERS REPORT'!V194+'CUSTOMERS REPORT'!V234+'CUSTOMERS REPORT'!V271+'CUSTOMERS REPORT'!V311+'CUSTOMERS REPORT'!V352+'CUSTOMERS REPORT'!V394+'CUSTOMERS REPORT'!V433+'CUSTOMERS REPORT'!V471+'CUSTOMERS REPORT'!V507+'CUSTOMERS REPORT'!V544+'CUSTOMERS REPORT'!V582+'CUSTOMERS REPORT'!V618+'CUSTOMERS REPORT'!V656+'CUSTOMERS REPORT'!V694+'CUSTOMERS REPORT'!V732+'CUSTOMERS REPORT'!V770+'CUSTOMERS REPORT'!V808+'CUSTOMERS REPORT'!V846+'CUSTOMERS REPORT'!V884+'CUSTOMERS REPORT'!V923+'CUSTOMERS REPORT'!V962+'CUSTOMERS REPORT'!V1000+'CUSTOMERS REPORT'!V1038+'CUSTOMERS REPORT'!V1076+'CUSTOMERS REPORT'!V1114+'CUSTOMERS REPORT'!V1152+'CUSTOMERS REPORT'!V1189+'CUSTOMERS REPORT'!V1226+'CUSTOMERS REPORT'!V1263+'CUSTOMERS REPORT'!V1300+'CUSTOMERS REPORT'!V1337+'CUSTOMERS REPORT'!V1374+'CUSTOMERS REPORT'!V1411+'CUSTOMERS REPORT'!V1447</f>
        <v>0</v>
      </c>
    </row>
    <row r="55" spans="1:40" ht="24.95" customHeight="1" thickBot="1">
      <c r="L55" s="417">
        <v>20</v>
      </c>
      <c r="M55" s="417"/>
      <c r="N55" s="417">
        <f t="shared" si="10"/>
        <v>0</v>
      </c>
      <c r="R55" s="123">
        <f>'25'!R57</f>
        <v>104</v>
      </c>
      <c r="S55" s="865" t="s">
        <v>169</v>
      </c>
      <c r="T55" s="866">
        <f t="shared" ref="T55:AB55" si="14">T53-T54-T51</f>
        <v>62</v>
      </c>
      <c r="U55" s="866">
        <f t="shared" si="14"/>
        <v>0</v>
      </c>
      <c r="V55" s="866">
        <f t="shared" si="14"/>
        <v>123</v>
      </c>
      <c r="W55" s="866">
        <f t="shared" si="14"/>
        <v>19</v>
      </c>
      <c r="X55" s="866">
        <f t="shared" si="14"/>
        <v>0</v>
      </c>
      <c r="Y55" s="866">
        <f t="shared" si="14"/>
        <v>0</v>
      </c>
      <c r="Z55" s="866">
        <f t="shared" si="14"/>
        <v>-3</v>
      </c>
      <c r="AA55" s="866">
        <f t="shared" si="14"/>
        <v>3822</v>
      </c>
      <c r="AB55" s="866">
        <f t="shared" si="14"/>
        <v>160</v>
      </c>
      <c r="AC55" s="866">
        <f t="shared" ref="AC55:AM55" si="15">AC53-AC54-AC51</f>
        <v>2884</v>
      </c>
      <c r="AD55" s="866">
        <f t="shared" si="15"/>
        <v>1166</v>
      </c>
      <c r="AE55" s="866">
        <f t="shared" si="15"/>
        <v>0</v>
      </c>
      <c r="AF55" s="866">
        <f t="shared" si="15"/>
        <v>2898</v>
      </c>
      <c r="AG55" s="866">
        <f t="shared" si="15"/>
        <v>1084</v>
      </c>
      <c r="AH55" s="866">
        <f t="shared" si="15"/>
        <v>2011</v>
      </c>
      <c r="AI55" s="866">
        <f t="shared" si="15"/>
        <v>631</v>
      </c>
      <c r="AJ55" s="866">
        <f t="shared" si="15"/>
        <v>0</v>
      </c>
      <c r="AK55" s="866">
        <f t="shared" si="15"/>
        <v>-1</v>
      </c>
      <c r="AL55" s="866" t="e">
        <f t="shared" si="15"/>
        <v>#VALUE!</v>
      </c>
      <c r="AM55" s="872" t="e">
        <f t="shared" si="15"/>
        <v>#VALUE!</v>
      </c>
      <c r="AN55" s="872" t="e">
        <f t="shared" ref="AN55" si="16">AN53-AN54-AN51</f>
        <v>#VALUE!</v>
      </c>
    </row>
    <row r="56" spans="1:40" ht="28.5" thickBot="1">
      <c r="A56" s="114"/>
      <c r="B56" s="120"/>
      <c r="C56" s="115"/>
      <c r="L56" s="417">
        <v>10</v>
      </c>
      <c r="M56" s="417"/>
      <c r="N56" s="417">
        <f t="shared" si="10"/>
        <v>0</v>
      </c>
      <c r="R56" s="123">
        <f>T56+U56+V56+W56+X56+Y56+Z56+AA56+AB56+AC56+AD56+AE56+AF56+AG56+AH56+AI56+AJ56+AK56+AL56+AM56+AN56</f>
        <v>13</v>
      </c>
      <c r="S56" s="874" t="s">
        <v>170</v>
      </c>
      <c r="T56" s="875">
        <v>1</v>
      </c>
      <c r="U56" s="875"/>
      <c r="V56" s="875"/>
      <c r="W56" s="875"/>
      <c r="X56" s="875"/>
      <c r="Y56" s="875"/>
      <c r="Z56" s="876"/>
      <c r="AA56" s="875">
        <v>2</v>
      </c>
      <c r="AB56" s="875"/>
      <c r="AC56" s="875">
        <v>3</v>
      </c>
      <c r="AD56" s="875">
        <v>2</v>
      </c>
      <c r="AE56" s="875"/>
      <c r="AF56" s="875">
        <v>5</v>
      </c>
      <c r="AG56" s="875"/>
      <c r="AH56" s="875"/>
      <c r="AI56" s="877"/>
      <c r="AJ56" s="877"/>
      <c r="AK56" s="877"/>
      <c r="AL56" s="52"/>
      <c r="AM56" s="853"/>
      <c r="AN56" s="853"/>
    </row>
    <row r="57" spans="1:40" ht="27" customHeight="1" thickBot="1">
      <c r="A57" s="114"/>
      <c r="B57" s="131"/>
      <c r="C57" s="115"/>
      <c r="D57" s="115"/>
      <c r="E57" s="19"/>
      <c r="F57" s="19"/>
      <c r="G57" s="19"/>
      <c r="H57" s="19"/>
      <c r="I57" s="19"/>
      <c r="J57" s="19"/>
      <c r="K57" s="19"/>
      <c r="L57" s="418">
        <v>1</v>
      </c>
      <c r="M57" s="418"/>
      <c r="N57" s="417">
        <f t="shared" si="10"/>
        <v>0</v>
      </c>
      <c r="O57" s="19"/>
      <c r="R57" s="123">
        <f>SUM(R55:R56)</f>
        <v>117</v>
      </c>
      <c r="S57" s="882" t="s">
        <v>23</v>
      </c>
      <c r="T57" s="883">
        <f t="shared" ref="T57:AB57" si="17">T50/T56</f>
        <v>62</v>
      </c>
      <c r="U57" s="883" t="e">
        <f t="shared" si="17"/>
        <v>#DIV/0!</v>
      </c>
      <c r="V57" s="883" t="e">
        <f t="shared" si="17"/>
        <v>#DIV/0!</v>
      </c>
      <c r="W57" s="883" t="e">
        <f t="shared" si="17"/>
        <v>#DIV/0!</v>
      </c>
      <c r="X57" s="883" t="e">
        <f t="shared" si="17"/>
        <v>#DIV/0!</v>
      </c>
      <c r="Y57" s="883" t="e">
        <f t="shared" si="17"/>
        <v>#DIV/0!</v>
      </c>
      <c r="Z57" s="883" t="e">
        <f t="shared" si="17"/>
        <v>#DIV/0!</v>
      </c>
      <c r="AA57" s="883">
        <f t="shared" si="17"/>
        <v>650</v>
      </c>
      <c r="AB57" s="883" t="e">
        <f t="shared" si="17"/>
        <v>#DIV/0!</v>
      </c>
      <c r="AC57" s="883">
        <f t="shared" ref="AC57:AJ57" si="18">AC50/AC56</f>
        <v>87</v>
      </c>
      <c r="AD57" s="883">
        <f t="shared" si="18"/>
        <v>73</v>
      </c>
      <c r="AE57" s="883" t="e">
        <f t="shared" si="18"/>
        <v>#DIV/0!</v>
      </c>
      <c r="AF57" s="883">
        <f t="shared" si="18"/>
        <v>75.599999999999994</v>
      </c>
      <c r="AG57" s="883" t="e">
        <f t="shared" si="18"/>
        <v>#DIV/0!</v>
      </c>
      <c r="AH57" s="883" t="e">
        <f t="shared" si="18"/>
        <v>#DIV/0!</v>
      </c>
      <c r="AI57" s="883" t="e">
        <f t="shared" si="18"/>
        <v>#DIV/0!</v>
      </c>
      <c r="AJ57" s="883" t="e">
        <f t="shared" si="18"/>
        <v>#DIV/0!</v>
      </c>
      <c r="AK57" s="883" t="e">
        <f t="shared" ref="AK57:AM57" si="19">AK50/AK56</f>
        <v>#DIV/0!</v>
      </c>
      <c r="AL57" s="883" t="e">
        <f t="shared" si="19"/>
        <v>#DIV/0!</v>
      </c>
      <c r="AM57" s="884" t="e">
        <f t="shared" si="19"/>
        <v>#DIV/0!</v>
      </c>
      <c r="AN57" s="884" t="e">
        <f t="shared" ref="AN57" si="20">AN50/AN56</f>
        <v>#DIV/0!</v>
      </c>
    </row>
    <row r="58" spans="1:40" ht="27" customHeight="1" thickBot="1">
      <c r="A58" s="114"/>
      <c r="B58" s="131"/>
      <c r="C58" s="115"/>
      <c r="D58" s="115" t="s">
        <v>1</v>
      </c>
      <c r="L58" s="1501" t="s">
        <v>171</v>
      </c>
      <c r="M58" s="1501"/>
      <c r="N58" s="419">
        <f>SUM(N50:N57)</f>
        <v>0</v>
      </c>
      <c r="R58" s="19"/>
      <c r="S58" s="878" t="s">
        <v>172</v>
      </c>
      <c r="T58" s="879">
        <f>T54</f>
        <v>0</v>
      </c>
      <c r="U58" s="879">
        <f t="shared" ref="U58:AB58" si="21">U54</f>
        <v>0</v>
      </c>
      <c r="V58" s="879">
        <f t="shared" si="21"/>
        <v>0</v>
      </c>
      <c r="W58" s="879">
        <f t="shared" si="21"/>
        <v>0</v>
      </c>
      <c r="X58" s="879">
        <f t="shared" si="21"/>
        <v>0</v>
      </c>
      <c r="Y58" s="879">
        <f t="shared" si="21"/>
        <v>0</v>
      </c>
      <c r="Z58" s="879">
        <f t="shared" si="21"/>
        <v>0</v>
      </c>
      <c r="AA58" s="879">
        <f t="shared" si="21"/>
        <v>0</v>
      </c>
      <c r="AB58" s="879">
        <f t="shared" si="21"/>
        <v>0</v>
      </c>
      <c r="AC58" s="879">
        <f t="shared" ref="AC58:AJ58" si="22">AC54</f>
        <v>0</v>
      </c>
      <c r="AD58" s="879">
        <f t="shared" si="22"/>
        <v>0</v>
      </c>
      <c r="AE58" s="879">
        <f t="shared" si="22"/>
        <v>0</v>
      </c>
      <c r="AF58" s="879">
        <f t="shared" si="22"/>
        <v>0</v>
      </c>
      <c r="AG58" s="879">
        <f t="shared" si="22"/>
        <v>0</v>
      </c>
      <c r="AH58" s="879">
        <f t="shared" si="22"/>
        <v>0</v>
      </c>
      <c r="AI58" s="879">
        <f t="shared" si="22"/>
        <v>0</v>
      </c>
      <c r="AJ58" s="879">
        <f t="shared" si="22"/>
        <v>0</v>
      </c>
      <c r="AK58" s="880"/>
      <c r="AL58" s="880"/>
      <c r="AM58" s="881"/>
      <c r="AN58" s="881"/>
    </row>
    <row r="59" spans="1:40" ht="27" customHeight="1">
      <c r="A59" s="114"/>
      <c r="B59" s="132"/>
      <c r="C59" s="115"/>
      <c r="D59" s="115" t="s">
        <v>1</v>
      </c>
      <c r="K59" t="s">
        <v>1</v>
      </c>
      <c r="L59" s="1486" t="s">
        <v>173</v>
      </c>
      <c r="M59" s="1486"/>
      <c r="N59" s="420">
        <f>N58-Q48</f>
        <v>4197970</v>
      </c>
      <c r="R59" s="19"/>
      <c r="S59" s="114"/>
      <c r="T59" s="121"/>
      <c r="U59" s="121"/>
      <c r="V59" s="121"/>
      <c r="W59" s="121"/>
      <c r="X59" s="121"/>
      <c r="Y59" s="121"/>
      <c r="Z59" s="122"/>
      <c r="AA59" s="121"/>
      <c r="AB59" s="121"/>
      <c r="AC59" s="121"/>
      <c r="AD59" s="121"/>
      <c r="AE59" s="121"/>
      <c r="AF59" s="121"/>
      <c r="AG59" s="121"/>
      <c r="AH59" s="119"/>
      <c r="AI59" s="119"/>
    </row>
    <row r="60" spans="1:40" ht="23.25">
      <c r="A60" s="114"/>
      <c r="B60" s="132"/>
      <c r="C60" s="115"/>
      <c r="D60" s="115"/>
      <c r="P60" s="19"/>
      <c r="Q60" s="19"/>
      <c r="R60" s="19"/>
      <c r="S60" s="19"/>
      <c r="U60" t="s">
        <v>1</v>
      </c>
      <c r="AK60" t="s">
        <v>1</v>
      </c>
    </row>
    <row r="61" spans="1:40" ht="23.25">
      <c r="A61" s="114"/>
      <c r="B61" s="132"/>
      <c r="C61" s="115"/>
      <c r="D61" s="116"/>
      <c r="M61" t="s">
        <v>1</v>
      </c>
      <c r="P61" s="185"/>
      <c r="Q61" s="186"/>
      <c r="R61" s="19"/>
      <c r="S61" s="19"/>
    </row>
    <row r="62" spans="1:40" ht="20.25">
      <c r="C62" s="116"/>
      <c r="P62" s="19"/>
      <c r="Q62" s="19"/>
      <c r="R62" s="19"/>
      <c r="S62" s="19"/>
      <c r="AC62" t="s">
        <v>1</v>
      </c>
    </row>
    <row r="63" spans="1:40">
      <c r="E63" s="19"/>
    </row>
    <row r="64" spans="1:40">
      <c r="E64" s="19"/>
      <c r="J64" t="s">
        <v>3</v>
      </c>
    </row>
    <row r="65" spans="3:5" ht="21">
      <c r="C65" s="251"/>
      <c r="E65" s="19"/>
    </row>
    <row r="66" spans="3:5">
      <c r="E66" s="49"/>
    </row>
    <row r="67" spans="3:5" ht="23.25">
      <c r="E67" s="113"/>
    </row>
  </sheetData>
  <mergeCells count="21">
    <mergeCell ref="AL47:AM47"/>
    <mergeCell ref="L58:M58"/>
    <mergeCell ref="L59:M59"/>
    <mergeCell ref="T47:W47"/>
    <mergeCell ref="X47:Z47"/>
    <mergeCell ref="S47:S48"/>
    <mergeCell ref="AI7:AJ7"/>
    <mergeCell ref="AI20:AJ20"/>
    <mergeCell ref="AA47:AB47"/>
    <mergeCell ref="AC47:AI47"/>
    <mergeCell ref="AJ47:AK47"/>
    <mergeCell ref="A6:Q6"/>
    <mergeCell ref="S6:AE6"/>
    <mergeCell ref="A7:B7"/>
    <mergeCell ref="P7:Q7"/>
    <mergeCell ref="H48:I48"/>
    <mergeCell ref="P24:Q24"/>
    <mergeCell ref="P33:Q33"/>
    <mergeCell ref="P42:Q42"/>
    <mergeCell ref="H46:I46"/>
    <mergeCell ref="H47:I47"/>
  </mergeCells>
  <conditionalFormatting sqref="M48:N48">
    <cfRule type="duplicateValues" dxfId="119" priority="29"/>
    <cfRule type="duplicateValues" dxfId="118" priority="30"/>
    <cfRule type="duplicateValues" dxfId="117" priority="31"/>
    <cfRule type="duplicateValues" dxfId="116" priority="32"/>
  </conditionalFormatting>
  <conditionalFormatting sqref="L48 N48">
    <cfRule type="cellIs" dxfId="115" priority="28" operator="equal">
      <formula>66890</formula>
    </cfRule>
  </conditionalFormatting>
  <conditionalFormatting sqref="N48">
    <cfRule type="cellIs" dxfId="114" priority="27" operator="lessThan">
      <formula>1</formula>
    </cfRule>
  </conditionalFormatting>
  <conditionalFormatting sqref="T57">
    <cfRule type="cellIs" dxfId="113" priority="16" operator="lessThan">
      <formula>63</formula>
    </cfRule>
  </conditionalFormatting>
  <conditionalFormatting sqref="U57">
    <cfRule type="cellIs" dxfId="112" priority="14" operator="lessThan">
      <formula>63</formula>
    </cfRule>
    <cfRule type="cellIs" dxfId="111" priority="15" operator="lessThan">
      <formula>63</formula>
    </cfRule>
  </conditionalFormatting>
  <conditionalFormatting sqref="W57">
    <cfRule type="cellIs" dxfId="110" priority="13" operator="lessThan">
      <formula>140</formula>
    </cfRule>
  </conditionalFormatting>
  <conditionalFormatting sqref="X57">
    <cfRule type="cellIs" dxfId="109" priority="12" operator="lessThan">
      <formula>125</formula>
    </cfRule>
  </conditionalFormatting>
  <conditionalFormatting sqref="Y57">
    <cfRule type="cellIs" dxfId="108" priority="11" operator="lessThan">
      <formula>150</formula>
    </cfRule>
  </conditionalFormatting>
  <conditionalFormatting sqref="Z57">
    <cfRule type="cellIs" dxfId="107" priority="10" operator="lessThan">
      <formula>590</formula>
    </cfRule>
  </conditionalFormatting>
  <conditionalFormatting sqref="AA57">
    <cfRule type="cellIs" dxfId="106" priority="9" operator="lessThan">
      <formula>704</formula>
    </cfRule>
  </conditionalFormatting>
  <conditionalFormatting sqref="AC57">
    <cfRule type="cellIs" dxfId="105" priority="7" operator="lessThan">
      <formula>52</formula>
    </cfRule>
  </conditionalFormatting>
  <conditionalFormatting sqref="AG57">
    <cfRule type="cellIs" dxfId="104" priority="6" operator="lessThan">
      <formula>63</formula>
    </cfRule>
  </conditionalFormatting>
  <conditionalFormatting sqref="AH57">
    <cfRule type="cellIs" dxfId="103" priority="5" operator="lessThan">
      <formula>63</formula>
    </cfRule>
  </conditionalFormatting>
  <conditionalFormatting sqref="AJ57">
    <cfRule type="cellIs" dxfId="102" priority="4" operator="lessThan">
      <formula>270</formula>
    </cfRule>
  </conditionalFormatting>
  <conditionalFormatting sqref="AI57">
    <cfRule type="cellIs" dxfId="101" priority="3" operator="lessThan">
      <formula>270</formula>
    </cfRule>
  </conditionalFormatting>
  <conditionalFormatting sqref="AK57:AN57">
    <cfRule type="cellIs" dxfId="100" priority="1" operator="lessThan">
      <formula>270</formula>
    </cfRule>
  </conditionalFormatting>
  <printOptions horizontalCentered="1" verticalCentered="1"/>
  <pageMargins left="0" right="0.5" top="0" bottom="0" header="0" footer="0"/>
  <pageSetup paperSize="5" scale="47" orientation="landscape" cellComments="asDisplayed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499984740745262"/>
  </sheetPr>
  <dimension ref="A1:AN67"/>
  <sheetViews>
    <sheetView topLeftCell="Q4" zoomScale="90" zoomScaleNormal="90" workbookViewId="0">
      <selection activeCell="Y10" sqref="Y10"/>
    </sheetView>
  </sheetViews>
  <sheetFormatPr defaultRowHeight="15"/>
  <cols>
    <col min="1" max="1" width="32.7109375" bestFit="1" customWidth="1"/>
    <col min="2" max="2" width="17.7109375" customWidth="1"/>
    <col min="3" max="3" width="20.7109375" customWidth="1"/>
    <col min="4" max="4" width="22.28515625" bestFit="1" customWidth="1"/>
    <col min="5" max="5" width="4.7109375" customWidth="1"/>
    <col min="6" max="6" width="35.85546875" bestFit="1" customWidth="1"/>
    <col min="7" max="7" width="17.7109375" customWidth="1"/>
    <col min="8" max="9" width="19.140625" bestFit="1" customWidth="1"/>
    <col min="10" max="11" width="17.7109375" customWidth="1"/>
    <col min="12" max="12" width="19.140625" bestFit="1" customWidth="1"/>
    <col min="13" max="14" width="18.7109375" customWidth="1"/>
    <col min="15" max="15" width="7.7109375" customWidth="1"/>
    <col min="16" max="16" width="28.7109375" customWidth="1"/>
    <col min="17" max="17" width="22.28515625" bestFit="1" customWidth="1"/>
    <col min="18" max="18" width="7.7109375" customWidth="1"/>
    <col min="19" max="19" width="32.7109375" customWidth="1"/>
    <col min="20" max="20" width="20.28515625" bestFit="1" customWidth="1"/>
    <col min="21" max="21" width="17.7109375" customWidth="1"/>
    <col min="22" max="22" width="20.28515625" customWidth="1"/>
    <col min="23" max="23" width="17.7109375" customWidth="1"/>
    <col min="24" max="24" width="20.28515625" customWidth="1"/>
    <col min="25" max="25" width="14.7109375" customWidth="1"/>
    <col min="26" max="26" width="23.7109375" bestFit="1" customWidth="1"/>
    <col min="27" max="27" width="20.140625" bestFit="1" customWidth="1"/>
    <col min="28" max="28" width="18.140625" bestFit="1" customWidth="1"/>
    <col min="29" max="29" width="20.140625" bestFit="1" customWidth="1"/>
    <col min="30" max="30" width="17.7109375" customWidth="1"/>
    <col min="31" max="31" width="20.140625" bestFit="1" customWidth="1"/>
    <col min="32" max="33" width="20.7109375" customWidth="1"/>
    <col min="34" max="37" width="17.7109375" customWidth="1"/>
    <col min="38" max="38" width="11.28515625" hidden="1" customWidth="1"/>
    <col min="39" max="40" width="13" hidden="1" customWidth="1"/>
  </cols>
  <sheetData>
    <row r="1" spans="1:36">
      <c r="E1" s="5"/>
    </row>
    <row r="2" spans="1:36">
      <c r="E2" s="5"/>
    </row>
    <row r="3" spans="1:36" ht="15.75" thickBot="1">
      <c r="C3" t="s">
        <v>1</v>
      </c>
      <c r="E3" s="5" t="s">
        <v>1</v>
      </c>
      <c r="F3" t="s">
        <v>1</v>
      </c>
      <c r="N3" t="s">
        <v>1</v>
      </c>
      <c r="S3" t="s">
        <v>1</v>
      </c>
      <c r="U3" t="s">
        <v>1</v>
      </c>
    </row>
    <row r="4" spans="1:36" ht="21.75" thickTop="1">
      <c r="B4" t="s">
        <v>1</v>
      </c>
      <c r="D4" t="s">
        <v>1</v>
      </c>
      <c r="E4" t="s">
        <v>1</v>
      </c>
      <c r="P4" s="617" t="s">
        <v>108</v>
      </c>
      <c r="Q4" s="618">
        <f>'26'!Q4+'27'!Q9+'27'!Q10+'27'!Q19+'27'!Q20+'27'!Q21+'27'!Q22</f>
        <v>0</v>
      </c>
    </row>
    <row r="5" spans="1:36" ht="21.75" thickBot="1">
      <c r="P5" s="619" t="s">
        <v>109</v>
      </c>
      <c r="Q5" s="620">
        <f>'26'!Q5+'27'!Q25+'27'!Q26+'27'!Q27+'27'!Q28+'27'!Q29+'27'!Q30+'27'!Q31</f>
        <v>0</v>
      </c>
    </row>
    <row r="6" spans="1:36" ht="48" thickTop="1" thickBot="1">
      <c r="A6" s="1502">
        <f>'Main Page'!E43</f>
        <v>44892</v>
      </c>
      <c r="B6" s="1507"/>
      <c r="C6" s="1507"/>
      <c r="D6" s="1507"/>
      <c r="E6" s="1507"/>
      <c r="F6" s="1507"/>
      <c r="G6" s="1507"/>
      <c r="H6" s="1507"/>
      <c r="I6" s="1507"/>
      <c r="J6" s="1507"/>
      <c r="K6" s="1507"/>
      <c r="L6" s="1507"/>
      <c r="M6" s="1507"/>
      <c r="N6" s="1507"/>
      <c r="O6" s="1507"/>
      <c r="P6" s="1507"/>
      <c r="Q6" s="1515"/>
      <c r="R6" t="s">
        <v>1</v>
      </c>
      <c r="S6" s="1502">
        <f>A6</f>
        <v>44892</v>
      </c>
      <c r="T6" s="1503"/>
      <c r="U6" s="1503"/>
      <c r="V6" s="1503"/>
      <c r="W6" s="1503"/>
      <c r="X6" s="1503"/>
      <c r="Y6" s="1503"/>
      <c r="Z6" s="1503"/>
      <c r="AA6" s="1503"/>
      <c r="AB6" s="1503"/>
      <c r="AC6" s="1503"/>
      <c r="AD6" s="1503"/>
      <c r="AE6" s="1504"/>
    </row>
    <row r="7" spans="1:36" ht="39.950000000000003" customHeight="1" thickTop="1" thickBot="1">
      <c r="A7" s="1505" t="s">
        <v>110</v>
      </c>
      <c r="B7" s="1506"/>
      <c r="C7" s="367" t="s">
        <v>97</v>
      </c>
      <c r="D7" s="368" t="s">
        <v>74</v>
      </c>
      <c r="F7" s="363" t="s">
        <v>111</v>
      </c>
      <c r="G7" s="364" t="s">
        <v>112</v>
      </c>
      <c r="H7" s="365" t="s">
        <v>113</v>
      </c>
      <c r="I7" s="365" t="s">
        <v>26</v>
      </c>
      <c r="J7" s="365" t="s">
        <v>114</v>
      </c>
      <c r="K7" s="366" t="s">
        <v>115</v>
      </c>
      <c r="L7" s="365" t="s">
        <v>116</v>
      </c>
      <c r="M7" s="365" t="s">
        <v>117</v>
      </c>
      <c r="N7" s="365" t="s">
        <v>118</v>
      </c>
      <c r="P7" s="1510" t="s">
        <v>69</v>
      </c>
      <c r="Q7" s="1511"/>
      <c r="S7" s="380" t="s">
        <v>58</v>
      </c>
      <c r="T7" s="380" t="s">
        <v>59</v>
      </c>
      <c r="U7" s="380" t="s">
        <v>119</v>
      </c>
      <c r="V7" s="380" t="s">
        <v>74</v>
      </c>
      <c r="W7" s="380" t="s">
        <v>120</v>
      </c>
      <c r="X7" s="380" t="s">
        <v>59</v>
      </c>
      <c r="Z7" s="367" t="s">
        <v>121</v>
      </c>
      <c r="AA7" s="367" t="s">
        <v>97</v>
      </c>
      <c r="AB7" s="415" t="s">
        <v>122</v>
      </c>
      <c r="AC7" s="416" t="s">
        <v>90</v>
      </c>
      <c r="AD7" s="367" t="s">
        <v>56</v>
      </c>
      <c r="AE7" s="381" t="s">
        <v>100</v>
      </c>
      <c r="AF7" s="560" t="s">
        <v>122</v>
      </c>
      <c r="AG7" s="570" t="s">
        <v>56</v>
      </c>
      <c r="AI7" s="1487" t="s">
        <v>123</v>
      </c>
      <c r="AJ7" s="1488"/>
    </row>
    <row r="8" spans="1:36" ht="27" customHeight="1" thickTop="1" thickBot="1">
      <c r="A8" s="717" t="s">
        <v>129</v>
      </c>
      <c r="B8" s="233">
        <v>6400</v>
      </c>
      <c r="C8" s="463"/>
      <c r="D8" s="233"/>
      <c r="F8" s="478" t="str">
        <f>'26'!F8</f>
        <v>ISHAQ ANSARI</v>
      </c>
      <c r="G8" s="405">
        <f>'CUSTOMERS REPORT'!Y34</f>
        <v>0</v>
      </c>
      <c r="H8" s="503">
        <f>'CUSTOMERS REPORT'!Z34</f>
        <v>0</v>
      </c>
      <c r="I8" s="405">
        <f>'CUSTOMERS REPORT'!AA34</f>
        <v>0</v>
      </c>
      <c r="J8" s="497">
        <f>'CUSTOMERS REPORT'!AB34</f>
        <v>0</v>
      </c>
      <c r="K8" s="497">
        <f>'CUSTOMERS REPORT'!AC34</f>
        <v>0</v>
      </c>
      <c r="L8" s="508">
        <f>'CUSTOMERS REPORT'!AD34</f>
        <v>0</v>
      </c>
      <c r="M8" s="413">
        <f>'26'!M8+'27'!G8</f>
        <v>0</v>
      </c>
      <c r="N8" s="411">
        <f>'26'!N8+'27'!J8</f>
        <v>0</v>
      </c>
      <c r="P8" s="191" t="s">
        <v>124</v>
      </c>
      <c r="Q8" s="223">
        <f>'26'!Q32</f>
        <v>0</v>
      </c>
      <c r="S8" s="399" t="str">
        <f>'26'!S8</f>
        <v>FLOUR</v>
      </c>
      <c r="T8" s="446">
        <f>'26'!X8</f>
        <v>-34</v>
      </c>
      <c r="U8" s="455"/>
      <c r="V8" s="450">
        <f t="shared" ref="V8:V43" si="0">SUM(T8:U8)</f>
        <v>-34</v>
      </c>
      <c r="W8" s="450">
        <v>26</v>
      </c>
      <c r="X8" s="446">
        <f t="shared" ref="X8:X43" si="1">V8-W8</f>
        <v>-60</v>
      </c>
      <c r="Z8" s="382" t="str">
        <f>'26'!Z8</f>
        <v>GHAZI</v>
      </c>
      <c r="AA8" s="464">
        <f>'26'!AE8</f>
        <v>-429500</v>
      </c>
      <c r="AB8" s="459"/>
      <c r="AC8" s="233">
        <f t="shared" ref="AC8:AC41" si="2">AA8+AB8</f>
        <v>-429500</v>
      </c>
      <c r="AD8" s="468"/>
      <c r="AE8" s="463">
        <f t="shared" ref="AE8:AE42" si="3">AC8-AD8</f>
        <v>-429500</v>
      </c>
      <c r="AF8" s="563">
        <f>'26'!AF8+'27'!AB8</f>
        <v>347500</v>
      </c>
      <c r="AG8" s="233">
        <f>'26'!AG8+'27'!AD8</f>
        <v>777000</v>
      </c>
      <c r="AI8" s="391" t="s">
        <v>126</v>
      </c>
      <c r="AJ8" s="392">
        <f>'26'!AJ10</f>
        <v>185820</v>
      </c>
    </row>
    <row r="9" spans="1:36" ht="21" customHeight="1" thickTop="1">
      <c r="A9" s="718"/>
      <c r="B9" s="526"/>
      <c r="C9" s="348"/>
      <c r="D9" s="550"/>
      <c r="F9" s="479" t="str">
        <f>'26'!F9</f>
        <v>MAKKI BAKERY</v>
      </c>
      <c r="G9" s="406">
        <f>'CUSTOMERS REPORT'!Y80</f>
        <v>0</v>
      </c>
      <c r="H9" s="504">
        <f>'CUSTOMERS REPORT'!Z80</f>
        <v>0</v>
      </c>
      <c r="I9" s="406">
        <f>'CUSTOMERS REPORT'!AA80</f>
        <v>0</v>
      </c>
      <c r="J9" s="498">
        <f>'CUSTOMERS REPORT'!AB80</f>
        <v>0</v>
      </c>
      <c r="K9" s="498">
        <f>'CUSTOMERS REPORT'!AC80</f>
        <v>0</v>
      </c>
      <c r="L9" s="509">
        <f>'CUSTOMERS REPORT'!AD80</f>
        <v>0</v>
      </c>
      <c r="M9" s="414">
        <f>'26'!M9+'27'!G9</f>
        <v>0</v>
      </c>
      <c r="N9" s="412">
        <f>'26'!N9+'27'!J9</f>
        <v>0</v>
      </c>
      <c r="P9" s="432"/>
      <c r="Q9" s="436"/>
      <c r="S9" s="400" t="str">
        <f>'26'!S9</f>
        <v>SUGAR</v>
      </c>
      <c r="T9" s="446">
        <f>'26'!X9</f>
        <v>-595</v>
      </c>
      <c r="U9" s="456"/>
      <c r="V9" s="451">
        <f t="shared" si="0"/>
        <v>-595</v>
      </c>
      <c r="W9" s="451">
        <v>455</v>
      </c>
      <c r="X9" s="447">
        <f t="shared" si="1"/>
        <v>-1050</v>
      </c>
      <c r="Z9" s="375" t="str">
        <f>'26'!Z9</f>
        <v>SOHNI</v>
      </c>
      <c r="AA9" s="464">
        <f>'26'!AE9</f>
        <v>-110000</v>
      </c>
      <c r="AB9" s="460"/>
      <c r="AC9" s="462">
        <f t="shared" si="2"/>
        <v>-110000</v>
      </c>
      <c r="AD9" s="469"/>
      <c r="AE9" s="348">
        <f t="shared" si="3"/>
        <v>-110000</v>
      </c>
      <c r="AF9" s="563">
        <f>'26'!AF9+'27'!AB9</f>
        <v>370000</v>
      </c>
      <c r="AG9" s="234">
        <f>'26'!AG9+'27'!AD9</f>
        <v>480000</v>
      </c>
      <c r="AI9" s="393" t="s">
        <v>128</v>
      </c>
      <c r="AJ9" s="394">
        <f>B26</f>
        <v>0</v>
      </c>
    </row>
    <row r="10" spans="1:36" ht="27" customHeight="1" thickBot="1">
      <c r="A10" s="718"/>
      <c r="B10" s="528"/>
      <c r="C10" s="350"/>
      <c r="D10" s="550"/>
      <c r="F10" s="479" t="str">
        <f>'26'!F10</f>
        <v>ABID HUSSAIN</v>
      </c>
      <c r="G10" s="406">
        <f>'CUSTOMERS REPORT'!Y118</f>
        <v>0</v>
      </c>
      <c r="H10" s="504">
        <f>'CUSTOMERS REPORT'!Z118</f>
        <v>0</v>
      </c>
      <c r="I10" s="406">
        <f>'CUSTOMERS REPORT'!AA118</f>
        <v>0</v>
      </c>
      <c r="J10" s="498">
        <f>'CUSTOMERS REPORT'!AB118</f>
        <v>0</v>
      </c>
      <c r="K10" s="498">
        <f>'CUSTOMERS REPORT'!AC118</f>
        <v>0</v>
      </c>
      <c r="L10" s="509">
        <f>'CUSTOMERS REPORT'!AD118</f>
        <v>0</v>
      </c>
      <c r="M10" s="414">
        <f>'26'!M10+'27'!G10</f>
        <v>0</v>
      </c>
      <c r="N10" s="412">
        <f>'26'!N10+'27'!J10</f>
        <v>0</v>
      </c>
      <c r="P10" s="433"/>
      <c r="Q10" s="437"/>
      <c r="S10" s="400" t="str">
        <f>'26'!S10</f>
        <v>GHEE</v>
      </c>
      <c r="T10" s="446">
        <f>'26'!X10</f>
        <v>-12</v>
      </c>
      <c r="U10" s="456">
        <v>1</v>
      </c>
      <c r="V10" s="451">
        <f t="shared" si="0"/>
        <v>-11</v>
      </c>
      <c r="W10" s="451">
        <v>5</v>
      </c>
      <c r="X10" s="447">
        <f t="shared" si="1"/>
        <v>-16</v>
      </c>
      <c r="Z10" s="375" t="str">
        <f>'26'!Z10</f>
        <v>HUSSAINI</v>
      </c>
      <c r="AA10" s="464">
        <f>'26'!AE10</f>
        <v>54900</v>
      </c>
      <c r="AB10" s="460"/>
      <c r="AC10" s="462">
        <f t="shared" si="2"/>
        <v>54900</v>
      </c>
      <c r="AD10" s="469"/>
      <c r="AE10" s="348">
        <f t="shared" si="3"/>
        <v>54900</v>
      </c>
      <c r="AF10" s="563">
        <f>'26'!AF10+'27'!AB10</f>
        <v>211000</v>
      </c>
      <c r="AG10" s="234">
        <f>'26'!AG10+'27'!AD10</f>
        <v>156100</v>
      </c>
      <c r="AI10" s="395" t="s">
        <v>74</v>
      </c>
      <c r="AJ10" s="396">
        <f>AJ8+AJ9</f>
        <v>185820</v>
      </c>
    </row>
    <row r="11" spans="1:36" ht="27" customHeight="1" thickTop="1">
      <c r="A11" s="718"/>
      <c r="B11" s="528"/>
      <c r="C11" s="350"/>
      <c r="D11" s="550"/>
      <c r="F11" s="479" t="str">
        <f>'26'!F11</f>
        <v>SHAHID 5 #</v>
      </c>
      <c r="G11" s="406">
        <f>'CUSTOMERS REPORT'!Y157</f>
        <v>0</v>
      </c>
      <c r="H11" s="504">
        <f>'CUSTOMERS REPORT'!Z157</f>
        <v>0</v>
      </c>
      <c r="I11" s="406">
        <f>'CUSTOMERS REPORT'!AA157</f>
        <v>0</v>
      </c>
      <c r="J11" s="498">
        <f>'CUSTOMERS REPORT'!AB157</f>
        <v>0</v>
      </c>
      <c r="K11" s="498">
        <f>'CUSTOMERS REPORT'!AC157</f>
        <v>0</v>
      </c>
      <c r="L11" s="509">
        <f>'CUSTOMERS REPORT'!AD157</f>
        <v>0</v>
      </c>
      <c r="M11" s="414">
        <f>'26'!M11+'27'!G11</f>
        <v>0</v>
      </c>
      <c r="N11" s="412">
        <f>'26'!N11+'27'!J11</f>
        <v>0</v>
      </c>
      <c r="P11" s="433"/>
      <c r="Q11" s="437"/>
      <c r="S11" s="400" t="str">
        <f>'26'!S11</f>
        <v>YEAST</v>
      </c>
      <c r="T11" s="446">
        <f>'26'!X11</f>
        <v>-118</v>
      </c>
      <c r="U11" s="456"/>
      <c r="V11" s="451">
        <f t="shared" ref="V11:V21" si="4">SUM(T11:U11)</f>
        <v>-118</v>
      </c>
      <c r="W11" s="451">
        <v>13</v>
      </c>
      <c r="X11" s="447">
        <f t="shared" ref="X11:X21" si="5">V11-W11</f>
        <v>-131</v>
      </c>
      <c r="Z11" s="375" t="str">
        <f>'26'!Z11</f>
        <v>IMRAN ALAM</v>
      </c>
      <c r="AA11" s="464">
        <f>'26'!AE11</f>
        <v>-439000</v>
      </c>
      <c r="AB11" s="460"/>
      <c r="AC11" s="462">
        <f t="shared" ref="AC11:AC18" si="6">AA11+AB11</f>
        <v>-439000</v>
      </c>
      <c r="AD11" s="469"/>
      <c r="AE11" s="348">
        <f t="shared" ref="AE11:AE18" si="7">AC11-AD11</f>
        <v>-439000</v>
      </c>
      <c r="AF11" s="563">
        <f>'26'!AF11+'27'!AB11</f>
        <v>0</v>
      </c>
      <c r="AG11" s="234">
        <f>'26'!AG11+'27'!AD11</f>
        <v>439000</v>
      </c>
      <c r="AI11" s="1031"/>
      <c r="AJ11" s="1032"/>
    </row>
    <row r="12" spans="1:36" ht="27" customHeight="1">
      <c r="A12" s="718"/>
      <c r="B12" s="528"/>
      <c r="C12" s="350"/>
      <c r="D12" s="550"/>
      <c r="F12" s="479" t="str">
        <f>'26'!F12</f>
        <v>ZULFIQAR</v>
      </c>
      <c r="G12" s="406">
        <f>'CUSTOMERS REPORT'!Y195</f>
        <v>0</v>
      </c>
      <c r="H12" s="504">
        <f>'CUSTOMERS REPORT'!Z195</f>
        <v>0</v>
      </c>
      <c r="I12" s="406">
        <f>'CUSTOMERS REPORT'!AA195</f>
        <v>0</v>
      </c>
      <c r="J12" s="498">
        <f>'CUSTOMERS REPORT'!AB195</f>
        <v>0</v>
      </c>
      <c r="K12" s="498">
        <f>'CUSTOMERS REPORT'!AC195</f>
        <v>0</v>
      </c>
      <c r="L12" s="509">
        <f>'CUSTOMERS REPORT'!AD195</f>
        <v>0</v>
      </c>
      <c r="M12" s="414">
        <f>'26'!M12+'27'!G12</f>
        <v>0</v>
      </c>
      <c r="N12" s="412">
        <f>'26'!N12+'27'!J12</f>
        <v>0</v>
      </c>
      <c r="P12" s="433"/>
      <c r="Q12" s="437"/>
      <c r="S12" s="400" t="str">
        <f>'26'!S12</f>
        <v xml:space="preserve">EKKA </v>
      </c>
      <c r="T12" s="446">
        <f>'26'!X12</f>
        <v>0</v>
      </c>
      <c r="U12" s="456"/>
      <c r="V12" s="451">
        <f t="shared" si="4"/>
        <v>0</v>
      </c>
      <c r="W12" s="451"/>
      <c r="X12" s="447">
        <f t="shared" si="5"/>
        <v>0</v>
      </c>
      <c r="Z12" s="375" t="str">
        <f>'26'!Z12</f>
        <v>ZAHEER</v>
      </c>
      <c r="AA12" s="464">
        <f>'26'!AE12</f>
        <v>-23200</v>
      </c>
      <c r="AB12" s="460"/>
      <c r="AC12" s="462">
        <f t="shared" si="6"/>
        <v>-23200</v>
      </c>
      <c r="AD12" s="469"/>
      <c r="AE12" s="348">
        <f t="shared" si="7"/>
        <v>-23200</v>
      </c>
      <c r="AF12" s="563">
        <f>'26'!AF12+'27'!AB12</f>
        <v>0</v>
      </c>
      <c r="AG12" s="234">
        <f>'26'!AG12+'27'!AD12</f>
        <v>23200</v>
      </c>
      <c r="AI12" s="1031"/>
      <c r="AJ12" s="1032"/>
    </row>
    <row r="13" spans="1:36" ht="27" customHeight="1">
      <c r="A13" s="718"/>
      <c r="B13" s="528"/>
      <c r="C13" s="350"/>
      <c r="D13" s="550"/>
      <c r="F13" s="479" t="str">
        <f>'26'!F13</f>
        <v>QASIM ORANGI</v>
      </c>
      <c r="G13" s="406">
        <f>'CUSTOMERS REPORT'!Y235</f>
        <v>0</v>
      </c>
      <c r="H13" s="504">
        <f>'CUSTOMERS REPORT'!Z235</f>
        <v>0</v>
      </c>
      <c r="I13" s="406">
        <f>'CUSTOMERS REPORT'!AA235</f>
        <v>0</v>
      </c>
      <c r="J13" s="498">
        <f>'CUSTOMERS REPORT'!AB235</f>
        <v>0</v>
      </c>
      <c r="K13" s="498">
        <f>'CUSTOMERS REPORT'!AC235</f>
        <v>0</v>
      </c>
      <c r="L13" s="509">
        <f>'CUSTOMERS REPORT'!AD235</f>
        <v>0</v>
      </c>
      <c r="M13" s="414">
        <f>'26'!M13+'27'!G13</f>
        <v>0</v>
      </c>
      <c r="N13" s="412">
        <f>'26'!N13+'27'!J13</f>
        <v>0</v>
      </c>
      <c r="P13" s="433"/>
      <c r="Q13" s="437"/>
      <c r="S13" s="400" t="str">
        <f>'26'!S13</f>
        <v>VANILLA</v>
      </c>
      <c r="T13" s="446">
        <f>'26'!X13</f>
        <v>0</v>
      </c>
      <c r="U13" s="456"/>
      <c r="V13" s="451">
        <f t="shared" si="4"/>
        <v>0</v>
      </c>
      <c r="W13" s="451"/>
      <c r="X13" s="447">
        <f t="shared" si="5"/>
        <v>0</v>
      </c>
      <c r="Z13" s="375" t="str">
        <f>'26'!Z13</f>
        <v>FAISAL</v>
      </c>
      <c r="AA13" s="464">
        <f>'26'!AE13</f>
        <v>-100000</v>
      </c>
      <c r="AB13" s="460"/>
      <c r="AC13" s="462">
        <f t="shared" si="6"/>
        <v>-100000</v>
      </c>
      <c r="AD13" s="469"/>
      <c r="AE13" s="348">
        <f t="shared" si="7"/>
        <v>-100000</v>
      </c>
      <c r="AF13" s="563">
        <f>'26'!AF13+'27'!AB13</f>
        <v>0</v>
      </c>
      <c r="AG13" s="234">
        <f>'26'!AG13+'27'!AD13</f>
        <v>100000</v>
      </c>
      <c r="AI13" s="1031"/>
      <c r="AJ13" s="1032"/>
    </row>
    <row r="14" spans="1:36" ht="27" customHeight="1">
      <c r="A14" s="718"/>
      <c r="B14" s="528"/>
      <c r="C14" s="350"/>
      <c r="D14" s="550"/>
      <c r="F14" s="479" t="str">
        <f>'26'!F14</f>
        <v>BADSHAH KHAN HYD</v>
      </c>
      <c r="G14" s="406">
        <f>'CUSTOMERS REPORT'!Y272</f>
        <v>0</v>
      </c>
      <c r="H14" s="504">
        <f>'CUSTOMERS REPORT'!Z272</f>
        <v>0</v>
      </c>
      <c r="I14" s="406">
        <f>'CUSTOMERS REPORT'!AA272</f>
        <v>0</v>
      </c>
      <c r="J14" s="498">
        <f>'CUSTOMERS REPORT'!AB272</f>
        <v>0</v>
      </c>
      <c r="K14" s="498">
        <f>'CUSTOMERS REPORT'!AC272</f>
        <v>0</v>
      </c>
      <c r="L14" s="509">
        <f>'CUSTOMERS REPORT'!AD272</f>
        <v>0</v>
      </c>
      <c r="M14" s="414">
        <f>'26'!M14+'27'!G14</f>
        <v>0</v>
      </c>
      <c r="N14" s="412">
        <f>'26'!N14+'27'!J14</f>
        <v>0</v>
      </c>
      <c r="P14" s="433"/>
      <c r="Q14" s="437"/>
      <c r="S14" s="400" t="str">
        <f>'26'!S14</f>
        <v>COLOUR</v>
      </c>
      <c r="T14" s="446">
        <f>'26'!X14</f>
        <v>25</v>
      </c>
      <c r="U14" s="456"/>
      <c r="V14" s="451">
        <f t="shared" si="4"/>
        <v>25</v>
      </c>
      <c r="W14" s="451"/>
      <c r="X14" s="447">
        <f t="shared" si="5"/>
        <v>25</v>
      </c>
      <c r="Z14" s="375" t="str">
        <f>'26'!Z14</f>
        <v>RANA EKKA</v>
      </c>
      <c r="AA14" s="464">
        <f>'26'!AE14</f>
        <v>0</v>
      </c>
      <c r="AB14" s="460"/>
      <c r="AC14" s="462">
        <f t="shared" si="6"/>
        <v>0</v>
      </c>
      <c r="AD14" s="469"/>
      <c r="AE14" s="348">
        <f t="shared" si="7"/>
        <v>0</v>
      </c>
      <c r="AF14" s="563">
        <f>'26'!AF14+'27'!AB14</f>
        <v>0</v>
      </c>
      <c r="AG14" s="234">
        <f>'26'!AG14+'27'!AD14</f>
        <v>0</v>
      </c>
      <c r="AI14" s="1031"/>
      <c r="AJ14" s="1032"/>
    </row>
    <row r="15" spans="1:36" ht="27" customHeight="1">
      <c r="A15" s="718"/>
      <c r="B15" s="528"/>
      <c r="C15" s="350"/>
      <c r="D15" s="550"/>
      <c r="F15" s="479" t="str">
        <f>'26'!F15</f>
        <v>SHAMOON</v>
      </c>
      <c r="G15" s="406">
        <f>'CUSTOMERS REPORT'!Y312</f>
        <v>0</v>
      </c>
      <c r="H15" s="504">
        <f>'CUSTOMERS REPORT'!Z312</f>
        <v>0</v>
      </c>
      <c r="I15" s="406">
        <f>'CUSTOMERS REPORT'!AA312</f>
        <v>0</v>
      </c>
      <c r="J15" s="498">
        <f>'CUSTOMERS REPORT'!AB312</f>
        <v>0</v>
      </c>
      <c r="K15" s="498">
        <f>'CUSTOMERS REPORT'!AC312</f>
        <v>0</v>
      </c>
      <c r="L15" s="509">
        <f>'CUSTOMERS REPORT'!AD312</f>
        <v>0</v>
      </c>
      <c r="M15" s="414">
        <f>'26'!M15+'27'!G15</f>
        <v>0</v>
      </c>
      <c r="N15" s="412">
        <f>'26'!N15+'27'!J15</f>
        <v>0</v>
      </c>
      <c r="P15" s="433"/>
      <c r="Q15" s="437"/>
      <c r="S15" s="400" t="str">
        <f>'26'!S15</f>
        <v>TILL</v>
      </c>
      <c r="T15" s="446">
        <f>'26'!X15</f>
        <v>0</v>
      </c>
      <c r="U15" s="456"/>
      <c r="V15" s="451">
        <f t="shared" si="4"/>
        <v>0</v>
      </c>
      <c r="W15" s="451"/>
      <c r="X15" s="447">
        <f t="shared" si="5"/>
        <v>0</v>
      </c>
      <c r="Z15" s="375" t="str">
        <f>'26'!Z15</f>
        <v>sheeba</v>
      </c>
      <c r="AA15" s="464">
        <f>'26'!AE15</f>
        <v>-410250</v>
      </c>
      <c r="AB15" s="460"/>
      <c r="AC15" s="462">
        <f t="shared" si="6"/>
        <v>-410250</v>
      </c>
      <c r="AD15" s="469"/>
      <c r="AE15" s="348">
        <f t="shared" si="7"/>
        <v>-410250</v>
      </c>
      <c r="AF15" s="563">
        <f>'26'!AF15+'27'!AB15</f>
        <v>0</v>
      </c>
      <c r="AG15" s="234">
        <f>'26'!AG15+'27'!AD15</f>
        <v>410250</v>
      </c>
      <c r="AI15" s="1031"/>
      <c r="AJ15" s="1032"/>
    </row>
    <row r="16" spans="1:36" ht="27" customHeight="1">
      <c r="A16" s="718"/>
      <c r="B16" s="528"/>
      <c r="C16" s="350"/>
      <c r="D16" s="550"/>
      <c r="F16" s="479" t="str">
        <f>'26'!F16</f>
        <v>MATEEN</v>
      </c>
      <c r="G16" s="406">
        <f>'CUSTOMERS REPORT'!Y353</f>
        <v>0</v>
      </c>
      <c r="H16" s="504">
        <f>'CUSTOMERS REPORT'!Z353</f>
        <v>0</v>
      </c>
      <c r="I16" s="406">
        <f>'CUSTOMERS REPORT'!AA353</f>
        <v>0</v>
      </c>
      <c r="J16" s="498">
        <f>'CUSTOMERS REPORT'!AB353</f>
        <v>0</v>
      </c>
      <c r="K16" s="498">
        <f>'CUSTOMERS REPORT'!AC353</f>
        <v>0</v>
      </c>
      <c r="L16" s="509">
        <f>'CUSTOMERS REPORT'!AD353</f>
        <v>0</v>
      </c>
      <c r="M16" s="414">
        <f>'26'!M16+'27'!G16</f>
        <v>0</v>
      </c>
      <c r="N16" s="412">
        <f>'26'!N16+'27'!J16</f>
        <v>0</v>
      </c>
      <c r="P16" s="433"/>
      <c r="Q16" s="437"/>
      <c r="S16" s="400" t="str">
        <f>'26'!S16</f>
        <v>ILLAICHI</v>
      </c>
      <c r="T16" s="446">
        <f>'26'!X16</f>
        <v>0</v>
      </c>
      <c r="U16" s="456"/>
      <c r="V16" s="451">
        <f t="shared" si="4"/>
        <v>0</v>
      </c>
      <c r="W16" s="451"/>
      <c r="X16" s="447">
        <f t="shared" si="5"/>
        <v>0</v>
      </c>
      <c r="Z16" s="375" t="str">
        <f>'26'!Z16</f>
        <v>COTTON</v>
      </c>
      <c r="AA16" s="464">
        <f>'26'!AE16</f>
        <v>0</v>
      </c>
      <c r="AB16" s="460"/>
      <c r="AC16" s="462">
        <f t="shared" si="6"/>
        <v>0</v>
      </c>
      <c r="AD16" s="469"/>
      <c r="AE16" s="348">
        <f t="shared" si="7"/>
        <v>0</v>
      </c>
      <c r="AF16" s="563">
        <f>'26'!AF16+'27'!AB16</f>
        <v>26400</v>
      </c>
      <c r="AG16" s="234">
        <f>'26'!AG16+'27'!AD16</f>
        <v>26400</v>
      </c>
      <c r="AI16" s="1031"/>
      <c r="AJ16" s="1032"/>
    </row>
    <row r="17" spans="1:36" ht="27" customHeight="1">
      <c r="A17" s="718"/>
      <c r="B17" s="528"/>
      <c r="C17" s="350"/>
      <c r="D17" s="550"/>
      <c r="F17" s="479" t="str">
        <f>'26'!F17</f>
        <v>AMJAD ORANGI</v>
      </c>
      <c r="G17" s="406">
        <f>'CUSTOMERS REPORT'!Y395</f>
        <v>0</v>
      </c>
      <c r="H17" s="504">
        <f>'CUSTOMERS REPORT'!Z395</f>
        <v>0</v>
      </c>
      <c r="I17" s="406">
        <f>'CUSTOMERS REPORT'!AA395</f>
        <v>0</v>
      </c>
      <c r="J17" s="498">
        <f>'CUSTOMERS REPORT'!AB395</f>
        <v>0</v>
      </c>
      <c r="K17" s="498">
        <f>'CUSTOMERS REPORT'!AC395</f>
        <v>0</v>
      </c>
      <c r="L17" s="509">
        <f>'CUSTOMERS REPORT'!AD395</f>
        <v>0</v>
      </c>
      <c r="M17" s="414">
        <f>'26'!M17+'27'!G17</f>
        <v>0</v>
      </c>
      <c r="N17" s="412">
        <f>'26'!N17+'27'!J17</f>
        <v>0</v>
      </c>
      <c r="P17" s="433"/>
      <c r="Q17" s="437"/>
      <c r="S17" s="400" t="str">
        <f>'26'!S17</f>
        <v>S-THELLI</v>
      </c>
      <c r="T17" s="446">
        <f>'26'!X17</f>
        <v>0</v>
      </c>
      <c r="U17" s="456"/>
      <c r="V17" s="451">
        <f t="shared" si="4"/>
        <v>0</v>
      </c>
      <c r="W17" s="451"/>
      <c r="X17" s="447">
        <f t="shared" si="5"/>
        <v>0</v>
      </c>
      <c r="Z17" s="375" t="str">
        <f>'26'!Z17</f>
        <v>SHAHID UP</v>
      </c>
      <c r="AA17" s="464">
        <f>'26'!AE17</f>
        <v>0</v>
      </c>
      <c r="AB17" s="460"/>
      <c r="AC17" s="462">
        <f t="shared" si="6"/>
        <v>0</v>
      </c>
      <c r="AD17" s="469"/>
      <c r="AE17" s="348">
        <f t="shared" si="7"/>
        <v>0</v>
      </c>
      <c r="AF17" s="563">
        <f>'26'!AF17+'27'!AB17</f>
        <v>21250</v>
      </c>
      <c r="AG17" s="234">
        <f>'26'!AG17+'27'!AD17</f>
        <v>21250</v>
      </c>
      <c r="AI17" s="1031"/>
      <c r="AJ17" s="1032"/>
    </row>
    <row r="18" spans="1:36" ht="27" customHeight="1">
      <c r="A18" s="718"/>
      <c r="B18" s="528"/>
      <c r="C18" s="350"/>
      <c r="D18" s="550"/>
      <c r="F18" s="479" t="str">
        <f>'26'!F18</f>
        <v>HAFIZ DRIVER</v>
      </c>
      <c r="G18" s="406">
        <f>'CUSTOMERS REPORT'!Y434</f>
        <v>0</v>
      </c>
      <c r="H18" s="504">
        <f>'CUSTOMERS REPORT'!Z434</f>
        <v>0</v>
      </c>
      <c r="I18" s="406">
        <f>'CUSTOMERS REPORT'!AA434</f>
        <v>0</v>
      </c>
      <c r="J18" s="498">
        <f>'CUSTOMERS REPORT'!AB434</f>
        <v>0</v>
      </c>
      <c r="K18" s="498">
        <f>'CUSTOMERS REPORT'!AC434</f>
        <v>0</v>
      </c>
      <c r="L18" s="509">
        <f>'CUSTOMERS REPORT'!AD434</f>
        <v>0</v>
      </c>
      <c r="M18" s="414">
        <f>'26'!M18+'27'!G18</f>
        <v>0</v>
      </c>
      <c r="N18" s="412">
        <f>'26'!N18+'27'!J18</f>
        <v>0</v>
      </c>
      <c r="P18" s="433"/>
      <c r="Q18" s="437"/>
      <c r="S18" s="400" t="str">
        <f>'26'!S18</f>
        <v>P-THELLI</v>
      </c>
      <c r="T18" s="446">
        <f>'26'!X18</f>
        <v>0</v>
      </c>
      <c r="U18" s="456"/>
      <c r="V18" s="451">
        <f t="shared" si="4"/>
        <v>0</v>
      </c>
      <c r="W18" s="451"/>
      <c r="X18" s="447">
        <f t="shared" si="5"/>
        <v>0</v>
      </c>
      <c r="Z18" s="375" t="str">
        <f>'26'!Z18</f>
        <v>SALT</v>
      </c>
      <c r="AA18" s="464">
        <f>'26'!AE18</f>
        <v>0</v>
      </c>
      <c r="AB18" s="460"/>
      <c r="AC18" s="462">
        <f t="shared" si="6"/>
        <v>0</v>
      </c>
      <c r="AD18" s="469"/>
      <c r="AE18" s="348">
        <f t="shared" si="7"/>
        <v>0</v>
      </c>
      <c r="AF18" s="563">
        <f>'26'!AF18+'27'!AB18</f>
        <v>1500</v>
      </c>
      <c r="AG18" s="234">
        <f>'26'!AG18+'27'!AD18</f>
        <v>1500</v>
      </c>
      <c r="AI18" s="1031"/>
      <c r="AJ18" s="1032"/>
    </row>
    <row r="19" spans="1:36" ht="27" customHeight="1" thickBot="1">
      <c r="A19" s="719"/>
      <c r="B19" s="529"/>
      <c r="C19" s="350"/>
      <c r="D19" s="550"/>
      <c r="F19" s="479" t="str">
        <f>'26'!F19</f>
        <v>GHULAM QUETTA</v>
      </c>
      <c r="G19" s="406">
        <f>'CUSTOMERS REPORT'!Y472</f>
        <v>0</v>
      </c>
      <c r="H19" s="504">
        <f>'CUSTOMERS REPORT'!Z472</f>
        <v>0</v>
      </c>
      <c r="I19" s="406">
        <f>'CUSTOMERS REPORT'!AA472</f>
        <v>0</v>
      </c>
      <c r="J19" s="498">
        <f>'CUSTOMERS REPORT'!AB472</f>
        <v>0</v>
      </c>
      <c r="K19" s="498">
        <f>'CUSTOMERS REPORT'!AC472</f>
        <v>0</v>
      </c>
      <c r="L19" s="509">
        <f>'CUSTOMERS REPORT'!AD472</f>
        <v>0</v>
      </c>
      <c r="M19" s="414">
        <f>'26'!M19+'27'!G19</f>
        <v>0</v>
      </c>
      <c r="N19" s="412">
        <f>'26'!N19+'27'!J19</f>
        <v>0</v>
      </c>
      <c r="P19" s="433"/>
      <c r="Q19" s="437"/>
      <c r="S19" s="400" t="str">
        <f>'26'!S19</f>
        <v>RUBBER</v>
      </c>
      <c r="T19" s="446">
        <f>'26'!X19</f>
        <v>0</v>
      </c>
      <c r="U19" s="456"/>
      <c r="V19" s="451">
        <f t="shared" si="4"/>
        <v>0</v>
      </c>
      <c r="W19" s="451"/>
      <c r="X19" s="447">
        <f t="shared" si="5"/>
        <v>0</v>
      </c>
      <c r="Z19" s="375" t="str">
        <f>'26'!Z19</f>
        <v>NAVEED</v>
      </c>
      <c r="AA19" s="464">
        <f>'26'!AE19</f>
        <v>0</v>
      </c>
      <c r="AB19" s="460"/>
      <c r="AC19" s="462">
        <f t="shared" si="2"/>
        <v>0</v>
      </c>
      <c r="AD19" s="469"/>
      <c r="AE19" s="348">
        <f t="shared" si="3"/>
        <v>0</v>
      </c>
      <c r="AF19" s="563">
        <f>'26'!AF19+'27'!AB19</f>
        <v>0</v>
      </c>
      <c r="AG19" s="234">
        <f>'26'!AG19+'27'!AD19</f>
        <v>0</v>
      </c>
    </row>
    <row r="20" spans="1:36" ht="27" customHeight="1" thickTop="1" thickBot="1">
      <c r="A20" s="719"/>
      <c r="B20" s="529"/>
      <c r="C20" s="350"/>
      <c r="D20" s="550"/>
      <c r="F20" s="479" t="str">
        <f>'26'!F20</f>
        <v>HUSSAN GWADAR</v>
      </c>
      <c r="G20" s="406">
        <f>'CUSTOMERS REPORT'!Y508</f>
        <v>0</v>
      </c>
      <c r="H20" s="504">
        <f>'CUSTOMERS REPORT'!Z508</f>
        <v>0</v>
      </c>
      <c r="I20" s="406">
        <f>'CUSTOMERS REPORT'!AA508</f>
        <v>0</v>
      </c>
      <c r="J20" s="498">
        <f>'CUSTOMERS REPORT'!AB508</f>
        <v>0</v>
      </c>
      <c r="K20" s="498">
        <f>'CUSTOMERS REPORT'!AC508</f>
        <v>0</v>
      </c>
      <c r="L20" s="509">
        <f>'CUSTOMERS REPORT'!AD508</f>
        <v>0</v>
      </c>
      <c r="M20" s="414">
        <f>'26'!M20+'27'!G20</f>
        <v>0</v>
      </c>
      <c r="N20" s="412">
        <f>'26'!N20+'27'!J20</f>
        <v>0</v>
      </c>
      <c r="P20" s="433"/>
      <c r="Q20" s="437"/>
      <c r="S20" s="400" t="str">
        <f>'26'!S20</f>
        <v>SALT</v>
      </c>
      <c r="T20" s="446">
        <f>'26'!X20</f>
        <v>250</v>
      </c>
      <c r="U20" s="456"/>
      <c r="V20" s="451">
        <f t="shared" si="4"/>
        <v>250</v>
      </c>
      <c r="W20" s="451"/>
      <c r="X20" s="447">
        <f t="shared" si="5"/>
        <v>250</v>
      </c>
      <c r="Z20" s="375" t="str">
        <f>'26'!Z20</f>
        <v>YOUSUF BHAI</v>
      </c>
      <c r="AA20" s="464">
        <f>'26'!AE20</f>
        <v>-107300</v>
      </c>
      <c r="AB20" s="460"/>
      <c r="AC20" s="462">
        <f t="shared" si="2"/>
        <v>-107300</v>
      </c>
      <c r="AD20" s="469"/>
      <c r="AE20" s="348">
        <f t="shared" si="3"/>
        <v>-107300</v>
      </c>
      <c r="AF20" s="563">
        <f>'26'!AF20+'27'!AB20</f>
        <v>447100</v>
      </c>
      <c r="AG20" s="234">
        <f>'26'!AG20+'27'!AD20</f>
        <v>554400</v>
      </c>
      <c r="AI20" s="1487" t="s">
        <v>132</v>
      </c>
      <c r="AJ20" s="1488"/>
    </row>
    <row r="21" spans="1:36" ht="27" customHeight="1" thickTop="1" thickBot="1">
      <c r="A21" s="720"/>
      <c r="B21" s="530"/>
      <c r="C21" s="531"/>
      <c r="D21" s="553"/>
      <c r="F21" s="479" t="str">
        <f>'26'!F21</f>
        <v>AQASH S KOT</v>
      </c>
      <c r="G21" s="406">
        <f>'CUSTOMERS REPORT'!Y545</f>
        <v>0</v>
      </c>
      <c r="H21" s="504">
        <f>'CUSTOMERS REPORT'!Z545</f>
        <v>0</v>
      </c>
      <c r="I21" s="406">
        <f>'CUSTOMERS REPORT'!AA545</f>
        <v>0</v>
      </c>
      <c r="J21" s="498">
        <f>'CUSTOMERS REPORT'!AB545</f>
        <v>0</v>
      </c>
      <c r="K21" s="498">
        <f>'CUSTOMERS REPORT'!AC545</f>
        <v>0</v>
      </c>
      <c r="L21" s="509">
        <f>'CUSTOMERS REPORT'!AD545</f>
        <v>0</v>
      </c>
      <c r="M21" s="414">
        <f>'26'!M21+'27'!G21</f>
        <v>0</v>
      </c>
      <c r="N21" s="412">
        <f>'26'!N21+'27'!J21</f>
        <v>0</v>
      </c>
      <c r="P21" s="433"/>
      <c r="Q21" s="435"/>
      <c r="S21" s="400" t="str">
        <f>'26'!S21</f>
        <v>TAPE</v>
      </c>
      <c r="T21" s="446">
        <f>'26'!X21</f>
        <v>0</v>
      </c>
      <c r="U21" s="456"/>
      <c r="V21" s="451">
        <f t="shared" si="4"/>
        <v>0</v>
      </c>
      <c r="W21" s="451"/>
      <c r="X21" s="447">
        <f t="shared" si="5"/>
        <v>0</v>
      </c>
      <c r="Z21" s="375" t="str">
        <f>'26'!Z21</f>
        <v>SULEMAN  PRINT</v>
      </c>
      <c r="AA21" s="464">
        <f>'26'!AE21</f>
        <v>-312000</v>
      </c>
      <c r="AB21" s="460"/>
      <c r="AC21" s="462">
        <f t="shared" si="2"/>
        <v>-312000</v>
      </c>
      <c r="AD21" s="469"/>
      <c r="AE21" s="348">
        <f t="shared" si="3"/>
        <v>-312000</v>
      </c>
      <c r="AF21" s="563">
        <f>'26'!AF21+'27'!AB21</f>
        <v>0</v>
      </c>
      <c r="AG21" s="234">
        <f>'26'!AG21+'27'!AD21</f>
        <v>312000</v>
      </c>
      <c r="AI21" s="391" t="s">
        <v>126</v>
      </c>
      <c r="AJ21" s="392">
        <f>'26'!AJ23</f>
        <v>210600</v>
      </c>
    </row>
    <row r="22" spans="1:36" ht="27" customHeight="1" thickTop="1" thickBot="1">
      <c r="A22" s="486" t="s">
        <v>74</v>
      </c>
      <c r="B22" s="533">
        <f>SUM(B8:B21)</f>
        <v>6400</v>
      </c>
      <c r="C22" s="534">
        <f>'26'!D22</f>
        <v>3492660</v>
      </c>
      <c r="D22" s="535">
        <f t="shared" ref="D22" si="8">B22+C22</f>
        <v>3499060</v>
      </c>
      <c r="F22" s="479" t="str">
        <f>'26'!F22</f>
        <v>SALEEM T JAM</v>
      </c>
      <c r="G22" s="406">
        <f>'CUSTOMERS REPORT'!Y583</f>
        <v>0</v>
      </c>
      <c r="H22" s="504">
        <f>'CUSTOMERS REPORT'!Z583</f>
        <v>0</v>
      </c>
      <c r="I22" s="406">
        <f>'CUSTOMERS REPORT'!AA583</f>
        <v>0</v>
      </c>
      <c r="J22" s="498">
        <f>'CUSTOMERS REPORT'!AB583</f>
        <v>0</v>
      </c>
      <c r="K22" s="498">
        <f>'CUSTOMERS REPORT'!AC583</f>
        <v>0</v>
      </c>
      <c r="L22" s="509">
        <f>'CUSTOMERS REPORT'!AD583</f>
        <v>0</v>
      </c>
      <c r="M22" s="414">
        <f>'26'!M22+'27'!G22</f>
        <v>0</v>
      </c>
      <c r="N22" s="412">
        <f>'26'!N22+'27'!J22</f>
        <v>0</v>
      </c>
      <c r="P22" s="433"/>
      <c r="Q22" s="438"/>
      <c r="S22" s="400" t="str">
        <f>'26'!S22</f>
        <v>COTTON</v>
      </c>
      <c r="T22" s="446">
        <f>'26'!X22</f>
        <v>220</v>
      </c>
      <c r="U22" s="456"/>
      <c r="V22" s="451">
        <f t="shared" si="0"/>
        <v>220</v>
      </c>
      <c r="W22" s="451"/>
      <c r="X22" s="447">
        <f t="shared" si="1"/>
        <v>220</v>
      </c>
      <c r="Z22" s="375" t="str">
        <f>'26'!Z22</f>
        <v>IRFAN VANILA</v>
      </c>
      <c r="AA22" s="464">
        <f>'26'!AE22</f>
        <v>-110000</v>
      </c>
      <c r="AB22" s="460"/>
      <c r="AC22" s="462">
        <f t="shared" si="2"/>
        <v>-110000</v>
      </c>
      <c r="AD22" s="469"/>
      <c r="AE22" s="348">
        <f t="shared" si="3"/>
        <v>-110000</v>
      </c>
      <c r="AF22" s="563">
        <f>'26'!AF22+'27'!AB22</f>
        <v>0</v>
      </c>
      <c r="AG22" s="234">
        <f>'26'!AG22+'27'!AD22</f>
        <v>110000</v>
      </c>
      <c r="AI22" s="393">
        <f>R56</f>
        <v>13</v>
      </c>
      <c r="AJ22" s="394">
        <f>R56*1800</f>
        <v>23400</v>
      </c>
    </row>
    <row r="23" spans="1:36" ht="27" customHeight="1" thickTop="1" thickBot="1">
      <c r="A23" s="715" t="str">
        <f>'26'!A23</f>
        <v>OFFICE FOOD</v>
      </c>
      <c r="B23" s="462">
        <v>370</v>
      </c>
      <c r="C23" s="536">
        <f>'26'!D23</f>
        <v>3340</v>
      </c>
      <c r="D23" s="537">
        <f t="shared" ref="D23:D48" si="9">B23+C23</f>
        <v>3710</v>
      </c>
      <c r="F23" s="479" t="str">
        <f>'26'!F23</f>
        <v>JAMSHAD BADEEN</v>
      </c>
      <c r="G23" s="406">
        <f>'CUSTOMERS REPORT'!Y619</f>
        <v>0</v>
      </c>
      <c r="H23" s="504">
        <f>'CUSTOMERS REPORT'!Z619</f>
        <v>0</v>
      </c>
      <c r="I23" s="406">
        <f>'CUSTOMERS REPORT'!AA619</f>
        <v>0</v>
      </c>
      <c r="J23" s="498">
        <f>'CUSTOMERS REPORT'!AB619</f>
        <v>0</v>
      </c>
      <c r="K23" s="498">
        <f>'CUSTOMERS REPORT'!AC619</f>
        <v>0</v>
      </c>
      <c r="L23" s="509">
        <f>'CUSTOMERS REPORT'!AD619</f>
        <v>0</v>
      </c>
      <c r="M23" s="414">
        <f>'26'!M23+'27'!G23</f>
        <v>0</v>
      </c>
      <c r="N23" s="412">
        <f>'26'!N23+'27'!J23</f>
        <v>0</v>
      </c>
      <c r="P23" s="190" t="s">
        <v>48</v>
      </c>
      <c r="Q23" s="439">
        <f>SUM(Q8:Q22)</f>
        <v>0</v>
      </c>
      <c r="S23" s="400" t="str">
        <f>'26'!S23</f>
        <v>WHITE 6</v>
      </c>
      <c r="T23" s="446">
        <f>'26'!X23</f>
        <v>0</v>
      </c>
      <c r="U23" s="456"/>
      <c r="V23" s="451">
        <f t="shared" si="0"/>
        <v>0</v>
      </c>
      <c r="W23" s="451"/>
      <c r="X23" s="447">
        <f t="shared" si="1"/>
        <v>0</v>
      </c>
      <c r="Z23" s="375" t="str">
        <f>'26'!Z23</f>
        <v>IRANI GHEE</v>
      </c>
      <c r="AA23" s="464">
        <f>'26'!AE23</f>
        <v>0</v>
      </c>
      <c r="AB23" s="460">
        <v>6400</v>
      </c>
      <c r="AC23" s="462">
        <f t="shared" si="2"/>
        <v>6400</v>
      </c>
      <c r="AD23" s="469">
        <v>6400</v>
      </c>
      <c r="AE23" s="348">
        <f t="shared" si="3"/>
        <v>0</v>
      </c>
      <c r="AF23" s="563">
        <f>'26'!AF23+'27'!AB23</f>
        <v>6400</v>
      </c>
      <c r="AG23" s="234">
        <f>'26'!AG23+'27'!AD23</f>
        <v>6400</v>
      </c>
      <c r="AI23" s="395" t="s">
        <v>74</v>
      </c>
      <c r="AJ23" s="396">
        <f>AJ21+AJ22</f>
        <v>234000</v>
      </c>
    </row>
    <row r="24" spans="1:36" ht="27" customHeight="1" thickTop="1" thickBot="1">
      <c r="A24" s="715" t="str">
        <f>'26'!A24</f>
        <v>LABOUR FOOD EXP</v>
      </c>
      <c r="B24" s="234">
        <v>1000</v>
      </c>
      <c r="C24" s="348">
        <f>'26'!D24</f>
        <v>31000</v>
      </c>
      <c r="D24" s="234">
        <f t="shared" si="9"/>
        <v>32000</v>
      </c>
      <c r="F24" s="479" t="str">
        <f>'26'!F24</f>
        <v>SARFAZ MP</v>
      </c>
      <c r="G24" s="406">
        <f>'CUSTOMERS REPORT'!Y657</f>
        <v>0</v>
      </c>
      <c r="H24" s="504">
        <f>'CUSTOMERS REPORT'!Z657</f>
        <v>0</v>
      </c>
      <c r="I24" s="406">
        <f>'CUSTOMERS REPORT'!AA657</f>
        <v>0</v>
      </c>
      <c r="J24" s="498">
        <f>'CUSTOMERS REPORT'!AB657</f>
        <v>0</v>
      </c>
      <c r="K24" s="498">
        <f>'CUSTOMERS REPORT'!AC657</f>
        <v>0</v>
      </c>
      <c r="L24" s="509">
        <f>'CUSTOMERS REPORT'!AD657</f>
        <v>0</v>
      </c>
      <c r="M24" s="414">
        <f>'26'!M24+'27'!G24</f>
        <v>0</v>
      </c>
      <c r="N24" s="412">
        <f>'26'!N24+'27'!J24</f>
        <v>0</v>
      </c>
      <c r="P24" s="1514" t="s">
        <v>137</v>
      </c>
      <c r="Q24" s="1514"/>
      <c r="R24" t="s">
        <v>1</v>
      </c>
      <c r="S24" s="400" t="str">
        <f>'26'!S24</f>
        <v>ORANGE</v>
      </c>
      <c r="T24" s="446">
        <f>'26'!X24</f>
        <v>0</v>
      </c>
      <c r="U24" s="456"/>
      <c r="V24" s="451">
        <f t="shared" si="0"/>
        <v>0</v>
      </c>
      <c r="W24" s="451"/>
      <c r="X24" s="447">
        <f t="shared" si="1"/>
        <v>0</v>
      </c>
      <c r="Z24" s="375">
        <f>'26'!Z24</f>
        <v>0</v>
      </c>
      <c r="AA24" s="464">
        <f>'26'!AE24</f>
        <v>0</v>
      </c>
      <c r="AB24" s="745"/>
      <c r="AC24" s="462">
        <f t="shared" si="2"/>
        <v>0</v>
      </c>
      <c r="AD24" s="469"/>
      <c r="AE24" s="348">
        <f t="shared" si="3"/>
        <v>0</v>
      </c>
      <c r="AF24" s="563">
        <f>'26'!AF24+'27'!AB24</f>
        <v>0</v>
      </c>
      <c r="AG24" s="234">
        <f>'26'!AG24+'27'!AD24</f>
        <v>0</v>
      </c>
    </row>
    <row r="25" spans="1:36" ht="27" customHeight="1" thickTop="1" thickBot="1">
      <c r="A25" s="715" t="str">
        <f>'26'!A25</f>
        <v>OFFICE SALARY</v>
      </c>
      <c r="B25" s="234">
        <f>ATTENDANCE!BC28</f>
        <v>0</v>
      </c>
      <c r="C25" s="348">
        <f>'26'!D25</f>
        <v>37000</v>
      </c>
      <c r="D25" s="234">
        <f t="shared" si="9"/>
        <v>37000</v>
      </c>
      <c r="F25" s="479" t="str">
        <f>'26'!F25</f>
        <v>AFZAL MATLI</v>
      </c>
      <c r="G25" s="406">
        <f>'CUSTOMERS REPORT'!Y695</f>
        <v>0</v>
      </c>
      <c r="H25" s="504">
        <f>'CUSTOMERS REPORT'!Z695</f>
        <v>0</v>
      </c>
      <c r="I25" s="406">
        <f>'CUSTOMERS REPORT'!AA695</f>
        <v>0</v>
      </c>
      <c r="J25" s="498">
        <f>'CUSTOMERS REPORT'!AB695</f>
        <v>0</v>
      </c>
      <c r="K25" s="498">
        <f>'CUSTOMERS REPORT'!AC695</f>
        <v>0</v>
      </c>
      <c r="L25" s="509">
        <f>'CUSTOMERS REPORT'!AD695</f>
        <v>0</v>
      </c>
      <c r="M25" s="414">
        <f>'26'!M25+'27'!G25</f>
        <v>0</v>
      </c>
      <c r="N25" s="412">
        <f>'26'!N25+'27'!J25</f>
        <v>0</v>
      </c>
      <c r="P25" s="434"/>
      <c r="Q25" s="440"/>
      <c r="S25" s="400" t="str">
        <f>'26'!S25</f>
        <v>MAKKI 7</v>
      </c>
      <c r="T25" s="446">
        <f>'26'!X25</f>
        <v>0</v>
      </c>
      <c r="U25" s="456"/>
      <c r="V25" s="451">
        <f t="shared" si="0"/>
        <v>0</v>
      </c>
      <c r="W25" s="451"/>
      <c r="X25" s="447">
        <f t="shared" si="1"/>
        <v>0</v>
      </c>
      <c r="Z25" s="375">
        <f>'26'!Z25</f>
        <v>0</v>
      </c>
      <c r="AA25" s="464">
        <f>'26'!AE25</f>
        <v>0</v>
      </c>
      <c r="AB25" s="460"/>
      <c r="AC25" s="462">
        <f t="shared" si="2"/>
        <v>0</v>
      </c>
      <c r="AD25" s="469"/>
      <c r="AE25" s="348">
        <f t="shared" si="3"/>
        <v>0</v>
      </c>
      <c r="AF25" s="563">
        <f>'26'!AF25+'27'!AB25</f>
        <v>0</v>
      </c>
      <c r="AG25" s="234">
        <f>'26'!AG25+'27'!AD25</f>
        <v>0</v>
      </c>
      <c r="AI25" s="397" t="s">
        <v>59</v>
      </c>
      <c r="AJ25" s="398">
        <f>AJ23-AJ10</f>
        <v>48180</v>
      </c>
    </row>
    <row r="26" spans="1:36" ht="27" customHeight="1" thickTop="1">
      <c r="A26" s="715" t="str">
        <f>'26'!A26</f>
        <v>LABOUR SALARY</v>
      </c>
      <c r="B26" s="234">
        <f>SUM('SALERY SHEET'!BD97:BE97)</f>
        <v>0</v>
      </c>
      <c r="C26" s="348">
        <f>'26'!D26</f>
        <v>185820</v>
      </c>
      <c r="D26" s="234">
        <f t="shared" si="9"/>
        <v>185820</v>
      </c>
      <c r="F26" s="479" t="str">
        <f>'26'!F26</f>
        <v xml:space="preserve">ABDUL RASHEED </v>
      </c>
      <c r="G26" s="406">
        <f>'CUSTOMERS REPORT'!Y733</f>
        <v>0</v>
      </c>
      <c r="H26" s="504">
        <f>'CUSTOMERS REPORT'!Z733</f>
        <v>0</v>
      </c>
      <c r="I26" s="406">
        <f>'CUSTOMERS REPORT'!AA733</f>
        <v>0</v>
      </c>
      <c r="J26" s="498">
        <f>'CUSTOMERS REPORT'!AB733</f>
        <v>0</v>
      </c>
      <c r="K26" s="498">
        <f>'CUSTOMERS REPORT'!AC733</f>
        <v>0</v>
      </c>
      <c r="L26" s="509">
        <f>'CUSTOMERS REPORT'!AD733</f>
        <v>0</v>
      </c>
      <c r="M26" s="414">
        <f>'26'!M26+'27'!G26</f>
        <v>0</v>
      </c>
      <c r="N26" s="412">
        <f>'26'!N26+'27'!J26</f>
        <v>0</v>
      </c>
      <c r="P26" s="433"/>
      <c r="Q26" s="438"/>
      <c r="R26" t="s">
        <v>1</v>
      </c>
      <c r="S26" s="400" t="str">
        <f>'26'!S26</f>
        <v>BLUE 125 GM</v>
      </c>
      <c r="T26" s="446">
        <f>'26'!X26</f>
        <v>0</v>
      </c>
      <c r="U26" s="456"/>
      <c r="V26" s="451">
        <f t="shared" si="0"/>
        <v>0</v>
      </c>
      <c r="W26" s="451"/>
      <c r="X26" s="447">
        <f t="shared" si="1"/>
        <v>0</v>
      </c>
      <c r="Z26" s="375">
        <f>'26'!Z26</f>
        <v>0</v>
      </c>
      <c r="AA26" s="464">
        <f>'26'!AE26</f>
        <v>0</v>
      </c>
      <c r="AB26" s="460"/>
      <c r="AC26" s="462">
        <f t="shared" si="2"/>
        <v>0</v>
      </c>
      <c r="AD26" s="469"/>
      <c r="AE26" s="348">
        <f t="shared" si="3"/>
        <v>0</v>
      </c>
      <c r="AF26" s="563">
        <f>'26'!AF26+'27'!AB26</f>
        <v>0</v>
      </c>
      <c r="AG26" s="234">
        <f>'26'!AG26+'27'!AD26</f>
        <v>0</v>
      </c>
    </row>
    <row r="27" spans="1:36" ht="27" customHeight="1">
      <c r="A27" s="715" t="str">
        <f>'26'!A27</f>
        <v>SHAHZORE</v>
      </c>
      <c r="B27" s="234"/>
      <c r="C27" s="348">
        <f>'26'!D27</f>
        <v>5250</v>
      </c>
      <c r="D27" s="234">
        <f t="shared" si="9"/>
        <v>5250</v>
      </c>
      <c r="F27" s="479" t="str">
        <f>'26'!F27</f>
        <v>SALEEM ORANGI</v>
      </c>
      <c r="G27" s="406">
        <f>'CUSTOMERS REPORT'!Y771</f>
        <v>0</v>
      </c>
      <c r="H27" s="504">
        <f>'CUSTOMERS REPORT'!Z771</f>
        <v>0</v>
      </c>
      <c r="I27" s="406">
        <f>'CUSTOMERS REPORT'!AA771</f>
        <v>0</v>
      </c>
      <c r="J27" s="498">
        <f>'CUSTOMERS REPORT'!AB771</f>
        <v>0</v>
      </c>
      <c r="K27" s="498">
        <f>'CUSTOMERS REPORT'!AC771</f>
        <v>0</v>
      </c>
      <c r="L27" s="509">
        <f>'CUSTOMERS REPORT'!AD771</f>
        <v>0</v>
      </c>
      <c r="M27" s="414">
        <f>'26'!M27+'27'!G27</f>
        <v>0</v>
      </c>
      <c r="N27" s="412">
        <f>'26'!N27+'27'!J27</f>
        <v>0</v>
      </c>
      <c r="P27" s="433"/>
      <c r="Q27" s="435"/>
      <c r="R27" t="s">
        <v>1</v>
      </c>
      <c r="S27" s="400" t="str">
        <f>'26'!S27</f>
        <v>MAKKI 5</v>
      </c>
      <c r="T27" s="446">
        <f>'26'!X27</f>
        <v>0</v>
      </c>
      <c r="U27" s="456"/>
      <c r="V27" s="451">
        <f t="shared" si="0"/>
        <v>0</v>
      </c>
      <c r="W27" s="451"/>
      <c r="X27" s="447">
        <f t="shared" si="1"/>
        <v>0</v>
      </c>
      <c r="Z27" s="375">
        <f>'26'!Z27</f>
        <v>0</v>
      </c>
      <c r="AA27" s="464">
        <f>'26'!AE27</f>
        <v>0</v>
      </c>
      <c r="AB27" s="460"/>
      <c r="AC27" s="462">
        <f t="shared" si="2"/>
        <v>0</v>
      </c>
      <c r="AD27" s="469"/>
      <c r="AE27" s="348">
        <f t="shared" si="3"/>
        <v>0</v>
      </c>
      <c r="AF27" s="563">
        <f>'26'!AF27+'27'!AB27</f>
        <v>0</v>
      </c>
      <c r="AG27" s="234">
        <f>'26'!AG27+'27'!AD27</f>
        <v>0</v>
      </c>
    </row>
    <row r="28" spans="1:36" ht="27" customHeight="1">
      <c r="A28" s="715" t="str">
        <f>'26'!A28</f>
        <v>GENERATOR</v>
      </c>
      <c r="B28" s="234"/>
      <c r="C28" s="348">
        <f>'26'!D28</f>
        <v>44550</v>
      </c>
      <c r="D28" s="234">
        <f t="shared" si="9"/>
        <v>44550</v>
      </c>
      <c r="F28" s="479" t="str">
        <f>'26'!F28</f>
        <v>AYAZ OUSTA</v>
      </c>
      <c r="G28" s="406">
        <f>'CUSTOMERS REPORT'!Y809</f>
        <v>0</v>
      </c>
      <c r="H28" s="504">
        <f>'CUSTOMERS REPORT'!Z809</f>
        <v>0</v>
      </c>
      <c r="I28" s="406">
        <f>'CUSTOMERS REPORT'!AA809</f>
        <v>0</v>
      </c>
      <c r="J28" s="498">
        <f>'CUSTOMERS REPORT'!AB809</f>
        <v>0</v>
      </c>
      <c r="K28" s="498">
        <f>'CUSTOMERS REPORT'!AC809</f>
        <v>0</v>
      </c>
      <c r="L28" s="509">
        <f>'CUSTOMERS REPORT'!AD809</f>
        <v>0</v>
      </c>
      <c r="M28" s="414">
        <f>'26'!M28+'27'!G28</f>
        <v>0</v>
      </c>
      <c r="N28" s="412">
        <f>'26'!N28+'27'!J28</f>
        <v>0</v>
      </c>
      <c r="P28" s="433"/>
      <c r="Q28" s="438"/>
      <c r="S28" s="400" t="str">
        <f>'26'!S28</f>
        <v>MAKKI 2 PES</v>
      </c>
      <c r="T28" s="446">
        <f>'26'!X28</f>
        <v>0</v>
      </c>
      <c r="U28" s="456"/>
      <c r="V28" s="451">
        <f t="shared" si="0"/>
        <v>0</v>
      </c>
      <c r="W28" s="451"/>
      <c r="X28" s="447">
        <f t="shared" si="1"/>
        <v>0</v>
      </c>
      <c r="Z28" s="375">
        <f>'26'!Z28</f>
        <v>0</v>
      </c>
      <c r="AA28" s="464">
        <f>'26'!AE28</f>
        <v>0</v>
      </c>
      <c r="AB28" s="460"/>
      <c r="AC28" s="462">
        <f t="shared" si="2"/>
        <v>0</v>
      </c>
      <c r="AD28" s="469"/>
      <c r="AE28" s="348">
        <f t="shared" si="3"/>
        <v>0</v>
      </c>
      <c r="AF28" s="563">
        <f>'26'!AF28+'27'!AB28</f>
        <v>0</v>
      </c>
      <c r="AG28" s="234">
        <f>'26'!AG28+'27'!AD28</f>
        <v>0</v>
      </c>
    </row>
    <row r="29" spans="1:36" ht="27" customHeight="1">
      <c r="A29" s="715" t="str">
        <f>'26'!A29</f>
        <v>PATROL FAW</v>
      </c>
      <c r="B29" s="234">
        <v>4000</v>
      </c>
      <c r="C29" s="348">
        <f>'26'!D29</f>
        <v>30270</v>
      </c>
      <c r="D29" s="234">
        <f t="shared" si="9"/>
        <v>34270</v>
      </c>
      <c r="F29" s="479" t="str">
        <f>'26'!F29</f>
        <v>AZHAR BADEEN</v>
      </c>
      <c r="G29" s="406">
        <f>'CUSTOMERS REPORT'!Y847</f>
        <v>0</v>
      </c>
      <c r="H29" s="504">
        <f>'CUSTOMERS REPORT'!Z847</f>
        <v>0</v>
      </c>
      <c r="I29" s="406">
        <f>'CUSTOMERS REPORT'!AA847</f>
        <v>0</v>
      </c>
      <c r="J29" s="498">
        <f>'CUSTOMERS REPORT'!AB847</f>
        <v>0</v>
      </c>
      <c r="K29" s="498">
        <f>'CUSTOMERS REPORT'!AC847</f>
        <v>0</v>
      </c>
      <c r="L29" s="509">
        <f>'CUSTOMERS REPORT'!AD847</f>
        <v>0</v>
      </c>
      <c r="M29" s="414">
        <f>'26'!M29+'27'!G29</f>
        <v>0</v>
      </c>
      <c r="N29" s="412">
        <f>'26'!N29+'27'!J29</f>
        <v>0</v>
      </c>
      <c r="P29" s="433"/>
      <c r="Q29" s="441"/>
      <c r="S29" s="400" t="str">
        <f>'26'!S29</f>
        <v xml:space="preserve">PRIME </v>
      </c>
      <c r="T29" s="446">
        <f>'26'!X29</f>
        <v>0</v>
      </c>
      <c r="U29" s="456"/>
      <c r="V29" s="451">
        <f t="shared" si="0"/>
        <v>0</v>
      </c>
      <c r="W29" s="451"/>
      <c r="X29" s="447">
        <f t="shared" si="1"/>
        <v>0</v>
      </c>
      <c r="Z29" s="375">
        <f>'26'!Z29</f>
        <v>0</v>
      </c>
      <c r="AA29" s="464">
        <f>'26'!AE29</f>
        <v>0</v>
      </c>
      <c r="AB29" s="460"/>
      <c r="AC29" s="462">
        <f t="shared" si="2"/>
        <v>0</v>
      </c>
      <c r="AD29" s="469"/>
      <c r="AE29" s="348">
        <f t="shared" si="3"/>
        <v>0</v>
      </c>
      <c r="AF29" s="563">
        <f>'26'!AF29+'27'!AB29</f>
        <v>0</v>
      </c>
      <c r="AG29" s="234">
        <f>'26'!AG29+'27'!AD29</f>
        <v>0</v>
      </c>
    </row>
    <row r="30" spans="1:36" ht="27" customHeight="1">
      <c r="A30" s="715" t="str">
        <f>'26'!A30</f>
        <v>FOTON DIESEL</v>
      </c>
      <c r="B30" s="234"/>
      <c r="C30" s="348">
        <f>'26'!D30</f>
        <v>15800</v>
      </c>
      <c r="D30" s="234">
        <f t="shared" si="9"/>
        <v>15800</v>
      </c>
      <c r="F30" s="479" t="str">
        <f>'26'!F30</f>
        <v>FAISAL HUB</v>
      </c>
      <c r="G30" s="406">
        <f>'CUSTOMERS REPORT'!Y885</f>
        <v>0</v>
      </c>
      <c r="H30" s="504">
        <f>'CUSTOMERS REPORT'!Z885</f>
        <v>0</v>
      </c>
      <c r="I30" s="406">
        <f>'CUSTOMERS REPORT'!AA885</f>
        <v>0</v>
      </c>
      <c r="J30" s="498">
        <f>'CUSTOMERS REPORT'!AB885</f>
        <v>0</v>
      </c>
      <c r="K30" s="498">
        <f>'CUSTOMERS REPORT'!AC885</f>
        <v>0</v>
      </c>
      <c r="L30" s="509">
        <f>'CUSTOMERS REPORT'!AD885</f>
        <v>0</v>
      </c>
      <c r="M30" s="414">
        <f>'26'!M30+'27'!G30</f>
        <v>0</v>
      </c>
      <c r="N30" s="412">
        <f>'26'!N30+'27'!J30</f>
        <v>0</v>
      </c>
      <c r="P30" s="433"/>
      <c r="Q30" s="442"/>
      <c r="S30" s="400" t="str">
        <f>'26'!S30</f>
        <v>PRIMR 15</v>
      </c>
      <c r="T30" s="446">
        <f>'26'!X30</f>
        <v>0</v>
      </c>
      <c r="U30" s="456"/>
      <c r="V30" s="451">
        <f t="shared" si="0"/>
        <v>0</v>
      </c>
      <c r="W30" s="451"/>
      <c r="X30" s="447">
        <f t="shared" si="1"/>
        <v>0</v>
      </c>
      <c r="Z30" s="375">
        <f>'26'!Z30</f>
        <v>0</v>
      </c>
      <c r="AA30" s="464">
        <f>'26'!AE30</f>
        <v>0</v>
      </c>
      <c r="AB30" s="460"/>
      <c r="AC30" s="462">
        <f t="shared" si="2"/>
        <v>0</v>
      </c>
      <c r="AD30" s="469"/>
      <c r="AE30" s="348">
        <f t="shared" si="3"/>
        <v>0</v>
      </c>
      <c r="AF30" s="563">
        <f>'26'!AF30+'27'!AB30</f>
        <v>0</v>
      </c>
      <c r="AG30" s="234">
        <f>'26'!AG30+'27'!AD30</f>
        <v>0</v>
      </c>
    </row>
    <row r="31" spans="1:36" ht="27" customHeight="1" thickBot="1">
      <c r="A31" s="715" t="str">
        <f>'26'!A31</f>
        <v>UTILITY BILLS</v>
      </c>
      <c r="B31" s="234">
        <v>250</v>
      </c>
      <c r="C31" s="348">
        <f>'26'!D31</f>
        <v>44420</v>
      </c>
      <c r="D31" s="234">
        <f t="shared" si="9"/>
        <v>44670</v>
      </c>
      <c r="F31" s="479" t="str">
        <f>'26'!F31</f>
        <v>ABDUL RAHMAN</v>
      </c>
      <c r="G31" s="406">
        <f>'CUSTOMERS REPORT'!Y924</f>
        <v>0</v>
      </c>
      <c r="H31" s="504">
        <f>'CUSTOMERS REPORT'!Z924</f>
        <v>0</v>
      </c>
      <c r="I31" s="406">
        <f>'CUSTOMERS REPORT'!AA924</f>
        <v>0</v>
      </c>
      <c r="J31" s="498">
        <f>'CUSTOMERS REPORT'!AB924</f>
        <v>0</v>
      </c>
      <c r="K31" s="498">
        <f>'CUSTOMERS REPORT'!AC924</f>
        <v>0</v>
      </c>
      <c r="L31" s="509">
        <f>'CUSTOMERS REPORT'!AD924</f>
        <v>0</v>
      </c>
      <c r="M31" s="414">
        <f>'26'!M31+'27'!G31</f>
        <v>0</v>
      </c>
      <c r="N31" s="412">
        <f>'26'!N31+'27'!J31</f>
        <v>0</v>
      </c>
      <c r="P31" s="433"/>
      <c r="Q31" s="435"/>
      <c r="S31" s="400" t="str">
        <f>'26'!S31</f>
        <v>KARACHI</v>
      </c>
      <c r="T31" s="446">
        <f>'26'!X31</f>
        <v>0</v>
      </c>
      <c r="U31" s="456"/>
      <c r="V31" s="451">
        <f t="shared" si="0"/>
        <v>0</v>
      </c>
      <c r="W31" s="451"/>
      <c r="X31" s="447">
        <f t="shared" si="1"/>
        <v>0</v>
      </c>
      <c r="Z31" s="375">
        <f>'26'!Z31</f>
        <v>0</v>
      </c>
      <c r="AA31" s="464">
        <f>'26'!AE31</f>
        <v>0</v>
      </c>
      <c r="AB31" s="460"/>
      <c r="AC31" s="462">
        <f t="shared" si="2"/>
        <v>0</v>
      </c>
      <c r="AD31" s="469"/>
      <c r="AE31" s="348">
        <f t="shared" si="3"/>
        <v>0</v>
      </c>
      <c r="AF31" s="563">
        <f>'26'!AF31+'27'!AB31</f>
        <v>0</v>
      </c>
      <c r="AG31" s="234">
        <f>'26'!AG31+'27'!AD31</f>
        <v>0</v>
      </c>
      <c r="AI31" t="s">
        <v>1</v>
      </c>
    </row>
    <row r="32" spans="1:36" ht="27" customHeight="1" thickTop="1" thickBot="1">
      <c r="A32" s="715" t="str">
        <f>'26'!A32</f>
        <v>WOOD</v>
      </c>
      <c r="B32" s="234"/>
      <c r="C32" s="348">
        <f>'26'!D32</f>
        <v>150000</v>
      </c>
      <c r="D32" s="234">
        <f t="shared" si="9"/>
        <v>150000</v>
      </c>
      <c r="F32" s="479" t="str">
        <f>'26'!F32</f>
        <v>HAJI JAN GIWANI</v>
      </c>
      <c r="G32" s="406">
        <f>'CUSTOMERS REPORT'!Y963</f>
        <v>0</v>
      </c>
      <c r="H32" s="504">
        <f>'CUSTOMERS REPORT'!Z963</f>
        <v>0</v>
      </c>
      <c r="I32" s="406">
        <f>'CUSTOMERS REPORT'!AA963</f>
        <v>0</v>
      </c>
      <c r="J32" s="498">
        <f>'CUSTOMERS REPORT'!AB963</f>
        <v>0</v>
      </c>
      <c r="K32" s="498">
        <f>'CUSTOMERS REPORT'!AC963</f>
        <v>0</v>
      </c>
      <c r="L32" s="509">
        <f>'CUSTOMERS REPORT'!AD963</f>
        <v>0</v>
      </c>
      <c r="M32" s="414">
        <f>'26'!M32+'27'!G32</f>
        <v>0</v>
      </c>
      <c r="N32" s="412">
        <f>'26'!N32+'27'!J32</f>
        <v>0</v>
      </c>
      <c r="P32" s="190" t="s">
        <v>51</v>
      </c>
      <c r="Q32" s="439">
        <f>Q23-Q25-Q26-Q27-Q28-Q29-Q30-Q31</f>
        <v>0</v>
      </c>
      <c r="R32" t="s">
        <v>1</v>
      </c>
      <c r="S32" s="400" t="str">
        <f>'26'!S32</f>
        <v>MARVI</v>
      </c>
      <c r="T32" s="446">
        <f>'26'!X32</f>
        <v>0</v>
      </c>
      <c r="U32" s="456"/>
      <c r="V32" s="451">
        <f t="shared" si="0"/>
        <v>0</v>
      </c>
      <c r="W32" s="451"/>
      <c r="X32" s="447">
        <f t="shared" si="1"/>
        <v>0</v>
      </c>
      <c r="Z32" s="375">
        <f>'26'!Z32</f>
        <v>0</v>
      </c>
      <c r="AA32" s="464">
        <f>'26'!AE32</f>
        <v>0</v>
      </c>
      <c r="AB32" s="460"/>
      <c r="AC32" s="462">
        <f t="shared" si="2"/>
        <v>0</v>
      </c>
      <c r="AD32" s="469"/>
      <c r="AE32" s="348">
        <f t="shared" si="3"/>
        <v>0</v>
      </c>
      <c r="AF32" s="563">
        <f>'26'!AF32+'27'!AB32</f>
        <v>0</v>
      </c>
      <c r="AG32" s="234">
        <f>'26'!AG32+'27'!AD32</f>
        <v>0</v>
      </c>
    </row>
    <row r="33" spans="1:40" ht="27" customHeight="1" thickTop="1" thickBot="1">
      <c r="A33" s="716" t="str">
        <f>'26'!A33</f>
        <v>TOLL</v>
      </c>
      <c r="B33" s="538">
        <v>100</v>
      </c>
      <c r="C33" s="348">
        <f>'26'!D33</f>
        <v>200</v>
      </c>
      <c r="D33" s="550">
        <f t="shared" si="9"/>
        <v>300</v>
      </c>
      <c r="F33" s="479" t="str">
        <f>'26'!F33</f>
        <v>ALI QURESHI HYD</v>
      </c>
      <c r="G33" s="406">
        <f>'CUSTOMERS REPORT'!Y1001</f>
        <v>0</v>
      </c>
      <c r="H33" s="504">
        <f>'CUSTOMERS REPORT'!Z1001</f>
        <v>0</v>
      </c>
      <c r="I33" s="406">
        <f>'CUSTOMERS REPORT'!AA1001</f>
        <v>0</v>
      </c>
      <c r="J33" s="498">
        <f>'CUSTOMERS REPORT'!AB1001</f>
        <v>0</v>
      </c>
      <c r="K33" s="498">
        <f>'CUSTOMERS REPORT'!AC1001</f>
        <v>0</v>
      </c>
      <c r="L33" s="509">
        <f>'CUSTOMERS REPORT'!AD1001</f>
        <v>0</v>
      </c>
      <c r="M33" s="414">
        <f>'26'!M33+'27'!G33</f>
        <v>0</v>
      </c>
      <c r="N33" s="412">
        <f>'26'!N33+'27'!J33</f>
        <v>0</v>
      </c>
      <c r="P33" s="1499" t="s">
        <v>149</v>
      </c>
      <c r="Q33" s="1500"/>
      <c r="S33" s="400" t="str">
        <f>'26'!S33</f>
        <v>TS</v>
      </c>
      <c r="T33" s="446">
        <f>'26'!X33</f>
        <v>0</v>
      </c>
      <c r="U33" s="456"/>
      <c r="V33" s="451">
        <f t="shared" si="0"/>
        <v>0</v>
      </c>
      <c r="W33" s="451"/>
      <c r="X33" s="447">
        <f t="shared" si="1"/>
        <v>0</v>
      </c>
      <c r="Z33" s="375">
        <f>'26'!Z33</f>
        <v>0</v>
      </c>
      <c r="AA33" s="464">
        <f>'26'!AE33</f>
        <v>0</v>
      </c>
      <c r="AB33" s="460"/>
      <c r="AC33" s="462">
        <f t="shared" si="2"/>
        <v>0</v>
      </c>
      <c r="AD33" s="469"/>
      <c r="AE33" s="348">
        <f t="shared" si="3"/>
        <v>0</v>
      </c>
      <c r="AF33" s="563">
        <f>'26'!AF33+'27'!AB33</f>
        <v>0</v>
      </c>
      <c r="AG33" s="234">
        <f>'26'!AG33+'27'!AD33</f>
        <v>0</v>
      </c>
    </row>
    <row r="34" spans="1:40" ht="27" customHeight="1" thickTop="1" thickBot="1">
      <c r="A34" s="715" t="str">
        <f>'26'!A34</f>
        <v>FLOUR / SHGER</v>
      </c>
      <c r="B34" s="538"/>
      <c r="C34" s="348">
        <f>'26'!D34</f>
        <v>1200</v>
      </c>
      <c r="D34" s="234">
        <f t="shared" si="9"/>
        <v>1200</v>
      </c>
      <c r="F34" s="479" t="str">
        <f>'26'!F34</f>
        <v>ALI RAZA KAND KOT</v>
      </c>
      <c r="G34" s="406">
        <f>'CUSTOMERS REPORT'!Y1039</f>
        <v>0</v>
      </c>
      <c r="H34" s="504">
        <f>'CUSTOMERS REPORT'!Z1039</f>
        <v>0</v>
      </c>
      <c r="I34" s="406">
        <f>'CUSTOMERS REPORT'!AA1039</f>
        <v>0</v>
      </c>
      <c r="J34" s="498">
        <f>'CUSTOMERS REPORT'!AB1039</f>
        <v>0</v>
      </c>
      <c r="K34" s="498">
        <f>'CUSTOMERS REPORT'!AC1039</f>
        <v>0</v>
      </c>
      <c r="L34" s="509">
        <f>'CUSTOMERS REPORT'!AD1039</f>
        <v>0</v>
      </c>
      <c r="M34" s="414">
        <f>'26'!M34+'27'!G34</f>
        <v>0</v>
      </c>
      <c r="N34" s="412">
        <f>'26'!N34+'27'!J34</f>
        <v>0</v>
      </c>
      <c r="P34" s="220" t="s">
        <v>150</v>
      </c>
      <c r="Q34" s="223">
        <f>'26'!Q34</f>
        <v>0</v>
      </c>
      <c r="S34" s="400" t="str">
        <f>'26'!S34</f>
        <v>MAXI</v>
      </c>
      <c r="T34" s="446">
        <f>'26'!X34</f>
        <v>0</v>
      </c>
      <c r="U34" s="457"/>
      <c r="V34" s="452">
        <f t="shared" si="0"/>
        <v>0</v>
      </c>
      <c r="W34" s="452"/>
      <c r="X34" s="448">
        <f t="shared" si="1"/>
        <v>0</v>
      </c>
      <c r="Z34" s="375">
        <f>'26'!Z34</f>
        <v>0</v>
      </c>
      <c r="AA34" s="464">
        <f>'26'!AE34</f>
        <v>0</v>
      </c>
      <c r="AB34" s="460"/>
      <c r="AC34" s="462">
        <f t="shared" si="2"/>
        <v>0</v>
      </c>
      <c r="AD34" s="469"/>
      <c r="AE34" s="348">
        <f t="shared" si="3"/>
        <v>0</v>
      </c>
      <c r="AF34" s="563">
        <f>'26'!AF34+'27'!AB34</f>
        <v>0</v>
      </c>
      <c r="AG34" s="234">
        <f>'26'!AG34+'27'!AD34</f>
        <v>0</v>
      </c>
    </row>
    <row r="35" spans="1:40" ht="27" customHeight="1" thickTop="1">
      <c r="A35" s="716" t="str">
        <f>'26'!A35</f>
        <v>OVEN &amp; PP MACHINE</v>
      </c>
      <c r="B35" s="529"/>
      <c r="C35" s="348">
        <f>'26'!D35</f>
        <v>0</v>
      </c>
      <c r="D35" s="529">
        <f t="shared" si="9"/>
        <v>0</v>
      </c>
      <c r="F35" s="479" t="str">
        <f>'26'!F35</f>
        <v>IQBAL MORO</v>
      </c>
      <c r="G35" s="407">
        <f>'CUSTOMERS REPORT'!Y1077</f>
        <v>0</v>
      </c>
      <c r="H35" s="505">
        <f>'CUSTOMERS REPORT'!Z1077</f>
        <v>0</v>
      </c>
      <c r="I35" s="407">
        <f>'CUSTOMERS REPORT'!AA1077</f>
        <v>0</v>
      </c>
      <c r="J35" s="499">
        <f>'CUSTOMERS REPORT'!AB1077</f>
        <v>0</v>
      </c>
      <c r="K35" s="499">
        <f>'CUSTOMERS REPORT'!AC1077</f>
        <v>0</v>
      </c>
      <c r="L35" s="510">
        <f>'CUSTOMERS REPORT'!AD1077</f>
        <v>0</v>
      </c>
      <c r="M35" s="414">
        <f>'26'!M35+'27'!G35</f>
        <v>0</v>
      </c>
      <c r="N35" s="412">
        <f>'26'!N35+'27'!J35</f>
        <v>0</v>
      </c>
      <c r="P35" s="252" t="s">
        <v>151</v>
      </c>
      <c r="Q35" s="443">
        <f>'26'!Q35</f>
        <v>0</v>
      </c>
      <c r="R35" t="s">
        <v>1</v>
      </c>
      <c r="S35" s="400" t="str">
        <f>'26'!S35</f>
        <v>M A WHITE</v>
      </c>
      <c r="T35" s="446">
        <f>'26'!X35</f>
        <v>0</v>
      </c>
      <c r="U35" s="457"/>
      <c r="V35" s="452">
        <f t="shared" si="0"/>
        <v>0</v>
      </c>
      <c r="W35" s="452"/>
      <c r="X35" s="448">
        <f t="shared" si="1"/>
        <v>0</v>
      </c>
      <c r="Z35" s="375">
        <f>'26'!Z35</f>
        <v>0</v>
      </c>
      <c r="AA35" s="464">
        <f>'26'!AE35</f>
        <v>0</v>
      </c>
      <c r="AB35" s="460"/>
      <c r="AC35" s="462">
        <f t="shared" si="2"/>
        <v>0</v>
      </c>
      <c r="AD35" s="469"/>
      <c r="AE35" s="348">
        <f t="shared" si="3"/>
        <v>0</v>
      </c>
      <c r="AF35" s="563">
        <f>'26'!AF35+'27'!AB35</f>
        <v>0</v>
      </c>
      <c r="AG35" s="234">
        <f>'26'!AG35+'27'!AD35</f>
        <v>0</v>
      </c>
    </row>
    <row r="36" spans="1:40" ht="27" customHeight="1">
      <c r="A36" s="716" t="str">
        <f>'26'!A36</f>
        <v>zakat</v>
      </c>
      <c r="B36" s="539"/>
      <c r="C36" s="348">
        <f>'26'!D36</f>
        <v>0</v>
      </c>
      <c r="D36" s="529">
        <f t="shared" si="9"/>
        <v>0</v>
      </c>
      <c r="F36" s="479" t="str">
        <f>'26'!F36</f>
        <v>SARFARAZ T ADAM</v>
      </c>
      <c r="G36" s="407">
        <f>'CUSTOMERS REPORT'!Y1115</f>
        <v>0</v>
      </c>
      <c r="H36" s="505">
        <f>'CUSTOMERS REPORT'!Z1115</f>
        <v>0</v>
      </c>
      <c r="I36" s="407">
        <f>'CUSTOMERS REPORT'!AA1115</f>
        <v>0</v>
      </c>
      <c r="J36" s="499">
        <f>'CUSTOMERS REPORT'!AB1115</f>
        <v>0</v>
      </c>
      <c r="K36" s="499">
        <f>'CUSTOMERS REPORT'!AC1115</f>
        <v>0</v>
      </c>
      <c r="L36" s="510">
        <f>'CUSTOMERS REPORT'!AD1115</f>
        <v>0</v>
      </c>
      <c r="M36" s="414">
        <f>'26'!M36+'27'!G36</f>
        <v>0</v>
      </c>
      <c r="N36" s="412">
        <f>'26'!N36+'27'!J36</f>
        <v>0</v>
      </c>
      <c r="P36" s="372" t="s">
        <v>152</v>
      </c>
      <c r="Q36" s="444">
        <f>J48</f>
        <v>0</v>
      </c>
      <c r="R36" t="s">
        <v>1</v>
      </c>
      <c r="S36" s="400" t="str">
        <f>'26'!S36</f>
        <v>M A ORING</v>
      </c>
      <c r="T36" s="446">
        <f>'26'!X36</f>
        <v>0</v>
      </c>
      <c r="U36" s="456"/>
      <c r="V36" s="451">
        <f t="shared" si="0"/>
        <v>0</v>
      </c>
      <c r="W36" s="452"/>
      <c r="X36" s="448">
        <f t="shared" si="1"/>
        <v>0</v>
      </c>
      <c r="Z36" s="375">
        <f>'26'!Z36</f>
        <v>0</v>
      </c>
      <c r="AA36" s="464">
        <f>'26'!AE36</f>
        <v>0</v>
      </c>
      <c r="AB36" s="460"/>
      <c r="AC36" s="462">
        <f t="shared" si="2"/>
        <v>0</v>
      </c>
      <c r="AD36" s="469"/>
      <c r="AE36" s="348">
        <f t="shared" si="3"/>
        <v>0</v>
      </c>
      <c r="AF36" s="563">
        <f>'26'!AF36+'27'!AB36</f>
        <v>0</v>
      </c>
      <c r="AG36" s="234">
        <f>'26'!AG36+'27'!AD36</f>
        <v>0</v>
      </c>
    </row>
    <row r="37" spans="1:40" ht="27" customHeight="1">
      <c r="A37" s="715" t="str">
        <f>'26'!A37</f>
        <v>javeed manghopir</v>
      </c>
      <c r="B37" s="234"/>
      <c r="C37" s="348">
        <f>'26'!D37</f>
        <v>0</v>
      </c>
      <c r="D37" s="234">
        <f t="shared" si="9"/>
        <v>0</v>
      </c>
      <c r="F37" s="479" t="str">
        <f>'26'!F37</f>
        <v>MUMTAZ K N SHAH</v>
      </c>
      <c r="G37" s="406">
        <f>'CUSTOMERS REPORT'!Y1153</f>
        <v>0</v>
      </c>
      <c r="H37" s="504">
        <f>'CUSTOMERS REPORT'!Z1153</f>
        <v>0</v>
      </c>
      <c r="I37" s="406">
        <f>'CUSTOMERS REPORT'!AA1153</f>
        <v>0</v>
      </c>
      <c r="J37" s="498">
        <f>'CUSTOMERS REPORT'!AB1153</f>
        <v>0</v>
      </c>
      <c r="K37" s="498">
        <f>'CUSTOMERS REPORT'!AC1153</f>
        <v>0</v>
      </c>
      <c r="L37" s="509">
        <f>'CUSTOMERS REPORT'!AD1153</f>
        <v>0</v>
      </c>
      <c r="M37" s="414">
        <f>'26'!M37+'27'!G37</f>
        <v>0</v>
      </c>
      <c r="N37" s="412">
        <f>'26'!N37+'27'!J37</f>
        <v>0</v>
      </c>
      <c r="P37" s="373" t="s">
        <v>153</v>
      </c>
      <c r="Q37" s="445">
        <f>Q34+Q35+Q36</f>
        <v>0</v>
      </c>
      <c r="R37" t="s">
        <v>1</v>
      </c>
      <c r="S37" s="400">
        <f>'26'!S37</f>
        <v>0</v>
      </c>
      <c r="T37" s="446">
        <f>'26'!X37</f>
        <v>0</v>
      </c>
      <c r="U37" s="456"/>
      <c r="V37" s="451">
        <f t="shared" si="0"/>
        <v>0</v>
      </c>
      <c r="W37" s="452"/>
      <c r="X37" s="448">
        <f t="shared" si="1"/>
        <v>0</v>
      </c>
      <c r="Z37" s="375">
        <f>'26'!Z37</f>
        <v>0</v>
      </c>
      <c r="AA37" s="464">
        <f>'26'!AE37</f>
        <v>0</v>
      </c>
      <c r="AB37" s="460"/>
      <c r="AC37" s="462">
        <f t="shared" si="2"/>
        <v>0</v>
      </c>
      <c r="AD37" s="469"/>
      <c r="AE37" s="348">
        <f t="shared" si="3"/>
        <v>0</v>
      </c>
      <c r="AF37" s="563">
        <f>'26'!AF37+'27'!AB37</f>
        <v>0</v>
      </c>
      <c r="AG37" s="234">
        <f>'26'!AG37+'27'!AD37</f>
        <v>0</v>
      </c>
    </row>
    <row r="38" spans="1:40" ht="27" customHeight="1">
      <c r="A38" s="715" t="str">
        <f>'26'!A38</f>
        <v>EXSIS CASH</v>
      </c>
      <c r="B38" s="234"/>
      <c r="C38" s="348">
        <f>'26'!D38</f>
        <v>0</v>
      </c>
      <c r="D38" s="234">
        <f t="shared" si="9"/>
        <v>0</v>
      </c>
      <c r="F38" s="479" t="str">
        <f>'26'!F38</f>
        <v>GHULAM RASOOL QU</v>
      </c>
      <c r="G38" s="408">
        <f>'CUSTOMERS REPORT'!Y1190</f>
        <v>0</v>
      </c>
      <c r="H38" s="506">
        <f>'CUSTOMERS REPORT'!Z1190</f>
        <v>0</v>
      </c>
      <c r="I38" s="408">
        <f>'CUSTOMERS REPORT'!AA1190</f>
        <v>0</v>
      </c>
      <c r="J38" s="500">
        <f>'CUSTOMERS REPORT'!AB1190</f>
        <v>0</v>
      </c>
      <c r="K38" s="500">
        <f>'CUSTOMERS REPORT'!AC1190</f>
        <v>0</v>
      </c>
      <c r="L38" s="511">
        <f>'CUSTOMERS REPORT'!AD1190</f>
        <v>0</v>
      </c>
      <c r="M38" s="414">
        <f>'26'!M38+'27'!G38</f>
        <v>0</v>
      </c>
      <c r="N38" s="412">
        <f>'26'!N38+'27'!J38</f>
        <v>0</v>
      </c>
      <c r="P38" s="373" t="s">
        <v>154</v>
      </c>
      <c r="Q38" s="445">
        <f>D48</f>
        <v>4210090</v>
      </c>
      <c r="S38" s="400">
        <f>'26'!S38</f>
        <v>0</v>
      </c>
      <c r="T38" s="446">
        <f>'26'!X38</f>
        <v>0</v>
      </c>
      <c r="U38" s="456"/>
      <c r="V38" s="451">
        <f t="shared" si="0"/>
        <v>0</v>
      </c>
      <c r="W38" s="452"/>
      <c r="X38" s="448">
        <f t="shared" si="1"/>
        <v>0</v>
      </c>
      <c r="Z38" s="375">
        <f>'26'!Z38</f>
        <v>0</v>
      </c>
      <c r="AA38" s="464">
        <f>'26'!AE38</f>
        <v>0</v>
      </c>
      <c r="AB38" s="460"/>
      <c r="AC38" s="462">
        <f t="shared" si="2"/>
        <v>0</v>
      </c>
      <c r="AD38" s="469"/>
      <c r="AE38" s="348">
        <f t="shared" si="3"/>
        <v>0</v>
      </c>
      <c r="AF38" s="563">
        <f>'26'!AF38+'27'!AB38</f>
        <v>0</v>
      </c>
      <c r="AG38" s="234">
        <f>'26'!AG38+'27'!AD38</f>
        <v>0</v>
      </c>
    </row>
    <row r="39" spans="1:40" ht="27" customHeight="1">
      <c r="A39" s="715" t="str">
        <f>'26'!A39</f>
        <v>SHORT CASH</v>
      </c>
      <c r="B39" s="234"/>
      <c r="C39" s="348">
        <f>'26'!D39</f>
        <v>1950</v>
      </c>
      <c r="D39" s="234">
        <f t="shared" si="9"/>
        <v>1950</v>
      </c>
      <c r="F39" s="479" t="str">
        <f>'26'!F39</f>
        <v>SHAMSHAD UNCLE</v>
      </c>
      <c r="G39" s="406">
        <f>'CUSTOMERS REPORT'!Y1227</f>
        <v>0</v>
      </c>
      <c r="H39" s="504">
        <f>'CUSTOMERS REPORT'!Z1227</f>
        <v>0</v>
      </c>
      <c r="I39" s="406">
        <f>'CUSTOMERS REPORT'!AA1227</f>
        <v>0</v>
      </c>
      <c r="J39" s="498">
        <f>'CUSTOMERS REPORT'!AB1227</f>
        <v>0</v>
      </c>
      <c r="K39" s="498">
        <f>'CUSTOMERS REPORT'!AC1227</f>
        <v>0</v>
      </c>
      <c r="L39" s="509">
        <f>'CUSTOMERS REPORT'!AD1227</f>
        <v>0</v>
      </c>
      <c r="M39" s="414">
        <f>'26'!M39+'27'!G39</f>
        <v>0</v>
      </c>
      <c r="N39" s="412">
        <f>'26'!N39+'27'!J39</f>
        <v>0</v>
      </c>
      <c r="P39" s="373" t="s">
        <v>109</v>
      </c>
      <c r="Q39" s="445">
        <f>'26'!Q39+'27'!Q25+'27'!Q26+'27'!Q27+'27'!Q28+'27'!Q29+'27'!Q30+'27'!Q31</f>
        <v>0</v>
      </c>
      <c r="R39" t="s">
        <v>1</v>
      </c>
      <c r="S39" s="400">
        <f>'26'!S39</f>
        <v>0</v>
      </c>
      <c r="T39" s="446">
        <f>'26'!X39</f>
        <v>0</v>
      </c>
      <c r="U39" s="456"/>
      <c r="V39" s="451">
        <f t="shared" si="0"/>
        <v>0</v>
      </c>
      <c r="W39" s="452"/>
      <c r="X39" s="448">
        <f t="shared" si="1"/>
        <v>0</v>
      </c>
      <c r="Z39" s="375">
        <f>'26'!Z39</f>
        <v>0</v>
      </c>
      <c r="AA39" s="464">
        <f>'26'!AE39</f>
        <v>0</v>
      </c>
      <c r="AB39" s="460"/>
      <c r="AC39" s="462">
        <f t="shared" si="2"/>
        <v>0</v>
      </c>
      <c r="AD39" s="469"/>
      <c r="AE39" s="348">
        <f t="shared" si="3"/>
        <v>0</v>
      </c>
      <c r="AF39" s="563">
        <f>'26'!AF39+'27'!AB39</f>
        <v>0</v>
      </c>
      <c r="AG39" s="234">
        <f>'26'!AG39+'27'!AD39</f>
        <v>0</v>
      </c>
    </row>
    <row r="40" spans="1:40" ht="27" customHeight="1" thickBot="1">
      <c r="A40" s="715" t="str">
        <f>'26'!A40</f>
        <v>ASSETS</v>
      </c>
      <c r="B40" s="234"/>
      <c r="C40" s="348">
        <f>'26'!D40</f>
        <v>0</v>
      </c>
      <c r="D40" s="234">
        <f t="shared" si="9"/>
        <v>0</v>
      </c>
      <c r="F40" s="479" t="str">
        <f>'26'!F40</f>
        <v>IBRAHEEM D.G KHAN</v>
      </c>
      <c r="G40" s="406">
        <f>'CUSTOMERS REPORT'!Y1264</f>
        <v>0</v>
      </c>
      <c r="H40" s="504">
        <f>'CUSTOMERS REPORT'!Z1264</f>
        <v>0</v>
      </c>
      <c r="I40" s="406">
        <f>'CUSTOMERS REPORT'!AA1264</f>
        <v>0</v>
      </c>
      <c r="J40" s="498">
        <f>'CUSTOMERS REPORT'!AB1264</f>
        <v>0</v>
      </c>
      <c r="K40" s="498">
        <f>'CUSTOMERS REPORT'!AC1264</f>
        <v>0</v>
      </c>
      <c r="L40" s="509">
        <f>'CUSTOMERS REPORT'!AD1264</f>
        <v>0</v>
      </c>
      <c r="M40" s="414">
        <f>'26'!M40+'27'!G40</f>
        <v>0</v>
      </c>
      <c r="N40" s="412">
        <f>'26'!N40+'27'!J40</f>
        <v>0</v>
      </c>
      <c r="P40" s="374" t="s">
        <v>155</v>
      </c>
      <c r="Q40" s="445">
        <f>Q48</f>
        <v>-4210090</v>
      </c>
      <c r="S40" s="400">
        <f>'26'!S40</f>
        <v>0</v>
      </c>
      <c r="T40" s="446">
        <f>'26'!X40</f>
        <v>0</v>
      </c>
      <c r="U40" s="456"/>
      <c r="V40" s="451">
        <f t="shared" si="0"/>
        <v>0</v>
      </c>
      <c r="W40" s="452"/>
      <c r="X40" s="448">
        <f t="shared" si="1"/>
        <v>0</v>
      </c>
      <c r="Z40" s="375">
        <f>'26'!Z40</f>
        <v>0</v>
      </c>
      <c r="AA40" s="464">
        <f>'26'!AE40</f>
        <v>0</v>
      </c>
      <c r="AB40" s="460"/>
      <c r="AC40" s="462">
        <f t="shared" si="2"/>
        <v>0</v>
      </c>
      <c r="AD40" s="469"/>
      <c r="AE40" s="348">
        <f t="shared" si="3"/>
        <v>0</v>
      </c>
      <c r="AF40" s="563">
        <f>'26'!AF40+'27'!AB40</f>
        <v>0</v>
      </c>
      <c r="AG40" s="234">
        <f>'26'!AG40+'27'!AD40</f>
        <v>0</v>
      </c>
    </row>
    <row r="41" spans="1:40" ht="27" customHeight="1" thickTop="1" thickBot="1">
      <c r="A41" s="715" t="str">
        <f>'26'!A41</f>
        <v>BIKE.INSTALMINT</v>
      </c>
      <c r="B41" s="234"/>
      <c r="C41" s="348">
        <f>'26'!D41</f>
        <v>12200</v>
      </c>
      <c r="D41" s="234">
        <f t="shared" si="9"/>
        <v>12200</v>
      </c>
      <c r="E41" t="s">
        <v>1</v>
      </c>
      <c r="F41" s="479" t="str">
        <f>'26'!F41</f>
        <v>PISHAWAR</v>
      </c>
      <c r="G41" s="409">
        <f>'CUSTOMERS REPORT'!Y1301</f>
        <v>0</v>
      </c>
      <c r="H41" s="507">
        <f>'CUSTOMERS REPORT'!Z1301</f>
        <v>0</v>
      </c>
      <c r="I41" s="409">
        <f>'CUSTOMERS REPORT'!AA1301</f>
        <v>0</v>
      </c>
      <c r="J41" s="501">
        <f>'CUSTOMERS REPORT'!AB1301</f>
        <v>0</v>
      </c>
      <c r="K41" s="501">
        <f>'CUSTOMERS REPORT'!AC1301</f>
        <v>0</v>
      </c>
      <c r="L41" s="512">
        <f>'CUSTOMERS REPORT'!AD1301</f>
        <v>0</v>
      </c>
      <c r="M41" s="414">
        <f>'26'!M41+'27'!G41</f>
        <v>0</v>
      </c>
      <c r="N41" s="412">
        <f>'26'!N41+'27'!J41</f>
        <v>0</v>
      </c>
      <c r="P41" s="221" t="s">
        <v>51</v>
      </c>
      <c r="Q41" s="223">
        <f>Q37-Q38-Q39-Q40</f>
        <v>0</v>
      </c>
      <c r="S41" s="400">
        <f>'26'!S41</f>
        <v>0</v>
      </c>
      <c r="T41" s="446">
        <f>'26'!X41</f>
        <v>0</v>
      </c>
      <c r="U41" s="456"/>
      <c r="V41" s="451">
        <f t="shared" si="0"/>
        <v>0</v>
      </c>
      <c r="W41" s="452"/>
      <c r="X41" s="448">
        <f t="shared" si="1"/>
        <v>0</v>
      </c>
      <c r="Z41" s="375">
        <f>'26'!Z41</f>
        <v>0</v>
      </c>
      <c r="AA41" s="464">
        <f>'26'!AE41</f>
        <v>0</v>
      </c>
      <c r="AB41" s="460"/>
      <c r="AC41" s="462">
        <f t="shared" si="2"/>
        <v>0</v>
      </c>
      <c r="AD41" s="469"/>
      <c r="AE41" s="348">
        <f t="shared" si="3"/>
        <v>0</v>
      </c>
      <c r="AF41" s="563">
        <f>'26'!AF41+'27'!AB41</f>
        <v>0</v>
      </c>
      <c r="AG41" s="234">
        <f>'26'!AG41+'27'!AD41</f>
        <v>0</v>
      </c>
    </row>
    <row r="42" spans="1:40" ht="27" customHeight="1" thickTop="1" thickBot="1">
      <c r="A42" s="715" t="str">
        <f>'26'!A42</f>
        <v>B.C</v>
      </c>
      <c r="B42" s="529"/>
      <c r="C42" s="348">
        <f>'26'!D42</f>
        <v>0</v>
      </c>
      <c r="D42" s="529">
        <f t="shared" si="9"/>
        <v>0</v>
      </c>
      <c r="F42" s="479" t="str">
        <f>'26'!F42</f>
        <v>HUZAFA KOTRI</v>
      </c>
      <c r="G42" s="409">
        <f>'CUSTOMERS REPORT'!Y1338</f>
        <v>0</v>
      </c>
      <c r="H42" s="507">
        <f>'CUSTOMERS REPORT'!Z1338</f>
        <v>0</v>
      </c>
      <c r="I42" s="409">
        <f>'CUSTOMERS REPORT'!AA1338</f>
        <v>0</v>
      </c>
      <c r="J42" s="501">
        <f>'CUSTOMERS REPORT'!AB1338</f>
        <v>0</v>
      </c>
      <c r="K42" s="501">
        <f>'CUSTOMERS REPORT'!AC1338</f>
        <v>0</v>
      </c>
      <c r="L42" s="512">
        <f>'CUSTOMERS REPORT'!AD1338</f>
        <v>0</v>
      </c>
      <c r="M42" s="414">
        <f>'26'!M42+'27'!G42</f>
        <v>0</v>
      </c>
      <c r="N42" s="412">
        <f>'26'!N42+'27'!J42</f>
        <v>0</v>
      </c>
      <c r="P42" s="1499" t="s">
        <v>157</v>
      </c>
      <c r="Q42" s="1500"/>
      <c r="S42" s="400">
        <f>'26'!S42</f>
        <v>0</v>
      </c>
      <c r="T42" s="446">
        <f>'26'!X42</f>
        <v>0</v>
      </c>
      <c r="U42" s="458"/>
      <c r="V42" s="453">
        <f t="shared" si="0"/>
        <v>0</v>
      </c>
      <c r="W42" s="454"/>
      <c r="X42" s="449">
        <f t="shared" si="1"/>
        <v>0</v>
      </c>
      <c r="Z42" s="375">
        <f>'26'!Z42</f>
        <v>0</v>
      </c>
      <c r="AA42" s="464">
        <f>'26'!AE42</f>
        <v>0</v>
      </c>
      <c r="AB42" s="461"/>
      <c r="AC42" s="462">
        <f>AA42+AB42</f>
        <v>0</v>
      </c>
      <c r="AD42" s="470"/>
      <c r="AE42" s="348">
        <f t="shared" si="3"/>
        <v>0</v>
      </c>
      <c r="AF42" s="564">
        <f>'26'!AF42+'27'!AB42</f>
        <v>0</v>
      </c>
      <c r="AG42" s="572">
        <f>'26'!AG42+'27'!AD42</f>
        <v>0</v>
      </c>
    </row>
    <row r="43" spans="1:40" ht="27" customHeight="1" thickTop="1" thickBot="1">
      <c r="A43" s="715" t="str">
        <f>'26'!A43</f>
        <v>AQEEL</v>
      </c>
      <c r="B43" s="539"/>
      <c r="C43" s="348">
        <f>'26'!D43</f>
        <v>0</v>
      </c>
      <c r="D43" s="529">
        <f t="shared" si="9"/>
        <v>0</v>
      </c>
      <c r="F43" s="479" t="str">
        <f>'26'!F43</f>
        <v>ZAHID LAHORE</v>
      </c>
      <c r="G43" s="409">
        <f>'CUSTOMERS REPORT'!Y1375</f>
        <v>0</v>
      </c>
      <c r="H43" s="507">
        <f>'CUSTOMERS REPORT'!Z1375</f>
        <v>0</v>
      </c>
      <c r="I43" s="409">
        <f>'CUSTOMERS REPORT'!AA1375</f>
        <v>0</v>
      </c>
      <c r="J43" s="501">
        <f>'CUSTOMERS REPORT'!AB1375</f>
        <v>0</v>
      </c>
      <c r="K43" s="501">
        <f>'CUSTOMERS REPORT'!AC1375</f>
        <v>0</v>
      </c>
      <c r="L43" s="512">
        <f>'CUSTOMERS REPORT'!AD1375</f>
        <v>0</v>
      </c>
      <c r="M43" s="414">
        <f>'26'!M43+'27'!G43</f>
        <v>0</v>
      </c>
      <c r="N43" s="412">
        <f>'26'!N43+'27'!J43</f>
        <v>0</v>
      </c>
      <c r="P43" s="220" t="s">
        <v>124</v>
      </c>
      <c r="Q43" s="223">
        <f>'26'!Q48</f>
        <v>-4197970</v>
      </c>
      <c r="R43" t="s">
        <v>1</v>
      </c>
      <c r="S43" s="400">
        <f>'26'!S43</f>
        <v>0</v>
      </c>
      <c r="T43" s="446">
        <f>'26'!X43</f>
        <v>0</v>
      </c>
      <c r="U43" s="358"/>
      <c r="V43" s="453">
        <f t="shared" si="0"/>
        <v>0</v>
      </c>
      <c r="W43" s="403"/>
      <c r="X43" s="449">
        <f t="shared" si="1"/>
        <v>0</v>
      </c>
      <c r="Z43" s="383"/>
      <c r="AA43" s="356">
        <f>SUM(AA8:AA42)</f>
        <v>-1986350</v>
      </c>
      <c r="AB43" s="385">
        <f>SUM(AB8:AB42)</f>
        <v>6400</v>
      </c>
      <c r="AC43" s="357" t="s">
        <v>74</v>
      </c>
      <c r="AD43" s="387">
        <f>SUM(AD8:AD42)</f>
        <v>6400</v>
      </c>
      <c r="AE43" s="358">
        <f>SUM(AE8:AE42)</f>
        <v>-1986350</v>
      </c>
      <c r="AF43" s="565">
        <f>SUM(AF8:AF42)</f>
        <v>1431150</v>
      </c>
      <c r="AG43" s="571">
        <f>SUM(AG8:AG42)</f>
        <v>3417500</v>
      </c>
    </row>
    <row r="44" spans="1:40" ht="27" customHeight="1" thickTop="1">
      <c r="A44" s="715" t="str">
        <f>'26'!A44</f>
        <v>M.YOUSUF</v>
      </c>
      <c r="B44" s="234"/>
      <c r="C44" s="348">
        <f>'26'!D44</f>
        <v>65100</v>
      </c>
      <c r="D44" s="234">
        <f t="shared" si="9"/>
        <v>65100</v>
      </c>
      <c r="F44" s="479" t="str">
        <f>'26'!F44</f>
        <v>CASH SALE</v>
      </c>
      <c r="G44" s="409">
        <f>'CUSTOMERS REPORT'!Y1412</f>
        <v>0</v>
      </c>
      <c r="H44" s="507">
        <f>'CUSTOMERS REPORT'!Z1412</f>
        <v>0</v>
      </c>
      <c r="I44" s="409">
        <f>'CUSTOMERS REPORT'!AA1412</f>
        <v>0</v>
      </c>
      <c r="J44" s="501">
        <f>'CUSTOMERS REPORT'!AB1412</f>
        <v>0</v>
      </c>
      <c r="K44" s="501">
        <f>'CUSTOMERS REPORT'!AC1412</f>
        <v>0</v>
      </c>
      <c r="L44" s="512">
        <f>'CUSTOMERS REPORT'!AD1412</f>
        <v>0</v>
      </c>
      <c r="M44" s="414">
        <f>'26'!M44+'27'!G44</f>
        <v>0</v>
      </c>
      <c r="N44" s="412">
        <f>'26'!N44+'27'!J44</f>
        <v>0</v>
      </c>
      <c r="P44" s="222" t="s">
        <v>114</v>
      </c>
      <c r="Q44" s="377">
        <f>J46</f>
        <v>0</v>
      </c>
      <c r="S44" s="400"/>
      <c r="T44" s="348"/>
      <c r="U44" s="306"/>
      <c r="V44" s="349"/>
      <c r="W44" s="351"/>
      <c r="X44" s="350"/>
      <c r="Z44" s="375"/>
      <c r="AA44" s="339"/>
      <c r="AB44" s="386">
        <f>'26'!AB45</f>
        <v>1424750</v>
      </c>
      <c r="AC44" s="340" t="s">
        <v>126</v>
      </c>
      <c r="AD44" s="388">
        <f>'26'!AD45</f>
        <v>3411100</v>
      </c>
      <c r="AE44" s="341"/>
      <c r="AF44" s="561"/>
      <c r="AG44" s="83" t="s">
        <v>1</v>
      </c>
    </row>
    <row r="45" spans="1:40" ht="27" customHeight="1" thickBot="1">
      <c r="A45" s="715" t="str">
        <f>'26'!A45</f>
        <v>SHAKEEL</v>
      </c>
      <c r="B45" s="234"/>
      <c r="C45" s="348">
        <f>'26'!D45</f>
        <v>77210</v>
      </c>
      <c r="D45" s="234">
        <f t="shared" si="9"/>
        <v>77210</v>
      </c>
      <c r="F45" s="479" t="str">
        <f>'26'!F45</f>
        <v xml:space="preserve">FREE </v>
      </c>
      <c r="G45" s="410">
        <f>'CUSTOMERS REPORT'!Y1448</f>
        <v>0</v>
      </c>
      <c r="H45" s="362">
        <f>'CUSTOMERS REPORT'!Z1448</f>
        <v>0</v>
      </c>
      <c r="I45" s="410">
        <f>'CUSTOMERS REPORT'!AA1448</f>
        <v>0</v>
      </c>
      <c r="J45" s="502">
        <f>'CUSTOMERS REPORT'!AB1448</f>
        <v>0</v>
      </c>
      <c r="K45" s="502">
        <f>'CUSTOMERS REPORT'!AC1448</f>
        <v>0</v>
      </c>
      <c r="L45" s="513">
        <f>'CUSTOMERS REPORT'!AD1448</f>
        <v>0</v>
      </c>
      <c r="M45" s="414">
        <f>'26'!M45+'27'!G45</f>
        <v>0</v>
      </c>
      <c r="N45" s="412">
        <f>'26'!N45+'27'!J45</f>
        <v>0</v>
      </c>
      <c r="P45" s="222" t="s">
        <v>153</v>
      </c>
      <c r="Q45" s="378">
        <f>Q43+Q44</f>
        <v>-4197970</v>
      </c>
      <c r="S45" s="401"/>
      <c r="T45" s="352"/>
      <c r="U45" s="307"/>
      <c r="V45" s="353"/>
      <c r="W45" s="354"/>
      <c r="X45" s="355"/>
      <c r="Z45" s="384"/>
      <c r="AA45" s="359"/>
      <c r="AB45" s="390">
        <f>SUM(AB43:AB44)</f>
        <v>1431150</v>
      </c>
      <c r="AC45" s="360" t="s">
        <v>74</v>
      </c>
      <c r="AD45" s="389">
        <f>SUM(AD43:AD44)</f>
        <v>3417500</v>
      </c>
      <c r="AE45" s="361"/>
      <c r="AF45" s="562"/>
      <c r="AG45" s="573"/>
    </row>
    <row r="46" spans="1:40" ht="27" customHeight="1" thickTop="1" thickBot="1">
      <c r="A46" s="715" t="str">
        <f>'26'!A46</f>
        <v>ZAHID HUSSAN</v>
      </c>
      <c r="B46" s="234"/>
      <c r="C46" s="348">
        <f>'26'!D46</f>
        <v>0</v>
      </c>
      <c r="D46" s="234">
        <f t="shared" si="9"/>
        <v>0</v>
      </c>
      <c r="F46" s="369"/>
      <c r="G46" s="424">
        <f>SUM(G8:G45)</f>
        <v>0</v>
      </c>
      <c r="H46" s="1497" t="s">
        <v>160</v>
      </c>
      <c r="I46" s="1498"/>
      <c r="J46" s="421">
        <f>SUM(J8:J45)</f>
        <v>0</v>
      </c>
      <c r="K46" s="427">
        <f>SUM(K8:K45)</f>
        <v>0</v>
      </c>
      <c r="L46" s="431">
        <f>SUM(L8:L45)</f>
        <v>0</v>
      </c>
      <c r="M46" s="429">
        <f>SUM(M8:M45)</f>
        <v>0</v>
      </c>
      <c r="N46" s="430">
        <f>SUM(N8:N45)</f>
        <v>0</v>
      </c>
      <c r="P46" s="222" t="s">
        <v>154</v>
      </c>
      <c r="Q46" s="378">
        <f>B48</f>
        <v>12120</v>
      </c>
    </row>
    <row r="47" spans="1:40" ht="27" customHeight="1" thickBot="1">
      <c r="A47" s="715" t="str">
        <f>'26'!A47</f>
        <v xml:space="preserve">INVESTOR </v>
      </c>
      <c r="B47" s="540"/>
      <c r="C47" s="348">
        <f>'26'!D47</f>
        <v>0</v>
      </c>
      <c r="D47" s="542">
        <f t="shared" si="9"/>
        <v>0</v>
      </c>
      <c r="F47" s="370"/>
      <c r="G47" s="425">
        <f>'26'!G48</f>
        <v>0</v>
      </c>
      <c r="H47" s="1512" t="s">
        <v>162</v>
      </c>
      <c r="I47" s="1513"/>
      <c r="J47" s="423">
        <f>'26'!J48</f>
        <v>0</v>
      </c>
      <c r="K47" s="423">
        <f>'26'!K48</f>
        <v>0</v>
      </c>
      <c r="L47" s="343"/>
      <c r="M47" s="344"/>
      <c r="N47" s="345"/>
      <c r="P47" s="375" t="s">
        <v>163</v>
      </c>
      <c r="Q47" s="378">
        <f>Q9+Q10+Q19+Q20+Q21+Q22</f>
        <v>0</v>
      </c>
      <c r="R47" s="19"/>
      <c r="S47" s="1489" t="s">
        <v>92</v>
      </c>
      <c r="T47" s="1516" t="s">
        <v>95</v>
      </c>
      <c r="U47" s="1518"/>
      <c r="V47" s="1518"/>
      <c r="W47" s="1517"/>
      <c r="X47" s="1516" t="s">
        <v>7</v>
      </c>
      <c r="Y47" s="1518"/>
      <c r="Z47" s="1517"/>
      <c r="AA47" s="1516" t="s">
        <v>8</v>
      </c>
      <c r="AB47" s="1517"/>
      <c r="AC47" s="1516" t="s">
        <v>9</v>
      </c>
      <c r="AD47" s="1518"/>
      <c r="AE47" s="1518"/>
      <c r="AF47" s="1518"/>
      <c r="AG47" s="1518"/>
      <c r="AH47" s="1518"/>
      <c r="AI47" s="1518"/>
      <c r="AJ47" s="1405" t="s">
        <v>10</v>
      </c>
      <c r="AK47" s="1406"/>
      <c r="AL47" s="1400" t="s">
        <v>289</v>
      </c>
      <c r="AM47" s="1401"/>
      <c r="AN47" s="842" t="s">
        <v>290</v>
      </c>
    </row>
    <row r="48" spans="1:40" ht="27" customHeight="1" thickTop="1" thickBot="1">
      <c r="A48" s="192" t="s">
        <v>74</v>
      </c>
      <c r="B48" s="544">
        <f>SUM(B22:B47)</f>
        <v>12120</v>
      </c>
      <c r="C48" s="543">
        <f>'26'!D48</f>
        <v>4197970</v>
      </c>
      <c r="D48" s="544">
        <f t="shared" si="9"/>
        <v>4210090</v>
      </c>
      <c r="F48" s="371"/>
      <c r="G48" s="426">
        <f>G46+G47</f>
        <v>0</v>
      </c>
      <c r="H48" s="1495" t="s">
        <v>164</v>
      </c>
      <c r="I48" s="1496"/>
      <c r="J48" s="422">
        <f>J46+J47</f>
        <v>0</v>
      </c>
      <c r="K48" s="428">
        <f>K46+K47</f>
        <v>0</v>
      </c>
      <c r="L48" s="346"/>
      <c r="M48" s="347"/>
      <c r="N48" s="622">
        <f>G48-J48</f>
        <v>0</v>
      </c>
      <c r="P48" s="376" t="s">
        <v>155</v>
      </c>
      <c r="Q48" s="379">
        <f>Q45-Q46-Q47</f>
        <v>-4210090</v>
      </c>
      <c r="R48" s="19"/>
      <c r="S48" s="1490"/>
      <c r="T48" s="482" t="s">
        <v>12</v>
      </c>
      <c r="U48" s="482" t="s">
        <v>13</v>
      </c>
      <c r="V48" s="482" t="s">
        <v>14</v>
      </c>
      <c r="W48" s="958" t="s">
        <v>263</v>
      </c>
      <c r="X48" s="482" t="s">
        <v>12</v>
      </c>
      <c r="Y48" s="482" t="s">
        <v>13</v>
      </c>
      <c r="Z48" s="482" t="s">
        <v>282</v>
      </c>
      <c r="AA48" s="482" t="s">
        <v>12</v>
      </c>
      <c r="AB48" s="482" t="s">
        <v>16</v>
      </c>
      <c r="AC48" s="482" t="s">
        <v>17</v>
      </c>
      <c r="AD48" s="482" t="s">
        <v>18</v>
      </c>
      <c r="AE48" s="482" t="s">
        <v>19</v>
      </c>
      <c r="AF48" s="484" t="s">
        <v>96</v>
      </c>
      <c r="AG48" s="484" t="s">
        <v>257</v>
      </c>
      <c r="AH48" s="482" t="s">
        <v>254</v>
      </c>
      <c r="AI48" s="482" t="s">
        <v>20</v>
      </c>
      <c r="AJ48" s="483" t="s">
        <v>14</v>
      </c>
      <c r="AK48" s="482" t="s">
        <v>13</v>
      </c>
      <c r="AL48" s="846" t="s">
        <v>284</v>
      </c>
      <c r="AM48" s="846" t="s">
        <v>288</v>
      </c>
      <c r="AN48" s="966" t="s">
        <v>291</v>
      </c>
    </row>
    <row r="49" spans="1:40" ht="24.95" customHeight="1" thickTop="1" thickBot="1">
      <c r="Q49" s="111">
        <f>Q48+Q41</f>
        <v>-4210090</v>
      </c>
      <c r="R49" s="19"/>
      <c r="S49" s="865" t="s">
        <v>165</v>
      </c>
      <c r="T49" s="866">
        <f>'26'!T55</f>
        <v>62</v>
      </c>
      <c r="U49" s="866">
        <f>'26'!U55</f>
        <v>0</v>
      </c>
      <c r="V49" s="866">
        <f>'26'!V55</f>
        <v>123</v>
      </c>
      <c r="W49" s="866">
        <f>'26'!W55</f>
        <v>19</v>
      </c>
      <c r="X49" s="866">
        <f>'26'!X55</f>
        <v>0</v>
      </c>
      <c r="Y49" s="866">
        <f>'26'!Y55</f>
        <v>0</v>
      </c>
      <c r="Z49" s="866">
        <f>'26'!Z55</f>
        <v>-3</v>
      </c>
      <c r="AA49" s="866">
        <f>'26'!AA55</f>
        <v>3822</v>
      </c>
      <c r="AB49" s="866">
        <f>'26'!AB55</f>
        <v>160</v>
      </c>
      <c r="AC49" s="866">
        <f>'26'!AC55</f>
        <v>2884</v>
      </c>
      <c r="AD49" s="866">
        <f>'26'!AD55</f>
        <v>1166</v>
      </c>
      <c r="AE49" s="866">
        <f>'26'!AE55</f>
        <v>0</v>
      </c>
      <c r="AF49" s="866">
        <f>'26'!AF55</f>
        <v>2898</v>
      </c>
      <c r="AG49" s="866">
        <f>'26'!AG55</f>
        <v>1084</v>
      </c>
      <c r="AH49" s="866">
        <f>'26'!AH55</f>
        <v>2011</v>
      </c>
      <c r="AI49" s="866">
        <f>'26'!AI55</f>
        <v>631</v>
      </c>
      <c r="AJ49" s="866">
        <f>'26'!AJ55</f>
        <v>0</v>
      </c>
      <c r="AK49" s="866">
        <f>'26'!AK55</f>
        <v>-1</v>
      </c>
      <c r="AL49" s="866" t="e">
        <f>'26'!AL55</f>
        <v>#VALUE!</v>
      </c>
      <c r="AM49" s="866" t="e">
        <f>'26'!AM55</f>
        <v>#VALUE!</v>
      </c>
      <c r="AN49" s="866" t="e">
        <f>'26'!AN55</f>
        <v>#VALUE!</v>
      </c>
    </row>
    <row r="50" spans="1:40" ht="24.95" customHeight="1" thickBot="1">
      <c r="C50" t="s">
        <v>1</v>
      </c>
      <c r="L50" s="417">
        <v>5000</v>
      </c>
      <c r="M50" s="417"/>
      <c r="N50" s="417">
        <f t="shared" ref="N50:N57" si="10">L50*M50</f>
        <v>0</v>
      </c>
      <c r="R50" s="19"/>
      <c r="S50" s="854" t="s">
        <v>166</v>
      </c>
      <c r="T50" s="852"/>
      <c r="U50" s="852"/>
      <c r="V50" s="852"/>
      <c r="W50" s="852"/>
      <c r="X50" s="852"/>
      <c r="Y50" s="852"/>
      <c r="Z50" s="852"/>
      <c r="AA50" s="852">
        <v>1210</v>
      </c>
      <c r="AB50" s="852"/>
      <c r="AC50" s="852">
        <v>166</v>
      </c>
      <c r="AD50" s="852"/>
      <c r="AE50" s="852"/>
      <c r="AF50" s="855">
        <v>594</v>
      </c>
      <c r="AG50" s="852"/>
      <c r="AH50" s="852"/>
      <c r="AI50" s="848"/>
      <c r="AJ50" s="848"/>
      <c r="AK50" s="848">
        <v>63</v>
      </c>
      <c r="AL50" s="848"/>
      <c r="AM50" s="850"/>
      <c r="AN50" s="930"/>
    </row>
    <row r="51" spans="1:40" ht="24.95" customHeight="1" thickBot="1">
      <c r="L51" s="417">
        <v>1000</v>
      </c>
      <c r="M51" s="417"/>
      <c r="N51" s="417">
        <f t="shared" si="10"/>
        <v>0</v>
      </c>
      <c r="R51" s="19"/>
      <c r="S51" s="867" t="s">
        <v>91</v>
      </c>
      <c r="T51" s="868"/>
      <c r="U51" s="868"/>
      <c r="V51" s="868"/>
      <c r="W51" s="868"/>
      <c r="X51" s="868"/>
      <c r="Y51" s="868"/>
      <c r="Z51" s="868"/>
      <c r="AA51" s="868"/>
      <c r="AB51" s="868"/>
      <c r="AC51" s="868"/>
      <c r="AD51" s="868"/>
      <c r="AE51" s="868"/>
      <c r="AF51" s="869"/>
      <c r="AG51" s="868"/>
      <c r="AH51" s="870"/>
      <c r="AI51" s="868"/>
      <c r="AJ51" s="868"/>
      <c r="AK51" s="849"/>
      <c r="AL51" s="849"/>
      <c r="AM51" s="850"/>
      <c r="AN51" s="850"/>
    </row>
    <row r="52" spans="1:40" ht="24.95" customHeight="1" thickBot="1">
      <c r="L52" s="417">
        <v>500</v>
      </c>
      <c r="M52" s="417"/>
      <c r="N52" s="417">
        <f t="shared" si="10"/>
        <v>0</v>
      </c>
      <c r="O52" t="s">
        <v>1</v>
      </c>
      <c r="R52" s="19"/>
      <c r="S52" s="856" t="s">
        <v>167</v>
      </c>
      <c r="T52" s="857"/>
      <c r="U52" s="857"/>
      <c r="V52" s="857"/>
      <c r="W52" s="857"/>
      <c r="X52" s="857"/>
      <c r="Y52" s="857"/>
      <c r="Z52" s="857"/>
      <c r="AA52" s="857"/>
      <c r="AB52" s="857"/>
      <c r="AC52" s="857"/>
      <c r="AD52" s="857"/>
      <c r="AE52" s="857"/>
      <c r="AF52" s="858"/>
      <c r="AG52" s="859"/>
      <c r="AH52" s="860"/>
      <c r="AI52" s="851"/>
      <c r="AJ52" s="851"/>
      <c r="AK52" s="849"/>
      <c r="AL52" s="849"/>
      <c r="AM52" s="850"/>
      <c r="AN52" s="850"/>
    </row>
    <row r="53" spans="1:40" ht="24.95" customHeight="1" thickBot="1">
      <c r="L53" s="417">
        <v>100</v>
      </c>
      <c r="M53" s="417"/>
      <c r="N53" s="417">
        <f t="shared" si="10"/>
        <v>0</v>
      </c>
      <c r="R53" s="19"/>
      <c r="S53" s="871" t="s">
        <v>81</v>
      </c>
      <c r="T53" s="866">
        <f t="shared" ref="T53:AB53" si="11">SUM(T49+T50+T52)</f>
        <v>62</v>
      </c>
      <c r="U53" s="866">
        <f t="shared" si="11"/>
        <v>0</v>
      </c>
      <c r="V53" s="866">
        <f t="shared" si="11"/>
        <v>123</v>
      </c>
      <c r="W53" s="866">
        <f t="shared" si="11"/>
        <v>19</v>
      </c>
      <c r="X53" s="866">
        <f t="shared" si="11"/>
        <v>0</v>
      </c>
      <c r="Y53" s="866">
        <f t="shared" si="11"/>
        <v>0</v>
      </c>
      <c r="Z53" s="866">
        <f t="shared" si="11"/>
        <v>-3</v>
      </c>
      <c r="AA53" s="866">
        <f t="shared" si="11"/>
        <v>5032</v>
      </c>
      <c r="AB53" s="866">
        <f t="shared" si="11"/>
        <v>160</v>
      </c>
      <c r="AC53" s="866">
        <f t="shared" ref="AC53:AM53" si="12">SUM(AC49+AC50+AC52)</f>
        <v>3050</v>
      </c>
      <c r="AD53" s="866">
        <f t="shared" si="12"/>
        <v>1166</v>
      </c>
      <c r="AE53" s="866">
        <f t="shared" si="12"/>
        <v>0</v>
      </c>
      <c r="AF53" s="866">
        <f t="shared" si="12"/>
        <v>3492</v>
      </c>
      <c r="AG53" s="866">
        <f t="shared" si="12"/>
        <v>1084</v>
      </c>
      <c r="AH53" s="866">
        <f t="shared" si="12"/>
        <v>2011</v>
      </c>
      <c r="AI53" s="866">
        <f t="shared" si="12"/>
        <v>631</v>
      </c>
      <c r="AJ53" s="866">
        <f t="shared" si="12"/>
        <v>0</v>
      </c>
      <c r="AK53" s="866">
        <f t="shared" si="12"/>
        <v>62</v>
      </c>
      <c r="AL53" s="866" t="e">
        <f t="shared" si="12"/>
        <v>#VALUE!</v>
      </c>
      <c r="AM53" s="872" t="e">
        <f t="shared" si="12"/>
        <v>#VALUE!</v>
      </c>
      <c r="AN53" s="872" t="e">
        <f t="shared" ref="AN53" si="13">SUM(AN49+AN50+AN52)</f>
        <v>#VALUE!</v>
      </c>
    </row>
    <row r="54" spans="1:40" ht="24.95" customHeight="1" thickBot="1">
      <c r="L54" s="417">
        <v>50</v>
      </c>
      <c r="M54" s="417"/>
      <c r="N54" s="417">
        <f t="shared" si="10"/>
        <v>0</v>
      </c>
      <c r="R54" s="19"/>
      <c r="S54" s="854" t="s">
        <v>168</v>
      </c>
      <c r="T54" s="852">
        <f>'CUSTOMERS REPORT'!B34+'CUSTOMERS REPORT'!B80+'CUSTOMERS REPORT'!B118+'CUSTOMERS REPORT'!B157+'CUSTOMERS REPORT'!B195+'CUSTOMERS REPORT'!B235+'CUSTOMERS REPORT'!B272+'CUSTOMERS REPORT'!B312+'CUSTOMERS REPORT'!B353+'CUSTOMERS REPORT'!B395+'CUSTOMERS REPORT'!B434+'CUSTOMERS REPORT'!B472+'CUSTOMERS REPORT'!B508+'CUSTOMERS REPORT'!B545+'CUSTOMERS REPORT'!B583+'CUSTOMERS REPORT'!B619+'CUSTOMERS REPORT'!B657+'CUSTOMERS REPORT'!B695+'CUSTOMERS REPORT'!B733+'CUSTOMERS REPORT'!B771+'CUSTOMERS REPORT'!B809+'CUSTOMERS REPORT'!B847+'CUSTOMERS REPORT'!B885+'CUSTOMERS REPORT'!B924+'CUSTOMERS REPORT'!B963+'CUSTOMERS REPORT'!B1001+'CUSTOMERS REPORT'!B1039+'CUSTOMERS REPORT'!B1077+'CUSTOMERS REPORT'!B1115+'CUSTOMERS REPORT'!B1153+'CUSTOMERS REPORT'!B1190+'CUSTOMERS REPORT'!B1227+'CUSTOMERS REPORT'!B1264+'CUSTOMERS REPORT'!B1301+'CUSTOMERS REPORT'!B1338+'CUSTOMERS REPORT'!B1375+'CUSTOMERS REPORT'!B1412+'CUSTOMERS REPORT'!B1448</f>
        <v>0</v>
      </c>
      <c r="U54" s="852">
        <f>'CUSTOMERS REPORT'!C34+'CUSTOMERS REPORT'!C80+'CUSTOMERS REPORT'!C118+'CUSTOMERS REPORT'!C157+'CUSTOMERS REPORT'!C195+'CUSTOMERS REPORT'!C235+'CUSTOMERS REPORT'!C272+'CUSTOMERS REPORT'!C312+'CUSTOMERS REPORT'!C353+'CUSTOMERS REPORT'!C395+'CUSTOMERS REPORT'!C434+'CUSTOMERS REPORT'!C472+'CUSTOMERS REPORT'!C508+'CUSTOMERS REPORT'!C545+'CUSTOMERS REPORT'!C583+'CUSTOMERS REPORT'!C619+'CUSTOMERS REPORT'!C657+'CUSTOMERS REPORT'!C695+'CUSTOMERS REPORT'!C733+'CUSTOMERS REPORT'!C771+'CUSTOMERS REPORT'!C809+'CUSTOMERS REPORT'!C847+'CUSTOMERS REPORT'!C885+'CUSTOMERS REPORT'!C924+'CUSTOMERS REPORT'!C963+'CUSTOMERS REPORT'!C1001+'CUSTOMERS REPORT'!C1039+'CUSTOMERS REPORT'!C1077+'CUSTOMERS REPORT'!C1115+'CUSTOMERS REPORT'!C1153+'CUSTOMERS REPORT'!C1190+'CUSTOMERS REPORT'!C1227+'CUSTOMERS REPORT'!C1264+'CUSTOMERS REPORT'!C1301+'CUSTOMERS REPORT'!C1338+'CUSTOMERS REPORT'!C1375+'CUSTOMERS REPORT'!C1412+'CUSTOMERS REPORT'!C1448</f>
        <v>0</v>
      </c>
      <c r="V54" s="852">
        <f>'CUSTOMERS REPORT'!D34+'CUSTOMERS REPORT'!D80+'CUSTOMERS REPORT'!D118+'CUSTOMERS REPORT'!D157+'CUSTOMERS REPORT'!D195+'CUSTOMERS REPORT'!D235+'CUSTOMERS REPORT'!D272+'CUSTOMERS REPORT'!D312+'CUSTOMERS REPORT'!D353+'CUSTOMERS REPORT'!D395+'CUSTOMERS REPORT'!D434+'CUSTOMERS REPORT'!D472+'CUSTOMERS REPORT'!D508+'CUSTOMERS REPORT'!D545+'CUSTOMERS REPORT'!D583+'CUSTOMERS REPORT'!D619+'CUSTOMERS REPORT'!D657+'CUSTOMERS REPORT'!D695+'CUSTOMERS REPORT'!D733+'CUSTOMERS REPORT'!D771+'CUSTOMERS REPORT'!D809+'CUSTOMERS REPORT'!D847+'CUSTOMERS REPORT'!D885+'CUSTOMERS REPORT'!D924+'CUSTOMERS REPORT'!D963+'CUSTOMERS REPORT'!D1001+'CUSTOMERS REPORT'!D1039+'CUSTOMERS REPORT'!D1077+'CUSTOMERS REPORT'!D1115+'CUSTOMERS REPORT'!D1153+'CUSTOMERS REPORT'!D1190+'CUSTOMERS REPORT'!D1227+'CUSTOMERS REPORT'!D1264+'CUSTOMERS REPORT'!D1301+'CUSTOMERS REPORT'!D1338+'CUSTOMERS REPORT'!D1375+'CUSTOMERS REPORT'!D1412+'CUSTOMERS REPORT'!D1448</f>
        <v>0</v>
      </c>
      <c r="W54" s="852">
        <f>'CUSTOMERS REPORT'!E34+'CUSTOMERS REPORT'!E80+'CUSTOMERS REPORT'!E118+'CUSTOMERS REPORT'!E157+'CUSTOMERS REPORT'!E195+'CUSTOMERS REPORT'!E235+'CUSTOMERS REPORT'!E272+'CUSTOMERS REPORT'!E312+'CUSTOMERS REPORT'!E353+'CUSTOMERS REPORT'!E395+'CUSTOMERS REPORT'!E434+'CUSTOMERS REPORT'!E472+'CUSTOMERS REPORT'!E508+'CUSTOMERS REPORT'!E545+'CUSTOMERS REPORT'!E583+'CUSTOMERS REPORT'!E619+'CUSTOMERS REPORT'!E657+'CUSTOMERS REPORT'!E695+'CUSTOMERS REPORT'!E733+'CUSTOMERS REPORT'!E771+'CUSTOMERS REPORT'!E809+'CUSTOMERS REPORT'!E847+'CUSTOMERS REPORT'!E885+'CUSTOMERS REPORT'!E924+'CUSTOMERS REPORT'!E963+'CUSTOMERS REPORT'!E1001+'CUSTOMERS REPORT'!E1039+'CUSTOMERS REPORT'!E1077+'CUSTOMERS REPORT'!E1115+'CUSTOMERS REPORT'!E1153+'CUSTOMERS REPORT'!E1190+'CUSTOMERS REPORT'!E1227+'CUSTOMERS REPORT'!E1264+'CUSTOMERS REPORT'!E1301+'CUSTOMERS REPORT'!E1338+'CUSTOMERS REPORT'!E1375+'CUSTOMERS REPORT'!E1412+'CUSTOMERS REPORT'!E1448</f>
        <v>0</v>
      </c>
      <c r="X54" s="852">
        <f>'CUSTOMERS REPORT'!F34+'CUSTOMERS REPORT'!F80+'CUSTOMERS REPORT'!F118+'CUSTOMERS REPORT'!F157+'CUSTOMERS REPORT'!F195+'CUSTOMERS REPORT'!F235+'CUSTOMERS REPORT'!F272+'CUSTOMERS REPORT'!F312+'CUSTOMERS REPORT'!F353+'CUSTOMERS REPORT'!F395+'CUSTOMERS REPORT'!F434+'CUSTOMERS REPORT'!F472+'CUSTOMERS REPORT'!F508+'CUSTOMERS REPORT'!F545+'CUSTOMERS REPORT'!F583+'CUSTOMERS REPORT'!F619+'CUSTOMERS REPORT'!F657+'CUSTOMERS REPORT'!F695+'CUSTOMERS REPORT'!F733+'CUSTOMERS REPORT'!F771+'CUSTOMERS REPORT'!F809+'CUSTOMERS REPORT'!F847+'CUSTOMERS REPORT'!F885+'CUSTOMERS REPORT'!F924+'CUSTOMERS REPORT'!F963+'CUSTOMERS REPORT'!F1001+'CUSTOMERS REPORT'!F1039+'CUSTOMERS REPORT'!F1077+'CUSTOMERS REPORT'!F1115+'CUSTOMERS REPORT'!F1153+'CUSTOMERS REPORT'!F1190+'CUSTOMERS REPORT'!F1227+'CUSTOMERS REPORT'!F1264+'CUSTOMERS REPORT'!F1301+'CUSTOMERS REPORT'!F1338+'CUSTOMERS REPORT'!F1375+'CUSTOMERS REPORT'!F1412+'CUSTOMERS REPORT'!F1448</f>
        <v>0</v>
      </c>
      <c r="Y54" s="852">
        <f>'CUSTOMERS REPORT'!G34+'CUSTOMERS REPORT'!G80+'CUSTOMERS REPORT'!G118+'CUSTOMERS REPORT'!G157+'CUSTOMERS REPORT'!G195+'CUSTOMERS REPORT'!G235+'CUSTOMERS REPORT'!G272+'CUSTOMERS REPORT'!G312+'CUSTOMERS REPORT'!G353+'CUSTOMERS REPORT'!G395+'CUSTOMERS REPORT'!G434+'CUSTOMERS REPORT'!G472+'CUSTOMERS REPORT'!G508+'CUSTOMERS REPORT'!G545+'CUSTOMERS REPORT'!G583+'CUSTOMERS REPORT'!G619+'CUSTOMERS REPORT'!G657+'CUSTOMERS REPORT'!G695+'CUSTOMERS REPORT'!G733+'CUSTOMERS REPORT'!G771+'CUSTOMERS REPORT'!G809+'CUSTOMERS REPORT'!G847+'CUSTOMERS REPORT'!G885+'CUSTOMERS REPORT'!G924+'CUSTOMERS REPORT'!G963+'CUSTOMERS REPORT'!G1001+'CUSTOMERS REPORT'!G1039+'CUSTOMERS REPORT'!G1077+'CUSTOMERS REPORT'!G1115+'CUSTOMERS REPORT'!G1153+'CUSTOMERS REPORT'!G1190+'CUSTOMERS REPORT'!G1227+'CUSTOMERS REPORT'!G1264+'CUSTOMERS REPORT'!G1301+'CUSTOMERS REPORT'!G1338+'CUSTOMERS REPORT'!G1375+'CUSTOMERS REPORT'!G1412+'CUSTOMERS REPORT'!G1448</f>
        <v>0</v>
      </c>
      <c r="Z54" s="852">
        <f>'CUSTOMERS REPORT'!H34+'CUSTOMERS REPORT'!H80+'CUSTOMERS REPORT'!H118+'CUSTOMERS REPORT'!H157+'CUSTOMERS REPORT'!H195+'CUSTOMERS REPORT'!H235+'CUSTOMERS REPORT'!H272+'CUSTOMERS REPORT'!H312+'CUSTOMERS REPORT'!H353+'CUSTOMERS REPORT'!H395+'CUSTOMERS REPORT'!H434+'CUSTOMERS REPORT'!H472+'CUSTOMERS REPORT'!H508+'CUSTOMERS REPORT'!H545+'CUSTOMERS REPORT'!H583+'CUSTOMERS REPORT'!H619+'CUSTOMERS REPORT'!H657+'CUSTOMERS REPORT'!H695+'CUSTOMERS REPORT'!H733+'CUSTOMERS REPORT'!H771+'CUSTOMERS REPORT'!H809+'CUSTOMERS REPORT'!H847+'CUSTOMERS REPORT'!H885+'CUSTOMERS REPORT'!H924+'CUSTOMERS REPORT'!H963+'CUSTOMERS REPORT'!H1001+'CUSTOMERS REPORT'!H1039+'CUSTOMERS REPORT'!H1077+'CUSTOMERS REPORT'!H1115+'CUSTOMERS REPORT'!H1153+'CUSTOMERS REPORT'!H1190+'CUSTOMERS REPORT'!H1227+'CUSTOMERS REPORT'!H1264+'CUSTOMERS REPORT'!H1301+'CUSTOMERS REPORT'!H1338+'CUSTOMERS REPORT'!H1375+'CUSTOMERS REPORT'!H1412+'CUSTOMERS REPORT'!H1448</f>
        <v>0</v>
      </c>
      <c r="AA54" s="852">
        <f>'CUSTOMERS REPORT'!I34+'CUSTOMERS REPORT'!I80+'CUSTOMERS REPORT'!I118+'CUSTOMERS REPORT'!I157+'CUSTOMERS REPORT'!I195+'CUSTOMERS REPORT'!I235+'CUSTOMERS REPORT'!I272+'CUSTOMERS REPORT'!I312+'CUSTOMERS REPORT'!I353+'CUSTOMERS REPORT'!I395+'CUSTOMERS REPORT'!I434+'CUSTOMERS REPORT'!I472+'CUSTOMERS REPORT'!I508+'CUSTOMERS REPORT'!I545+'CUSTOMERS REPORT'!I583+'CUSTOMERS REPORT'!I619+'CUSTOMERS REPORT'!I657+'CUSTOMERS REPORT'!I695+'CUSTOMERS REPORT'!I733+'CUSTOMERS REPORT'!I771+'CUSTOMERS REPORT'!I809+'CUSTOMERS REPORT'!I847+'CUSTOMERS REPORT'!I885+'CUSTOMERS REPORT'!I924+'CUSTOMERS REPORT'!I963+'CUSTOMERS REPORT'!I1001+'CUSTOMERS REPORT'!I1039+'CUSTOMERS REPORT'!I1077+'CUSTOMERS REPORT'!I1115+'CUSTOMERS REPORT'!I1153+'CUSTOMERS REPORT'!I1190+'CUSTOMERS REPORT'!I1227+'CUSTOMERS REPORT'!I1264+'CUSTOMERS REPORT'!I1301+'CUSTOMERS REPORT'!I1338+'CUSTOMERS REPORT'!I1375+'CUSTOMERS REPORT'!I1412+'CUSTOMERS REPORT'!I1448</f>
        <v>0</v>
      </c>
      <c r="AB54" s="852">
        <f>'CUSTOMERS REPORT'!J34+'CUSTOMERS REPORT'!J80+'CUSTOMERS REPORT'!J118+'CUSTOMERS REPORT'!J157+'CUSTOMERS REPORT'!J195+'CUSTOMERS REPORT'!J235+'CUSTOMERS REPORT'!J272+'CUSTOMERS REPORT'!J312+'CUSTOMERS REPORT'!J353+'CUSTOMERS REPORT'!J395+'CUSTOMERS REPORT'!J434+'CUSTOMERS REPORT'!J472+'CUSTOMERS REPORT'!J508+'CUSTOMERS REPORT'!J545+'CUSTOMERS REPORT'!J583+'CUSTOMERS REPORT'!J619+'CUSTOMERS REPORT'!J657+'CUSTOMERS REPORT'!J695+'CUSTOMERS REPORT'!J733+'CUSTOMERS REPORT'!J771+'CUSTOMERS REPORT'!J809+'CUSTOMERS REPORT'!J847+'CUSTOMERS REPORT'!J885+'CUSTOMERS REPORT'!J924+'CUSTOMERS REPORT'!J963+'CUSTOMERS REPORT'!J1001+'CUSTOMERS REPORT'!J1039+'CUSTOMERS REPORT'!J1077+'CUSTOMERS REPORT'!J1115+'CUSTOMERS REPORT'!J1153+'CUSTOMERS REPORT'!J1190+'CUSTOMERS REPORT'!J1227+'CUSTOMERS REPORT'!J1264+'CUSTOMERS REPORT'!J1301+'CUSTOMERS REPORT'!J1338+'CUSTOMERS REPORT'!J1375+'CUSTOMERS REPORT'!J1412+'CUSTOMERS REPORT'!J1448</f>
        <v>0</v>
      </c>
      <c r="AC54" s="852">
        <f>'CUSTOMERS REPORT'!K34+'CUSTOMERS REPORT'!K80+'CUSTOMERS REPORT'!K118+'CUSTOMERS REPORT'!K157+'CUSTOMERS REPORT'!K195+'CUSTOMERS REPORT'!K235+'CUSTOMERS REPORT'!K272+'CUSTOMERS REPORT'!K312+'CUSTOMERS REPORT'!K353+'CUSTOMERS REPORT'!K395+'CUSTOMERS REPORT'!K434+'CUSTOMERS REPORT'!K472+'CUSTOMERS REPORT'!K508+'CUSTOMERS REPORT'!K545+'CUSTOMERS REPORT'!K583+'CUSTOMERS REPORT'!K619+'CUSTOMERS REPORT'!K657+'CUSTOMERS REPORT'!K695+'CUSTOMERS REPORT'!K733+'CUSTOMERS REPORT'!K771+'CUSTOMERS REPORT'!K809+'CUSTOMERS REPORT'!K847+'CUSTOMERS REPORT'!K885+'CUSTOMERS REPORT'!K924+'CUSTOMERS REPORT'!K963+'CUSTOMERS REPORT'!K1001+'CUSTOMERS REPORT'!K1039+'CUSTOMERS REPORT'!K1077+'CUSTOMERS REPORT'!K1115+'CUSTOMERS REPORT'!K1153+'CUSTOMERS REPORT'!K1190+'CUSTOMERS REPORT'!K1227+'CUSTOMERS REPORT'!K1264+'CUSTOMERS REPORT'!K1301+'CUSTOMERS REPORT'!K1338+'CUSTOMERS REPORT'!K1375+'CUSTOMERS REPORT'!K1412+'CUSTOMERS REPORT'!K1448</f>
        <v>0</v>
      </c>
      <c r="AD54" s="852">
        <f>'CUSTOMERS REPORT'!L34+'CUSTOMERS REPORT'!L80+'CUSTOMERS REPORT'!L118+'CUSTOMERS REPORT'!L157+'CUSTOMERS REPORT'!L195+'CUSTOMERS REPORT'!L235+'CUSTOMERS REPORT'!L272+'CUSTOMERS REPORT'!L312+'CUSTOMERS REPORT'!L353+'CUSTOMERS REPORT'!L395+'CUSTOMERS REPORT'!L434+'CUSTOMERS REPORT'!L472+'CUSTOMERS REPORT'!L508+'CUSTOMERS REPORT'!L545+'CUSTOMERS REPORT'!L583+'CUSTOMERS REPORT'!L619+'CUSTOMERS REPORT'!L657+'CUSTOMERS REPORT'!L695+'CUSTOMERS REPORT'!L733+'CUSTOMERS REPORT'!L771+'CUSTOMERS REPORT'!L809+'CUSTOMERS REPORT'!L847+'CUSTOMERS REPORT'!L885+'CUSTOMERS REPORT'!L924+'CUSTOMERS REPORT'!L963+'CUSTOMERS REPORT'!L1001+'CUSTOMERS REPORT'!L1039+'CUSTOMERS REPORT'!L1077+'CUSTOMERS REPORT'!L1115+'CUSTOMERS REPORT'!L1153+'CUSTOMERS REPORT'!L1190+'CUSTOMERS REPORT'!L1227+'CUSTOMERS REPORT'!L1264+'CUSTOMERS REPORT'!L1301+'CUSTOMERS REPORT'!L1338+'CUSTOMERS REPORT'!L1375+'CUSTOMERS REPORT'!L1412+'CUSTOMERS REPORT'!L1448</f>
        <v>0</v>
      </c>
      <c r="AE54" s="852">
        <f>'CUSTOMERS REPORT'!M34+'CUSTOMERS REPORT'!M80+'CUSTOMERS REPORT'!M118+'CUSTOMERS REPORT'!M157+'CUSTOMERS REPORT'!M195+'CUSTOMERS REPORT'!M235+'CUSTOMERS REPORT'!M272+'CUSTOMERS REPORT'!M312+'CUSTOMERS REPORT'!M353+'CUSTOMERS REPORT'!M395+'CUSTOMERS REPORT'!M434+'CUSTOMERS REPORT'!M472+'CUSTOMERS REPORT'!M508+'CUSTOMERS REPORT'!M545+'CUSTOMERS REPORT'!M583+'CUSTOMERS REPORT'!M619+'CUSTOMERS REPORT'!M657+'CUSTOMERS REPORT'!M695+'CUSTOMERS REPORT'!M733+'CUSTOMERS REPORT'!M771+'CUSTOMERS REPORT'!M809+'CUSTOMERS REPORT'!M847+'CUSTOMERS REPORT'!M885+'CUSTOMERS REPORT'!M924+'CUSTOMERS REPORT'!M963+'CUSTOMERS REPORT'!M1001+'CUSTOMERS REPORT'!M1039+'CUSTOMERS REPORT'!M1077+'CUSTOMERS REPORT'!M1115+'CUSTOMERS REPORT'!M1153+'CUSTOMERS REPORT'!M1190+'CUSTOMERS REPORT'!M1227+'CUSTOMERS REPORT'!M1264+'CUSTOMERS REPORT'!M1301+'CUSTOMERS REPORT'!M1338+'CUSTOMERS REPORT'!M1375+'CUSTOMERS REPORT'!M1412+'CUSTOMERS REPORT'!M1448</f>
        <v>0</v>
      </c>
      <c r="AF54" s="852">
        <f>'CUSTOMERS REPORT'!N34+'CUSTOMERS REPORT'!N80+'CUSTOMERS REPORT'!N118+'CUSTOMERS REPORT'!N157+'CUSTOMERS REPORT'!N195+'CUSTOMERS REPORT'!N235+'CUSTOMERS REPORT'!N272+'CUSTOMERS REPORT'!N312+'CUSTOMERS REPORT'!N353+'CUSTOMERS REPORT'!N395+'CUSTOMERS REPORT'!N434+'CUSTOMERS REPORT'!N472+'CUSTOMERS REPORT'!N508+'CUSTOMERS REPORT'!N545+'CUSTOMERS REPORT'!N583+'CUSTOMERS REPORT'!N619+'CUSTOMERS REPORT'!N657+'CUSTOMERS REPORT'!N695+'CUSTOMERS REPORT'!N733+'CUSTOMERS REPORT'!N771+'CUSTOMERS REPORT'!N809+'CUSTOMERS REPORT'!N847+'CUSTOMERS REPORT'!N885+'CUSTOMERS REPORT'!N924+'CUSTOMERS REPORT'!N963+'CUSTOMERS REPORT'!N1001+'CUSTOMERS REPORT'!N1039+'CUSTOMERS REPORT'!N1077+'CUSTOMERS REPORT'!N1115+'CUSTOMERS REPORT'!N1153+'CUSTOMERS REPORT'!N1190+'CUSTOMERS REPORT'!N1227+'CUSTOMERS REPORT'!N1264+'CUSTOMERS REPORT'!N1301+'CUSTOMERS REPORT'!N1338+'CUSTOMERS REPORT'!N1375+'CUSTOMERS REPORT'!N1412+'CUSTOMERS REPORT'!N1448</f>
        <v>0</v>
      </c>
      <c r="AG54" s="852">
        <f>'CUSTOMERS REPORT'!O34+'CUSTOMERS REPORT'!O80+'CUSTOMERS REPORT'!O118+'CUSTOMERS REPORT'!O157+'CUSTOMERS REPORT'!O195+'CUSTOMERS REPORT'!O235+'CUSTOMERS REPORT'!O272+'CUSTOMERS REPORT'!O312+'CUSTOMERS REPORT'!O353+'CUSTOMERS REPORT'!O395+'CUSTOMERS REPORT'!O434+'CUSTOMERS REPORT'!O472+'CUSTOMERS REPORT'!O508+'CUSTOMERS REPORT'!O545+'CUSTOMERS REPORT'!O583+'CUSTOMERS REPORT'!O619+'CUSTOMERS REPORT'!O657+'CUSTOMERS REPORT'!O695+'CUSTOMERS REPORT'!O733+'CUSTOMERS REPORT'!O771+'CUSTOMERS REPORT'!O809+'CUSTOMERS REPORT'!O847+'CUSTOMERS REPORT'!O885+'CUSTOMERS REPORT'!O924+'CUSTOMERS REPORT'!O963+'CUSTOMERS REPORT'!O1001+'CUSTOMERS REPORT'!O1039+'CUSTOMERS REPORT'!O1077+'CUSTOMERS REPORT'!O1115+'CUSTOMERS REPORT'!O1153+'CUSTOMERS REPORT'!O1190+'CUSTOMERS REPORT'!O1227+'CUSTOMERS REPORT'!O1264+'CUSTOMERS REPORT'!O1301+'CUSTOMERS REPORT'!O1338+'CUSTOMERS REPORT'!O1375+'CUSTOMERS REPORT'!O1412+'CUSTOMERS REPORT'!O1448</f>
        <v>0</v>
      </c>
      <c r="AH54" s="852">
        <f>'CUSTOMERS REPORT'!P34+'CUSTOMERS REPORT'!P80+'CUSTOMERS REPORT'!P118+'CUSTOMERS REPORT'!P157+'CUSTOMERS REPORT'!P195+'CUSTOMERS REPORT'!P235+'CUSTOMERS REPORT'!P272+'CUSTOMERS REPORT'!P312+'CUSTOMERS REPORT'!P353+'CUSTOMERS REPORT'!P395+'CUSTOMERS REPORT'!P434+'CUSTOMERS REPORT'!P472+'CUSTOMERS REPORT'!P508+'CUSTOMERS REPORT'!P545+'CUSTOMERS REPORT'!P583+'CUSTOMERS REPORT'!P619+'CUSTOMERS REPORT'!P657+'CUSTOMERS REPORT'!P695+'CUSTOMERS REPORT'!P733+'CUSTOMERS REPORT'!P771+'CUSTOMERS REPORT'!P809+'CUSTOMERS REPORT'!P847+'CUSTOMERS REPORT'!P885+'CUSTOMERS REPORT'!P924+'CUSTOMERS REPORT'!P963+'CUSTOMERS REPORT'!P1001+'CUSTOMERS REPORT'!P1039+'CUSTOMERS REPORT'!P1077+'CUSTOMERS REPORT'!P1115+'CUSTOMERS REPORT'!P1153+'CUSTOMERS REPORT'!P1190+'CUSTOMERS REPORT'!P1227+'CUSTOMERS REPORT'!P1264+'CUSTOMERS REPORT'!P1301+'CUSTOMERS REPORT'!P1338+'CUSTOMERS REPORT'!P1375+'CUSTOMERS REPORT'!P1412+'CUSTOMERS REPORT'!P1448</f>
        <v>0</v>
      </c>
      <c r="AI54" s="852">
        <f>'CUSTOMERS REPORT'!Q34+'CUSTOMERS REPORT'!Q80+'CUSTOMERS REPORT'!Q118+'CUSTOMERS REPORT'!Q157+'CUSTOMERS REPORT'!Q195+'CUSTOMERS REPORT'!Q235+'CUSTOMERS REPORT'!Q272+'CUSTOMERS REPORT'!Q312+'CUSTOMERS REPORT'!Q353+'CUSTOMERS REPORT'!Q395+'CUSTOMERS REPORT'!Q434+'CUSTOMERS REPORT'!Q472+'CUSTOMERS REPORT'!Q508+'CUSTOMERS REPORT'!Q545+'CUSTOMERS REPORT'!Q583+'CUSTOMERS REPORT'!Q619+'CUSTOMERS REPORT'!Q657+'CUSTOMERS REPORT'!Q695+'CUSTOMERS REPORT'!Q733+'CUSTOMERS REPORT'!Q771+'CUSTOMERS REPORT'!Q809+'CUSTOMERS REPORT'!Q847+'CUSTOMERS REPORT'!Q885+'CUSTOMERS REPORT'!Q924+'CUSTOMERS REPORT'!Q963+'CUSTOMERS REPORT'!Q1001+'CUSTOMERS REPORT'!Q1039+'CUSTOMERS REPORT'!Q1077+'CUSTOMERS REPORT'!Q1115+'CUSTOMERS REPORT'!Q1153+'CUSTOMERS REPORT'!Q1190+'CUSTOMERS REPORT'!Q1227+'CUSTOMERS REPORT'!Q1264+'CUSTOMERS REPORT'!Q1301+'CUSTOMERS REPORT'!Q1338+'CUSTOMERS REPORT'!Q1375+'CUSTOMERS REPORT'!Q1412+'CUSTOMERS REPORT'!Q1448</f>
        <v>0</v>
      </c>
      <c r="AJ54" s="852">
        <f>'CUSTOMERS REPORT'!R34+'CUSTOMERS REPORT'!R80+'CUSTOMERS REPORT'!R118+'CUSTOMERS REPORT'!R157+'CUSTOMERS REPORT'!R195+'CUSTOMERS REPORT'!R235+'CUSTOMERS REPORT'!R272+'CUSTOMERS REPORT'!R312+'CUSTOMERS REPORT'!R353+'CUSTOMERS REPORT'!R395+'CUSTOMERS REPORT'!R434+'CUSTOMERS REPORT'!R472+'CUSTOMERS REPORT'!R508+'CUSTOMERS REPORT'!R545+'CUSTOMERS REPORT'!R583+'CUSTOMERS REPORT'!R619+'CUSTOMERS REPORT'!R657+'CUSTOMERS REPORT'!R695+'CUSTOMERS REPORT'!R733+'CUSTOMERS REPORT'!R771+'CUSTOMERS REPORT'!R809+'CUSTOMERS REPORT'!R847+'CUSTOMERS REPORT'!R885+'CUSTOMERS REPORT'!R924+'CUSTOMERS REPORT'!R963+'CUSTOMERS REPORT'!R1001+'CUSTOMERS REPORT'!R1039+'CUSTOMERS REPORT'!R1077+'CUSTOMERS REPORT'!R1115+'CUSTOMERS REPORT'!R1153+'CUSTOMERS REPORT'!R1190+'CUSTOMERS REPORT'!R1227+'CUSTOMERS REPORT'!R1264+'CUSTOMERS REPORT'!R1301+'CUSTOMERS REPORT'!R1338+'CUSTOMERS REPORT'!R1375+'CUSTOMERS REPORT'!R1412+'CUSTOMERS REPORT'!R1448</f>
        <v>0</v>
      </c>
      <c r="AK54" s="852">
        <f>'CUSTOMERS REPORT'!S34+'CUSTOMERS REPORT'!S80+'CUSTOMERS REPORT'!S118+'CUSTOMERS REPORT'!S157+'CUSTOMERS REPORT'!S195+'CUSTOMERS REPORT'!S235+'CUSTOMERS REPORT'!S272+'CUSTOMERS REPORT'!S312+'CUSTOMERS REPORT'!S353+'CUSTOMERS REPORT'!S395+'CUSTOMERS REPORT'!S434+'CUSTOMERS REPORT'!S472+'CUSTOMERS REPORT'!S508+'CUSTOMERS REPORT'!S545+'CUSTOMERS REPORT'!S583+'CUSTOMERS REPORT'!S619+'CUSTOMERS REPORT'!S657+'CUSTOMERS REPORT'!S695+'CUSTOMERS REPORT'!S733+'CUSTOMERS REPORT'!S771+'CUSTOMERS REPORT'!S809+'CUSTOMERS REPORT'!S847+'CUSTOMERS REPORT'!S885+'CUSTOMERS REPORT'!S924+'CUSTOMERS REPORT'!S963+'CUSTOMERS REPORT'!S1001+'CUSTOMERS REPORT'!S1039+'CUSTOMERS REPORT'!S1077+'CUSTOMERS REPORT'!S1115+'CUSTOMERS REPORT'!S1153+'CUSTOMERS REPORT'!S1190+'CUSTOMERS REPORT'!S1227+'CUSTOMERS REPORT'!S1264+'CUSTOMERS REPORT'!S1301+'CUSTOMERS REPORT'!S1338+'CUSTOMERS REPORT'!S1375+'CUSTOMERS REPORT'!S1412+'CUSTOMERS REPORT'!S1448</f>
        <v>0</v>
      </c>
      <c r="AL54" s="852">
        <f>'CUSTOMERS REPORT'!T34+'CUSTOMERS REPORT'!T80+'CUSTOMERS REPORT'!T118+'CUSTOMERS REPORT'!T157+'CUSTOMERS REPORT'!T195+'CUSTOMERS REPORT'!T235+'CUSTOMERS REPORT'!T272+'CUSTOMERS REPORT'!T312+'CUSTOMERS REPORT'!T353+'CUSTOMERS REPORT'!T395+'CUSTOMERS REPORT'!T434+'CUSTOMERS REPORT'!T472+'CUSTOMERS REPORT'!T508+'CUSTOMERS REPORT'!T545+'CUSTOMERS REPORT'!T583+'CUSTOMERS REPORT'!T619+'CUSTOMERS REPORT'!T657+'CUSTOMERS REPORT'!T695+'CUSTOMERS REPORT'!T733+'CUSTOMERS REPORT'!T771+'CUSTOMERS REPORT'!T809+'CUSTOMERS REPORT'!T847+'CUSTOMERS REPORT'!T885+'CUSTOMERS REPORT'!T924+'CUSTOMERS REPORT'!T963+'CUSTOMERS REPORT'!T1001+'CUSTOMERS REPORT'!T1039+'CUSTOMERS REPORT'!T1077+'CUSTOMERS REPORT'!T1115+'CUSTOMERS REPORT'!T1153+'CUSTOMERS REPORT'!T1190+'CUSTOMERS REPORT'!T1227+'CUSTOMERS REPORT'!T1264+'CUSTOMERS REPORT'!T1301+'CUSTOMERS REPORT'!T1338+'CUSTOMERS REPORT'!T1375+'CUSTOMERS REPORT'!T1412+'CUSTOMERS REPORT'!T1448</f>
        <v>0</v>
      </c>
      <c r="AM54" s="852">
        <f>'CUSTOMERS REPORT'!U34+'CUSTOMERS REPORT'!U80+'CUSTOMERS REPORT'!U118+'CUSTOMERS REPORT'!U157+'CUSTOMERS REPORT'!U195+'CUSTOMERS REPORT'!U235+'CUSTOMERS REPORT'!U272+'CUSTOMERS REPORT'!U312+'CUSTOMERS REPORT'!U353+'CUSTOMERS REPORT'!U395+'CUSTOMERS REPORT'!U434+'CUSTOMERS REPORT'!U472+'CUSTOMERS REPORT'!U508+'CUSTOMERS REPORT'!U545+'CUSTOMERS REPORT'!U583+'CUSTOMERS REPORT'!U619+'CUSTOMERS REPORT'!U657+'CUSTOMERS REPORT'!U695+'CUSTOMERS REPORT'!U733+'CUSTOMERS REPORT'!U771+'CUSTOMERS REPORT'!U809+'CUSTOMERS REPORT'!U847+'CUSTOMERS REPORT'!U885+'CUSTOMERS REPORT'!U924+'CUSTOMERS REPORT'!U963+'CUSTOMERS REPORT'!U1001+'CUSTOMERS REPORT'!U1039+'CUSTOMERS REPORT'!U1077+'CUSTOMERS REPORT'!U1115+'CUSTOMERS REPORT'!U1153+'CUSTOMERS REPORT'!U1190+'CUSTOMERS REPORT'!U1227+'CUSTOMERS REPORT'!U1264+'CUSTOMERS REPORT'!U1301+'CUSTOMERS REPORT'!U1338+'CUSTOMERS REPORT'!U1375+'CUSTOMERS REPORT'!U1412+'CUSTOMERS REPORT'!U1448</f>
        <v>0</v>
      </c>
      <c r="AN54" s="852">
        <f>'CUSTOMERS REPORT'!V34+'CUSTOMERS REPORT'!V80+'CUSTOMERS REPORT'!V118+'CUSTOMERS REPORT'!V157+'CUSTOMERS REPORT'!V195+'CUSTOMERS REPORT'!V235+'CUSTOMERS REPORT'!V272+'CUSTOMERS REPORT'!V312+'CUSTOMERS REPORT'!V353+'CUSTOMERS REPORT'!V395+'CUSTOMERS REPORT'!V434+'CUSTOMERS REPORT'!V472+'CUSTOMERS REPORT'!V508+'CUSTOMERS REPORT'!V545+'CUSTOMERS REPORT'!V583+'CUSTOMERS REPORT'!V619+'CUSTOMERS REPORT'!V657+'CUSTOMERS REPORT'!V695+'CUSTOMERS REPORT'!V733+'CUSTOMERS REPORT'!V771+'CUSTOMERS REPORT'!V809+'CUSTOMERS REPORT'!V847+'CUSTOMERS REPORT'!V885+'CUSTOMERS REPORT'!V924+'CUSTOMERS REPORT'!V963+'CUSTOMERS REPORT'!V1001+'CUSTOMERS REPORT'!V1039+'CUSTOMERS REPORT'!V1077+'CUSTOMERS REPORT'!V1115+'CUSTOMERS REPORT'!V1153+'CUSTOMERS REPORT'!V1190+'CUSTOMERS REPORT'!V1227+'CUSTOMERS REPORT'!V1264+'CUSTOMERS REPORT'!V1301+'CUSTOMERS REPORT'!V1338+'CUSTOMERS REPORT'!V1375+'CUSTOMERS REPORT'!V1412+'CUSTOMERS REPORT'!V1448</f>
        <v>0</v>
      </c>
    </row>
    <row r="55" spans="1:40" ht="24.95" customHeight="1" thickBot="1">
      <c r="L55" s="417">
        <v>20</v>
      </c>
      <c r="M55" s="417"/>
      <c r="N55" s="417">
        <f t="shared" si="10"/>
        <v>0</v>
      </c>
      <c r="R55" s="123">
        <f>'26'!R57</f>
        <v>117</v>
      </c>
      <c r="S55" s="865" t="s">
        <v>169</v>
      </c>
      <c r="T55" s="866">
        <f t="shared" ref="T55:AB55" si="14">T53-T54-T51</f>
        <v>62</v>
      </c>
      <c r="U55" s="866">
        <f t="shared" si="14"/>
        <v>0</v>
      </c>
      <c r="V55" s="866">
        <f t="shared" si="14"/>
        <v>123</v>
      </c>
      <c r="W55" s="866">
        <f t="shared" si="14"/>
        <v>19</v>
      </c>
      <c r="X55" s="866">
        <f t="shared" si="14"/>
        <v>0</v>
      </c>
      <c r="Y55" s="866">
        <f t="shared" si="14"/>
        <v>0</v>
      </c>
      <c r="Z55" s="866">
        <f t="shared" si="14"/>
        <v>-3</v>
      </c>
      <c r="AA55" s="866">
        <f t="shared" si="14"/>
        <v>5032</v>
      </c>
      <c r="AB55" s="866">
        <f t="shared" si="14"/>
        <v>160</v>
      </c>
      <c r="AC55" s="866">
        <f t="shared" ref="AC55:AM55" si="15">AC53-AC54-AC51</f>
        <v>3050</v>
      </c>
      <c r="AD55" s="866">
        <f t="shared" si="15"/>
        <v>1166</v>
      </c>
      <c r="AE55" s="866">
        <f t="shared" si="15"/>
        <v>0</v>
      </c>
      <c r="AF55" s="866">
        <f t="shared" si="15"/>
        <v>3492</v>
      </c>
      <c r="AG55" s="866">
        <f t="shared" si="15"/>
        <v>1084</v>
      </c>
      <c r="AH55" s="866">
        <f t="shared" si="15"/>
        <v>2011</v>
      </c>
      <c r="AI55" s="866">
        <f t="shared" si="15"/>
        <v>631</v>
      </c>
      <c r="AJ55" s="866">
        <f t="shared" si="15"/>
        <v>0</v>
      </c>
      <c r="AK55" s="866">
        <f t="shared" si="15"/>
        <v>62</v>
      </c>
      <c r="AL55" s="866" t="e">
        <f t="shared" si="15"/>
        <v>#VALUE!</v>
      </c>
      <c r="AM55" s="872" t="e">
        <f t="shared" si="15"/>
        <v>#VALUE!</v>
      </c>
      <c r="AN55" s="872" t="e">
        <f t="shared" ref="AN55" si="16">AN53-AN54-AN51</f>
        <v>#VALUE!</v>
      </c>
    </row>
    <row r="56" spans="1:40" ht="28.5" thickBot="1">
      <c r="A56" s="114"/>
      <c r="B56" s="120"/>
      <c r="C56" s="115"/>
      <c r="L56" s="417">
        <v>10</v>
      </c>
      <c r="M56" s="417"/>
      <c r="N56" s="417">
        <f t="shared" si="10"/>
        <v>0</v>
      </c>
      <c r="R56" s="123">
        <f>T56+U56+V56+W56+X56+Y56+Z56+AA56+AB56+AC56+AD56+AE56+AF56+AG56+AH56+AI56+AJ56+AK56+AL56+AM56+AN56</f>
        <v>13</v>
      </c>
      <c r="S56" s="874" t="s">
        <v>170</v>
      </c>
      <c r="T56" s="875"/>
      <c r="U56" s="875"/>
      <c r="V56" s="875"/>
      <c r="W56" s="875"/>
      <c r="X56" s="875"/>
      <c r="Y56" s="875"/>
      <c r="Z56" s="876"/>
      <c r="AA56" s="875">
        <v>2</v>
      </c>
      <c r="AB56" s="875"/>
      <c r="AC56" s="875">
        <v>2</v>
      </c>
      <c r="AD56" s="875"/>
      <c r="AE56" s="875"/>
      <c r="AF56" s="875">
        <v>8</v>
      </c>
      <c r="AG56" s="875"/>
      <c r="AH56" s="875"/>
      <c r="AI56" s="877"/>
      <c r="AJ56" s="877"/>
      <c r="AK56" s="877">
        <v>1</v>
      </c>
      <c r="AL56" s="877"/>
      <c r="AM56" s="853"/>
      <c r="AN56" s="928"/>
    </row>
    <row r="57" spans="1:40" ht="27" customHeight="1" thickBot="1">
      <c r="A57" s="114"/>
      <c r="B57" s="131"/>
      <c r="C57" s="115"/>
      <c r="D57" s="115"/>
      <c r="E57" s="19"/>
      <c r="F57" s="19"/>
      <c r="G57" s="19"/>
      <c r="H57" s="19"/>
      <c r="I57" s="19"/>
      <c r="J57" s="19"/>
      <c r="K57" s="19"/>
      <c r="L57" s="418">
        <v>1</v>
      </c>
      <c r="M57" s="418"/>
      <c r="N57" s="417">
        <f t="shared" si="10"/>
        <v>0</v>
      </c>
      <c r="O57" s="19"/>
      <c r="R57" s="123">
        <f>SUM(R55:R56)</f>
        <v>130</v>
      </c>
      <c r="S57" s="882" t="s">
        <v>23</v>
      </c>
      <c r="T57" s="883" t="e">
        <f t="shared" ref="T57:AB57" si="17">T50/T56</f>
        <v>#DIV/0!</v>
      </c>
      <c r="U57" s="883" t="e">
        <f t="shared" si="17"/>
        <v>#DIV/0!</v>
      </c>
      <c r="V57" s="883" t="e">
        <f t="shared" si="17"/>
        <v>#DIV/0!</v>
      </c>
      <c r="W57" s="883" t="e">
        <f t="shared" si="17"/>
        <v>#DIV/0!</v>
      </c>
      <c r="X57" s="883" t="e">
        <f t="shared" si="17"/>
        <v>#DIV/0!</v>
      </c>
      <c r="Y57" s="883" t="e">
        <f t="shared" si="17"/>
        <v>#DIV/0!</v>
      </c>
      <c r="Z57" s="883" t="e">
        <f t="shared" si="17"/>
        <v>#DIV/0!</v>
      </c>
      <c r="AA57" s="883">
        <f t="shared" si="17"/>
        <v>605</v>
      </c>
      <c r="AB57" s="883" t="e">
        <f t="shared" si="17"/>
        <v>#DIV/0!</v>
      </c>
      <c r="AC57" s="883">
        <f t="shared" ref="AC57:AJ57" si="18">AC50/AC56</f>
        <v>83</v>
      </c>
      <c r="AD57" s="883" t="e">
        <f t="shared" si="18"/>
        <v>#DIV/0!</v>
      </c>
      <c r="AE57" s="883" t="e">
        <f t="shared" si="18"/>
        <v>#DIV/0!</v>
      </c>
      <c r="AF57" s="883">
        <f t="shared" si="18"/>
        <v>74.25</v>
      </c>
      <c r="AG57" s="883" t="e">
        <f t="shared" si="18"/>
        <v>#DIV/0!</v>
      </c>
      <c r="AH57" s="883" t="e">
        <f t="shared" si="18"/>
        <v>#DIV/0!</v>
      </c>
      <c r="AI57" s="883" t="e">
        <f t="shared" si="18"/>
        <v>#DIV/0!</v>
      </c>
      <c r="AJ57" s="883" t="e">
        <f t="shared" si="18"/>
        <v>#DIV/0!</v>
      </c>
      <c r="AK57" s="883">
        <f t="shared" ref="AK57:AM57" si="19">AK50/AK56</f>
        <v>63</v>
      </c>
      <c r="AL57" s="883" t="e">
        <f t="shared" si="19"/>
        <v>#DIV/0!</v>
      </c>
      <c r="AM57" s="884" t="e">
        <f t="shared" si="19"/>
        <v>#DIV/0!</v>
      </c>
      <c r="AN57" s="884" t="e">
        <f t="shared" ref="AN57" si="20">AN50/AN56</f>
        <v>#DIV/0!</v>
      </c>
    </row>
    <row r="58" spans="1:40" ht="27" customHeight="1" thickBot="1">
      <c r="A58" s="114"/>
      <c r="B58" s="131"/>
      <c r="C58" s="115"/>
      <c r="D58" s="115" t="s">
        <v>1</v>
      </c>
      <c r="L58" s="1501" t="s">
        <v>171</v>
      </c>
      <c r="M58" s="1501"/>
      <c r="N58" s="419">
        <f>SUM(N50:N57)</f>
        <v>0</v>
      </c>
      <c r="R58" s="19"/>
      <c r="S58" s="878" t="s">
        <v>172</v>
      </c>
      <c r="T58" s="879">
        <f>T54</f>
        <v>0</v>
      </c>
      <c r="U58" s="879">
        <f t="shared" ref="U58:AB58" si="21">U54</f>
        <v>0</v>
      </c>
      <c r="V58" s="879">
        <f t="shared" si="21"/>
        <v>0</v>
      </c>
      <c r="W58" s="879">
        <f t="shared" si="21"/>
        <v>0</v>
      </c>
      <c r="X58" s="879">
        <f t="shared" si="21"/>
        <v>0</v>
      </c>
      <c r="Y58" s="879">
        <f t="shared" si="21"/>
        <v>0</v>
      </c>
      <c r="Z58" s="879">
        <f t="shared" si="21"/>
        <v>0</v>
      </c>
      <c r="AA58" s="879">
        <f t="shared" si="21"/>
        <v>0</v>
      </c>
      <c r="AB58" s="879">
        <f t="shared" si="21"/>
        <v>0</v>
      </c>
      <c r="AC58" s="879">
        <f t="shared" ref="AC58:AJ58" si="22">AC54</f>
        <v>0</v>
      </c>
      <c r="AD58" s="879">
        <f t="shared" si="22"/>
        <v>0</v>
      </c>
      <c r="AE58" s="879">
        <f t="shared" si="22"/>
        <v>0</v>
      </c>
      <c r="AF58" s="879">
        <f t="shared" si="22"/>
        <v>0</v>
      </c>
      <c r="AG58" s="879">
        <f t="shared" si="22"/>
        <v>0</v>
      </c>
      <c r="AH58" s="879">
        <f t="shared" si="22"/>
        <v>0</v>
      </c>
      <c r="AI58" s="879">
        <f t="shared" si="22"/>
        <v>0</v>
      </c>
      <c r="AJ58" s="879">
        <f t="shared" si="22"/>
        <v>0</v>
      </c>
      <c r="AK58" s="880"/>
      <c r="AL58" s="880"/>
      <c r="AM58" s="881"/>
      <c r="AN58" s="881"/>
    </row>
    <row r="59" spans="1:40" ht="27" customHeight="1">
      <c r="A59" s="114"/>
      <c r="B59" s="132"/>
      <c r="C59" s="115"/>
      <c r="D59" s="115" t="s">
        <v>1</v>
      </c>
      <c r="K59" t="s">
        <v>1</v>
      </c>
      <c r="L59" s="1486" t="s">
        <v>173</v>
      </c>
      <c r="M59" s="1486"/>
      <c r="N59" s="420">
        <f>N58-Q48</f>
        <v>4210090</v>
      </c>
      <c r="R59" s="19"/>
      <c r="S59" s="114"/>
      <c r="T59" s="121"/>
      <c r="U59" s="121"/>
      <c r="V59" s="121"/>
      <c r="W59" s="121"/>
      <c r="X59" s="121"/>
      <c r="Y59" s="121"/>
      <c r="Z59" s="122"/>
      <c r="AA59" s="121"/>
      <c r="AB59" s="121"/>
      <c r="AC59" s="121"/>
      <c r="AD59" s="121"/>
      <c r="AE59" s="121"/>
      <c r="AF59" s="121"/>
      <c r="AG59" s="121"/>
      <c r="AH59" s="119"/>
      <c r="AI59" s="119"/>
    </row>
    <row r="60" spans="1:40" ht="24" customHeight="1">
      <c r="A60" s="114"/>
      <c r="B60" s="132"/>
      <c r="C60" s="115"/>
      <c r="D60" s="115"/>
      <c r="P60" s="19"/>
      <c r="Q60" s="19"/>
      <c r="R60" s="19"/>
      <c r="S60" s="19"/>
    </row>
    <row r="61" spans="1:40" ht="23.25">
      <c r="A61" s="114"/>
      <c r="B61" s="132"/>
      <c r="C61" s="115"/>
      <c r="D61" s="116"/>
      <c r="M61" t="s">
        <v>1</v>
      </c>
      <c r="P61" s="185"/>
      <c r="Q61" s="186"/>
      <c r="R61" s="19"/>
      <c r="S61" s="19"/>
    </row>
    <row r="62" spans="1:40" ht="20.25">
      <c r="C62" s="116"/>
      <c r="P62" s="19"/>
      <c r="Q62" s="19"/>
      <c r="R62" s="19"/>
      <c r="S62" s="19"/>
    </row>
    <row r="63" spans="1:40">
      <c r="E63" s="19"/>
    </row>
    <row r="64" spans="1:40">
      <c r="E64" s="19"/>
      <c r="J64" t="s">
        <v>3</v>
      </c>
    </row>
    <row r="65" spans="3:5" ht="21">
      <c r="C65" s="251"/>
      <c r="E65" s="19"/>
    </row>
    <row r="66" spans="3:5">
      <c r="E66" s="49"/>
    </row>
    <row r="67" spans="3:5" ht="23.25">
      <c r="E67" s="113"/>
    </row>
  </sheetData>
  <mergeCells count="21">
    <mergeCell ref="AL47:AM47"/>
    <mergeCell ref="L58:M58"/>
    <mergeCell ref="L59:M59"/>
    <mergeCell ref="T47:W47"/>
    <mergeCell ref="X47:Z47"/>
    <mergeCell ref="S47:S48"/>
    <mergeCell ref="AI7:AJ7"/>
    <mergeCell ref="AI20:AJ20"/>
    <mergeCell ref="AA47:AB47"/>
    <mergeCell ref="AC47:AI47"/>
    <mergeCell ref="AJ47:AK47"/>
    <mergeCell ref="A6:Q6"/>
    <mergeCell ref="S6:AE6"/>
    <mergeCell ref="A7:B7"/>
    <mergeCell ref="P7:Q7"/>
    <mergeCell ref="H48:I48"/>
    <mergeCell ref="P24:Q24"/>
    <mergeCell ref="P33:Q33"/>
    <mergeCell ref="P42:Q42"/>
    <mergeCell ref="H46:I46"/>
    <mergeCell ref="H47:I47"/>
  </mergeCells>
  <conditionalFormatting sqref="M48:N48">
    <cfRule type="duplicateValues" dxfId="99" priority="29"/>
    <cfRule type="duplicateValues" dxfId="98" priority="30"/>
    <cfRule type="duplicateValues" dxfId="97" priority="31"/>
    <cfRule type="duplicateValues" dxfId="96" priority="32"/>
  </conditionalFormatting>
  <conditionalFormatting sqref="L48 N48">
    <cfRule type="cellIs" dxfId="95" priority="28" operator="equal">
      <formula>66890</formula>
    </cfRule>
  </conditionalFormatting>
  <conditionalFormatting sqref="N48">
    <cfRule type="cellIs" dxfId="94" priority="27" operator="lessThan">
      <formula>1</formula>
    </cfRule>
  </conditionalFormatting>
  <conditionalFormatting sqref="T57">
    <cfRule type="cellIs" dxfId="93" priority="16" operator="lessThan">
      <formula>63</formula>
    </cfRule>
  </conditionalFormatting>
  <conditionalFormatting sqref="U57">
    <cfRule type="cellIs" dxfId="92" priority="14" operator="lessThan">
      <formula>63</formula>
    </cfRule>
    <cfRule type="cellIs" dxfId="91" priority="15" operator="lessThan">
      <formula>63</formula>
    </cfRule>
  </conditionalFormatting>
  <conditionalFormatting sqref="W57">
    <cfRule type="cellIs" dxfId="90" priority="13" operator="lessThan">
      <formula>140</formula>
    </cfRule>
  </conditionalFormatting>
  <conditionalFormatting sqref="X57">
    <cfRule type="cellIs" dxfId="89" priority="12" operator="lessThan">
      <formula>125</formula>
    </cfRule>
  </conditionalFormatting>
  <conditionalFormatting sqref="Y57">
    <cfRule type="cellIs" dxfId="88" priority="11" operator="lessThan">
      <formula>150</formula>
    </cfRule>
  </conditionalFormatting>
  <conditionalFormatting sqref="Z57">
    <cfRule type="cellIs" dxfId="87" priority="10" operator="lessThan">
      <formula>590</formula>
    </cfRule>
  </conditionalFormatting>
  <conditionalFormatting sqref="AA57">
    <cfRule type="cellIs" dxfId="86" priority="9" operator="lessThan">
      <formula>704</formula>
    </cfRule>
  </conditionalFormatting>
  <conditionalFormatting sqref="AC57">
    <cfRule type="cellIs" dxfId="85" priority="7" operator="lessThan">
      <formula>52</formula>
    </cfRule>
  </conditionalFormatting>
  <conditionalFormatting sqref="AG57">
    <cfRule type="cellIs" dxfId="84" priority="6" operator="lessThan">
      <formula>63</formula>
    </cfRule>
  </conditionalFormatting>
  <conditionalFormatting sqref="AH57">
    <cfRule type="cellIs" dxfId="83" priority="5" operator="lessThan">
      <formula>63</formula>
    </cfRule>
  </conditionalFormatting>
  <conditionalFormatting sqref="AJ57">
    <cfRule type="cellIs" dxfId="82" priority="4" operator="lessThan">
      <formula>270</formula>
    </cfRule>
  </conditionalFormatting>
  <conditionalFormatting sqref="AI57">
    <cfRule type="cellIs" dxfId="81" priority="3" operator="lessThan">
      <formula>270</formula>
    </cfRule>
  </conditionalFormatting>
  <conditionalFormatting sqref="AK57:AN57">
    <cfRule type="cellIs" dxfId="80" priority="1" operator="lessThan">
      <formula>270</formula>
    </cfRule>
  </conditionalFormatting>
  <printOptions horizontalCentered="1" verticalCentered="1"/>
  <pageMargins left="0" right="0.5" top="0" bottom="0" header="0" footer="0"/>
  <pageSetup paperSize="5" scale="47" orientation="landscape" cellComments="asDisplayed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1:AN67"/>
  <sheetViews>
    <sheetView topLeftCell="U1" zoomScale="90" zoomScaleNormal="90" workbookViewId="0">
      <selection activeCell="AC11" sqref="AC11"/>
    </sheetView>
  </sheetViews>
  <sheetFormatPr defaultRowHeight="15"/>
  <cols>
    <col min="1" max="1" width="32.7109375" bestFit="1" customWidth="1"/>
    <col min="2" max="2" width="20.140625" bestFit="1" customWidth="1"/>
    <col min="3" max="4" width="22.28515625" bestFit="1" customWidth="1"/>
    <col min="5" max="5" width="4.7109375" customWidth="1"/>
    <col min="6" max="6" width="35.85546875" bestFit="1" customWidth="1"/>
    <col min="7" max="7" width="17.7109375" customWidth="1"/>
    <col min="8" max="9" width="19.140625" bestFit="1" customWidth="1"/>
    <col min="10" max="11" width="17.7109375" customWidth="1"/>
    <col min="12" max="12" width="19.140625" bestFit="1" customWidth="1"/>
    <col min="13" max="14" width="18.7109375" customWidth="1"/>
    <col min="15" max="15" width="7.7109375" customWidth="1"/>
    <col min="16" max="16" width="28.7109375" customWidth="1"/>
    <col min="17" max="17" width="22.28515625" bestFit="1" customWidth="1"/>
    <col min="18" max="18" width="15.42578125" bestFit="1" customWidth="1"/>
    <col min="19" max="19" width="32.7109375" customWidth="1"/>
    <col min="20" max="20" width="20.28515625" bestFit="1" customWidth="1"/>
    <col min="21" max="21" width="17.7109375" customWidth="1"/>
    <col min="22" max="22" width="20.28515625" bestFit="1" customWidth="1"/>
    <col min="23" max="23" width="17.7109375" customWidth="1"/>
    <col min="24" max="24" width="20.28515625" bestFit="1" customWidth="1"/>
    <col min="25" max="25" width="14.7109375" customWidth="1"/>
    <col min="26" max="26" width="23.7109375" bestFit="1" customWidth="1"/>
    <col min="27" max="27" width="20.140625" bestFit="1" customWidth="1"/>
    <col min="28" max="28" width="17.85546875" bestFit="1" customWidth="1"/>
    <col min="29" max="29" width="20.140625" bestFit="1" customWidth="1"/>
    <col min="30" max="30" width="17.7109375" customWidth="1"/>
    <col min="31" max="31" width="20.140625" bestFit="1" customWidth="1"/>
    <col min="32" max="33" width="20.7109375" customWidth="1"/>
    <col min="34" max="37" width="17.7109375" customWidth="1"/>
    <col min="38" max="38" width="13" hidden="1" customWidth="1"/>
    <col min="39" max="39" width="0" hidden="1" customWidth="1"/>
    <col min="40" max="40" width="13" hidden="1" customWidth="1"/>
  </cols>
  <sheetData>
    <row r="1" spans="1:36">
      <c r="E1" s="5"/>
    </row>
    <row r="2" spans="1:36">
      <c r="E2" s="5"/>
    </row>
    <row r="3" spans="1:36" ht="15.75" thickBot="1">
      <c r="C3" t="s">
        <v>1</v>
      </c>
      <c r="E3" s="5" t="s">
        <v>1</v>
      </c>
      <c r="F3" t="s">
        <v>1</v>
      </c>
      <c r="N3" t="s">
        <v>1</v>
      </c>
      <c r="S3" t="s">
        <v>1</v>
      </c>
      <c r="U3" t="s">
        <v>1</v>
      </c>
    </row>
    <row r="4" spans="1:36" ht="21.75" thickTop="1">
      <c r="B4" t="s">
        <v>1</v>
      </c>
      <c r="D4" t="s">
        <v>1</v>
      </c>
      <c r="E4" t="s">
        <v>1</v>
      </c>
      <c r="P4" s="617" t="s">
        <v>108</v>
      </c>
      <c r="Q4" s="618">
        <f>'27'!Q4+'28'!Q9+'28'!Q10+'28'!Q19+'28'!Q20+'28'!Q21+'28'!Q22</f>
        <v>0</v>
      </c>
    </row>
    <row r="5" spans="1:36" ht="21.75" thickBot="1">
      <c r="P5" s="619" t="s">
        <v>109</v>
      </c>
      <c r="Q5" s="620">
        <f>'27'!Q5+'28'!Q25+'28'!Q26+'28'!Q27+'28'!Q28+'28'!Q29+'28'!Q30+'28'!Q31</f>
        <v>0</v>
      </c>
    </row>
    <row r="6" spans="1:36" ht="48" thickTop="1" thickBot="1">
      <c r="A6" s="1502">
        <f>'Main Page'!E44</f>
        <v>44893</v>
      </c>
      <c r="B6" s="1507"/>
      <c r="C6" s="1507"/>
      <c r="D6" s="1507"/>
      <c r="E6" s="1507"/>
      <c r="F6" s="1507"/>
      <c r="G6" s="1507"/>
      <c r="H6" s="1507"/>
      <c r="I6" s="1507"/>
      <c r="J6" s="1507"/>
      <c r="K6" s="1507"/>
      <c r="L6" s="1507"/>
      <c r="M6" s="1507"/>
      <c r="N6" s="1507"/>
      <c r="O6" s="1507"/>
      <c r="P6" s="1507"/>
      <c r="Q6" s="1515"/>
      <c r="R6" t="s">
        <v>1</v>
      </c>
      <c r="S6" s="1502">
        <f>A6</f>
        <v>44893</v>
      </c>
      <c r="T6" s="1503"/>
      <c r="U6" s="1503"/>
      <c r="V6" s="1503"/>
      <c r="W6" s="1503"/>
      <c r="X6" s="1503"/>
      <c r="Y6" s="1503"/>
      <c r="Z6" s="1503"/>
      <c r="AA6" s="1503"/>
      <c r="AB6" s="1503"/>
      <c r="AC6" s="1503"/>
      <c r="AD6" s="1503"/>
      <c r="AE6" s="1504"/>
    </row>
    <row r="7" spans="1:36" ht="39.950000000000003" customHeight="1" thickTop="1" thickBot="1">
      <c r="A7" s="1505" t="s">
        <v>110</v>
      </c>
      <c r="B7" s="1506"/>
      <c r="C7" s="367" t="s">
        <v>97</v>
      </c>
      <c r="D7" s="368" t="s">
        <v>74</v>
      </c>
      <c r="F7" s="363" t="s">
        <v>111</v>
      </c>
      <c r="G7" s="364" t="s">
        <v>112</v>
      </c>
      <c r="H7" s="365" t="s">
        <v>113</v>
      </c>
      <c r="I7" s="365" t="s">
        <v>26</v>
      </c>
      <c r="J7" s="365" t="s">
        <v>114</v>
      </c>
      <c r="K7" s="366" t="s">
        <v>115</v>
      </c>
      <c r="L7" s="365" t="s">
        <v>116</v>
      </c>
      <c r="M7" s="365" t="s">
        <v>117</v>
      </c>
      <c r="N7" s="365" t="s">
        <v>118</v>
      </c>
      <c r="P7" s="1510" t="s">
        <v>69</v>
      </c>
      <c r="Q7" s="1511"/>
      <c r="S7" s="380" t="s">
        <v>58</v>
      </c>
      <c r="T7" s="380" t="s">
        <v>59</v>
      </c>
      <c r="U7" s="380" t="s">
        <v>119</v>
      </c>
      <c r="V7" s="380" t="s">
        <v>74</v>
      </c>
      <c r="W7" s="380" t="s">
        <v>120</v>
      </c>
      <c r="X7" s="380" t="s">
        <v>59</v>
      </c>
      <c r="Z7" s="367" t="s">
        <v>121</v>
      </c>
      <c r="AA7" s="367" t="s">
        <v>97</v>
      </c>
      <c r="AB7" s="415" t="s">
        <v>122</v>
      </c>
      <c r="AC7" s="416" t="s">
        <v>90</v>
      </c>
      <c r="AD7" s="367" t="s">
        <v>56</v>
      </c>
      <c r="AE7" s="381" t="s">
        <v>100</v>
      </c>
      <c r="AF7" s="560" t="s">
        <v>122</v>
      </c>
      <c r="AG7" s="570" t="s">
        <v>56</v>
      </c>
      <c r="AI7" s="1487" t="s">
        <v>123</v>
      </c>
      <c r="AJ7" s="1488"/>
    </row>
    <row r="8" spans="1:36" ht="27" customHeight="1" thickTop="1" thickBot="1">
      <c r="A8" s="717"/>
      <c r="B8" s="233"/>
      <c r="C8" s="463"/>
      <c r="D8" s="233"/>
      <c r="F8" s="478" t="str">
        <f>'27'!F8</f>
        <v>ISHAQ ANSARI</v>
      </c>
      <c r="G8" s="405">
        <f>'CUSTOMERS REPORT'!Y35</f>
        <v>0</v>
      </c>
      <c r="H8" s="503">
        <f>'CUSTOMERS REPORT'!Z35</f>
        <v>0</v>
      </c>
      <c r="I8" s="405">
        <f>'CUSTOMERS REPORT'!AA35</f>
        <v>0</v>
      </c>
      <c r="J8" s="497">
        <f>'CUSTOMERS REPORT'!AB35</f>
        <v>0</v>
      </c>
      <c r="K8" s="497">
        <f>'CUSTOMERS REPORT'!AC35</f>
        <v>0</v>
      </c>
      <c r="L8" s="508">
        <f>'CUSTOMERS REPORT'!AD35</f>
        <v>0</v>
      </c>
      <c r="M8" s="413">
        <f>'27'!M8+'28'!G8</f>
        <v>0</v>
      </c>
      <c r="N8" s="411">
        <f>'27'!N8+'28'!J8</f>
        <v>0</v>
      </c>
      <c r="P8" s="191" t="s">
        <v>124</v>
      </c>
      <c r="Q8" s="223">
        <f>'27'!Q32</f>
        <v>0</v>
      </c>
      <c r="S8" s="399" t="str">
        <f>'27'!S8</f>
        <v>FLOUR</v>
      </c>
      <c r="T8" s="446">
        <f>'27'!X8</f>
        <v>-60</v>
      </c>
      <c r="U8" s="455"/>
      <c r="V8" s="450">
        <f t="shared" ref="V8:V43" si="0">SUM(T8:U8)</f>
        <v>-60</v>
      </c>
      <c r="W8" s="450"/>
      <c r="X8" s="446">
        <f t="shared" ref="X8:X43" si="1">V8-W8</f>
        <v>-60</v>
      </c>
      <c r="Z8" s="382" t="str">
        <f>'27'!Z8</f>
        <v>GHAZI</v>
      </c>
      <c r="AA8" s="464">
        <f>'27'!AE8</f>
        <v>-429500</v>
      </c>
      <c r="AB8" s="459"/>
      <c r="AC8" s="233">
        <f t="shared" ref="AC8:AC41" si="2">AA8+AB8</f>
        <v>-429500</v>
      </c>
      <c r="AD8" s="468"/>
      <c r="AE8" s="463">
        <f t="shared" ref="AE8:AE42" si="3">AC8-AD8</f>
        <v>-429500</v>
      </c>
      <c r="AF8" s="563">
        <f>'27'!AF8+'28'!AB8</f>
        <v>347500</v>
      </c>
      <c r="AG8" s="233">
        <f>'27'!AG8+'28'!AD8</f>
        <v>777000</v>
      </c>
      <c r="AI8" s="391" t="s">
        <v>126</v>
      </c>
      <c r="AJ8" s="392">
        <f>'27'!AJ10</f>
        <v>185820</v>
      </c>
    </row>
    <row r="9" spans="1:36" ht="27" customHeight="1" thickTop="1">
      <c r="A9" s="717" t="s">
        <v>505</v>
      </c>
      <c r="B9" s="526">
        <v>70800</v>
      </c>
      <c r="C9" s="348"/>
      <c r="D9" s="550"/>
      <c r="F9" s="479" t="str">
        <f>'27'!F9</f>
        <v>MAKKI BAKERY</v>
      </c>
      <c r="G9" s="406">
        <f>'CUSTOMERS REPORT'!Y81</f>
        <v>0</v>
      </c>
      <c r="H9" s="504">
        <f>'CUSTOMERS REPORT'!Z81</f>
        <v>0</v>
      </c>
      <c r="I9" s="406">
        <f>'CUSTOMERS REPORT'!AA81</f>
        <v>0</v>
      </c>
      <c r="J9" s="498">
        <f>'CUSTOMERS REPORT'!AB81</f>
        <v>0</v>
      </c>
      <c r="K9" s="498">
        <f>'CUSTOMERS REPORT'!AC81</f>
        <v>0</v>
      </c>
      <c r="L9" s="509">
        <f>'CUSTOMERS REPORT'!AD81</f>
        <v>0</v>
      </c>
      <c r="M9" s="414">
        <f>'27'!M9+'28'!G9</f>
        <v>0</v>
      </c>
      <c r="N9" s="412">
        <f>'27'!N9+'28'!J9</f>
        <v>0</v>
      </c>
      <c r="P9" s="432"/>
      <c r="Q9" s="436"/>
      <c r="S9" s="400" t="str">
        <f>'27'!S9</f>
        <v>SUGAR</v>
      </c>
      <c r="T9" s="446">
        <f>'27'!X9</f>
        <v>-1050</v>
      </c>
      <c r="U9" s="456"/>
      <c r="V9" s="451">
        <f t="shared" si="0"/>
        <v>-1050</v>
      </c>
      <c r="W9" s="451">
        <v>-115</v>
      </c>
      <c r="X9" s="447">
        <f t="shared" si="1"/>
        <v>-935</v>
      </c>
      <c r="Z9" s="375" t="str">
        <f>'27'!Z9</f>
        <v>SOHNI</v>
      </c>
      <c r="AA9" s="464">
        <f>'27'!AE9</f>
        <v>-110000</v>
      </c>
      <c r="AB9" s="460"/>
      <c r="AC9" s="462">
        <f t="shared" si="2"/>
        <v>-110000</v>
      </c>
      <c r="AD9" s="469"/>
      <c r="AE9" s="348">
        <f t="shared" si="3"/>
        <v>-110000</v>
      </c>
      <c r="AF9" s="563">
        <f>'27'!AF9+'28'!AB9</f>
        <v>370000</v>
      </c>
      <c r="AG9" s="234">
        <f>'27'!AG9+'28'!AD9</f>
        <v>480000</v>
      </c>
      <c r="AI9" s="393" t="s">
        <v>128</v>
      </c>
      <c r="AJ9" s="394">
        <f>B26</f>
        <v>156780</v>
      </c>
    </row>
    <row r="10" spans="1:36" ht="27" customHeight="1" thickBot="1">
      <c r="A10" s="718"/>
      <c r="B10" s="528"/>
      <c r="C10" s="350"/>
      <c r="D10" s="550"/>
      <c r="F10" s="479" t="str">
        <f>'27'!F10</f>
        <v>ABID HUSSAIN</v>
      </c>
      <c r="G10" s="406">
        <f>'CUSTOMERS REPORT'!Y119</f>
        <v>0</v>
      </c>
      <c r="H10" s="504">
        <f>'CUSTOMERS REPORT'!Z119</f>
        <v>0</v>
      </c>
      <c r="I10" s="406">
        <f>'CUSTOMERS REPORT'!AA119</f>
        <v>0</v>
      </c>
      <c r="J10" s="498">
        <f>'CUSTOMERS REPORT'!AB119</f>
        <v>0</v>
      </c>
      <c r="K10" s="498">
        <f>'CUSTOMERS REPORT'!AC119</f>
        <v>0</v>
      </c>
      <c r="L10" s="509">
        <f>'CUSTOMERS REPORT'!AD119</f>
        <v>0</v>
      </c>
      <c r="M10" s="414">
        <f>'27'!M10+'28'!G10</f>
        <v>0</v>
      </c>
      <c r="N10" s="412">
        <f>'27'!N10+'28'!J10</f>
        <v>0</v>
      </c>
      <c r="P10" s="433"/>
      <c r="Q10" s="437"/>
      <c r="S10" s="400" t="str">
        <f>'27'!S10</f>
        <v>GHEE</v>
      </c>
      <c r="T10" s="446">
        <f>'27'!X10</f>
        <v>-16</v>
      </c>
      <c r="U10" s="456">
        <v>15</v>
      </c>
      <c r="V10" s="451">
        <f t="shared" si="0"/>
        <v>-1</v>
      </c>
      <c r="W10" s="451"/>
      <c r="X10" s="447">
        <f t="shared" si="1"/>
        <v>-1</v>
      </c>
      <c r="Z10" s="375" t="str">
        <f>'27'!Z10</f>
        <v>HUSSAINI</v>
      </c>
      <c r="AA10" s="464">
        <f>'27'!AE10</f>
        <v>54900</v>
      </c>
      <c r="AB10" s="460"/>
      <c r="AC10" s="462">
        <f t="shared" si="2"/>
        <v>54900</v>
      </c>
      <c r="AD10" s="469"/>
      <c r="AE10" s="348">
        <f t="shared" si="3"/>
        <v>54900</v>
      </c>
      <c r="AF10" s="563">
        <f>'27'!AF10+'28'!AB10</f>
        <v>211000</v>
      </c>
      <c r="AG10" s="234">
        <f>'27'!AG10+'28'!AD10</f>
        <v>156100</v>
      </c>
      <c r="AI10" s="395" t="s">
        <v>74</v>
      </c>
      <c r="AJ10" s="396">
        <f>AJ8+AJ9</f>
        <v>342600</v>
      </c>
    </row>
    <row r="11" spans="1:36" ht="27" customHeight="1" thickTop="1">
      <c r="A11" s="718"/>
      <c r="B11" s="528"/>
      <c r="C11" s="350"/>
      <c r="D11" s="550"/>
      <c r="F11" s="479" t="str">
        <f>'27'!F11</f>
        <v>SHAHID 5 #</v>
      </c>
      <c r="G11" s="406">
        <f>'CUSTOMERS REPORT'!Y158</f>
        <v>0</v>
      </c>
      <c r="H11" s="504">
        <f>'CUSTOMERS REPORT'!Z158</f>
        <v>0</v>
      </c>
      <c r="I11" s="406">
        <f>'CUSTOMERS REPORT'!AA158</f>
        <v>0</v>
      </c>
      <c r="J11" s="498">
        <f>'CUSTOMERS REPORT'!AB158</f>
        <v>0</v>
      </c>
      <c r="K11" s="498">
        <f>'CUSTOMERS REPORT'!AC158</f>
        <v>0</v>
      </c>
      <c r="L11" s="509">
        <f>'CUSTOMERS REPORT'!AD158</f>
        <v>0</v>
      </c>
      <c r="M11" s="414">
        <f>'27'!M11+'28'!G11</f>
        <v>0</v>
      </c>
      <c r="N11" s="412">
        <f>'27'!N11+'28'!J11</f>
        <v>0</v>
      </c>
      <c r="P11" s="433"/>
      <c r="Q11" s="437"/>
      <c r="S11" s="400" t="str">
        <f>'27'!S11</f>
        <v>YEAST</v>
      </c>
      <c r="T11" s="446">
        <f>'27'!X11</f>
        <v>-131</v>
      </c>
      <c r="U11" s="456"/>
      <c r="V11" s="451">
        <f t="shared" ref="V11:V20" si="4">SUM(T11:U11)</f>
        <v>-131</v>
      </c>
      <c r="W11" s="451">
        <v>-5</v>
      </c>
      <c r="X11" s="447">
        <f t="shared" ref="X11:X20" si="5">V11-W11</f>
        <v>-126</v>
      </c>
      <c r="Z11" s="375" t="str">
        <f>'27'!Z11</f>
        <v>IMRAN ALAM</v>
      </c>
      <c r="AA11" s="464">
        <f>'27'!AE11</f>
        <v>-439000</v>
      </c>
      <c r="AB11" s="460"/>
      <c r="AC11" s="462">
        <f t="shared" ref="AC11:AC19" si="6">AA11+AB11</f>
        <v>-439000</v>
      </c>
      <c r="AD11" s="469"/>
      <c r="AE11" s="348">
        <f t="shared" ref="AE11:AE19" si="7">AC11-AD11</f>
        <v>-439000</v>
      </c>
      <c r="AF11" s="563">
        <f>'27'!AF11+'28'!AB11</f>
        <v>0</v>
      </c>
      <c r="AG11" s="234">
        <f>'27'!AG11+'28'!AD11</f>
        <v>439000</v>
      </c>
      <c r="AI11" s="1031"/>
      <c r="AJ11" s="1032"/>
    </row>
    <row r="12" spans="1:36" ht="27" customHeight="1">
      <c r="A12" s="718"/>
      <c r="B12" s="528"/>
      <c r="C12" s="350"/>
      <c r="D12" s="550"/>
      <c r="F12" s="479" t="str">
        <f>'27'!F12</f>
        <v>ZULFIQAR</v>
      </c>
      <c r="G12" s="406">
        <f>'CUSTOMERS REPORT'!Y196</f>
        <v>0</v>
      </c>
      <c r="H12" s="504">
        <f>'CUSTOMERS REPORT'!Z196</f>
        <v>0</v>
      </c>
      <c r="I12" s="406">
        <f>'CUSTOMERS REPORT'!AA196</f>
        <v>0</v>
      </c>
      <c r="J12" s="498">
        <f>'CUSTOMERS REPORT'!AB196</f>
        <v>0</v>
      </c>
      <c r="K12" s="498">
        <f>'CUSTOMERS REPORT'!AC196</f>
        <v>0</v>
      </c>
      <c r="L12" s="509">
        <f>'CUSTOMERS REPORT'!AD196</f>
        <v>0</v>
      </c>
      <c r="M12" s="414">
        <f>'27'!M12+'28'!G12</f>
        <v>0</v>
      </c>
      <c r="N12" s="412">
        <f>'27'!N12+'28'!J12</f>
        <v>0</v>
      </c>
      <c r="P12" s="433"/>
      <c r="Q12" s="437"/>
      <c r="S12" s="400" t="str">
        <f>'27'!S12</f>
        <v xml:space="preserve">EKKA </v>
      </c>
      <c r="T12" s="446">
        <f>'27'!X12</f>
        <v>0</v>
      </c>
      <c r="U12" s="456"/>
      <c r="V12" s="451">
        <f t="shared" si="4"/>
        <v>0</v>
      </c>
      <c r="W12" s="451">
        <v>62</v>
      </c>
      <c r="X12" s="447">
        <f t="shared" si="5"/>
        <v>-62</v>
      </c>
      <c r="Z12" s="375" t="str">
        <f>'27'!Z12</f>
        <v>ZAHEER</v>
      </c>
      <c r="AA12" s="464">
        <f>'27'!AE12</f>
        <v>-23200</v>
      </c>
      <c r="AB12" s="460"/>
      <c r="AC12" s="462">
        <f t="shared" si="6"/>
        <v>-23200</v>
      </c>
      <c r="AD12" s="469"/>
      <c r="AE12" s="348">
        <f t="shared" si="7"/>
        <v>-23200</v>
      </c>
      <c r="AF12" s="563">
        <f>'27'!AF12+'28'!AB12</f>
        <v>0</v>
      </c>
      <c r="AG12" s="234">
        <f>'27'!AG12+'28'!AD12</f>
        <v>23200</v>
      </c>
      <c r="AI12" s="1031"/>
      <c r="AJ12" s="1032"/>
    </row>
    <row r="13" spans="1:36" ht="27" customHeight="1">
      <c r="A13" s="718"/>
      <c r="B13" s="528"/>
      <c r="C13" s="350"/>
      <c r="D13" s="550"/>
      <c r="F13" s="479" t="str">
        <f>'27'!F13</f>
        <v>QASIM ORANGI</v>
      </c>
      <c r="G13" s="406">
        <f>'CUSTOMERS REPORT'!Y236</f>
        <v>0</v>
      </c>
      <c r="H13" s="504">
        <f>'CUSTOMERS REPORT'!Z236</f>
        <v>0</v>
      </c>
      <c r="I13" s="406">
        <f>'CUSTOMERS REPORT'!AA236</f>
        <v>0</v>
      </c>
      <c r="J13" s="498">
        <f>'CUSTOMERS REPORT'!AB236</f>
        <v>0</v>
      </c>
      <c r="K13" s="498">
        <f>'CUSTOMERS REPORT'!AC236</f>
        <v>0</v>
      </c>
      <c r="L13" s="509">
        <f>'CUSTOMERS REPORT'!AD236</f>
        <v>0</v>
      </c>
      <c r="M13" s="414">
        <f>'27'!M13+'28'!G13</f>
        <v>0</v>
      </c>
      <c r="N13" s="412">
        <f>'27'!N13+'28'!J13</f>
        <v>0</v>
      </c>
      <c r="P13" s="433"/>
      <c r="Q13" s="437"/>
      <c r="S13" s="400" t="str">
        <f>'27'!S13</f>
        <v>VANILLA</v>
      </c>
      <c r="T13" s="446">
        <f>'27'!X13</f>
        <v>0</v>
      </c>
      <c r="U13" s="456"/>
      <c r="V13" s="451">
        <f t="shared" si="4"/>
        <v>0</v>
      </c>
      <c r="W13" s="451">
        <v>9.5</v>
      </c>
      <c r="X13" s="447">
        <f t="shared" si="5"/>
        <v>-9.5</v>
      </c>
      <c r="Z13" s="375" t="str">
        <f>'27'!Z13</f>
        <v>FAISAL</v>
      </c>
      <c r="AA13" s="464">
        <f>'27'!AE13</f>
        <v>-100000</v>
      </c>
      <c r="AB13" s="460"/>
      <c r="AC13" s="462">
        <f t="shared" si="6"/>
        <v>-100000</v>
      </c>
      <c r="AD13" s="469"/>
      <c r="AE13" s="348">
        <f t="shared" si="7"/>
        <v>-100000</v>
      </c>
      <c r="AF13" s="563">
        <f>'27'!AF13+'28'!AB13</f>
        <v>0</v>
      </c>
      <c r="AG13" s="234">
        <f>'27'!AG13+'28'!AD13</f>
        <v>100000</v>
      </c>
      <c r="AI13" s="1031"/>
      <c r="AJ13" s="1032"/>
    </row>
    <row r="14" spans="1:36" ht="27" customHeight="1">
      <c r="A14" s="718"/>
      <c r="B14" s="528"/>
      <c r="C14" s="350"/>
      <c r="D14" s="550"/>
      <c r="F14" s="479" t="str">
        <f>'27'!F14</f>
        <v>BADSHAH KHAN HYD</v>
      </c>
      <c r="G14" s="406">
        <f>'CUSTOMERS REPORT'!Y273</f>
        <v>0</v>
      </c>
      <c r="H14" s="504">
        <f>'CUSTOMERS REPORT'!Z273</f>
        <v>0</v>
      </c>
      <c r="I14" s="406">
        <f>'CUSTOMERS REPORT'!AA273</f>
        <v>0</v>
      </c>
      <c r="J14" s="498">
        <f>'CUSTOMERS REPORT'!AB273</f>
        <v>0</v>
      </c>
      <c r="K14" s="498">
        <f>'CUSTOMERS REPORT'!AC273</f>
        <v>0</v>
      </c>
      <c r="L14" s="509">
        <f>'CUSTOMERS REPORT'!AD273</f>
        <v>0</v>
      </c>
      <c r="M14" s="414">
        <f>'27'!M14+'28'!G14</f>
        <v>0</v>
      </c>
      <c r="N14" s="412">
        <f>'27'!N14+'28'!J14</f>
        <v>0</v>
      </c>
      <c r="P14" s="433"/>
      <c r="Q14" s="437"/>
      <c r="S14" s="400" t="str">
        <f>'27'!S14</f>
        <v>COLOUR</v>
      </c>
      <c r="T14" s="446">
        <f>'27'!X14</f>
        <v>25</v>
      </c>
      <c r="U14" s="456"/>
      <c r="V14" s="451">
        <f t="shared" si="4"/>
        <v>25</v>
      </c>
      <c r="W14" s="451">
        <v>8</v>
      </c>
      <c r="X14" s="447">
        <f t="shared" si="5"/>
        <v>17</v>
      </c>
      <c r="Z14" s="375" t="str">
        <f>'27'!Z14</f>
        <v>RANA EKKA</v>
      </c>
      <c r="AA14" s="464">
        <f>'27'!AE14</f>
        <v>0</v>
      </c>
      <c r="AB14" s="460"/>
      <c r="AC14" s="462">
        <f t="shared" si="6"/>
        <v>0</v>
      </c>
      <c r="AD14" s="469"/>
      <c r="AE14" s="348">
        <f t="shared" si="7"/>
        <v>0</v>
      </c>
      <c r="AF14" s="563">
        <f>'27'!AF14+'28'!AB14</f>
        <v>0</v>
      </c>
      <c r="AG14" s="234">
        <f>'27'!AG14+'28'!AD14</f>
        <v>0</v>
      </c>
      <c r="AI14" s="1031"/>
      <c r="AJ14" s="1032"/>
    </row>
    <row r="15" spans="1:36" ht="27" customHeight="1">
      <c r="A15" s="718"/>
      <c r="B15" s="528"/>
      <c r="C15" s="350"/>
      <c r="D15" s="550"/>
      <c r="F15" s="479" t="str">
        <f>'27'!F15</f>
        <v>SHAMOON</v>
      </c>
      <c r="G15" s="406">
        <f>'CUSTOMERS REPORT'!Y313</f>
        <v>0</v>
      </c>
      <c r="H15" s="504">
        <f>'CUSTOMERS REPORT'!Z313</f>
        <v>0</v>
      </c>
      <c r="I15" s="406">
        <f>'CUSTOMERS REPORT'!AA313</f>
        <v>0</v>
      </c>
      <c r="J15" s="498">
        <f>'CUSTOMERS REPORT'!AB313</f>
        <v>0</v>
      </c>
      <c r="K15" s="498">
        <f>'CUSTOMERS REPORT'!AC313</f>
        <v>0</v>
      </c>
      <c r="L15" s="509">
        <f>'CUSTOMERS REPORT'!AD313</f>
        <v>0</v>
      </c>
      <c r="M15" s="414">
        <f>'27'!M15+'28'!G15</f>
        <v>0</v>
      </c>
      <c r="N15" s="412">
        <f>'27'!N15+'28'!J15</f>
        <v>0</v>
      </c>
      <c r="P15" s="433"/>
      <c r="Q15" s="437"/>
      <c r="S15" s="400" t="str">
        <f>'27'!S15</f>
        <v>TILL</v>
      </c>
      <c r="T15" s="446">
        <f>'27'!X15</f>
        <v>0</v>
      </c>
      <c r="U15" s="456"/>
      <c r="V15" s="451">
        <f t="shared" si="4"/>
        <v>0</v>
      </c>
      <c r="W15" s="451">
        <v>18</v>
      </c>
      <c r="X15" s="447">
        <f t="shared" si="5"/>
        <v>-18</v>
      </c>
      <c r="Z15" s="375" t="str">
        <f>'27'!Z15</f>
        <v>sheeba</v>
      </c>
      <c r="AA15" s="464">
        <f>'27'!AE15</f>
        <v>-410250</v>
      </c>
      <c r="AB15" s="460"/>
      <c r="AC15" s="462">
        <f t="shared" si="6"/>
        <v>-410250</v>
      </c>
      <c r="AD15" s="469"/>
      <c r="AE15" s="348">
        <f t="shared" si="7"/>
        <v>-410250</v>
      </c>
      <c r="AF15" s="563">
        <f>'27'!AF15+'28'!AB15</f>
        <v>0</v>
      </c>
      <c r="AG15" s="234">
        <f>'27'!AG15+'28'!AD15</f>
        <v>410250</v>
      </c>
      <c r="AI15" s="1031"/>
      <c r="AJ15" s="1032"/>
    </row>
    <row r="16" spans="1:36" ht="27" customHeight="1">
      <c r="A16" s="718"/>
      <c r="B16" s="528"/>
      <c r="C16" s="350"/>
      <c r="D16" s="550"/>
      <c r="F16" s="479" t="str">
        <f>'27'!F16</f>
        <v>MATEEN</v>
      </c>
      <c r="G16" s="406">
        <f>'CUSTOMERS REPORT'!Y354</f>
        <v>0</v>
      </c>
      <c r="H16" s="504">
        <f>'CUSTOMERS REPORT'!Z354</f>
        <v>0</v>
      </c>
      <c r="I16" s="406">
        <f>'CUSTOMERS REPORT'!AA354</f>
        <v>0</v>
      </c>
      <c r="J16" s="498">
        <f>'CUSTOMERS REPORT'!AB354</f>
        <v>0</v>
      </c>
      <c r="K16" s="498">
        <f>'CUSTOMERS REPORT'!AC354</f>
        <v>0</v>
      </c>
      <c r="L16" s="509">
        <f>'CUSTOMERS REPORT'!AD354</f>
        <v>0</v>
      </c>
      <c r="M16" s="414">
        <f>'27'!M16+'28'!G16</f>
        <v>0</v>
      </c>
      <c r="N16" s="412">
        <f>'27'!N16+'28'!J16</f>
        <v>0</v>
      </c>
      <c r="P16" s="433"/>
      <c r="Q16" s="437"/>
      <c r="S16" s="400" t="str">
        <f>'27'!S16</f>
        <v>ILLAICHI</v>
      </c>
      <c r="T16" s="446">
        <f>'27'!X16</f>
        <v>0</v>
      </c>
      <c r="U16" s="456"/>
      <c r="V16" s="451">
        <f t="shared" si="4"/>
        <v>0</v>
      </c>
      <c r="W16" s="451">
        <v>1</v>
      </c>
      <c r="X16" s="447">
        <f t="shared" si="5"/>
        <v>-1</v>
      </c>
      <c r="Z16" s="375" t="str">
        <f>'27'!Z16</f>
        <v>COTTON</v>
      </c>
      <c r="AA16" s="464">
        <f>'27'!AE16</f>
        <v>0</v>
      </c>
      <c r="AB16" s="460"/>
      <c r="AC16" s="462">
        <f t="shared" si="6"/>
        <v>0</v>
      </c>
      <c r="AD16" s="469"/>
      <c r="AE16" s="348">
        <f t="shared" si="7"/>
        <v>0</v>
      </c>
      <c r="AF16" s="563">
        <f>'27'!AF16+'28'!AB16</f>
        <v>26400</v>
      </c>
      <c r="AG16" s="234">
        <f>'27'!AG16+'28'!AD16</f>
        <v>26400</v>
      </c>
      <c r="AI16" s="1031"/>
      <c r="AJ16" s="1032"/>
    </row>
    <row r="17" spans="1:36" ht="27" customHeight="1">
      <c r="A17" s="718"/>
      <c r="B17" s="528"/>
      <c r="C17" s="350"/>
      <c r="D17" s="550"/>
      <c r="F17" s="479" t="str">
        <f>'27'!F17</f>
        <v>AMJAD ORANGI</v>
      </c>
      <c r="G17" s="406">
        <f>'CUSTOMERS REPORT'!Y396</f>
        <v>0</v>
      </c>
      <c r="H17" s="504">
        <f>'CUSTOMERS REPORT'!Z396</f>
        <v>0</v>
      </c>
      <c r="I17" s="406">
        <f>'CUSTOMERS REPORT'!AA396</f>
        <v>0</v>
      </c>
      <c r="J17" s="498">
        <f>'CUSTOMERS REPORT'!AB396</f>
        <v>0</v>
      </c>
      <c r="K17" s="498">
        <f>'CUSTOMERS REPORT'!AC396</f>
        <v>0</v>
      </c>
      <c r="L17" s="509">
        <f>'CUSTOMERS REPORT'!AD396</f>
        <v>0</v>
      </c>
      <c r="M17" s="414">
        <f>'27'!M17+'28'!G17</f>
        <v>0</v>
      </c>
      <c r="N17" s="412">
        <f>'27'!N17+'28'!J17</f>
        <v>0</v>
      </c>
      <c r="P17" s="433"/>
      <c r="Q17" s="437"/>
      <c r="S17" s="400" t="str">
        <f>'27'!S17</f>
        <v>S-THELLI</v>
      </c>
      <c r="T17" s="446">
        <f>'27'!X17</f>
        <v>0</v>
      </c>
      <c r="U17" s="456"/>
      <c r="V17" s="451">
        <f t="shared" si="4"/>
        <v>0</v>
      </c>
      <c r="W17" s="451">
        <v>339</v>
      </c>
      <c r="X17" s="447">
        <f t="shared" si="5"/>
        <v>-339</v>
      </c>
      <c r="Z17" s="375" t="str">
        <f>'27'!Z17</f>
        <v>SHAHID UP</v>
      </c>
      <c r="AA17" s="464">
        <f>'27'!AE17</f>
        <v>0</v>
      </c>
      <c r="AB17" s="460"/>
      <c r="AC17" s="462">
        <f t="shared" si="6"/>
        <v>0</v>
      </c>
      <c r="AD17" s="469"/>
      <c r="AE17" s="348">
        <f t="shared" si="7"/>
        <v>0</v>
      </c>
      <c r="AF17" s="563">
        <f>'27'!AF17+'28'!AB17</f>
        <v>21250</v>
      </c>
      <c r="AG17" s="234">
        <f>'27'!AG17+'28'!AD17</f>
        <v>21250</v>
      </c>
      <c r="AI17" s="1031"/>
      <c r="AJ17" s="1032"/>
    </row>
    <row r="18" spans="1:36" ht="27" customHeight="1">
      <c r="A18" s="718"/>
      <c r="B18" s="528"/>
      <c r="C18" s="350"/>
      <c r="D18" s="550"/>
      <c r="F18" s="479" t="str">
        <f>'27'!F18</f>
        <v>HAFIZ DRIVER</v>
      </c>
      <c r="G18" s="406">
        <f>'CUSTOMERS REPORT'!Y435</f>
        <v>0</v>
      </c>
      <c r="H18" s="504">
        <f>'CUSTOMERS REPORT'!Z435</f>
        <v>0</v>
      </c>
      <c r="I18" s="406">
        <f>'CUSTOMERS REPORT'!AA435</f>
        <v>0</v>
      </c>
      <c r="J18" s="498">
        <f>'CUSTOMERS REPORT'!AB435</f>
        <v>0</v>
      </c>
      <c r="K18" s="498">
        <f>'CUSTOMERS REPORT'!AC435</f>
        <v>0</v>
      </c>
      <c r="L18" s="509">
        <f>'CUSTOMERS REPORT'!AD435</f>
        <v>0</v>
      </c>
      <c r="M18" s="414">
        <f>'27'!M18+'28'!G18</f>
        <v>0</v>
      </c>
      <c r="N18" s="412">
        <f>'27'!N18+'28'!J18</f>
        <v>0</v>
      </c>
      <c r="P18" s="433"/>
      <c r="Q18" s="437"/>
      <c r="S18" s="400" t="str">
        <f>'27'!S18</f>
        <v>P-THELLI</v>
      </c>
      <c r="T18" s="446">
        <f>'27'!X18</f>
        <v>0</v>
      </c>
      <c r="U18" s="456"/>
      <c r="V18" s="451">
        <f t="shared" si="4"/>
        <v>0</v>
      </c>
      <c r="W18" s="451">
        <v>89</v>
      </c>
      <c r="X18" s="447">
        <f t="shared" si="5"/>
        <v>-89</v>
      </c>
      <c r="Z18" s="375" t="str">
        <f>'27'!Z18</f>
        <v>SALT</v>
      </c>
      <c r="AA18" s="464">
        <f>'27'!AE18</f>
        <v>0</v>
      </c>
      <c r="AB18" s="460"/>
      <c r="AC18" s="462">
        <f t="shared" si="6"/>
        <v>0</v>
      </c>
      <c r="AD18" s="469"/>
      <c r="AE18" s="348">
        <f t="shared" si="7"/>
        <v>0</v>
      </c>
      <c r="AF18" s="563">
        <f>'27'!AF18+'28'!AB18</f>
        <v>1500</v>
      </c>
      <c r="AG18" s="234">
        <f>'27'!AG18+'28'!AD18</f>
        <v>1500</v>
      </c>
      <c r="AI18" s="1031"/>
      <c r="AJ18" s="1032"/>
    </row>
    <row r="19" spans="1:36" ht="27" customHeight="1" thickBot="1">
      <c r="A19" s="719"/>
      <c r="B19" s="529"/>
      <c r="C19" s="350"/>
      <c r="D19" s="550"/>
      <c r="F19" s="479" t="str">
        <f>'27'!F19</f>
        <v>GHULAM QUETTA</v>
      </c>
      <c r="G19" s="406">
        <f>'CUSTOMERS REPORT'!Y473</f>
        <v>0</v>
      </c>
      <c r="H19" s="504">
        <f>'CUSTOMERS REPORT'!Z473</f>
        <v>0</v>
      </c>
      <c r="I19" s="406">
        <f>'CUSTOMERS REPORT'!AA473</f>
        <v>0</v>
      </c>
      <c r="J19" s="498">
        <f>'CUSTOMERS REPORT'!AB473</f>
        <v>0</v>
      </c>
      <c r="K19" s="498">
        <f>'CUSTOMERS REPORT'!AC473</f>
        <v>0</v>
      </c>
      <c r="L19" s="509">
        <f>'CUSTOMERS REPORT'!AD473</f>
        <v>0</v>
      </c>
      <c r="M19" s="414">
        <f>'27'!M19+'28'!G19</f>
        <v>0</v>
      </c>
      <c r="N19" s="412">
        <f>'27'!N19+'28'!J19</f>
        <v>0</v>
      </c>
      <c r="P19" s="433"/>
      <c r="Q19" s="437"/>
      <c r="S19" s="400" t="str">
        <f>'27'!S19</f>
        <v>RUBBER</v>
      </c>
      <c r="T19" s="446">
        <f>'27'!X19</f>
        <v>0</v>
      </c>
      <c r="U19" s="456"/>
      <c r="V19" s="451">
        <f t="shared" si="4"/>
        <v>0</v>
      </c>
      <c r="W19" s="451">
        <v>3</v>
      </c>
      <c r="X19" s="447">
        <f t="shared" si="5"/>
        <v>-3</v>
      </c>
      <c r="Z19" s="375" t="str">
        <f>'27'!Z19</f>
        <v>NAVEED</v>
      </c>
      <c r="AA19" s="464">
        <f>'27'!AE19</f>
        <v>0</v>
      </c>
      <c r="AB19" s="460"/>
      <c r="AC19" s="462">
        <f t="shared" si="6"/>
        <v>0</v>
      </c>
      <c r="AD19" s="469"/>
      <c r="AE19" s="348">
        <f t="shared" si="7"/>
        <v>0</v>
      </c>
      <c r="AF19" s="563">
        <f>'27'!AF19+'28'!AB19</f>
        <v>0</v>
      </c>
      <c r="AG19" s="234">
        <f>'27'!AG19+'28'!AD19</f>
        <v>0</v>
      </c>
    </row>
    <row r="20" spans="1:36" ht="27" customHeight="1" thickTop="1" thickBot="1">
      <c r="A20" s="719"/>
      <c r="B20" s="529"/>
      <c r="C20" s="350"/>
      <c r="D20" s="550"/>
      <c r="F20" s="479" t="str">
        <f>'27'!F20</f>
        <v>HUSSAN GWADAR</v>
      </c>
      <c r="G20" s="406">
        <f>'CUSTOMERS REPORT'!Y509</f>
        <v>0</v>
      </c>
      <c r="H20" s="504">
        <f>'CUSTOMERS REPORT'!Z509</f>
        <v>0</v>
      </c>
      <c r="I20" s="406">
        <f>'CUSTOMERS REPORT'!AA509</f>
        <v>0</v>
      </c>
      <c r="J20" s="498">
        <f>'CUSTOMERS REPORT'!AB509</f>
        <v>0</v>
      </c>
      <c r="K20" s="498">
        <f>'CUSTOMERS REPORT'!AC509</f>
        <v>0</v>
      </c>
      <c r="L20" s="509">
        <f>'CUSTOMERS REPORT'!AD509</f>
        <v>0</v>
      </c>
      <c r="M20" s="414">
        <f>'27'!M20+'28'!G20</f>
        <v>0</v>
      </c>
      <c r="N20" s="412">
        <f>'27'!N20+'28'!J20</f>
        <v>0</v>
      </c>
      <c r="P20" s="433"/>
      <c r="Q20" s="437"/>
      <c r="S20" s="400" t="str">
        <f>'27'!S20</f>
        <v>SALT</v>
      </c>
      <c r="T20" s="446">
        <f>'27'!X20</f>
        <v>250</v>
      </c>
      <c r="U20" s="456"/>
      <c r="V20" s="451">
        <f t="shared" si="4"/>
        <v>250</v>
      </c>
      <c r="W20" s="451">
        <v>180</v>
      </c>
      <c r="X20" s="447">
        <f t="shared" si="5"/>
        <v>70</v>
      </c>
      <c r="Z20" s="375" t="str">
        <f>'27'!Z20</f>
        <v>YOUSUF BHAI</v>
      </c>
      <c r="AA20" s="464">
        <f>'27'!AE20</f>
        <v>-107300</v>
      </c>
      <c r="AB20" s="460"/>
      <c r="AC20" s="462">
        <f t="shared" si="2"/>
        <v>-107300</v>
      </c>
      <c r="AD20" s="469"/>
      <c r="AE20" s="348">
        <f t="shared" si="3"/>
        <v>-107300</v>
      </c>
      <c r="AF20" s="563">
        <f>'27'!AF20+'28'!AB20</f>
        <v>447100</v>
      </c>
      <c r="AG20" s="234">
        <f>'27'!AG20+'28'!AD20</f>
        <v>554400</v>
      </c>
      <c r="AI20" s="1487" t="s">
        <v>132</v>
      </c>
      <c r="AJ20" s="1488"/>
    </row>
    <row r="21" spans="1:36" ht="27" customHeight="1" thickTop="1" thickBot="1">
      <c r="A21" s="720"/>
      <c r="B21" s="530"/>
      <c r="C21" s="531"/>
      <c r="D21" s="553"/>
      <c r="F21" s="479" t="str">
        <f>'27'!F21</f>
        <v>AQASH S KOT</v>
      </c>
      <c r="G21" s="406">
        <f>'CUSTOMERS REPORT'!Y546</f>
        <v>0</v>
      </c>
      <c r="H21" s="504">
        <f>'CUSTOMERS REPORT'!Z546</f>
        <v>0</v>
      </c>
      <c r="I21" s="406">
        <f>'CUSTOMERS REPORT'!AA546</f>
        <v>0</v>
      </c>
      <c r="J21" s="498">
        <f>'CUSTOMERS REPORT'!AB546</f>
        <v>0</v>
      </c>
      <c r="K21" s="498">
        <f>'CUSTOMERS REPORT'!AC546</f>
        <v>0</v>
      </c>
      <c r="L21" s="509">
        <f>'CUSTOMERS REPORT'!AD546</f>
        <v>0</v>
      </c>
      <c r="M21" s="414">
        <f>'27'!M21+'28'!G21</f>
        <v>0</v>
      </c>
      <c r="N21" s="412">
        <f>'27'!N21+'28'!J21</f>
        <v>0</v>
      </c>
      <c r="P21" s="433"/>
      <c r="Q21" s="435"/>
      <c r="S21" s="400" t="str">
        <f>'27'!S21</f>
        <v>TAPE</v>
      </c>
      <c r="T21" s="446">
        <f>'27'!X21</f>
        <v>0</v>
      </c>
      <c r="U21" s="456"/>
      <c r="V21" s="451">
        <f t="shared" si="0"/>
        <v>0</v>
      </c>
      <c r="W21" s="451">
        <v>20</v>
      </c>
      <c r="X21" s="447">
        <f t="shared" si="1"/>
        <v>-20</v>
      </c>
      <c r="Z21" s="375" t="str">
        <f>'27'!Z21</f>
        <v>SULEMAN  PRINT</v>
      </c>
      <c r="AA21" s="464">
        <f>'27'!AE21</f>
        <v>-312000</v>
      </c>
      <c r="AB21" s="460"/>
      <c r="AC21" s="462">
        <f t="shared" si="2"/>
        <v>-312000</v>
      </c>
      <c r="AD21" s="469"/>
      <c r="AE21" s="348">
        <f t="shared" si="3"/>
        <v>-312000</v>
      </c>
      <c r="AF21" s="563">
        <f>'27'!AF21+'28'!AB21</f>
        <v>0</v>
      </c>
      <c r="AG21" s="234">
        <f>'27'!AG21+'28'!AD21</f>
        <v>312000</v>
      </c>
      <c r="AI21" s="391" t="s">
        <v>126</v>
      </c>
      <c r="AJ21" s="392">
        <f>'27'!AJ23</f>
        <v>234000</v>
      </c>
    </row>
    <row r="22" spans="1:36" ht="27" customHeight="1" thickTop="1" thickBot="1">
      <c r="A22" s="486" t="s">
        <v>74</v>
      </c>
      <c r="B22" s="533">
        <f>SUM(B8:B21)</f>
        <v>70800</v>
      </c>
      <c r="C22" s="534">
        <f>'27'!D22</f>
        <v>3499060</v>
      </c>
      <c r="D22" s="535">
        <f t="shared" ref="D22" si="8">B22+C22</f>
        <v>3569860</v>
      </c>
      <c r="F22" s="479" t="str">
        <f>'27'!F22</f>
        <v>SALEEM T JAM</v>
      </c>
      <c r="G22" s="406">
        <f>'CUSTOMERS REPORT'!Y584</f>
        <v>0</v>
      </c>
      <c r="H22" s="504">
        <f>'CUSTOMERS REPORT'!Z584</f>
        <v>0</v>
      </c>
      <c r="I22" s="406">
        <f>'CUSTOMERS REPORT'!AA584</f>
        <v>0</v>
      </c>
      <c r="J22" s="498">
        <f>'CUSTOMERS REPORT'!AB584</f>
        <v>0</v>
      </c>
      <c r="K22" s="498">
        <f>'CUSTOMERS REPORT'!AC584</f>
        <v>0</v>
      </c>
      <c r="L22" s="509">
        <f>'CUSTOMERS REPORT'!AD584</f>
        <v>0</v>
      </c>
      <c r="M22" s="414">
        <f>'27'!M22+'28'!G22</f>
        <v>0</v>
      </c>
      <c r="N22" s="412">
        <f>'27'!N22+'28'!J22</f>
        <v>0</v>
      </c>
      <c r="P22" s="433"/>
      <c r="Q22" s="438"/>
      <c r="S22" s="400" t="str">
        <f>'27'!S22</f>
        <v>COTTON</v>
      </c>
      <c r="T22" s="446">
        <f>'27'!X22</f>
        <v>220</v>
      </c>
      <c r="U22" s="456"/>
      <c r="V22" s="451">
        <f t="shared" si="0"/>
        <v>220</v>
      </c>
      <c r="W22" s="451">
        <v>185</v>
      </c>
      <c r="X22" s="447">
        <f t="shared" si="1"/>
        <v>35</v>
      </c>
      <c r="Z22" s="375" t="str">
        <f>'27'!Z22</f>
        <v>IRFAN VANILA</v>
      </c>
      <c r="AA22" s="464">
        <f>'27'!AE22</f>
        <v>-110000</v>
      </c>
      <c r="AB22" s="460"/>
      <c r="AC22" s="462">
        <f t="shared" si="2"/>
        <v>-110000</v>
      </c>
      <c r="AD22" s="469"/>
      <c r="AE22" s="348">
        <f t="shared" si="3"/>
        <v>-110000</v>
      </c>
      <c r="AF22" s="563">
        <f>'27'!AF22+'28'!AB22</f>
        <v>0</v>
      </c>
      <c r="AG22" s="234">
        <f>'27'!AG22+'28'!AD22</f>
        <v>110000</v>
      </c>
      <c r="AI22" s="393">
        <f>R56</f>
        <v>13</v>
      </c>
      <c r="AJ22" s="394">
        <f>R56*1800</f>
        <v>23400</v>
      </c>
    </row>
    <row r="23" spans="1:36" ht="27" customHeight="1" thickTop="1" thickBot="1">
      <c r="A23" s="715" t="str">
        <f>'27'!A23</f>
        <v>OFFICE FOOD</v>
      </c>
      <c r="B23" s="462">
        <v>380</v>
      </c>
      <c r="C23" s="536">
        <f>'27'!D23</f>
        <v>3710</v>
      </c>
      <c r="D23" s="537">
        <f t="shared" ref="D23:D48" si="9">B23+C23</f>
        <v>4090</v>
      </c>
      <c r="F23" s="479" t="str">
        <f>'27'!F23</f>
        <v>JAMSHAD BADEEN</v>
      </c>
      <c r="G23" s="406">
        <f>'CUSTOMERS REPORT'!Y620</f>
        <v>0</v>
      </c>
      <c r="H23" s="504">
        <f>'CUSTOMERS REPORT'!Z620</f>
        <v>0</v>
      </c>
      <c r="I23" s="406">
        <f>'CUSTOMERS REPORT'!AA620</f>
        <v>0</v>
      </c>
      <c r="J23" s="498">
        <f>'CUSTOMERS REPORT'!AB620</f>
        <v>0</v>
      </c>
      <c r="K23" s="498">
        <f>'CUSTOMERS REPORT'!AC620</f>
        <v>0</v>
      </c>
      <c r="L23" s="509">
        <f>'CUSTOMERS REPORT'!AD620</f>
        <v>0</v>
      </c>
      <c r="M23" s="414">
        <f>'27'!M23+'28'!G23</f>
        <v>0</v>
      </c>
      <c r="N23" s="412">
        <f>'27'!N23+'28'!J23</f>
        <v>0</v>
      </c>
      <c r="P23" s="190" t="s">
        <v>48</v>
      </c>
      <c r="Q23" s="439">
        <f>SUM(Q8:Q22)</f>
        <v>0</v>
      </c>
      <c r="S23" s="400" t="str">
        <f>'27'!S23</f>
        <v>WHITE 6</v>
      </c>
      <c r="T23" s="446">
        <f>'27'!X23</f>
        <v>0</v>
      </c>
      <c r="U23" s="456"/>
      <c r="V23" s="451">
        <f t="shared" si="0"/>
        <v>0</v>
      </c>
      <c r="W23" s="451"/>
      <c r="X23" s="447">
        <f t="shared" si="1"/>
        <v>0</v>
      </c>
      <c r="Z23" s="375" t="str">
        <f>'27'!Z23</f>
        <v>IRANI GHEE</v>
      </c>
      <c r="AA23" s="464">
        <f>'27'!AE23</f>
        <v>0</v>
      </c>
      <c r="AB23" s="460">
        <v>70800</v>
      </c>
      <c r="AC23" s="462">
        <f t="shared" si="2"/>
        <v>70800</v>
      </c>
      <c r="AD23" s="469">
        <v>70800</v>
      </c>
      <c r="AE23" s="348">
        <f t="shared" si="3"/>
        <v>0</v>
      </c>
      <c r="AF23" s="563">
        <f>'27'!AF23+'28'!AB23</f>
        <v>77200</v>
      </c>
      <c r="AG23" s="234">
        <f>'27'!AG23+'28'!AD23</f>
        <v>77200</v>
      </c>
      <c r="AI23" s="395" t="s">
        <v>74</v>
      </c>
      <c r="AJ23" s="396">
        <f>AJ21+AJ22</f>
        <v>257400</v>
      </c>
    </row>
    <row r="24" spans="1:36" ht="27" customHeight="1" thickTop="1" thickBot="1">
      <c r="A24" s="715" t="str">
        <f>'27'!A24</f>
        <v>LABOUR FOOD EXP</v>
      </c>
      <c r="B24" s="234">
        <v>1000</v>
      </c>
      <c r="C24" s="348">
        <f>'27'!D24</f>
        <v>32000</v>
      </c>
      <c r="D24" s="234">
        <f t="shared" si="9"/>
        <v>33000</v>
      </c>
      <c r="F24" s="479" t="str">
        <f>'27'!F24</f>
        <v>SARFAZ MP</v>
      </c>
      <c r="G24" s="406">
        <f>'CUSTOMERS REPORT'!Y658</f>
        <v>0</v>
      </c>
      <c r="H24" s="504">
        <f>'CUSTOMERS REPORT'!Z658</f>
        <v>0</v>
      </c>
      <c r="I24" s="406">
        <f>'CUSTOMERS REPORT'!AA658</f>
        <v>0</v>
      </c>
      <c r="J24" s="498">
        <f>'CUSTOMERS REPORT'!AB658</f>
        <v>0</v>
      </c>
      <c r="K24" s="498">
        <f>'CUSTOMERS REPORT'!AC658</f>
        <v>0</v>
      </c>
      <c r="L24" s="509">
        <f>'CUSTOMERS REPORT'!AD658</f>
        <v>0</v>
      </c>
      <c r="M24" s="414">
        <f>'27'!M24+'28'!G24</f>
        <v>0</v>
      </c>
      <c r="N24" s="412">
        <f>'27'!N24+'28'!J24</f>
        <v>0</v>
      </c>
      <c r="P24" s="1514" t="s">
        <v>137</v>
      </c>
      <c r="Q24" s="1514"/>
      <c r="R24" t="s">
        <v>1</v>
      </c>
      <c r="S24" s="400" t="str">
        <f>'27'!S24</f>
        <v>ORANGE</v>
      </c>
      <c r="T24" s="446">
        <f>'27'!X24</f>
        <v>0</v>
      </c>
      <c r="U24" s="456"/>
      <c r="V24" s="451">
        <f t="shared" si="0"/>
        <v>0</v>
      </c>
      <c r="W24" s="451">
        <v>254</v>
      </c>
      <c r="X24" s="447">
        <f t="shared" si="1"/>
        <v>-254</v>
      </c>
      <c r="Z24" s="375">
        <f>'27'!Z24</f>
        <v>0</v>
      </c>
      <c r="AA24" s="464">
        <f>'27'!AE24</f>
        <v>0</v>
      </c>
      <c r="AB24" s="745"/>
      <c r="AC24" s="462">
        <f t="shared" si="2"/>
        <v>0</v>
      </c>
      <c r="AD24" s="469"/>
      <c r="AE24" s="348">
        <f t="shared" si="3"/>
        <v>0</v>
      </c>
      <c r="AF24" s="563">
        <f>'27'!AF24+'28'!AB24</f>
        <v>0</v>
      </c>
      <c r="AG24" s="234">
        <f>'27'!AG24+'28'!AD24</f>
        <v>0</v>
      </c>
    </row>
    <row r="25" spans="1:36" ht="27" customHeight="1" thickTop="1" thickBot="1">
      <c r="A25" s="715" t="str">
        <f>'27'!A25</f>
        <v>OFFICE SALARY</v>
      </c>
      <c r="B25" s="234">
        <f>ATTENDANCE!BE28</f>
        <v>134500</v>
      </c>
      <c r="C25" s="348">
        <f>'27'!D25</f>
        <v>37000</v>
      </c>
      <c r="D25" s="234">
        <f t="shared" si="9"/>
        <v>171500</v>
      </c>
      <c r="F25" s="479" t="str">
        <f>'27'!F25</f>
        <v>AFZAL MATLI</v>
      </c>
      <c r="G25" s="406">
        <f>'CUSTOMERS REPORT'!Y696</f>
        <v>0</v>
      </c>
      <c r="H25" s="504">
        <f>'CUSTOMERS REPORT'!Z696</f>
        <v>0</v>
      </c>
      <c r="I25" s="406">
        <f>'CUSTOMERS REPORT'!AA696</f>
        <v>0</v>
      </c>
      <c r="J25" s="498">
        <f>'CUSTOMERS REPORT'!AB696</f>
        <v>0</v>
      </c>
      <c r="K25" s="498">
        <f>'CUSTOMERS REPORT'!AC696</f>
        <v>0</v>
      </c>
      <c r="L25" s="509">
        <f>'CUSTOMERS REPORT'!AD696</f>
        <v>0</v>
      </c>
      <c r="M25" s="414">
        <f>'27'!M25+'28'!G25</f>
        <v>0</v>
      </c>
      <c r="N25" s="412">
        <f>'27'!N25+'28'!J25</f>
        <v>0</v>
      </c>
      <c r="P25" s="434"/>
      <c r="Q25" s="440"/>
      <c r="S25" s="400" t="str">
        <f>'27'!S25</f>
        <v>MAKKI 7</v>
      </c>
      <c r="T25" s="446">
        <f>'27'!X25</f>
        <v>0</v>
      </c>
      <c r="U25" s="456"/>
      <c r="V25" s="451">
        <f t="shared" si="0"/>
        <v>0</v>
      </c>
      <c r="W25" s="451">
        <v>400</v>
      </c>
      <c r="X25" s="447">
        <f t="shared" si="1"/>
        <v>-400</v>
      </c>
      <c r="Z25" s="375">
        <f>'27'!Z25</f>
        <v>0</v>
      </c>
      <c r="AA25" s="464">
        <f>'27'!AE25</f>
        <v>0</v>
      </c>
      <c r="AB25" s="745"/>
      <c r="AC25" s="462">
        <f t="shared" si="2"/>
        <v>0</v>
      </c>
      <c r="AD25" s="469"/>
      <c r="AE25" s="348">
        <f t="shared" si="3"/>
        <v>0</v>
      </c>
      <c r="AF25" s="563">
        <f>'27'!AF25+'28'!AB25</f>
        <v>0</v>
      </c>
      <c r="AG25" s="234">
        <f>'27'!AG25+'28'!AD25</f>
        <v>0</v>
      </c>
      <c r="AI25" s="397" t="s">
        <v>59</v>
      </c>
      <c r="AJ25" s="398">
        <f>AJ23-AJ10</f>
        <v>-85200</v>
      </c>
    </row>
    <row r="26" spans="1:36" ht="27" customHeight="1" thickTop="1">
      <c r="A26" s="715" t="str">
        <f>'27'!A26</f>
        <v>LABOUR SALARY</v>
      </c>
      <c r="B26" s="234">
        <f>SUM('SALERY SHEET'!BF97:BG97)</f>
        <v>156780</v>
      </c>
      <c r="C26" s="348">
        <f>'27'!D26</f>
        <v>185820</v>
      </c>
      <c r="D26" s="234">
        <f t="shared" si="9"/>
        <v>342600</v>
      </c>
      <c r="F26" s="479" t="str">
        <f>'27'!F26</f>
        <v xml:space="preserve">ABDUL RASHEED </v>
      </c>
      <c r="G26" s="406">
        <f>'CUSTOMERS REPORT'!Y734</f>
        <v>0</v>
      </c>
      <c r="H26" s="504">
        <f>'CUSTOMERS REPORT'!Z734</f>
        <v>0</v>
      </c>
      <c r="I26" s="406">
        <f>'CUSTOMERS REPORT'!AA734</f>
        <v>0</v>
      </c>
      <c r="J26" s="498">
        <f>'CUSTOMERS REPORT'!AB734</f>
        <v>0</v>
      </c>
      <c r="K26" s="498">
        <f>'CUSTOMERS REPORT'!AC734</f>
        <v>0</v>
      </c>
      <c r="L26" s="509">
        <f>'CUSTOMERS REPORT'!AD734</f>
        <v>0</v>
      </c>
      <c r="M26" s="414">
        <f>'27'!M26+'28'!G26</f>
        <v>0</v>
      </c>
      <c r="N26" s="412">
        <f>'27'!N26+'28'!J26</f>
        <v>0</v>
      </c>
      <c r="P26" s="433"/>
      <c r="Q26" s="438"/>
      <c r="R26" t="s">
        <v>1</v>
      </c>
      <c r="S26" s="400" t="str">
        <f>'27'!S26</f>
        <v>BLUE 125 GM</v>
      </c>
      <c r="T26" s="446">
        <f>'27'!X26</f>
        <v>0</v>
      </c>
      <c r="U26" s="456"/>
      <c r="V26" s="451">
        <f t="shared" si="0"/>
        <v>0</v>
      </c>
      <c r="W26" s="451">
        <v>0</v>
      </c>
      <c r="X26" s="447">
        <f t="shared" si="1"/>
        <v>0</v>
      </c>
      <c r="Z26" s="375">
        <f>'27'!Z26</f>
        <v>0</v>
      </c>
      <c r="AA26" s="464">
        <f>'27'!AE26</f>
        <v>0</v>
      </c>
      <c r="AB26" s="460"/>
      <c r="AC26" s="462">
        <f t="shared" si="2"/>
        <v>0</v>
      </c>
      <c r="AD26" s="469"/>
      <c r="AE26" s="348">
        <f t="shared" si="3"/>
        <v>0</v>
      </c>
      <c r="AF26" s="563">
        <f>'27'!AF26+'28'!AB26</f>
        <v>0</v>
      </c>
      <c r="AG26" s="234">
        <f>'27'!AG26+'28'!AD26</f>
        <v>0</v>
      </c>
    </row>
    <row r="27" spans="1:36" ht="27" customHeight="1">
      <c r="A27" s="715" t="str">
        <f>'27'!A27</f>
        <v>SHAHZORE</v>
      </c>
      <c r="B27" s="234">
        <v>10000</v>
      </c>
      <c r="C27" s="348">
        <f>'27'!D27</f>
        <v>5250</v>
      </c>
      <c r="D27" s="234">
        <f t="shared" si="9"/>
        <v>15250</v>
      </c>
      <c r="F27" s="479" t="str">
        <f>'27'!F27</f>
        <v>SALEEM ORANGI</v>
      </c>
      <c r="G27" s="406">
        <f>'CUSTOMERS REPORT'!Y772</f>
        <v>0</v>
      </c>
      <c r="H27" s="504">
        <f>'CUSTOMERS REPORT'!Z772</f>
        <v>0</v>
      </c>
      <c r="I27" s="406">
        <f>'CUSTOMERS REPORT'!AA772</f>
        <v>0</v>
      </c>
      <c r="J27" s="498">
        <f>'CUSTOMERS REPORT'!AB772</f>
        <v>0</v>
      </c>
      <c r="K27" s="498">
        <f>'CUSTOMERS REPORT'!AC772</f>
        <v>0</v>
      </c>
      <c r="L27" s="509">
        <f>'CUSTOMERS REPORT'!AD772</f>
        <v>0</v>
      </c>
      <c r="M27" s="414">
        <f>'27'!M27+'28'!G27</f>
        <v>0</v>
      </c>
      <c r="N27" s="412">
        <f>'27'!N27+'28'!J27</f>
        <v>0</v>
      </c>
      <c r="P27" s="433"/>
      <c r="Q27" s="435"/>
      <c r="R27" t="s">
        <v>1</v>
      </c>
      <c r="S27" s="400" t="str">
        <f>'27'!S27</f>
        <v>MAKKI 5</v>
      </c>
      <c r="T27" s="446">
        <f>'27'!X27</f>
        <v>0</v>
      </c>
      <c r="U27" s="456"/>
      <c r="V27" s="451">
        <f t="shared" si="0"/>
        <v>0</v>
      </c>
      <c r="W27" s="451"/>
      <c r="X27" s="447">
        <f t="shared" si="1"/>
        <v>0</v>
      </c>
      <c r="Z27" s="375">
        <f>'27'!Z27</f>
        <v>0</v>
      </c>
      <c r="AA27" s="464">
        <f>'27'!AE27</f>
        <v>0</v>
      </c>
      <c r="AB27" s="460"/>
      <c r="AC27" s="462">
        <f t="shared" si="2"/>
        <v>0</v>
      </c>
      <c r="AD27" s="469"/>
      <c r="AE27" s="348">
        <f t="shared" si="3"/>
        <v>0</v>
      </c>
      <c r="AF27" s="563">
        <f>'27'!AF27+'28'!AB27</f>
        <v>0</v>
      </c>
      <c r="AG27" s="234">
        <f>'27'!AG27+'28'!AD27</f>
        <v>0</v>
      </c>
    </row>
    <row r="28" spans="1:36" ht="27" customHeight="1">
      <c r="A28" s="715" t="str">
        <f>'27'!A28</f>
        <v>GENERATOR</v>
      </c>
      <c r="B28" s="234"/>
      <c r="C28" s="348">
        <f>'27'!D28</f>
        <v>44550</v>
      </c>
      <c r="D28" s="234">
        <f t="shared" si="9"/>
        <v>44550</v>
      </c>
      <c r="F28" s="479" t="str">
        <f>'27'!F28</f>
        <v>AYAZ OUSTA</v>
      </c>
      <c r="G28" s="406">
        <f>'CUSTOMERS REPORT'!Y810</f>
        <v>0</v>
      </c>
      <c r="H28" s="504">
        <f>'CUSTOMERS REPORT'!Z810</f>
        <v>0</v>
      </c>
      <c r="I28" s="406">
        <f>'CUSTOMERS REPORT'!AA810</f>
        <v>0</v>
      </c>
      <c r="J28" s="498">
        <f>'CUSTOMERS REPORT'!AB810</f>
        <v>0</v>
      </c>
      <c r="K28" s="498">
        <f>'CUSTOMERS REPORT'!AC810</f>
        <v>0</v>
      </c>
      <c r="L28" s="509">
        <f>'CUSTOMERS REPORT'!AD810</f>
        <v>0</v>
      </c>
      <c r="M28" s="414">
        <f>'27'!M28+'28'!G28</f>
        <v>0</v>
      </c>
      <c r="N28" s="412">
        <f>'27'!N28+'28'!J28</f>
        <v>0</v>
      </c>
      <c r="P28" s="433"/>
      <c r="Q28" s="438"/>
      <c r="S28" s="400" t="str">
        <f>'27'!S28</f>
        <v>MAKKI 2 PES</v>
      </c>
      <c r="T28" s="446">
        <f>'27'!X28</f>
        <v>0</v>
      </c>
      <c r="U28" s="456"/>
      <c r="V28" s="451">
        <f t="shared" si="0"/>
        <v>0</v>
      </c>
      <c r="W28" s="451">
        <v>253</v>
      </c>
      <c r="X28" s="447">
        <f t="shared" si="1"/>
        <v>-253</v>
      </c>
      <c r="Z28" s="375">
        <f>'27'!Z28</f>
        <v>0</v>
      </c>
      <c r="AA28" s="464">
        <f>'27'!AE28</f>
        <v>0</v>
      </c>
      <c r="AB28" s="460"/>
      <c r="AC28" s="462">
        <f t="shared" si="2"/>
        <v>0</v>
      </c>
      <c r="AD28" s="469"/>
      <c r="AE28" s="348">
        <f t="shared" si="3"/>
        <v>0</v>
      </c>
      <c r="AF28" s="563">
        <f>'27'!AF28+'28'!AB28</f>
        <v>0</v>
      </c>
      <c r="AG28" s="234">
        <f>'27'!AG28+'28'!AD28</f>
        <v>0</v>
      </c>
    </row>
    <row r="29" spans="1:36" ht="27" customHeight="1">
      <c r="A29" s="715" t="str">
        <f>'27'!A29</f>
        <v>PATROL FAW</v>
      </c>
      <c r="B29" s="234"/>
      <c r="C29" s="348">
        <f>'27'!D29</f>
        <v>34270</v>
      </c>
      <c r="D29" s="234">
        <f t="shared" si="9"/>
        <v>34270</v>
      </c>
      <c r="F29" s="479" t="str">
        <f>'27'!F29</f>
        <v>AZHAR BADEEN</v>
      </c>
      <c r="G29" s="406">
        <f>'CUSTOMERS REPORT'!Y848</f>
        <v>0</v>
      </c>
      <c r="H29" s="504">
        <f>'CUSTOMERS REPORT'!Z848</f>
        <v>0</v>
      </c>
      <c r="I29" s="406">
        <f>'CUSTOMERS REPORT'!AA848</f>
        <v>0</v>
      </c>
      <c r="J29" s="498">
        <f>'CUSTOMERS REPORT'!AB848</f>
        <v>0</v>
      </c>
      <c r="K29" s="498">
        <f>'CUSTOMERS REPORT'!AC848</f>
        <v>0</v>
      </c>
      <c r="L29" s="509">
        <f>'CUSTOMERS REPORT'!AD848</f>
        <v>0</v>
      </c>
      <c r="M29" s="414">
        <f>'27'!M29+'28'!G29</f>
        <v>0</v>
      </c>
      <c r="N29" s="412">
        <f>'27'!N29+'28'!J29</f>
        <v>0</v>
      </c>
      <c r="P29" s="433"/>
      <c r="Q29" s="441"/>
      <c r="S29" s="400" t="str">
        <f>'27'!S29</f>
        <v xml:space="preserve">PRIME </v>
      </c>
      <c r="T29" s="446">
        <f>'27'!X29</f>
        <v>0</v>
      </c>
      <c r="U29" s="456"/>
      <c r="V29" s="451">
        <f t="shared" si="0"/>
        <v>0</v>
      </c>
      <c r="W29" s="451">
        <v>0</v>
      </c>
      <c r="X29" s="447">
        <f t="shared" si="1"/>
        <v>0</v>
      </c>
      <c r="Z29" s="375">
        <f>'27'!Z29</f>
        <v>0</v>
      </c>
      <c r="AA29" s="464">
        <f>'27'!AE29</f>
        <v>0</v>
      </c>
      <c r="AB29" s="460"/>
      <c r="AC29" s="462">
        <f t="shared" si="2"/>
        <v>0</v>
      </c>
      <c r="AD29" s="469"/>
      <c r="AE29" s="348">
        <f t="shared" si="3"/>
        <v>0</v>
      </c>
      <c r="AF29" s="563">
        <f>'27'!AF29+'28'!AB29</f>
        <v>0</v>
      </c>
      <c r="AG29" s="234">
        <f>'27'!AG29+'28'!AD29</f>
        <v>0</v>
      </c>
    </row>
    <row r="30" spans="1:36" ht="27" customHeight="1">
      <c r="A30" s="715" t="str">
        <f>'27'!A30</f>
        <v>FOTON DIESEL</v>
      </c>
      <c r="B30" s="234">
        <v>14500</v>
      </c>
      <c r="C30" s="348">
        <f>'27'!D30</f>
        <v>15800</v>
      </c>
      <c r="D30" s="234">
        <f t="shared" si="9"/>
        <v>30300</v>
      </c>
      <c r="F30" s="479" t="str">
        <f>'27'!F30</f>
        <v>FAISAL HUB</v>
      </c>
      <c r="G30" s="406">
        <f>'CUSTOMERS REPORT'!Y886</f>
        <v>0</v>
      </c>
      <c r="H30" s="504">
        <f>'CUSTOMERS REPORT'!Z886</f>
        <v>0</v>
      </c>
      <c r="I30" s="406">
        <f>'CUSTOMERS REPORT'!AA886</f>
        <v>0</v>
      </c>
      <c r="J30" s="498">
        <f>'CUSTOMERS REPORT'!AB886</f>
        <v>0</v>
      </c>
      <c r="K30" s="498">
        <f>'CUSTOMERS REPORT'!AC886</f>
        <v>0</v>
      </c>
      <c r="L30" s="509">
        <f>'CUSTOMERS REPORT'!AD886</f>
        <v>0</v>
      </c>
      <c r="M30" s="414">
        <f>'27'!M30+'28'!G30</f>
        <v>0</v>
      </c>
      <c r="N30" s="412">
        <f>'27'!N30+'28'!J30</f>
        <v>0</v>
      </c>
      <c r="P30" s="433"/>
      <c r="Q30" s="442"/>
      <c r="S30" s="400" t="str">
        <f>'27'!S30</f>
        <v>PRIMR 15</v>
      </c>
      <c r="T30" s="446">
        <f>'27'!X30</f>
        <v>0</v>
      </c>
      <c r="U30" s="456"/>
      <c r="V30" s="451">
        <f t="shared" si="0"/>
        <v>0</v>
      </c>
      <c r="W30" s="451"/>
      <c r="X30" s="447">
        <f t="shared" si="1"/>
        <v>0</v>
      </c>
      <c r="Z30" s="375">
        <f>'27'!Z30</f>
        <v>0</v>
      </c>
      <c r="AA30" s="464">
        <f>'27'!AE30</f>
        <v>0</v>
      </c>
      <c r="AB30" s="460"/>
      <c r="AC30" s="462">
        <f t="shared" si="2"/>
        <v>0</v>
      </c>
      <c r="AD30" s="469"/>
      <c r="AE30" s="348">
        <f t="shared" si="3"/>
        <v>0</v>
      </c>
      <c r="AF30" s="563">
        <f>'27'!AF30+'28'!AB30</f>
        <v>0</v>
      </c>
      <c r="AG30" s="234">
        <f>'27'!AG30+'28'!AD30</f>
        <v>0</v>
      </c>
    </row>
    <row r="31" spans="1:36" ht="27" customHeight="1" thickBot="1">
      <c r="A31" s="715" t="str">
        <f>'27'!A31</f>
        <v>UTILITY BILLS</v>
      </c>
      <c r="B31" s="234"/>
      <c r="C31" s="348">
        <f>'27'!D31</f>
        <v>44670</v>
      </c>
      <c r="D31" s="234">
        <f t="shared" si="9"/>
        <v>44670</v>
      </c>
      <c r="F31" s="479" t="str">
        <f>'27'!F31</f>
        <v>ABDUL RAHMAN</v>
      </c>
      <c r="G31" s="406">
        <f>'CUSTOMERS REPORT'!Y925</f>
        <v>0</v>
      </c>
      <c r="H31" s="504">
        <f>'CUSTOMERS REPORT'!Z925</f>
        <v>0</v>
      </c>
      <c r="I31" s="406">
        <f>'CUSTOMERS REPORT'!AA925</f>
        <v>0</v>
      </c>
      <c r="J31" s="498">
        <f>'CUSTOMERS REPORT'!AB925</f>
        <v>0</v>
      </c>
      <c r="K31" s="498">
        <f>'CUSTOMERS REPORT'!AC925</f>
        <v>0</v>
      </c>
      <c r="L31" s="509">
        <f>'CUSTOMERS REPORT'!AD925</f>
        <v>0</v>
      </c>
      <c r="M31" s="414">
        <f>'27'!M31+'28'!G31</f>
        <v>0</v>
      </c>
      <c r="N31" s="412">
        <f>'27'!N31+'28'!J31</f>
        <v>0</v>
      </c>
      <c r="P31" s="433"/>
      <c r="Q31" s="435"/>
      <c r="S31" s="400" t="str">
        <f>'27'!S31</f>
        <v>KARACHI</v>
      </c>
      <c r="T31" s="446">
        <f>'27'!X31</f>
        <v>0</v>
      </c>
      <c r="U31" s="456"/>
      <c r="V31" s="451">
        <f t="shared" si="0"/>
        <v>0</v>
      </c>
      <c r="W31" s="451">
        <v>110</v>
      </c>
      <c r="X31" s="447">
        <f t="shared" si="1"/>
        <v>-110</v>
      </c>
      <c r="Z31" s="375">
        <f>'27'!Z31</f>
        <v>0</v>
      </c>
      <c r="AA31" s="464">
        <f>'27'!AE31</f>
        <v>0</v>
      </c>
      <c r="AB31" s="460"/>
      <c r="AC31" s="462">
        <f t="shared" si="2"/>
        <v>0</v>
      </c>
      <c r="AD31" s="469"/>
      <c r="AE31" s="348">
        <f t="shared" si="3"/>
        <v>0</v>
      </c>
      <c r="AF31" s="563">
        <f>'27'!AF31+'28'!AB31</f>
        <v>0</v>
      </c>
      <c r="AG31" s="234">
        <f>'27'!AG31+'28'!AD31</f>
        <v>0</v>
      </c>
      <c r="AI31" t="s">
        <v>1</v>
      </c>
    </row>
    <row r="32" spans="1:36" ht="27" customHeight="1" thickTop="1" thickBot="1">
      <c r="A32" s="715" t="str">
        <f>'27'!A32</f>
        <v>WOOD</v>
      </c>
      <c r="B32" s="234"/>
      <c r="C32" s="348">
        <f>'27'!D32</f>
        <v>150000</v>
      </c>
      <c r="D32" s="234">
        <f t="shared" si="9"/>
        <v>150000</v>
      </c>
      <c r="F32" s="479" t="str">
        <f>'27'!F32</f>
        <v>HAJI JAN GIWANI</v>
      </c>
      <c r="G32" s="406">
        <f>'CUSTOMERS REPORT'!Y964</f>
        <v>0</v>
      </c>
      <c r="H32" s="504">
        <f>'CUSTOMERS REPORT'!Z964</f>
        <v>0</v>
      </c>
      <c r="I32" s="406">
        <f>'CUSTOMERS REPORT'!AA964</f>
        <v>0</v>
      </c>
      <c r="J32" s="498">
        <f>'CUSTOMERS REPORT'!AB964</f>
        <v>0</v>
      </c>
      <c r="K32" s="498">
        <f>'CUSTOMERS REPORT'!AC964</f>
        <v>0</v>
      </c>
      <c r="L32" s="509">
        <f>'CUSTOMERS REPORT'!AD964</f>
        <v>0</v>
      </c>
      <c r="M32" s="414">
        <f>'27'!M32+'28'!G32</f>
        <v>0</v>
      </c>
      <c r="N32" s="412">
        <f>'27'!N32+'28'!J32</f>
        <v>0</v>
      </c>
      <c r="P32" s="190" t="s">
        <v>51</v>
      </c>
      <c r="Q32" s="439">
        <f>Q23-Q25-Q26-Q27-Q28-Q29-Q30-Q31</f>
        <v>0</v>
      </c>
      <c r="R32" t="s">
        <v>1</v>
      </c>
      <c r="S32" s="400" t="str">
        <f>'27'!S32</f>
        <v>MARVI</v>
      </c>
      <c r="T32" s="446">
        <f>'27'!X32</f>
        <v>0</v>
      </c>
      <c r="U32" s="456"/>
      <c r="V32" s="451">
        <f t="shared" si="0"/>
        <v>0</v>
      </c>
      <c r="W32" s="451">
        <v>0</v>
      </c>
      <c r="X32" s="447">
        <f t="shared" si="1"/>
        <v>0</v>
      </c>
      <c r="Z32" s="375">
        <f>'27'!Z32</f>
        <v>0</v>
      </c>
      <c r="AA32" s="464">
        <f>'27'!AE32</f>
        <v>0</v>
      </c>
      <c r="AB32" s="460"/>
      <c r="AC32" s="462">
        <f t="shared" si="2"/>
        <v>0</v>
      </c>
      <c r="AD32" s="469"/>
      <c r="AE32" s="348">
        <f t="shared" si="3"/>
        <v>0</v>
      </c>
      <c r="AF32" s="563">
        <f>'27'!AF32+'28'!AB32</f>
        <v>0</v>
      </c>
      <c r="AG32" s="234">
        <f>'27'!AG32+'28'!AD32</f>
        <v>0</v>
      </c>
    </row>
    <row r="33" spans="1:40" ht="27" customHeight="1" thickTop="1" thickBot="1">
      <c r="A33" s="716" t="str">
        <f>'27'!A33</f>
        <v>TOLL</v>
      </c>
      <c r="B33" s="538"/>
      <c r="C33" s="548">
        <f>'27'!D33</f>
        <v>300</v>
      </c>
      <c r="D33" s="234">
        <f t="shared" si="9"/>
        <v>300</v>
      </c>
      <c r="F33" s="479" t="str">
        <f>'27'!F33</f>
        <v>ALI QURESHI HYD</v>
      </c>
      <c r="G33" s="406">
        <f>'CUSTOMERS REPORT'!Y1002</f>
        <v>0</v>
      </c>
      <c r="H33" s="504">
        <f>'CUSTOMERS REPORT'!Z1002</f>
        <v>0</v>
      </c>
      <c r="I33" s="406">
        <f>'CUSTOMERS REPORT'!AA1002</f>
        <v>0</v>
      </c>
      <c r="J33" s="498">
        <f>'CUSTOMERS REPORT'!AB1002</f>
        <v>0</v>
      </c>
      <c r="K33" s="498">
        <f>'CUSTOMERS REPORT'!AC1002</f>
        <v>0</v>
      </c>
      <c r="L33" s="509">
        <f>'CUSTOMERS REPORT'!AD1002</f>
        <v>0</v>
      </c>
      <c r="M33" s="414">
        <f>'27'!M33+'28'!G33</f>
        <v>0</v>
      </c>
      <c r="N33" s="412">
        <f>'27'!N33+'28'!J33</f>
        <v>0</v>
      </c>
      <c r="P33" s="1499" t="s">
        <v>149</v>
      </c>
      <c r="Q33" s="1500"/>
      <c r="S33" s="400" t="str">
        <f>'27'!S33</f>
        <v>TS</v>
      </c>
      <c r="T33" s="446">
        <f>'27'!X33</f>
        <v>0</v>
      </c>
      <c r="U33" s="456"/>
      <c r="V33" s="451">
        <f t="shared" si="0"/>
        <v>0</v>
      </c>
      <c r="W33" s="451">
        <v>14</v>
      </c>
      <c r="X33" s="447">
        <f t="shared" si="1"/>
        <v>-14</v>
      </c>
      <c r="Z33" s="375">
        <f>'27'!Z33</f>
        <v>0</v>
      </c>
      <c r="AA33" s="464">
        <f>'27'!AE33</f>
        <v>0</v>
      </c>
      <c r="AB33" s="460"/>
      <c r="AC33" s="462">
        <f t="shared" si="2"/>
        <v>0</v>
      </c>
      <c r="AD33" s="469"/>
      <c r="AE33" s="348">
        <f t="shared" si="3"/>
        <v>0</v>
      </c>
      <c r="AF33" s="563">
        <f>'27'!AF33+'28'!AB33</f>
        <v>0</v>
      </c>
      <c r="AG33" s="234">
        <f>'27'!AG33+'28'!AD33</f>
        <v>0</v>
      </c>
    </row>
    <row r="34" spans="1:40" ht="27" customHeight="1" thickTop="1" thickBot="1">
      <c r="A34" s="715" t="str">
        <f>'27'!A34</f>
        <v>FLOUR / SHGER</v>
      </c>
      <c r="B34" s="538"/>
      <c r="C34" s="348">
        <f>'27'!D34</f>
        <v>1200</v>
      </c>
      <c r="D34" s="234">
        <f t="shared" si="9"/>
        <v>1200</v>
      </c>
      <c r="F34" s="479" t="str">
        <f>'27'!F34</f>
        <v>ALI RAZA KAND KOT</v>
      </c>
      <c r="G34" s="406">
        <f>'CUSTOMERS REPORT'!Y1040</f>
        <v>0</v>
      </c>
      <c r="H34" s="504">
        <f>'CUSTOMERS REPORT'!Z1040</f>
        <v>0</v>
      </c>
      <c r="I34" s="406">
        <f>'CUSTOMERS REPORT'!AA1040</f>
        <v>0</v>
      </c>
      <c r="J34" s="498">
        <f>'CUSTOMERS REPORT'!AB1040</f>
        <v>0</v>
      </c>
      <c r="K34" s="498">
        <f>'CUSTOMERS REPORT'!AC1040</f>
        <v>0</v>
      </c>
      <c r="L34" s="509">
        <f>'CUSTOMERS REPORT'!AD1040</f>
        <v>0</v>
      </c>
      <c r="M34" s="414">
        <f>'27'!M34+'28'!G34</f>
        <v>0</v>
      </c>
      <c r="N34" s="412">
        <f>'27'!N34+'28'!J34</f>
        <v>0</v>
      </c>
      <c r="P34" s="220" t="s">
        <v>150</v>
      </c>
      <c r="Q34" s="223">
        <f>'27'!Q34</f>
        <v>0</v>
      </c>
      <c r="S34" s="400" t="str">
        <f>'27'!S34</f>
        <v>MAXI</v>
      </c>
      <c r="T34" s="446">
        <f>'27'!X34</f>
        <v>0</v>
      </c>
      <c r="U34" s="457"/>
      <c r="V34" s="452">
        <f t="shared" si="0"/>
        <v>0</v>
      </c>
      <c r="W34" s="452">
        <v>22</v>
      </c>
      <c r="X34" s="448">
        <f t="shared" si="1"/>
        <v>-22</v>
      </c>
      <c r="Z34" s="375">
        <f>'27'!Z34</f>
        <v>0</v>
      </c>
      <c r="AA34" s="464">
        <f>'27'!AE34</f>
        <v>0</v>
      </c>
      <c r="AB34" s="460"/>
      <c r="AC34" s="462">
        <f t="shared" si="2"/>
        <v>0</v>
      </c>
      <c r="AD34" s="469"/>
      <c r="AE34" s="348">
        <f t="shared" si="3"/>
        <v>0</v>
      </c>
      <c r="AF34" s="563">
        <f>'27'!AF34+'28'!AB34</f>
        <v>0</v>
      </c>
      <c r="AG34" s="234">
        <f>'27'!AG34+'28'!AD34</f>
        <v>0</v>
      </c>
    </row>
    <row r="35" spans="1:40" ht="27" customHeight="1" thickTop="1">
      <c r="A35" s="716" t="str">
        <f>'27'!A35</f>
        <v>OVEN &amp; PP MACHINE</v>
      </c>
      <c r="B35" s="529"/>
      <c r="C35" s="348">
        <f>'27'!D35</f>
        <v>0</v>
      </c>
      <c r="D35" s="529">
        <f t="shared" si="9"/>
        <v>0</v>
      </c>
      <c r="F35" s="479" t="str">
        <f>'27'!F35</f>
        <v>IQBAL MORO</v>
      </c>
      <c r="G35" s="407">
        <f>'CUSTOMERS REPORT'!Y1078</f>
        <v>0</v>
      </c>
      <c r="H35" s="505">
        <f>'CUSTOMERS REPORT'!Z1078</f>
        <v>0</v>
      </c>
      <c r="I35" s="407">
        <f>'CUSTOMERS REPORT'!AA1078</f>
        <v>0</v>
      </c>
      <c r="J35" s="499">
        <f>'CUSTOMERS REPORT'!AB1078</f>
        <v>0</v>
      </c>
      <c r="K35" s="499">
        <f>'CUSTOMERS REPORT'!AC1078</f>
        <v>0</v>
      </c>
      <c r="L35" s="510">
        <f>'CUSTOMERS REPORT'!AD1078</f>
        <v>0</v>
      </c>
      <c r="M35" s="414">
        <f>'27'!M35+'28'!G35</f>
        <v>0</v>
      </c>
      <c r="N35" s="412">
        <f>'27'!N35+'28'!J35</f>
        <v>0</v>
      </c>
      <c r="P35" s="252" t="s">
        <v>151</v>
      </c>
      <c r="Q35" s="443">
        <f>'27'!Q35</f>
        <v>0</v>
      </c>
      <c r="R35" t="s">
        <v>1</v>
      </c>
      <c r="S35" s="400" t="str">
        <f>'27'!S35</f>
        <v>M A WHITE</v>
      </c>
      <c r="T35" s="446">
        <f>'27'!X35</f>
        <v>0</v>
      </c>
      <c r="U35" s="457"/>
      <c r="V35" s="452">
        <f t="shared" si="0"/>
        <v>0</v>
      </c>
      <c r="W35" s="452">
        <v>385</v>
      </c>
      <c r="X35" s="448">
        <f t="shared" si="1"/>
        <v>-385</v>
      </c>
      <c r="Z35" s="375">
        <f>'27'!Z35</f>
        <v>0</v>
      </c>
      <c r="AA35" s="464">
        <f>'27'!AE35</f>
        <v>0</v>
      </c>
      <c r="AB35" s="460"/>
      <c r="AC35" s="462">
        <f t="shared" si="2"/>
        <v>0</v>
      </c>
      <c r="AD35" s="469"/>
      <c r="AE35" s="348">
        <f t="shared" si="3"/>
        <v>0</v>
      </c>
      <c r="AF35" s="563">
        <f>'27'!AF35+'28'!AB35</f>
        <v>0</v>
      </c>
      <c r="AG35" s="234">
        <f>'27'!AG35+'28'!AD35</f>
        <v>0</v>
      </c>
    </row>
    <row r="36" spans="1:40" ht="27" customHeight="1">
      <c r="A36" s="716" t="str">
        <f>'27'!A36</f>
        <v>zakat</v>
      </c>
      <c r="B36" s="539"/>
      <c r="C36" s="348">
        <f>'27'!D36</f>
        <v>0</v>
      </c>
      <c r="D36" s="529">
        <f t="shared" si="9"/>
        <v>0</v>
      </c>
      <c r="F36" s="479" t="str">
        <f>'27'!F36</f>
        <v>SARFARAZ T ADAM</v>
      </c>
      <c r="G36" s="407">
        <f>'CUSTOMERS REPORT'!Y1116</f>
        <v>0</v>
      </c>
      <c r="H36" s="505">
        <f>'CUSTOMERS REPORT'!Z1116</f>
        <v>0</v>
      </c>
      <c r="I36" s="407">
        <f>'CUSTOMERS REPORT'!AA1116</f>
        <v>0</v>
      </c>
      <c r="J36" s="499">
        <f>'CUSTOMERS REPORT'!AB1116</f>
        <v>0</v>
      </c>
      <c r="K36" s="499">
        <f>'CUSTOMERS REPORT'!AC1116</f>
        <v>0</v>
      </c>
      <c r="L36" s="510">
        <f>'CUSTOMERS REPORT'!AD1116</f>
        <v>0</v>
      </c>
      <c r="M36" s="414">
        <f>'27'!M36+'28'!G36</f>
        <v>0</v>
      </c>
      <c r="N36" s="412">
        <f>'27'!N36+'28'!J36</f>
        <v>0</v>
      </c>
      <c r="P36" s="372" t="s">
        <v>152</v>
      </c>
      <c r="Q36" s="444">
        <f>J48</f>
        <v>0</v>
      </c>
      <c r="R36" t="s">
        <v>1</v>
      </c>
      <c r="S36" s="400" t="str">
        <f>'27'!S36</f>
        <v>M A ORING</v>
      </c>
      <c r="T36" s="446">
        <f>'27'!X36</f>
        <v>0</v>
      </c>
      <c r="U36" s="456"/>
      <c r="V36" s="451">
        <f t="shared" si="0"/>
        <v>0</v>
      </c>
      <c r="W36" s="452">
        <v>106</v>
      </c>
      <c r="X36" s="448">
        <f t="shared" si="1"/>
        <v>-106</v>
      </c>
      <c r="Z36" s="375">
        <f>'27'!Z36</f>
        <v>0</v>
      </c>
      <c r="AA36" s="464">
        <f>'27'!AE36</f>
        <v>0</v>
      </c>
      <c r="AB36" s="460"/>
      <c r="AC36" s="462">
        <f t="shared" si="2"/>
        <v>0</v>
      </c>
      <c r="AD36" s="469"/>
      <c r="AE36" s="348">
        <f t="shared" si="3"/>
        <v>0</v>
      </c>
      <c r="AF36" s="563">
        <f>'27'!AF36+'28'!AB36</f>
        <v>0</v>
      </c>
      <c r="AG36" s="234">
        <f>'27'!AG36+'28'!AD36</f>
        <v>0</v>
      </c>
    </row>
    <row r="37" spans="1:40" ht="27" customHeight="1">
      <c r="A37" s="716" t="str">
        <f>'27'!A37</f>
        <v>javeed manghopir</v>
      </c>
      <c r="B37" s="234"/>
      <c r="C37" s="348">
        <f>'27'!D37</f>
        <v>0</v>
      </c>
      <c r="D37" s="234">
        <f t="shared" si="9"/>
        <v>0</v>
      </c>
      <c r="F37" s="479" t="str">
        <f>'27'!F37</f>
        <v>MUMTAZ K N SHAH</v>
      </c>
      <c r="G37" s="406">
        <f>'CUSTOMERS REPORT'!Y1154</f>
        <v>0</v>
      </c>
      <c r="H37" s="504">
        <f>'CUSTOMERS REPORT'!Z1154</f>
        <v>0</v>
      </c>
      <c r="I37" s="406">
        <f>'CUSTOMERS REPORT'!AA1154</f>
        <v>0</v>
      </c>
      <c r="J37" s="498">
        <f>'CUSTOMERS REPORT'!AB1154</f>
        <v>0</v>
      </c>
      <c r="K37" s="498">
        <f>'CUSTOMERS REPORT'!AC1154</f>
        <v>0</v>
      </c>
      <c r="L37" s="509">
        <f>'CUSTOMERS REPORT'!AD1154</f>
        <v>0</v>
      </c>
      <c r="M37" s="414">
        <f>'27'!M37+'28'!G37</f>
        <v>0</v>
      </c>
      <c r="N37" s="412">
        <f>'27'!N37+'28'!J37</f>
        <v>0</v>
      </c>
      <c r="P37" s="373" t="s">
        <v>153</v>
      </c>
      <c r="Q37" s="445">
        <f>Q34+Q35+Q36</f>
        <v>0</v>
      </c>
      <c r="R37" t="s">
        <v>1</v>
      </c>
      <c r="S37" s="400">
        <f>'27'!S37</f>
        <v>0</v>
      </c>
      <c r="T37" s="446">
        <f>'27'!X37</f>
        <v>0</v>
      </c>
      <c r="U37" s="456"/>
      <c r="V37" s="451">
        <f t="shared" si="0"/>
        <v>0</v>
      </c>
      <c r="W37" s="452"/>
      <c r="X37" s="448">
        <f t="shared" si="1"/>
        <v>0</v>
      </c>
      <c r="Z37" s="375">
        <f>'27'!Z37</f>
        <v>0</v>
      </c>
      <c r="AA37" s="464">
        <f>'27'!AE37</f>
        <v>0</v>
      </c>
      <c r="AB37" s="460"/>
      <c r="AC37" s="462">
        <f t="shared" si="2"/>
        <v>0</v>
      </c>
      <c r="AD37" s="469"/>
      <c r="AE37" s="348">
        <f t="shared" si="3"/>
        <v>0</v>
      </c>
      <c r="AF37" s="563">
        <f>'27'!AF37+'28'!AB37</f>
        <v>0</v>
      </c>
      <c r="AG37" s="234">
        <f>'27'!AG37+'28'!AD37</f>
        <v>0</v>
      </c>
    </row>
    <row r="38" spans="1:40" ht="27" customHeight="1">
      <c r="A38" s="715" t="str">
        <f>'27'!A38</f>
        <v>EXSIS CASH</v>
      </c>
      <c r="B38" s="234"/>
      <c r="C38" s="348">
        <f>'27'!D38</f>
        <v>0</v>
      </c>
      <c r="D38" s="234">
        <f t="shared" si="9"/>
        <v>0</v>
      </c>
      <c r="F38" s="479" t="str">
        <f>'27'!F38</f>
        <v>GHULAM RASOOL QU</v>
      </c>
      <c r="G38" s="408">
        <f>'CUSTOMERS REPORT'!Y1191</f>
        <v>0</v>
      </c>
      <c r="H38" s="506">
        <f>'CUSTOMERS REPORT'!Z1191</f>
        <v>0</v>
      </c>
      <c r="I38" s="408">
        <f>'CUSTOMERS REPORT'!AA1191</f>
        <v>0</v>
      </c>
      <c r="J38" s="500">
        <f>'CUSTOMERS REPORT'!AB1191</f>
        <v>0</v>
      </c>
      <c r="K38" s="500">
        <f>'CUSTOMERS REPORT'!AC1191</f>
        <v>0</v>
      </c>
      <c r="L38" s="511">
        <f>'CUSTOMERS REPORT'!AD1191</f>
        <v>0</v>
      </c>
      <c r="M38" s="414">
        <f>'27'!M38+'28'!G38</f>
        <v>0</v>
      </c>
      <c r="N38" s="412">
        <f>'27'!N38+'28'!J38</f>
        <v>0</v>
      </c>
      <c r="P38" s="373" t="s">
        <v>154</v>
      </c>
      <c r="Q38" s="445">
        <f>D48</f>
        <v>4818050</v>
      </c>
      <c r="S38" s="400">
        <f>'27'!S38</f>
        <v>0</v>
      </c>
      <c r="T38" s="446">
        <f>'27'!X38</f>
        <v>0</v>
      </c>
      <c r="U38" s="456"/>
      <c r="V38" s="451">
        <f t="shared" si="0"/>
        <v>0</v>
      </c>
      <c r="W38" s="452"/>
      <c r="X38" s="448">
        <f t="shared" si="1"/>
        <v>0</v>
      </c>
      <c r="Z38" s="375">
        <f>'27'!Z38</f>
        <v>0</v>
      </c>
      <c r="AA38" s="464">
        <f>'27'!AE38</f>
        <v>0</v>
      </c>
      <c r="AB38" s="460"/>
      <c r="AC38" s="462">
        <f t="shared" si="2"/>
        <v>0</v>
      </c>
      <c r="AD38" s="469"/>
      <c r="AE38" s="348">
        <f t="shared" si="3"/>
        <v>0</v>
      </c>
      <c r="AF38" s="563">
        <f>'27'!AF38+'28'!AB38</f>
        <v>0</v>
      </c>
      <c r="AG38" s="234">
        <f>'27'!AG38+'28'!AD38</f>
        <v>0</v>
      </c>
    </row>
    <row r="39" spans="1:40" ht="27" customHeight="1">
      <c r="A39" s="715" t="str">
        <f>'27'!A39</f>
        <v>SHORT CASH</v>
      </c>
      <c r="B39" s="234"/>
      <c r="C39" s="348">
        <f>'27'!D39</f>
        <v>1950</v>
      </c>
      <c r="D39" s="234">
        <f t="shared" si="9"/>
        <v>1950</v>
      </c>
      <c r="F39" s="479" t="str">
        <f>'27'!F39</f>
        <v>SHAMSHAD UNCLE</v>
      </c>
      <c r="G39" s="406">
        <f>'CUSTOMERS REPORT'!Y1228</f>
        <v>0</v>
      </c>
      <c r="H39" s="504">
        <f>'CUSTOMERS REPORT'!Z1228</f>
        <v>0</v>
      </c>
      <c r="I39" s="406">
        <f>'CUSTOMERS REPORT'!AA1228</f>
        <v>0</v>
      </c>
      <c r="J39" s="498">
        <f>'CUSTOMERS REPORT'!AB1228</f>
        <v>0</v>
      </c>
      <c r="K39" s="498">
        <f>'CUSTOMERS REPORT'!AC1228</f>
        <v>0</v>
      </c>
      <c r="L39" s="509">
        <f>'CUSTOMERS REPORT'!AD1228</f>
        <v>0</v>
      </c>
      <c r="M39" s="414">
        <f>'27'!M39+'28'!G39</f>
        <v>0</v>
      </c>
      <c r="N39" s="412">
        <f>'27'!N39+'28'!J39</f>
        <v>0</v>
      </c>
      <c r="P39" s="373" t="s">
        <v>109</v>
      </c>
      <c r="Q39" s="445">
        <f>'27'!Q39+'28'!Q25+'28'!Q26+'28'!Q27+'28'!Q28+'28'!Q29+'28'!Q30+'28'!Q31</f>
        <v>0</v>
      </c>
      <c r="R39" t="s">
        <v>1</v>
      </c>
      <c r="S39" s="400">
        <f>'27'!S39</f>
        <v>0</v>
      </c>
      <c r="T39" s="446">
        <f>'27'!X39</f>
        <v>0</v>
      </c>
      <c r="U39" s="456"/>
      <c r="V39" s="451">
        <f t="shared" si="0"/>
        <v>0</v>
      </c>
      <c r="W39" s="452"/>
      <c r="X39" s="448">
        <f t="shared" si="1"/>
        <v>0</v>
      </c>
      <c r="Z39" s="375">
        <f>'27'!Z39</f>
        <v>0</v>
      </c>
      <c r="AA39" s="464">
        <f>'27'!AE39</f>
        <v>0</v>
      </c>
      <c r="AB39" s="460"/>
      <c r="AC39" s="462">
        <f t="shared" si="2"/>
        <v>0</v>
      </c>
      <c r="AD39" s="469"/>
      <c r="AE39" s="348">
        <f t="shared" si="3"/>
        <v>0</v>
      </c>
      <c r="AF39" s="563">
        <f>'27'!AF39+'28'!AB39</f>
        <v>0</v>
      </c>
      <c r="AG39" s="234">
        <f>'27'!AG39+'28'!AD39</f>
        <v>0</v>
      </c>
    </row>
    <row r="40" spans="1:40" ht="27" customHeight="1" thickBot="1">
      <c r="A40" s="715" t="str">
        <f>'27'!A40</f>
        <v>ASSETS</v>
      </c>
      <c r="B40" s="234"/>
      <c r="C40" s="348">
        <f>'27'!D40</f>
        <v>0</v>
      </c>
      <c r="D40" s="550">
        <f t="shared" si="9"/>
        <v>0</v>
      </c>
      <c r="F40" s="479" t="str">
        <f>'27'!F40</f>
        <v>IBRAHEEM D.G KHAN</v>
      </c>
      <c r="G40" s="406">
        <f>'CUSTOMERS REPORT'!Y1265</f>
        <v>0</v>
      </c>
      <c r="H40" s="504">
        <f>'CUSTOMERS REPORT'!Z1265</f>
        <v>0</v>
      </c>
      <c r="I40" s="406">
        <f>'CUSTOMERS REPORT'!AA1265</f>
        <v>0</v>
      </c>
      <c r="J40" s="498">
        <f>'CUSTOMERS REPORT'!AB1265</f>
        <v>0</v>
      </c>
      <c r="K40" s="498">
        <f>'CUSTOMERS REPORT'!AC1265</f>
        <v>0</v>
      </c>
      <c r="L40" s="509">
        <f>'CUSTOMERS REPORT'!AD1265</f>
        <v>0</v>
      </c>
      <c r="M40" s="414">
        <f>'27'!M40+'28'!G40</f>
        <v>0</v>
      </c>
      <c r="N40" s="412">
        <f>'27'!N40+'28'!J40</f>
        <v>0</v>
      </c>
      <c r="P40" s="374" t="s">
        <v>155</v>
      </c>
      <c r="Q40" s="445">
        <f>Q48</f>
        <v>-4818050</v>
      </c>
      <c r="S40" s="400">
        <f>'27'!S40</f>
        <v>0</v>
      </c>
      <c r="T40" s="446">
        <f>'27'!X40</f>
        <v>0</v>
      </c>
      <c r="U40" s="456"/>
      <c r="V40" s="451">
        <f t="shared" si="0"/>
        <v>0</v>
      </c>
      <c r="W40" s="452"/>
      <c r="X40" s="448">
        <f t="shared" si="1"/>
        <v>0</v>
      </c>
      <c r="Z40" s="375">
        <f>'27'!Z40</f>
        <v>0</v>
      </c>
      <c r="AA40" s="464">
        <f>'27'!AE40</f>
        <v>0</v>
      </c>
      <c r="AB40" s="460"/>
      <c r="AC40" s="462">
        <f t="shared" si="2"/>
        <v>0</v>
      </c>
      <c r="AD40" s="469"/>
      <c r="AE40" s="348">
        <f t="shared" si="3"/>
        <v>0</v>
      </c>
      <c r="AF40" s="563">
        <f>'27'!AF40+'28'!AB40</f>
        <v>0</v>
      </c>
      <c r="AG40" s="234">
        <f>'27'!AG40+'28'!AD40</f>
        <v>0</v>
      </c>
    </row>
    <row r="41" spans="1:40" ht="27" customHeight="1" thickTop="1" thickBot="1">
      <c r="A41" s="715" t="str">
        <f>'27'!A41</f>
        <v>BIKE.INSTALMINT</v>
      </c>
      <c r="B41" s="234"/>
      <c r="C41" s="548">
        <f>'27'!D41</f>
        <v>12200</v>
      </c>
      <c r="D41" s="234">
        <f t="shared" si="9"/>
        <v>12200</v>
      </c>
      <c r="E41" t="s">
        <v>1</v>
      </c>
      <c r="F41" s="479" t="str">
        <f>'27'!F41</f>
        <v>PISHAWAR</v>
      </c>
      <c r="G41" s="409">
        <f>'CUSTOMERS REPORT'!Y1302</f>
        <v>0</v>
      </c>
      <c r="H41" s="507">
        <f>'CUSTOMERS REPORT'!Z1302</f>
        <v>0</v>
      </c>
      <c r="I41" s="409">
        <f>'CUSTOMERS REPORT'!AA1302</f>
        <v>0</v>
      </c>
      <c r="J41" s="501">
        <f>'CUSTOMERS REPORT'!AB1302</f>
        <v>0</v>
      </c>
      <c r="K41" s="501">
        <f>'CUSTOMERS REPORT'!AC1302</f>
        <v>0</v>
      </c>
      <c r="L41" s="512">
        <f>'CUSTOMERS REPORT'!AD1302</f>
        <v>0</v>
      </c>
      <c r="M41" s="414">
        <f>'27'!M41+'28'!G41</f>
        <v>0</v>
      </c>
      <c r="N41" s="412">
        <f>'27'!N41+'28'!J41</f>
        <v>0</v>
      </c>
      <c r="P41" s="221" t="s">
        <v>51</v>
      </c>
      <c r="Q41" s="223">
        <f>Q37-Q38-Q39-Q40</f>
        <v>0</v>
      </c>
      <c r="S41" s="400">
        <f>'27'!S41</f>
        <v>0</v>
      </c>
      <c r="T41" s="446">
        <f>'27'!X41</f>
        <v>0</v>
      </c>
      <c r="U41" s="456"/>
      <c r="V41" s="451">
        <f t="shared" si="0"/>
        <v>0</v>
      </c>
      <c r="W41" s="452"/>
      <c r="X41" s="448">
        <f t="shared" si="1"/>
        <v>0</v>
      </c>
      <c r="Z41" s="375">
        <f>'27'!Z41</f>
        <v>0</v>
      </c>
      <c r="AA41" s="464">
        <f>'27'!AE41</f>
        <v>0</v>
      </c>
      <c r="AB41" s="460"/>
      <c r="AC41" s="462">
        <f t="shared" si="2"/>
        <v>0</v>
      </c>
      <c r="AD41" s="469"/>
      <c r="AE41" s="348">
        <f t="shared" si="3"/>
        <v>0</v>
      </c>
      <c r="AF41" s="563">
        <f>'27'!AF41+'28'!AB41</f>
        <v>0</v>
      </c>
      <c r="AG41" s="234">
        <f>'27'!AG41+'28'!AD41</f>
        <v>0</v>
      </c>
    </row>
    <row r="42" spans="1:40" ht="27" customHeight="1" thickTop="1" thickBot="1">
      <c r="A42" s="715" t="str">
        <f>'27'!A42</f>
        <v>B.C</v>
      </c>
      <c r="B42" s="529">
        <f>150000+50000</f>
        <v>200000</v>
      </c>
      <c r="C42" s="348">
        <f>'27'!D42</f>
        <v>0</v>
      </c>
      <c r="D42" s="529">
        <f t="shared" si="9"/>
        <v>200000</v>
      </c>
      <c r="F42" s="479" t="str">
        <f>'27'!F42</f>
        <v>HUZAFA KOTRI</v>
      </c>
      <c r="G42" s="409">
        <f>'CUSTOMERS REPORT'!Y1339</f>
        <v>0</v>
      </c>
      <c r="H42" s="507">
        <f>'CUSTOMERS REPORT'!Z1339</f>
        <v>0</v>
      </c>
      <c r="I42" s="409">
        <f>'CUSTOMERS REPORT'!AA1339</f>
        <v>0</v>
      </c>
      <c r="J42" s="501">
        <f>'CUSTOMERS REPORT'!AB1339</f>
        <v>0</v>
      </c>
      <c r="K42" s="501">
        <f>'CUSTOMERS REPORT'!AC1339</f>
        <v>0</v>
      </c>
      <c r="L42" s="512">
        <f>'CUSTOMERS REPORT'!AD1339</f>
        <v>0</v>
      </c>
      <c r="M42" s="414">
        <f>'27'!M42+'28'!G42</f>
        <v>0</v>
      </c>
      <c r="N42" s="412">
        <f>'27'!N42+'28'!J42</f>
        <v>0</v>
      </c>
      <c r="P42" s="1499" t="s">
        <v>157</v>
      </c>
      <c r="Q42" s="1500"/>
      <c r="S42" s="400">
        <f>'27'!S42</f>
        <v>0</v>
      </c>
      <c r="T42" s="446">
        <f>'27'!X42</f>
        <v>0</v>
      </c>
      <c r="U42" s="458"/>
      <c r="V42" s="453">
        <f t="shared" si="0"/>
        <v>0</v>
      </c>
      <c r="W42" s="454"/>
      <c r="X42" s="449">
        <f t="shared" si="1"/>
        <v>0</v>
      </c>
      <c r="Z42" s="375">
        <f>'27'!Z42</f>
        <v>0</v>
      </c>
      <c r="AA42" s="464">
        <f>'27'!AE42</f>
        <v>0</v>
      </c>
      <c r="AB42" s="461"/>
      <c r="AC42" s="462">
        <f>AA42+AB42</f>
        <v>0</v>
      </c>
      <c r="AD42" s="470"/>
      <c r="AE42" s="348">
        <f t="shared" si="3"/>
        <v>0</v>
      </c>
      <c r="AF42" s="564">
        <f>'27'!AF42+'28'!AB42</f>
        <v>0</v>
      </c>
      <c r="AG42" s="572">
        <f>'27'!AG42+'28'!AD42</f>
        <v>0</v>
      </c>
    </row>
    <row r="43" spans="1:40" ht="27" customHeight="1" thickTop="1" thickBot="1">
      <c r="A43" s="715" t="str">
        <f>'27'!A43</f>
        <v>AQEEL</v>
      </c>
      <c r="B43" s="539"/>
      <c r="C43" s="348">
        <f>'27'!D43</f>
        <v>0</v>
      </c>
      <c r="D43" s="529">
        <f t="shared" si="9"/>
        <v>0</v>
      </c>
      <c r="F43" s="479" t="str">
        <f>'27'!F43</f>
        <v>ZAHID LAHORE</v>
      </c>
      <c r="G43" s="409">
        <f>'CUSTOMERS REPORT'!Y1376</f>
        <v>0</v>
      </c>
      <c r="H43" s="507">
        <f>'CUSTOMERS REPORT'!Z1376</f>
        <v>0</v>
      </c>
      <c r="I43" s="409">
        <f>'CUSTOMERS REPORT'!AA1376</f>
        <v>0</v>
      </c>
      <c r="J43" s="501">
        <f>'CUSTOMERS REPORT'!AB1376</f>
        <v>0</v>
      </c>
      <c r="K43" s="501">
        <f>'CUSTOMERS REPORT'!AC1376</f>
        <v>0</v>
      </c>
      <c r="L43" s="512">
        <f>'CUSTOMERS REPORT'!AD1376</f>
        <v>0</v>
      </c>
      <c r="M43" s="414">
        <f>'27'!M43+'28'!G43</f>
        <v>0</v>
      </c>
      <c r="N43" s="412">
        <f>'27'!N43+'28'!J43</f>
        <v>0</v>
      </c>
      <c r="P43" s="220" t="s">
        <v>124</v>
      </c>
      <c r="Q43" s="223">
        <f>'27'!Q48</f>
        <v>-4210090</v>
      </c>
      <c r="R43" t="s">
        <v>1</v>
      </c>
      <c r="S43" s="400">
        <f>'27'!S43</f>
        <v>0</v>
      </c>
      <c r="T43" s="446">
        <f>'27'!X43</f>
        <v>0</v>
      </c>
      <c r="U43" s="358"/>
      <c r="V43" s="453">
        <f t="shared" si="0"/>
        <v>0</v>
      </c>
      <c r="W43" s="403"/>
      <c r="X43" s="449">
        <f t="shared" si="1"/>
        <v>0</v>
      </c>
      <c r="Z43" s="383"/>
      <c r="AA43" s="356">
        <f>SUM(AA8:AA42)</f>
        <v>-1986350</v>
      </c>
      <c r="AB43" s="385">
        <f>SUM(AB8:AB42)</f>
        <v>70800</v>
      </c>
      <c r="AC43" s="357" t="s">
        <v>74</v>
      </c>
      <c r="AD43" s="387">
        <f>SUM(AD8:AD42)</f>
        <v>70800</v>
      </c>
      <c r="AE43" s="358">
        <f>SUM(AE8:AE42)</f>
        <v>-1986350</v>
      </c>
      <c r="AF43" s="565">
        <f>SUM(AF8:AF42)</f>
        <v>1501950</v>
      </c>
      <c r="AG43" s="571">
        <f>SUM(AG8:AG42)</f>
        <v>3488300</v>
      </c>
    </row>
    <row r="44" spans="1:40" ht="27" customHeight="1" thickTop="1">
      <c r="A44" s="715" t="str">
        <f>'27'!A44</f>
        <v>M.YOUSUF</v>
      </c>
      <c r="B44" s="234">
        <v>20000</v>
      </c>
      <c r="C44" s="348">
        <f>'27'!D44</f>
        <v>65100</v>
      </c>
      <c r="D44" s="234">
        <f t="shared" si="9"/>
        <v>85100</v>
      </c>
      <c r="F44" s="479" t="str">
        <f>'27'!F44</f>
        <v>CASH SALE</v>
      </c>
      <c r="G44" s="409">
        <f>'CUSTOMERS REPORT'!Y1413</f>
        <v>0</v>
      </c>
      <c r="H44" s="507">
        <f>'CUSTOMERS REPORT'!Z1413</f>
        <v>0</v>
      </c>
      <c r="I44" s="409">
        <f>'CUSTOMERS REPORT'!AA1413</f>
        <v>0</v>
      </c>
      <c r="J44" s="501">
        <f>'CUSTOMERS REPORT'!AB1413</f>
        <v>0</v>
      </c>
      <c r="K44" s="501">
        <f>'CUSTOMERS REPORT'!AC1413</f>
        <v>0</v>
      </c>
      <c r="L44" s="512">
        <f>'CUSTOMERS REPORT'!AD1413</f>
        <v>0</v>
      </c>
      <c r="M44" s="414">
        <f>'27'!M44+'28'!G44</f>
        <v>0</v>
      </c>
      <c r="N44" s="412">
        <f>'27'!N44+'28'!J44</f>
        <v>0</v>
      </c>
      <c r="P44" s="222" t="s">
        <v>114</v>
      </c>
      <c r="Q44" s="377">
        <f>J46</f>
        <v>0</v>
      </c>
      <c r="S44" s="400"/>
      <c r="T44" s="348"/>
      <c r="U44" s="306"/>
      <c r="V44" s="349"/>
      <c r="W44" s="351"/>
      <c r="X44" s="350"/>
      <c r="Z44" s="375"/>
      <c r="AA44" s="339"/>
      <c r="AB44" s="386">
        <f>'27'!AB45</f>
        <v>1431150</v>
      </c>
      <c r="AC44" s="340" t="s">
        <v>126</v>
      </c>
      <c r="AD44" s="388">
        <f>'27'!AD45</f>
        <v>3417500</v>
      </c>
      <c r="AE44" s="341"/>
      <c r="AF44" s="561"/>
      <c r="AG44" s="83" t="s">
        <v>1</v>
      </c>
    </row>
    <row r="45" spans="1:40" ht="27" customHeight="1" thickBot="1">
      <c r="A45" s="715" t="str">
        <f>'27'!A45</f>
        <v>SHAKEEL</v>
      </c>
      <c r="B45" s="234"/>
      <c r="C45" s="348">
        <f>'27'!D45</f>
        <v>77210</v>
      </c>
      <c r="D45" s="234">
        <f t="shared" si="9"/>
        <v>77210</v>
      </c>
      <c r="F45" s="479" t="str">
        <f>'27'!F45</f>
        <v xml:space="preserve">FREE </v>
      </c>
      <c r="G45" s="410">
        <f>'CUSTOMERS REPORT'!Y1449</f>
        <v>0</v>
      </c>
      <c r="H45" s="362">
        <f>'CUSTOMERS REPORT'!Z1449</f>
        <v>0</v>
      </c>
      <c r="I45" s="410">
        <f>'CUSTOMERS REPORT'!AA1449</f>
        <v>0</v>
      </c>
      <c r="J45" s="502">
        <f>'CUSTOMERS REPORT'!AB1449</f>
        <v>0</v>
      </c>
      <c r="K45" s="502">
        <f>'CUSTOMERS REPORT'!AC1449</f>
        <v>0</v>
      </c>
      <c r="L45" s="513">
        <f>'CUSTOMERS REPORT'!AD1449</f>
        <v>0</v>
      </c>
      <c r="M45" s="414">
        <f>'27'!M45+'28'!G45</f>
        <v>0</v>
      </c>
      <c r="N45" s="412">
        <f>'27'!N45+'28'!J45</f>
        <v>0</v>
      </c>
      <c r="P45" s="222" t="s">
        <v>153</v>
      </c>
      <c r="Q45" s="378">
        <f>Q43+Q44</f>
        <v>-4210090</v>
      </c>
      <c r="S45" s="401"/>
      <c r="T45" s="352"/>
      <c r="U45" s="307"/>
      <c r="V45" s="353"/>
      <c r="W45" s="354"/>
      <c r="X45" s="355"/>
      <c r="Z45" s="384"/>
      <c r="AA45" s="359"/>
      <c r="AB45" s="390">
        <f>SUM(AB43:AB44)</f>
        <v>1501950</v>
      </c>
      <c r="AC45" s="360" t="s">
        <v>74</v>
      </c>
      <c r="AD45" s="389">
        <f>SUM(AD43:AD44)</f>
        <v>3488300</v>
      </c>
      <c r="AE45" s="361"/>
      <c r="AF45" s="562"/>
      <c r="AG45" s="573"/>
    </row>
    <row r="46" spans="1:40" ht="27" customHeight="1" thickTop="1" thickBot="1">
      <c r="A46" s="715" t="str">
        <f>'27'!A46</f>
        <v>ZAHID HUSSAN</v>
      </c>
      <c r="B46" s="234"/>
      <c r="C46" s="348">
        <f>'27'!D46</f>
        <v>0</v>
      </c>
      <c r="D46" s="234">
        <f t="shared" si="9"/>
        <v>0</v>
      </c>
      <c r="F46" s="369"/>
      <c r="G46" s="424">
        <f>SUM(G8:G45)</f>
        <v>0</v>
      </c>
      <c r="H46" s="1497" t="s">
        <v>160</v>
      </c>
      <c r="I46" s="1498"/>
      <c r="J46" s="421">
        <f>SUM(J8:J45)</f>
        <v>0</v>
      </c>
      <c r="K46" s="427">
        <f>SUM(K8:K45)</f>
        <v>0</v>
      </c>
      <c r="L46" s="431">
        <f>SUM(L8:L45)</f>
        <v>0</v>
      </c>
      <c r="M46" s="429">
        <f>SUM(M8:M45)</f>
        <v>0</v>
      </c>
      <c r="N46" s="430">
        <f>SUM(N8:N45)</f>
        <v>0</v>
      </c>
      <c r="P46" s="222" t="s">
        <v>154</v>
      </c>
      <c r="Q46" s="378">
        <f>B48</f>
        <v>607960</v>
      </c>
    </row>
    <row r="47" spans="1:40" ht="27" customHeight="1" thickBot="1">
      <c r="A47" s="715" t="str">
        <f>'27'!A47</f>
        <v xml:space="preserve">INVESTOR </v>
      </c>
      <c r="B47" s="540"/>
      <c r="C47" s="348">
        <f>'27'!D47</f>
        <v>0</v>
      </c>
      <c r="D47" s="542">
        <f t="shared" si="9"/>
        <v>0</v>
      </c>
      <c r="F47" s="370"/>
      <c r="G47" s="425">
        <f>'27'!G48</f>
        <v>0</v>
      </c>
      <c r="H47" s="1512" t="s">
        <v>162</v>
      </c>
      <c r="I47" s="1513"/>
      <c r="J47" s="423">
        <f>'27'!J48</f>
        <v>0</v>
      </c>
      <c r="K47" s="423">
        <f>'27'!K48</f>
        <v>0</v>
      </c>
      <c r="L47" s="343"/>
      <c r="M47" s="344"/>
      <c r="N47" s="345"/>
      <c r="P47" s="375" t="s">
        <v>163</v>
      </c>
      <c r="Q47" s="378">
        <f>Q9+Q10+Q19+Q20+Q21+Q22</f>
        <v>0</v>
      </c>
      <c r="R47" s="19"/>
      <c r="S47" s="1489" t="s">
        <v>92</v>
      </c>
      <c r="T47" s="1516" t="s">
        <v>95</v>
      </c>
      <c r="U47" s="1518"/>
      <c r="V47" s="1518"/>
      <c r="W47" s="1517"/>
      <c r="X47" s="1516" t="s">
        <v>7</v>
      </c>
      <c r="Y47" s="1518"/>
      <c r="Z47" s="1517"/>
      <c r="AA47" s="1516" t="s">
        <v>8</v>
      </c>
      <c r="AB47" s="1517"/>
      <c r="AC47" s="1516" t="s">
        <v>9</v>
      </c>
      <c r="AD47" s="1518"/>
      <c r="AE47" s="1518"/>
      <c r="AF47" s="1518"/>
      <c r="AG47" s="1518"/>
      <c r="AH47" s="1518"/>
      <c r="AI47" s="1518"/>
      <c r="AJ47" s="1405" t="s">
        <v>10</v>
      </c>
      <c r="AK47" s="1406"/>
      <c r="AL47" s="1400" t="s">
        <v>289</v>
      </c>
      <c r="AM47" s="1401"/>
      <c r="AN47" s="842" t="s">
        <v>290</v>
      </c>
    </row>
    <row r="48" spans="1:40" ht="27" customHeight="1" thickTop="1" thickBot="1">
      <c r="A48" s="192" t="s">
        <v>74</v>
      </c>
      <c r="B48" s="544">
        <f>SUM(B22:B47)</f>
        <v>607960</v>
      </c>
      <c r="C48" s="543">
        <f>'27'!D48</f>
        <v>4210090</v>
      </c>
      <c r="D48" s="544">
        <f t="shared" si="9"/>
        <v>4818050</v>
      </c>
      <c r="F48" s="371"/>
      <c r="G48" s="426">
        <f>G46+G47</f>
        <v>0</v>
      </c>
      <c r="H48" s="1495" t="s">
        <v>164</v>
      </c>
      <c r="I48" s="1496"/>
      <c r="J48" s="422">
        <f>J46+J47</f>
        <v>0</v>
      </c>
      <c r="K48" s="428">
        <f>K46+K47</f>
        <v>0</v>
      </c>
      <c r="L48" s="346"/>
      <c r="M48" s="347"/>
      <c r="N48" s="622">
        <f>G48-J48</f>
        <v>0</v>
      </c>
      <c r="P48" s="376" t="s">
        <v>155</v>
      </c>
      <c r="Q48" s="379">
        <f>Q45-Q46-Q47</f>
        <v>-4818050</v>
      </c>
      <c r="R48" s="19"/>
      <c r="S48" s="1490"/>
      <c r="T48" s="482" t="s">
        <v>12</v>
      </c>
      <c r="U48" s="482" t="s">
        <v>13</v>
      </c>
      <c r="V48" s="482" t="s">
        <v>14</v>
      </c>
      <c r="W48" s="958" t="s">
        <v>263</v>
      </c>
      <c r="X48" s="482" t="s">
        <v>12</v>
      </c>
      <c r="Y48" s="482" t="s">
        <v>13</v>
      </c>
      <c r="Z48" s="482" t="s">
        <v>282</v>
      </c>
      <c r="AA48" s="482" t="s">
        <v>12</v>
      </c>
      <c r="AB48" s="482" t="s">
        <v>16</v>
      </c>
      <c r="AC48" s="482" t="s">
        <v>17</v>
      </c>
      <c r="AD48" s="482" t="s">
        <v>18</v>
      </c>
      <c r="AE48" s="482" t="s">
        <v>19</v>
      </c>
      <c r="AF48" s="484" t="s">
        <v>96</v>
      </c>
      <c r="AG48" s="484" t="s">
        <v>257</v>
      </c>
      <c r="AH48" s="482" t="s">
        <v>254</v>
      </c>
      <c r="AI48" s="482" t="s">
        <v>20</v>
      </c>
      <c r="AJ48" s="483" t="s">
        <v>14</v>
      </c>
      <c r="AK48" s="482" t="s">
        <v>13</v>
      </c>
      <c r="AL48" s="846" t="s">
        <v>284</v>
      </c>
      <c r="AM48" s="846" t="s">
        <v>288</v>
      </c>
      <c r="AN48" s="966" t="s">
        <v>291</v>
      </c>
    </row>
    <row r="49" spans="1:40" ht="24.95" customHeight="1" thickTop="1" thickBot="1">
      <c r="Q49" s="111">
        <f>Q48+Q41</f>
        <v>-4818050</v>
      </c>
      <c r="R49" s="19"/>
      <c r="S49" s="865" t="s">
        <v>165</v>
      </c>
      <c r="T49" s="866">
        <f>'27'!T55</f>
        <v>62</v>
      </c>
      <c r="U49" s="866">
        <f>'27'!U55</f>
        <v>0</v>
      </c>
      <c r="V49" s="866">
        <f>'27'!V55</f>
        <v>123</v>
      </c>
      <c r="W49" s="866">
        <f>'27'!W55</f>
        <v>19</v>
      </c>
      <c r="X49" s="866">
        <f>'27'!X55</f>
        <v>0</v>
      </c>
      <c r="Y49" s="866">
        <f>'27'!Y55</f>
        <v>0</v>
      </c>
      <c r="Z49" s="866">
        <f>'27'!Z55</f>
        <v>-3</v>
      </c>
      <c r="AA49" s="866">
        <f>'27'!AA55</f>
        <v>5032</v>
      </c>
      <c r="AB49" s="866">
        <f>'27'!AB55</f>
        <v>160</v>
      </c>
      <c r="AC49" s="866">
        <f>'27'!AC55</f>
        <v>3050</v>
      </c>
      <c r="AD49" s="866">
        <f>'27'!AD55</f>
        <v>1166</v>
      </c>
      <c r="AE49" s="866">
        <f>'27'!AE55</f>
        <v>0</v>
      </c>
      <c r="AF49" s="866">
        <f>'27'!AF55</f>
        <v>3492</v>
      </c>
      <c r="AG49" s="866">
        <f>'27'!AG55</f>
        <v>1084</v>
      </c>
      <c r="AH49" s="866">
        <f>'27'!AH55</f>
        <v>2011</v>
      </c>
      <c r="AI49" s="866">
        <f>'27'!AI55</f>
        <v>631</v>
      </c>
      <c r="AJ49" s="866">
        <f>'27'!AJ55</f>
        <v>0</v>
      </c>
      <c r="AK49" s="866">
        <f>'27'!AK55</f>
        <v>62</v>
      </c>
      <c r="AL49" s="866" t="e">
        <f>'27'!AL55</f>
        <v>#VALUE!</v>
      </c>
      <c r="AM49" s="866" t="e">
        <f>'27'!AM55</f>
        <v>#VALUE!</v>
      </c>
      <c r="AN49" s="866" t="e">
        <f>'27'!AN55</f>
        <v>#VALUE!</v>
      </c>
    </row>
    <row r="50" spans="1:40" ht="24.95" customHeight="1" thickBot="1">
      <c r="C50" t="s">
        <v>1</v>
      </c>
      <c r="L50" s="417">
        <v>5000</v>
      </c>
      <c r="M50" s="417"/>
      <c r="N50" s="417">
        <f t="shared" ref="N50:N57" si="10">L50*M50</f>
        <v>0</v>
      </c>
      <c r="R50" s="19"/>
      <c r="S50" s="854" t="s">
        <v>166</v>
      </c>
      <c r="T50" s="852"/>
      <c r="U50" s="852"/>
      <c r="V50" s="852">
        <v>62</v>
      </c>
      <c r="W50" s="852"/>
      <c r="X50" s="852"/>
      <c r="Y50" s="852"/>
      <c r="Z50" s="852">
        <v>528</v>
      </c>
      <c r="AA50" s="852">
        <v>600</v>
      </c>
      <c r="AB50" s="852"/>
      <c r="AC50" s="852">
        <v>170</v>
      </c>
      <c r="AD50" s="852">
        <v>126</v>
      </c>
      <c r="AE50" s="852"/>
      <c r="AF50" s="855">
        <v>260</v>
      </c>
      <c r="AG50" s="852"/>
      <c r="AH50" s="852"/>
      <c r="AI50" s="848"/>
      <c r="AJ50" s="848"/>
      <c r="AK50" s="848">
        <v>61</v>
      </c>
      <c r="AL50" s="849"/>
      <c r="AM50" s="850"/>
      <c r="AN50" s="930"/>
    </row>
    <row r="51" spans="1:40" ht="24.95" customHeight="1" thickBot="1">
      <c r="L51" s="417">
        <v>1000</v>
      </c>
      <c r="M51" s="417">
        <v>26</v>
      </c>
      <c r="N51" s="417">
        <f t="shared" si="10"/>
        <v>26000</v>
      </c>
      <c r="R51" s="19"/>
      <c r="S51" s="867" t="s">
        <v>91</v>
      </c>
      <c r="T51" s="868"/>
      <c r="U51" s="868"/>
      <c r="V51" s="868">
        <v>1</v>
      </c>
      <c r="W51" s="868"/>
      <c r="X51" s="868"/>
      <c r="Y51" s="868"/>
      <c r="Z51" s="868"/>
      <c r="AA51" s="868"/>
      <c r="AB51" s="868"/>
      <c r="AC51" s="868"/>
      <c r="AD51" s="868"/>
      <c r="AE51" s="868"/>
      <c r="AF51" s="869"/>
      <c r="AG51" s="868">
        <v>2</v>
      </c>
      <c r="AH51" s="870"/>
      <c r="AI51" s="868"/>
      <c r="AJ51" s="868"/>
      <c r="AK51" s="849"/>
      <c r="AL51" s="849"/>
      <c r="AM51" s="850"/>
      <c r="AN51" s="850"/>
    </row>
    <row r="52" spans="1:40" ht="24.95" customHeight="1" thickBot="1">
      <c r="L52" s="417">
        <v>500</v>
      </c>
      <c r="M52" s="417">
        <v>62</v>
      </c>
      <c r="N52" s="417">
        <f t="shared" si="10"/>
        <v>31000</v>
      </c>
      <c r="O52" t="s">
        <v>1</v>
      </c>
      <c r="R52" s="19"/>
      <c r="S52" s="856" t="s">
        <v>167</v>
      </c>
      <c r="T52" s="857"/>
      <c r="U52" s="857"/>
      <c r="V52" s="857"/>
      <c r="W52" s="857"/>
      <c r="X52" s="857"/>
      <c r="Y52" s="857"/>
      <c r="Z52" s="857"/>
      <c r="AA52" s="857"/>
      <c r="AB52" s="857"/>
      <c r="AC52" s="857"/>
      <c r="AD52" s="857"/>
      <c r="AE52" s="857"/>
      <c r="AF52" s="858"/>
      <c r="AG52" s="859"/>
      <c r="AH52" s="860"/>
      <c r="AI52" s="851"/>
      <c r="AJ52" s="851"/>
      <c r="AK52" s="849"/>
      <c r="AL52" s="849"/>
      <c r="AM52" s="850"/>
      <c r="AN52" s="850"/>
    </row>
    <row r="53" spans="1:40" ht="24.95" customHeight="1" thickBot="1">
      <c r="L53" s="417">
        <v>100</v>
      </c>
      <c r="M53" s="417">
        <v>200</v>
      </c>
      <c r="N53" s="417">
        <f t="shared" si="10"/>
        <v>20000</v>
      </c>
      <c r="R53" s="19"/>
      <c r="S53" s="871" t="s">
        <v>81</v>
      </c>
      <c r="T53" s="866">
        <f t="shared" ref="T53:AB53" si="11">SUM(T49+T50+T52)</f>
        <v>62</v>
      </c>
      <c r="U53" s="866">
        <f t="shared" si="11"/>
        <v>0</v>
      </c>
      <c r="V53" s="866">
        <f t="shared" si="11"/>
        <v>185</v>
      </c>
      <c r="W53" s="866">
        <f t="shared" si="11"/>
        <v>19</v>
      </c>
      <c r="X53" s="866">
        <f t="shared" si="11"/>
        <v>0</v>
      </c>
      <c r="Y53" s="866">
        <f t="shared" si="11"/>
        <v>0</v>
      </c>
      <c r="Z53" s="866">
        <f t="shared" si="11"/>
        <v>525</v>
      </c>
      <c r="AA53" s="866">
        <f t="shared" si="11"/>
        <v>5632</v>
      </c>
      <c r="AB53" s="866">
        <f t="shared" si="11"/>
        <v>160</v>
      </c>
      <c r="AC53" s="866">
        <f t="shared" ref="AC53:AM53" si="12">SUM(AC49+AC50+AC52)</f>
        <v>3220</v>
      </c>
      <c r="AD53" s="866">
        <f t="shared" si="12"/>
        <v>1292</v>
      </c>
      <c r="AE53" s="866">
        <f t="shared" si="12"/>
        <v>0</v>
      </c>
      <c r="AF53" s="866">
        <f t="shared" si="12"/>
        <v>3752</v>
      </c>
      <c r="AG53" s="866">
        <f t="shared" si="12"/>
        <v>1084</v>
      </c>
      <c r="AH53" s="866">
        <f t="shared" si="12"/>
        <v>2011</v>
      </c>
      <c r="AI53" s="866">
        <f t="shared" si="12"/>
        <v>631</v>
      </c>
      <c r="AJ53" s="866">
        <f t="shared" si="12"/>
        <v>0</v>
      </c>
      <c r="AK53" s="866">
        <f t="shared" si="12"/>
        <v>123</v>
      </c>
      <c r="AL53" s="866" t="e">
        <f t="shared" si="12"/>
        <v>#VALUE!</v>
      </c>
      <c r="AM53" s="872" t="e">
        <f t="shared" si="12"/>
        <v>#VALUE!</v>
      </c>
      <c r="AN53" s="872" t="e">
        <f t="shared" ref="AN53" si="13">SUM(AN49+AN50+AN52)</f>
        <v>#VALUE!</v>
      </c>
    </row>
    <row r="54" spans="1:40" ht="24.95" customHeight="1" thickBot="1">
      <c r="L54" s="417">
        <v>50</v>
      </c>
      <c r="M54" s="417">
        <v>210</v>
      </c>
      <c r="N54" s="417">
        <f t="shared" si="10"/>
        <v>10500</v>
      </c>
      <c r="R54" s="19"/>
      <c r="S54" s="854" t="s">
        <v>168</v>
      </c>
      <c r="T54" s="852">
        <f>'CUSTOMERS REPORT'!B35+'CUSTOMERS REPORT'!B81+'CUSTOMERS REPORT'!B119+'CUSTOMERS REPORT'!B158+'CUSTOMERS REPORT'!B196+'CUSTOMERS REPORT'!B236+'CUSTOMERS REPORT'!B273+'CUSTOMERS REPORT'!B313+'CUSTOMERS REPORT'!B354+'CUSTOMERS REPORT'!B396+'CUSTOMERS REPORT'!B435+'CUSTOMERS REPORT'!B473+'CUSTOMERS REPORT'!B509+'CUSTOMERS REPORT'!B546+'CUSTOMERS REPORT'!B584+'CUSTOMERS REPORT'!B620+'CUSTOMERS REPORT'!B658+'CUSTOMERS REPORT'!B696+'CUSTOMERS REPORT'!B734+'CUSTOMERS REPORT'!B772+'CUSTOMERS REPORT'!B810+'CUSTOMERS REPORT'!B848+'CUSTOMERS REPORT'!B886+'CUSTOMERS REPORT'!B925+'CUSTOMERS REPORT'!B964+'CUSTOMERS REPORT'!B1002+'CUSTOMERS REPORT'!B1040+'CUSTOMERS REPORT'!B1078+'CUSTOMERS REPORT'!B1116+'CUSTOMERS REPORT'!B1154+'CUSTOMERS REPORT'!B1191+'CUSTOMERS REPORT'!B1228+'CUSTOMERS REPORT'!B1265+'CUSTOMERS REPORT'!B1302+'CUSTOMERS REPORT'!B1339+'CUSTOMERS REPORT'!B1376+'CUSTOMERS REPORT'!B1413+'CUSTOMERS REPORT'!B1449</f>
        <v>0</v>
      </c>
      <c r="U54" s="852">
        <f>'CUSTOMERS REPORT'!C35+'CUSTOMERS REPORT'!C81+'CUSTOMERS REPORT'!C119+'CUSTOMERS REPORT'!C158+'CUSTOMERS REPORT'!C196+'CUSTOMERS REPORT'!C236+'CUSTOMERS REPORT'!C273+'CUSTOMERS REPORT'!C313+'CUSTOMERS REPORT'!C354+'CUSTOMERS REPORT'!C396+'CUSTOMERS REPORT'!C435+'CUSTOMERS REPORT'!C473+'CUSTOMERS REPORT'!C509+'CUSTOMERS REPORT'!C546+'CUSTOMERS REPORT'!C584+'CUSTOMERS REPORT'!C620+'CUSTOMERS REPORT'!C658+'CUSTOMERS REPORT'!C696+'CUSTOMERS REPORT'!C734+'CUSTOMERS REPORT'!C772+'CUSTOMERS REPORT'!C810+'CUSTOMERS REPORT'!C848+'CUSTOMERS REPORT'!C886+'CUSTOMERS REPORT'!C925+'CUSTOMERS REPORT'!C964+'CUSTOMERS REPORT'!C1002+'CUSTOMERS REPORT'!C1040+'CUSTOMERS REPORT'!C1078+'CUSTOMERS REPORT'!C1116+'CUSTOMERS REPORT'!C1154+'CUSTOMERS REPORT'!C1191+'CUSTOMERS REPORT'!C1228+'CUSTOMERS REPORT'!C1265+'CUSTOMERS REPORT'!C1302+'CUSTOMERS REPORT'!C1339+'CUSTOMERS REPORT'!C1376+'CUSTOMERS REPORT'!C1413+'CUSTOMERS REPORT'!C1449</f>
        <v>0</v>
      </c>
      <c r="V54" s="852">
        <f>'CUSTOMERS REPORT'!D35+'CUSTOMERS REPORT'!D81+'CUSTOMERS REPORT'!D119+'CUSTOMERS REPORT'!D158+'CUSTOMERS REPORT'!D196+'CUSTOMERS REPORT'!D236+'CUSTOMERS REPORT'!D273+'CUSTOMERS REPORT'!D313+'CUSTOMERS REPORT'!D354+'CUSTOMERS REPORT'!D396+'CUSTOMERS REPORT'!D435+'CUSTOMERS REPORT'!D473+'CUSTOMERS REPORT'!D509+'CUSTOMERS REPORT'!D546+'CUSTOMERS REPORT'!D584+'CUSTOMERS REPORT'!D620+'CUSTOMERS REPORT'!D658+'CUSTOMERS REPORT'!D696+'CUSTOMERS REPORT'!D734+'CUSTOMERS REPORT'!D772+'CUSTOMERS REPORT'!D810+'CUSTOMERS REPORT'!D848+'CUSTOMERS REPORT'!D886+'CUSTOMERS REPORT'!D925+'CUSTOMERS REPORT'!D964+'CUSTOMERS REPORT'!D1002+'CUSTOMERS REPORT'!D1040+'CUSTOMERS REPORT'!D1078+'CUSTOMERS REPORT'!D1116+'CUSTOMERS REPORT'!D1154+'CUSTOMERS REPORT'!D1191+'CUSTOMERS REPORT'!D1228+'CUSTOMERS REPORT'!D1265+'CUSTOMERS REPORT'!D1302+'CUSTOMERS REPORT'!D1339+'CUSTOMERS REPORT'!D1376+'CUSTOMERS REPORT'!D1413+'CUSTOMERS REPORT'!D1449</f>
        <v>0</v>
      </c>
      <c r="W54" s="852">
        <f>'CUSTOMERS REPORT'!E35+'CUSTOMERS REPORT'!E81+'CUSTOMERS REPORT'!E119+'CUSTOMERS REPORT'!E158+'CUSTOMERS REPORT'!E196+'CUSTOMERS REPORT'!E236+'CUSTOMERS REPORT'!E273+'CUSTOMERS REPORT'!E313+'CUSTOMERS REPORT'!E354+'CUSTOMERS REPORT'!E396+'CUSTOMERS REPORT'!E435+'CUSTOMERS REPORT'!E473+'CUSTOMERS REPORT'!E509+'CUSTOMERS REPORT'!E546+'CUSTOMERS REPORT'!E584+'CUSTOMERS REPORT'!E620+'CUSTOMERS REPORT'!E658+'CUSTOMERS REPORT'!E696+'CUSTOMERS REPORT'!E734+'CUSTOMERS REPORT'!E772+'CUSTOMERS REPORT'!E810+'CUSTOMERS REPORT'!E848+'CUSTOMERS REPORT'!E886+'CUSTOMERS REPORT'!E925+'CUSTOMERS REPORT'!E964+'CUSTOMERS REPORT'!E1002+'CUSTOMERS REPORT'!E1040+'CUSTOMERS REPORT'!E1078+'CUSTOMERS REPORT'!E1116+'CUSTOMERS REPORT'!E1154+'CUSTOMERS REPORT'!E1191+'CUSTOMERS REPORT'!E1228+'CUSTOMERS REPORT'!E1265+'CUSTOMERS REPORT'!E1302+'CUSTOMERS REPORT'!E1339+'CUSTOMERS REPORT'!E1376+'CUSTOMERS REPORT'!E1413+'CUSTOMERS REPORT'!E1449</f>
        <v>0</v>
      </c>
      <c r="X54" s="852">
        <f>'CUSTOMERS REPORT'!F35+'CUSTOMERS REPORT'!F81+'CUSTOMERS REPORT'!F119+'CUSTOMERS REPORT'!F158+'CUSTOMERS REPORT'!F196+'CUSTOMERS REPORT'!F236+'CUSTOMERS REPORT'!F273+'CUSTOMERS REPORT'!F313+'CUSTOMERS REPORT'!F354+'CUSTOMERS REPORT'!F396+'CUSTOMERS REPORT'!F435+'CUSTOMERS REPORT'!F473+'CUSTOMERS REPORT'!F509+'CUSTOMERS REPORT'!F546+'CUSTOMERS REPORT'!F584+'CUSTOMERS REPORT'!F620+'CUSTOMERS REPORT'!F658+'CUSTOMERS REPORT'!F696+'CUSTOMERS REPORT'!F734+'CUSTOMERS REPORT'!F772+'CUSTOMERS REPORT'!F810+'CUSTOMERS REPORT'!F848+'CUSTOMERS REPORT'!F886+'CUSTOMERS REPORT'!F925+'CUSTOMERS REPORT'!F964+'CUSTOMERS REPORT'!F1002+'CUSTOMERS REPORT'!F1040+'CUSTOMERS REPORT'!F1078+'CUSTOMERS REPORT'!F1116+'CUSTOMERS REPORT'!F1154+'CUSTOMERS REPORT'!F1191+'CUSTOMERS REPORT'!F1228+'CUSTOMERS REPORT'!F1265+'CUSTOMERS REPORT'!F1302+'CUSTOMERS REPORT'!F1339+'CUSTOMERS REPORT'!F1376+'CUSTOMERS REPORT'!F1413+'CUSTOMERS REPORT'!F1449</f>
        <v>0</v>
      </c>
      <c r="Y54" s="852">
        <f>'CUSTOMERS REPORT'!G35+'CUSTOMERS REPORT'!G81+'CUSTOMERS REPORT'!G119+'CUSTOMERS REPORT'!G158+'CUSTOMERS REPORT'!G196+'CUSTOMERS REPORT'!G236+'CUSTOMERS REPORT'!G273+'CUSTOMERS REPORT'!G313+'CUSTOMERS REPORT'!G354+'CUSTOMERS REPORT'!G396+'CUSTOMERS REPORT'!G435+'CUSTOMERS REPORT'!G473+'CUSTOMERS REPORT'!G509+'CUSTOMERS REPORT'!G546+'CUSTOMERS REPORT'!G584+'CUSTOMERS REPORT'!G620+'CUSTOMERS REPORT'!G658+'CUSTOMERS REPORT'!G696+'CUSTOMERS REPORT'!G734+'CUSTOMERS REPORT'!G772+'CUSTOMERS REPORT'!G810+'CUSTOMERS REPORT'!G848+'CUSTOMERS REPORT'!G886+'CUSTOMERS REPORT'!G925+'CUSTOMERS REPORT'!G964+'CUSTOMERS REPORT'!G1002+'CUSTOMERS REPORT'!G1040+'CUSTOMERS REPORT'!G1078+'CUSTOMERS REPORT'!G1116+'CUSTOMERS REPORT'!G1154+'CUSTOMERS REPORT'!G1191+'CUSTOMERS REPORT'!G1228+'CUSTOMERS REPORT'!G1265+'CUSTOMERS REPORT'!G1302+'CUSTOMERS REPORT'!G1339+'CUSTOMERS REPORT'!G1376+'CUSTOMERS REPORT'!G1413+'CUSTOMERS REPORT'!G1449</f>
        <v>0</v>
      </c>
      <c r="Z54" s="852">
        <f>'CUSTOMERS REPORT'!H35+'CUSTOMERS REPORT'!H81+'CUSTOMERS REPORT'!H119+'CUSTOMERS REPORT'!H158+'CUSTOMERS REPORT'!H196+'CUSTOMERS REPORT'!H236+'CUSTOMERS REPORT'!H273+'CUSTOMERS REPORT'!H313+'CUSTOMERS REPORT'!H354+'CUSTOMERS REPORT'!H396+'CUSTOMERS REPORT'!H435+'CUSTOMERS REPORT'!H473+'CUSTOMERS REPORT'!H509+'CUSTOMERS REPORT'!H546+'CUSTOMERS REPORT'!H584+'CUSTOMERS REPORT'!H620+'CUSTOMERS REPORT'!H658+'CUSTOMERS REPORT'!H696+'CUSTOMERS REPORT'!H734+'CUSTOMERS REPORT'!H772+'CUSTOMERS REPORT'!H810+'CUSTOMERS REPORT'!H848+'CUSTOMERS REPORT'!H886+'CUSTOMERS REPORT'!H925+'CUSTOMERS REPORT'!H964+'CUSTOMERS REPORT'!H1002+'CUSTOMERS REPORT'!H1040+'CUSTOMERS REPORT'!H1078+'CUSTOMERS REPORT'!H1116+'CUSTOMERS REPORT'!H1154+'CUSTOMERS REPORT'!H1191+'CUSTOMERS REPORT'!H1228+'CUSTOMERS REPORT'!H1265+'CUSTOMERS REPORT'!H1302+'CUSTOMERS REPORT'!H1339+'CUSTOMERS REPORT'!H1376+'CUSTOMERS REPORT'!H1413+'CUSTOMERS REPORT'!H1449</f>
        <v>0</v>
      </c>
      <c r="AA54" s="852">
        <f>'CUSTOMERS REPORT'!I35+'CUSTOMERS REPORT'!I81+'CUSTOMERS REPORT'!I119+'CUSTOMERS REPORT'!I158+'CUSTOMERS REPORT'!I196+'CUSTOMERS REPORT'!I236+'CUSTOMERS REPORT'!I273+'CUSTOMERS REPORT'!I313+'CUSTOMERS REPORT'!I354+'CUSTOMERS REPORT'!I396+'CUSTOMERS REPORT'!I435+'CUSTOMERS REPORT'!I473+'CUSTOMERS REPORT'!I509+'CUSTOMERS REPORT'!I546+'CUSTOMERS REPORT'!I584+'CUSTOMERS REPORT'!I620+'CUSTOMERS REPORT'!I658+'CUSTOMERS REPORT'!I696+'CUSTOMERS REPORT'!I734+'CUSTOMERS REPORT'!I772+'CUSTOMERS REPORT'!I810+'CUSTOMERS REPORT'!I848+'CUSTOMERS REPORT'!I886+'CUSTOMERS REPORT'!I925+'CUSTOMERS REPORT'!I964+'CUSTOMERS REPORT'!I1002+'CUSTOMERS REPORT'!I1040+'CUSTOMERS REPORT'!I1078+'CUSTOMERS REPORT'!I1116+'CUSTOMERS REPORT'!I1154+'CUSTOMERS REPORT'!I1191+'CUSTOMERS REPORT'!I1228+'CUSTOMERS REPORT'!I1265+'CUSTOMERS REPORT'!I1302+'CUSTOMERS REPORT'!I1339+'CUSTOMERS REPORT'!I1376+'CUSTOMERS REPORT'!I1413+'CUSTOMERS REPORT'!I1449</f>
        <v>0</v>
      </c>
      <c r="AB54" s="852">
        <f>'CUSTOMERS REPORT'!J35+'CUSTOMERS REPORT'!J81+'CUSTOMERS REPORT'!J119+'CUSTOMERS REPORT'!J158+'CUSTOMERS REPORT'!J196+'CUSTOMERS REPORT'!J236+'CUSTOMERS REPORT'!J273+'CUSTOMERS REPORT'!J313+'CUSTOMERS REPORT'!J354+'CUSTOMERS REPORT'!J396+'CUSTOMERS REPORT'!J435+'CUSTOMERS REPORT'!J473+'CUSTOMERS REPORT'!J509+'CUSTOMERS REPORT'!J546+'CUSTOMERS REPORT'!J584+'CUSTOMERS REPORT'!J620+'CUSTOMERS REPORT'!J658+'CUSTOMERS REPORT'!J696+'CUSTOMERS REPORT'!J734+'CUSTOMERS REPORT'!J772+'CUSTOMERS REPORT'!J810+'CUSTOMERS REPORT'!J848+'CUSTOMERS REPORT'!J886+'CUSTOMERS REPORT'!J925+'CUSTOMERS REPORT'!J964+'CUSTOMERS REPORT'!J1002+'CUSTOMERS REPORT'!J1040+'CUSTOMERS REPORT'!J1078+'CUSTOMERS REPORT'!J1116+'CUSTOMERS REPORT'!J1154+'CUSTOMERS REPORT'!J1191+'CUSTOMERS REPORT'!J1228+'CUSTOMERS REPORT'!J1265+'CUSTOMERS REPORT'!J1302+'CUSTOMERS REPORT'!J1339+'CUSTOMERS REPORT'!J1376+'CUSTOMERS REPORT'!J1413+'CUSTOMERS REPORT'!J1449</f>
        <v>0</v>
      </c>
      <c r="AC54" s="852">
        <f>'CUSTOMERS REPORT'!K35+'CUSTOMERS REPORT'!K81+'CUSTOMERS REPORT'!K119+'CUSTOMERS REPORT'!K158+'CUSTOMERS REPORT'!K196+'CUSTOMERS REPORT'!K236+'CUSTOMERS REPORT'!K273+'CUSTOMERS REPORT'!K313+'CUSTOMERS REPORT'!K354+'CUSTOMERS REPORT'!K396+'CUSTOMERS REPORT'!K435+'CUSTOMERS REPORT'!K473+'CUSTOMERS REPORT'!K509+'CUSTOMERS REPORT'!K546+'CUSTOMERS REPORT'!K584+'CUSTOMERS REPORT'!K620+'CUSTOMERS REPORT'!K658+'CUSTOMERS REPORT'!K696+'CUSTOMERS REPORT'!K734+'CUSTOMERS REPORT'!K772+'CUSTOMERS REPORT'!K810+'CUSTOMERS REPORT'!K848+'CUSTOMERS REPORT'!K886+'CUSTOMERS REPORT'!K925+'CUSTOMERS REPORT'!K964+'CUSTOMERS REPORT'!K1002+'CUSTOMERS REPORT'!K1040+'CUSTOMERS REPORT'!K1078+'CUSTOMERS REPORT'!K1116+'CUSTOMERS REPORT'!K1154+'CUSTOMERS REPORT'!K1191+'CUSTOMERS REPORT'!K1228+'CUSTOMERS REPORT'!K1265+'CUSTOMERS REPORT'!K1302+'CUSTOMERS REPORT'!K1339+'CUSTOMERS REPORT'!K1376+'CUSTOMERS REPORT'!K1413+'CUSTOMERS REPORT'!K1449</f>
        <v>0</v>
      </c>
      <c r="AD54" s="852">
        <f>'CUSTOMERS REPORT'!L35+'CUSTOMERS REPORT'!L81+'CUSTOMERS REPORT'!L119+'CUSTOMERS REPORT'!L158+'CUSTOMERS REPORT'!L196+'CUSTOMERS REPORT'!L236+'CUSTOMERS REPORT'!L273+'CUSTOMERS REPORT'!L313+'CUSTOMERS REPORT'!L354+'CUSTOMERS REPORT'!L396+'CUSTOMERS REPORT'!L435+'CUSTOMERS REPORT'!L473+'CUSTOMERS REPORT'!L509+'CUSTOMERS REPORT'!L546+'CUSTOMERS REPORT'!L584+'CUSTOMERS REPORT'!L620+'CUSTOMERS REPORT'!L658+'CUSTOMERS REPORT'!L696+'CUSTOMERS REPORT'!L734+'CUSTOMERS REPORT'!L772+'CUSTOMERS REPORT'!L810+'CUSTOMERS REPORT'!L848+'CUSTOMERS REPORT'!L886+'CUSTOMERS REPORT'!L925+'CUSTOMERS REPORT'!L964+'CUSTOMERS REPORT'!L1002+'CUSTOMERS REPORT'!L1040+'CUSTOMERS REPORT'!L1078+'CUSTOMERS REPORT'!L1116+'CUSTOMERS REPORT'!L1154+'CUSTOMERS REPORT'!L1191+'CUSTOMERS REPORT'!L1228+'CUSTOMERS REPORT'!L1265+'CUSTOMERS REPORT'!L1302+'CUSTOMERS REPORT'!L1339+'CUSTOMERS REPORT'!L1376+'CUSTOMERS REPORT'!L1413+'CUSTOMERS REPORT'!L1449</f>
        <v>0</v>
      </c>
      <c r="AE54" s="852">
        <f>'CUSTOMERS REPORT'!M35+'CUSTOMERS REPORT'!M81+'CUSTOMERS REPORT'!M119+'CUSTOMERS REPORT'!M158+'CUSTOMERS REPORT'!M196+'CUSTOMERS REPORT'!M236+'CUSTOMERS REPORT'!M273+'CUSTOMERS REPORT'!M313+'CUSTOMERS REPORT'!M354+'CUSTOMERS REPORT'!M396+'CUSTOMERS REPORT'!M435+'CUSTOMERS REPORT'!M473+'CUSTOMERS REPORT'!M509+'CUSTOMERS REPORT'!M546+'CUSTOMERS REPORT'!M584+'CUSTOMERS REPORT'!M620+'CUSTOMERS REPORT'!M658+'CUSTOMERS REPORT'!M696+'CUSTOMERS REPORT'!M734+'CUSTOMERS REPORT'!M772+'CUSTOMERS REPORT'!M810+'CUSTOMERS REPORT'!M848+'CUSTOMERS REPORT'!M886+'CUSTOMERS REPORT'!M925+'CUSTOMERS REPORT'!M964+'CUSTOMERS REPORT'!M1002+'CUSTOMERS REPORT'!M1040+'CUSTOMERS REPORT'!M1078+'CUSTOMERS REPORT'!M1116+'CUSTOMERS REPORT'!M1154+'CUSTOMERS REPORT'!M1191+'CUSTOMERS REPORT'!M1228+'CUSTOMERS REPORT'!M1265+'CUSTOMERS REPORT'!M1302+'CUSTOMERS REPORT'!M1339+'CUSTOMERS REPORT'!M1376+'CUSTOMERS REPORT'!M1413+'CUSTOMERS REPORT'!M1449</f>
        <v>0</v>
      </c>
      <c r="AF54" s="852">
        <f>'CUSTOMERS REPORT'!N35+'CUSTOMERS REPORT'!N81+'CUSTOMERS REPORT'!N119+'CUSTOMERS REPORT'!N158+'CUSTOMERS REPORT'!N196+'CUSTOMERS REPORT'!N236+'CUSTOMERS REPORT'!N273+'CUSTOMERS REPORT'!N313+'CUSTOMERS REPORT'!N354+'CUSTOMERS REPORT'!N396+'CUSTOMERS REPORT'!N435+'CUSTOMERS REPORT'!N473+'CUSTOMERS REPORT'!N509+'CUSTOMERS REPORT'!N546+'CUSTOMERS REPORT'!N584+'CUSTOMERS REPORT'!N620+'CUSTOMERS REPORT'!N658+'CUSTOMERS REPORT'!N696+'CUSTOMERS REPORT'!N734+'CUSTOMERS REPORT'!N772+'CUSTOMERS REPORT'!N810+'CUSTOMERS REPORT'!N848+'CUSTOMERS REPORT'!N886+'CUSTOMERS REPORT'!N925+'CUSTOMERS REPORT'!N964+'CUSTOMERS REPORT'!N1002+'CUSTOMERS REPORT'!N1040+'CUSTOMERS REPORT'!N1078+'CUSTOMERS REPORT'!N1116+'CUSTOMERS REPORT'!N1154+'CUSTOMERS REPORT'!N1191+'CUSTOMERS REPORT'!N1228+'CUSTOMERS REPORT'!N1265+'CUSTOMERS REPORT'!N1302+'CUSTOMERS REPORT'!N1339+'CUSTOMERS REPORT'!N1376+'CUSTOMERS REPORT'!N1413+'CUSTOMERS REPORT'!N1449</f>
        <v>0</v>
      </c>
      <c r="AG54" s="852">
        <f>'CUSTOMERS REPORT'!O35+'CUSTOMERS REPORT'!O81+'CUSTOMERS REPORT'!O119+'CUSTOMERS REPORT'!O158+'CUSTOMERS REPORT'!O196+'CUSTOMERS REPORT'!O236+'CUSTOMERS REPORT'!O273+'CUSTOMERS REPORT'!O313+'CUSTOMERS REPORT'!O354+'CUSTOMERS REPORT'!O396+'CUSTOMERS REPORT'!O435+'CUSTOMERS REPORT'!O473+'CUSTOMERS REPORT'!O509+'CUSTOMERS REPORT'!O546+'CUSTOMERS REPORT'!O584+'CUSTOMERS REPORT'!O620+'CUSTOMERS REPORT'!O658+'CUSTOMERS REPORT'!O696+'CUSTOMERS REPORT'!O734+'CUSTOMERS REPORT'!O772+'CUSTOMERS REPORT'!O810+'CUSTOMERS REPORT'!O848+'CUSTOMERS REPORT'!O886+'CUSTOMERS REPORT'!O925+'CUSTOMERS REPORT'!O964+'CUSTOMERS REPORT'!O1002+'CUSTOMERS REPORT'!O1040+'CUSTOMERS REPORT'!O1078+'CUSTOMERS REPORT'!O1116+'CUSTOMERS REPORT'!O1154+'CUSTOMERS REPORT'!O1191+'CUSTOMERS REPORT'!O1228+'CUSTOMERS REPORT'!O1265+'CUSTOMERS REPORT'!O1302+'CUSTOMERS REPORT'!O1339+'CUSTOMERS REPORT'!O1376+'CUSTOMERS REPORT'!O1413+'CUSTOMERS REPORT'!O1449</f>
        <v>0</v>
      </c>
      <c r="AH54" s="852">
        <f>'CUSTOMERS REPORT'!P35+'CUSTOMERS REPORT'!P81+'CUSTOMERS REPORT'!P119+'CUSTOMERS REPORT'!P158+'CUSTOMERS REPORT'!P196+'CUSTOMERS REPORT'!P236+'CUSTOMERS REPORT'!P273+'CUSTOMERS REPORT'!P313+'CUSTOMERS REPORT'!P354+'CUSTOMERS REPORT'!P396+'CUSTOMERS REPORT'!P435+'CUSTOMERS REPORT'!P473+'CUSTOMERS REPORT'!P509+'CUSTOMERS REPORT'!P546+'CUSTOMERS REPORT'!P584+'CUSTOMERS REPORT'!P620+'CUSTOMERS REPORT'!P658+'CUSTOMERS REPORT'!P696+'CUSTOMERS REPORT'!P734+'CUSTOMERS REPORT'!P772+'CUSTOMERS REPORT'!P810+'CUSTOMERS REPORT'!P848+'CUSTOMERS REPORT'!P886+'CUSTOMERS REPORT'!P925+'CUSTOMERS REPORT'!P964+'CUSTOMERS REPORT'!P1002+'CUSTOMERS REPORT'!P1040+'CUSTOMERS REPORT'!P1078+'CUSTOMERS REPORT'!P1116+'CUSTOMERS REPORT'!P1154+'CUSTOMERS REPORT'!P1191+'CUSTOMERS REPORT'!P1228+'CUSTOMERS REPORT'!P1265+'CUSTOMERS REPORT'!P1302+'CUSTOMERS REPORT'!P1339+'CUSTOMERS REPORT'!P1376+'CUSTOMERS REPORT'!P1413+'CUSTOMERS REPORT'!P1449</f>
        <v>0</v>
      </c>
      <c r="AI54" s="852">
        <f>'CUSTOMERS REPORT'!Q35+'CUSTOMERS REPORT'!Q81+'CUSTOMERS REPORT'!Q119+'CUSTOMERS REPORT'!Q158+'CUSTOMERS REPORT'!Q196+'CUSTOMERS REPORT'!Q236+'CUSTOMERS REPORT'!Q273+'CUSTOMERS REPORT'!Q313+'CUSTOMERS REPORT'!Q354+'CUSTOMERS REPORT'!Q396+'CUSTOMERS REPORT'!Q435+'CUSTOMERS REPORT'!Q473+'CUSTOMERS REPORT'!Q509+'CUSTOMERS REPORT'!Q546+'CUSTOMERS REPORT'!Q584+'CUSTOMERS REPORT'!Q620+'CUSTOMERS REPORT'!Q658+'CUSTOMERS REPORT'!Q696+'CUSTOMERS REPORT'!Q734+'CUSTOMERS REPORT'!Q772+'CUSTOMERS REPORT'!Q810+'CUSTOMERS REPORT'!Q848+'CUSTOMERS REPORT'!Q886+'CUSTOMERS REPORT'!Q925+'CUSTOMERS REPORT'!Q964+'CUSTOMERS REPORT'!Q1002+'CUSTOMERS REPORT'!Q1040+'CUSTOMERS REPORT'!Q1078+'CUSTOMERS REPORT'!Q1116+'CUSTOMERS REPORT'!Q1154+'CUSTOMERS REPORT'!Q1191+'CUSTOMERS REPORT'!Q1228+'CUSTOMERS REPORT'!Q1265+'CUSTOMERS REPORT'!Q1302+'CUSTOMERS REPORT'!Q1339+'CUSTOMERS REPORT'!Q1376+'CUSTOMERS REPORT'!Q1413+'CUSTOMERS REPORT'!Q1449</f>
        <v>0</v>
      </c>
      <c r="AJ54" s="852">
        <f>'CUSTOMERS REPORT'!R35+'CUSTOMERS REPORT'!R81+'CUSTOMERS REPORT'!R119+'CUSTOMERS REPORT'!R158+'CUSTOMERS REPORT'!R196+'CUSTOMERS REPORT'!R236+'CUSTOMERS REPORT'!R273+'CUSTOMERS REPORT'!R313+'CUSTOMERS REPORT'!R354+'CUSTOMERS REPORT'!R396+'CUSTOMERS REPORT'!R435+'CUSTOMERS REPORT'!R473+'CUSTOMERS REPORT'!R509+'CUSTOMERS REPORT'!R546+'CUSTOMERS REPORT'!R584+'CUSTOMERS REPORT'!R620+'CUSTOMERS REPORT'!R658+'CUSTOMERS REPORT'!R696+'CUSTOMERS REPORT'!R734+'CUSTOMERS REPORT'!R772+'CUSTOMERS REPORT'!R810+'CUSTOMERS REPORT'!R848+'CUSTOMERS REPORT'!R886+'CUSTOMERS REPORT'!R925+'CUSTOMERS REPORT'!R964+'CUSTOMERS REPORT'!R1002+'CUSTOMERS REPORT'!R1040+'CUSTOMERS REPORT'!R1078+'CUSTOMERS REPORT'!R1116+'CUSTOMERS REPORT'!R1154+'CUSTOMERS REPORT'!R1191+'CUSTOMERS REPORT'!R1228+'CUSTOMERS REPORT'!R1265+'CUSTOMERS REPORT'!R1302+'CUSTOMERS REPORT'!R1339+'CUSTOMERS REPORT'!R1376+'CUSTOMERS REPORT'!R1413+'CUSTOMERS REPORT'!R1449</f>
        <v>0</v>
      </c>
      <c r="AK54" s="852">
        <f>'CUSTOMERS REPORT'!S35+'CUSTOMERS REPORT'!S81+'CUSTOMERS REPORT'!S119+'CUSTOMERS REPORT'!S158+'CUSTOMERS REPORT'!S196+'CUSTOMERS REPORT'!S236+'CUSTOMERS REPORT'!S273+'CUSTOMERS REPORT'!S313+'CUSTOMERS REPORT'!S354+'CUSTOMERS REPORT'!S396+'CUSTOMERS REPORT'!S435+'CUSTOMERS REPORT'!S473+'CUSTOMERS REPORT'!S509+'CUSTOMERS REPORT'!S546+'CUSTOMERS REPORT'!S584+'CUSTOMERS REPORT'!S620+'CUSTOMERS REPORT'!S658+'CUSTOMERS REPORT'!S696+'CUSTOMERS REPORT'!S734+'CUSTOMERS REPORT'!S772+'CUSTOMERS REPORT'!S810+'CUSTOMERS REPORT'!S848+'CUSTOMERS REPORT'!S886+'CUSTOMERS REPORT'!S925+'CUSTOMERS REPORT'!S964+'CUSTOMERS REPORT'!S1002+'CUSTOMERS REPORT'!S1040+'CUSTOMERS REPORT'!S1078+'CUSTOMERS REPORT'!S1116+'CUSTOMERS REPORT'!S1154+'CUSTOMERS REPORT'!S1191+'CUSTOMERS REPORT'!S1228+'CUSTOMERS REPORT'!S1265+'CUSTOMERS REPORT'!S1302+'CUSTOMERS REPORT'!S1339+'CUSTOMERS REPORT'!S1376+'CUSTOMERS REPORT'!S1413+'CUSTOMERS REPORT'!S1449</f>
        <v>0</v>
      </c>
      <c r="AL54" s="852">
        <f>'CUSTOMERS REPORT'!T35+'CUSTOMERS REPORT'!T81+'CUSTOMERS REPORT'!T119+'CUSTOMERS REPORT'!T158+'CUSTOMERS REPORT'!T196+'CUSTOMERS REPORT'!T236+'CUSTOMERS REPORT'!T273+'CUSTOMERS REPORT'!T313+'CUSTOMERS REPORT'!T354+'CUSTOMERS REPORT'!T396+'CUSTOMERS REPORT'!T435+'CUSTOMERS REPORT'!T473+'CUSTOMERS REPORT'!T509+'CUSTOMERS REPORT'!T546+'CUSTOMERS REPORT'!T584+'CUSTOMERS REPORT'!T620+'CUSTOMERS REPORT'!T658+'CUSTOMERS REPORT'!T696+'CUSTOMERS REPORT'!T734+'CUSTOMERS REPORT'!T772+'CUSTOMERS REPORT'!T810+'CUSTOMERS REPORT'!T848+'CUSTOMERS REPORT'!T886+'CUSTOMERS REPORT'!T925+'CUSTOMERS REPORT'!T964+'CUSTOMERS REPORT'!T1002+'CUSTOMERS REPORT'!T1040+'CUSTOMERS REPORT'!T1116+'CUSTOMERS REPORT'!T1154</f>
        <v>0</v>
      </c>
      <c r="AM54" s="852">
        <f>'CUSTOMERS REPORT'!U35+'CUSTOMERS REPORT'!U81+'CUSTOMERS REPORT'!U119+'CUSTOMERS REPORT'!U158+'CUSTOMERS REPORT'!U196+'CUSTOMERS REPORT'!U236+'CUSTOMERS REPORT'!U273+'CUSTOMERS REPORT'!U313+'CUSTOMERS REPORT'!U354+'CUSTOMERS REPORT'!U396+'CUSTOMERS REPORT'!U435+'CUSTOMERS REPORT'!U473+'CUSTOMERS REPORT'!U509+'CUSTOMERS REPORT'!U546+'CUSTOMERS REPORT'!U584+'CUSTOMERS REPORT'!U620+'CUSTOMERS REPORT'!U658+'CUSTOMERS REPORT'!U696+'CUSTOMERS REPORT'!U734+'CUSTOMERS REPORT'!U772+'CUSTOMERS REPORT'!U810+'CUSTOMERS REPORT'!U848+'CUSTOMERS REPORT'!U886+'CUSTOMERS REPORT'!U925+'CUSTOMERS REPORT'!U964+'CUSTOMERS REPORT'!U1002+'CUSTOMERS REPORT'!U1040+'CUSTOMERS REPORT'!U1116+'CUSTOMERS REPORT'!U1154</f>
        <v>0</v>
      </c>
      <c r="AN54" s="852">
        <f>'CUSTOMERS REPORT'!V35+'CUSTOMERS REPORT'!V81+'CUSTOMERS REPORT'!V119+'CUSTOMERS REPORT'!V158+'CUSTOMERS REPORT'!V196+'CUSTOMERS REPORT'!V236+'CUSTOMERS REPORT'!V273+'CUSTOMERS REPORT'!V313+'CUSTOMERS REPORT'!V354+'CUSTOMERS REPORT'!V396+'CUSTOMERS REPORT'!V435+'CUSTOMERS REPORT'!V473+'CUSTOMERS REPORT'!V509+'CUSTOMERS REPORT'!V546+'CUSTOMERS REPORT'!V584+'CUSTOMERS REPORT'!V620+'CUSTOMERS REPORT'!V658+'CUSTOMERS REPORT'!V696+'CUSTOMERS REPORT'!V734+'CUSTOMERS REPORT'!V772+'CUSTOMERS REPORT'!V810+'CUSTOMERS REPORT'!V848+'CUSTOMERS REPORT'!V886+'CUSTOMERS REPORT'!V925+'CUSTOMERS REPORT'!V964+'CUSTOMERS REPORT'!V1002+'CUSTOMERS REPORT'!V1040+'CUSTOMERS REPORT'!V1116+'CUSTOMERS REPORT'!V1154</f>
        <v>0</v>
      </c>
    </row>
    <row r="55" spans="1:40" ht="24.95" customHeight="1" thickBot="1">
      <c r="L55" s="417">
        <v>20</v>
      </c>
      <c r="M55" s="417">
        <v>111</v>
      </c>
      <c r="N55" s="417">
        <f t="shared" si="10"/>
        <v>2220</v>
      </c>
      <c r="R55" s="123">
        <f>'27'!R57</f>
        <v>130</v>
      </c>
      <c r="S55" s="865" t="s">
        <v>169</v>
      </c>
      <c r="T55" s="866">
        <f t="shared" ref="T55:AB55" si="14">T53-T54-T51</f>
        <v>62</v>
      </c>
      <c r="U55" s="866">
        <f t="shared" si="14"/>
        <v>0</v>
      </c>
      <c r="V55" s="866">
        <f t="shared" si="14"/>
        <v>184</v>
      </c>
      <c r="W55" s="866">
        <f t="shared" si="14"/>
        <v>19</v>
      </c>
      <c r="X55" s="866">
        <f t="shared" si="14"/>
        <v>0</v>
      </c>
      <c r="Y55" s="866">
        <f t="shared" si="14"/>
        <v>0</v>
      </c>
      <c r="Z55" s="866">
        <f t="shared" si="14"/>
        <v>525</v>
      </c>
      <c r="AA55" s="866">
        <f t="shared" si="14"/>
        <v>5632</v>
      </c>
      <c r="AB55" s="866">
        <f t="shared" si="14"/>
        <v>160</v>
      </c>
      <c r="AC55" s="866">
        <f t="shared" ref="AC55:AM55" si="15">AC53-AC54-AC51</f>
        <v>3220</v>
      </c>
      <c r="AD55" s="866">
        <f t="shared" si="15"/>
        <v>1292</v>
      </c>
      <c r="AE55" s="866">
        <f t="shared" si="15"/>
        <v>0</v>
      </c>
      <c r="AF55" s="866">
        <f t="shared" si="15"/>
        <v>3752</v>
      </c>
      <c r="AG55" s="866">
        <f t="shared" si="15"/>
        <v>1082</v>
      </c>
      <c r="AH55" s="866">
        <f t="shared" si="15"/>
        <v>2011</v>
      </c>
      <c r="AI55" s="866">
        <f t="shared" si="15"/>
        <v>631</v>
      </c>
      <c r="AJ55" s="866">
        <f t="shared" si="15"/>
        <v>0</v>
      </c>
      <c r="AK55" s="866">
        <f t="shared" si="15"/>
        <v>123</v>
      </c>
      <c r="AL55" s="866" t="e">
        <f t="shared" si="15"/>
        <v>#VALUE!</v>
      </c>
      <c r="AM55" s="872" t="e">
        <f t="shared" si="15"/>
        <v>#VALUE!</v>
      </c>
      <c r="AN55" s="872" t="e">
        <f t="shared" ref="AN55" si="16">AN53-AN54-AN51</f>
        <v>#VALUE!</v>
      </c>
    </row>
    <row r="56" spans="1:40" ht="28.5" thickBot="1">
      <c r="A56" s="114"/>
      <c r="B56" s="120"/>
      <c r="C56" s="115"/>
      <c r="L56" s="417">
        <v>10</v>
      </c>
      <c r="M56" s="417">
        <v>1081</v>
      </c>
      <c r="N56" s="417">
        <f t="shared" si="10"/>
        <v>10810</v>
      </c>
      <c r="R56" s="123">
        <f>T56+U56+V56+W56+X56+Y56+Z56+AA56+AB56+AC56+AD56+AE56+AF56+AG56+AH56+AI56+AJ56+AK56+AL56+AM56+AN56</f>
        <v>13</v>
      </c>
      <c r="S56" s="874" t="s">
        <v>170</v>
      </c>
      <c r="T56" s="875"/>
      <c r="U56" s="875"/>
      <c r="V56" s="875">
        <v>1</v>
      </c>
      <c r="W56" s="875"/>
      <c r="X56" s="875"/>
      <c r="Y56" s="875"/>
      <c r="Z56" s="876">
        <v>3</v>
      </c>
      <c r="AA56" s="875">
        <v>1</v>
      </c>
      <c r="AB56" s="875"/>
      <c r="AC56" s="875">
        <v>2</v>
      </c>
      <c r="AD56" s="875">
        <v>1.6</v>
      </c>
      <c r="AE56" s="875"/>
      <c r="AF56" s="875">
        <v>3.4</v>
      </c>
      <c r="AG56" s="875"/>
      <c r="AH56" s="875"/>
      <c r="AI56" s="877"/>
      <c r="AJ56" s="877"/>
      <c r="AK56" s="877">
        <v>1</v>
      </c>
      <c r="AL56" s="52"/>
      <c r="AM56" s="853"/>
      <c r="AN56" s="928"/>
    </row>
    <row r="57" spans="1:40" ht="27" customHeight="1" thickBot="1">
      <c r="A57" s="114"/>
      <c r="B57" s="131"/>
      <c r="C57" s="115"/>
      <c r="D57" s="115"/>
      <c r="E57" s="19"/>
      <c r="F57" s="19"/>
      <c r="G57" s="19"/>
      <c r="H57" s="19"/>
      <c r="I57" s="19"/>
      <c r="J57" s="19"/>
      <c r="K57" s="19"/>
      <c r="L57" s="418">
        <v>1</v>
      </c>
      <c r="M57" s="418"/>
      <c r="N57" s="417">
        <f t="shared" si="10"/>
        <v>0</v>
      </c>
      <c r="O57" s="19"/>
      <c r="R57" s="123">
        <f>SUM(R55:R56)</f>
        <v>143</v>
      </c>
      <c r="S57" s="882" t="s">
        <v>23</v>
      </c>
      <c r="T57" s="883" t="e">
        <f t="shared" ref="T57:AB57" si="17">T50/T56</f>
        <v>#DIV/0!</v>
      </c>
      <c r="U57" s="883" t="e">
        <f t="shared" si="17"/>
        <v>#DIV/0!</v>
      </c>
      <c r="V57" s="883">
        <f t="shared" si="17"/>
        <v>62</v>
      </c>
      <c r="W57" s="883" t="e">
        <f t="shared" si="17"/>
        <v>#DIV/0!</v>
      </c>
      <c r="X57" s="883" t="e">
        <f t="shared" si="17"/>
        <v>#DIV/0!</v>
      </c>
      <c r="Y57" s="883" t="e">
        <f t="shared" si="17"/>
        <v>#DIV/0!</v>
      </c>
      <c r="Z57" s="883">
        <f t="shared" si="17"/>
        <v>176</v>
      </c>
      <c r="AA57" s="883">
        <f t="shared" si="17"/>
        <v>600</v>
      </c>
      <c r="AB57" s="883" t="e">
        <f t="shared" si="17"/>
        <v>#DIV/0!</v>
      </c>
      <c r="AC57" s="883">
        <f t="shared" ref="AC57:AJ57" si="18">AC50/AC56</f>
        <v>85</v>
      </c>
      <c r="AD57" s="883">
        <f t="shared" si="18"/>
        <v>78.75</v>
      </c>
      <c r="AE57" s="883" t="e">
        <f t="shared" si="18"/>
        <v>#DIV/0!</v>
      </c>
      <c r="AF57" s="883">
        <f t="shared" si="18"/>
        <v>76.470588235294116</v>
      </c>
      <c r="AG57" s="883" t="e">
        <f t="shared" si="18"/>
        <v>#DIV/0!</v>
      </c>
      <c r="AH57" s="883" t="e">
        <f t="shared" si="18"/>
        <v>#DIV/0!</v>
      </c>
      <c r="AI57" s="883" t="e">
        <f t="shared" si="18"/>
        <v>#DIV/0!</v>
      </c>
      <c r="AJ57" s="883" t="e">
        <f t="shared" si="18"/>
        <v>#DIV/0!</v>
      </c>
      <c r="AK57" s="883">
        <f t="shared" ref="AK57:AM57" si="19">AK50/AK56</f>
        <v>61</v>
      </c>
      <c r="AL57" s="883" t="e">
        <f t="shared" si="19"/>
        <v>#DIV/0!</v>
      </c>
      <c r="AM57" s="884" t="e">
        <f t="shared" si="19"/>
        <v>#DIV/0!</v>
      </c>
      <c r="AN57" s="884" t="e">
        <f t="shared" ref="AN57" si="20">AN50/AN56</f>
        <v>#DIV/0!</v>
      </c>
    </row>
    <row r="58" spans="1:40" ht="27" customHeight="1" thickBot="1">
      <c r="A58" s="114"/>
      <c r="B58" s="131"/>
      <c r="C58" s="115"/>
      <c r="D58" s="115" t="s">
        <v>1</v>
      </c>
      <c r="L58" s="1501" t="s">
        <v>171</v>
      </c>
      <c r="M58" s="1501"/>
      <c r="N58" s="419">
        <f>SUM(N50:N57)</f>
        <v>100530</v>
      </c>
      <c r="R58" s="19"/>
      <c r="S58" s="878" t="s">
        <v>172</v>
      </c>
      <c r="T58" s="879">
        <f>T54</f>
        <v>0</v>
      </c>
      <c r="U58" s="879">
        <f t="shared" ref="U58:AB58" si="21">U54</f>
        <v>0</v>
      </c>
      <c r="V58" s="879">
        <f t="shared" si="21"/>
        <v>0</v>
      </c>
      <c r="W58" s="879">
        <f t="shared" si="21"/>
        <v>0</v>
      </c>
      <c r="X58" s="879">
        <f t="shared" si="21"/>
        <v>0</v>
      </c>
      <c r="Y58" s="879">
        <f t="shared" si="21"/>
        <v>0</v>
      </c>
      <c r="Z58" s="879">
        <f t="shared" si="21"/>
        <v>0</v>
      </c>
      <c r="AA58" s="879">
        <f t="shared" si="21"/>
        <v>0</v>
      </c>
      <c r="AB58" s="879">
        <f t="shared" si="21"/>
        <v>0</v>
      </c>
      <c r="AC58" s="879">
        <f t="shared" ref="AC58:AJ58" si="22">AC54</f>
        <v>0</v>
      </c>
      <c r="AD58" s="879">
        <f t="shared" si="22"/>
        <v>0</v>
      </c>
      <c r="AE58" s="879">
        <f t="shared" si="22"/>
        <v>0</v>
      </c>
      <c r="AF58" s="879">
        <f t="shared" si="22"/>
        <v>0</v>
      </c>
      <c r="AG58" s="879">
        <f t="shared" si="22"/>
        <v>0</v>
      </c>
      <c r="AH58" s="879">
        <f t="shared" si="22"/>
        <v>0</v>
      </c>
      <c r="AI58" s="879">
        <f t="shared" si="22"/>
        <v>0</v>
      </c>
      <c r="AJ58" s="879">
        <f t="shared" si="22"/>
        <v>0</v>
      </c>
      <c r="AK58" s="880"/>
      <c r="AL58" s="880"/>
      <c r="AM58" s="881"/>
      <c r="AN58" s="881"/>
    </row>
    <row r="59" spans="1:40" ht="27" customHeight="1">
      <c r="A59" s="114"/>
      <c r="B59" s="132"/>
      <c r="C59" s="115"/>
      <c r="D59" s="115" t="s">
        <v>1</v>
      </c>
      <c r="K59" t="s">
        <v>1</v>
      </c>
      <c r="L59" s="1486" t="s">
        <v>173</v>
      </c>
      <c r="M59" s="1486"/>
      <c r="N59" s="420">
        <f>N58-Q48</f>
        <v>4918580</v>
      </c>
      <c r="R59" s="19"/>
      <c r="S59" s="114"/>
      <c r="T59" s="121"/>
      <c r="U59" s="121"/>
      <c r="V59" s="121"/>
      <c r="W59" s="121"/>
      <c r="X59" s="121"/>
      <c r="Y59" s="121"/>
      <c r="Z59" s="122"/>
      <c r="AA59" s="121"/>
      <c r="AB59" s="121"/>
      <c r="AC59" s="121"/>
      <c r="AD59" s="121"/>
      <c r="AE59" s="121"/>
      <c r="AF59" s="121"/>
      <c r="AG59" s="121"/>
      <c r="AH59" s="119"/>
      <c r="AI59" s="119"/>
    </row>
    <row r="60" spans="1:40" ht="24" customHeight="1">
      <c r="A60" s="114"/>
      <c r="B60" s="132"/>
      <c r="C60" s="115"/>
      <c r="D60" s="115"/>
      <c r="P60" s="19"/>
      <c r="Q60" s="19"/>
      <c r="R60" s="19"/>
      <c r="S60" s="19"/>
      <c r="U60" t="s">
        <v>1</v>
      </c>
    </row>
    <row r="61" spans="1:40" ht="23.25">
      <c r="A61" s="114"/>
      <c r="B61" s="132"/>
      <c r="C61" s="115"/>
      <c r="D61" s="116"/>
      <c r="M61" t="s">
        <v>1</v>
      </c>
      <c r="N61">
        <v>4370</v>
      </c>
      <c r="P61" s="185"/>
      <c r="Q61" s="186"/>
      <c r="R61" s="19"/>
      <c r="S61" s="19"/>
    </row>
    <row r="62" spans="1:40" ht="20.25">
      <c r="C62" s="116"/>
      <c r="P62" s="19"/>
      <c r="Q62" s="19"/>
      <c r="R62" s="19"/>
      <c r="S62" s="19"/>
      <c r="U62" t="s">
        <v>1</v>
      </c>
    </row>
    <row r="63" spans="1:40">
      <c r="E63" s="19"/>
    </row>
    <row r="64" spans="1:40">
      <c r="E64" s="19"/>
      <c r="J64" t="s">
        <v>3</v>
      </c>
      <c r="U64" t="s">
        <v>1</v>
      </c>
    </row>
    <row r="65" spans="3:5" ht="21">
      <c r="C65" s="251"/>
      <c r="E65" s="19"/>
    </row>
    <row r="66" spans="3:5">
      <c r="E66" s="49"/>
    </row>
    <row r="67" spans="3:5" ht="23.25">
      <c r="E67" s="113"/>
    </row>
  </sheetData>
  <mergeCells count="21">
    <mergeCell ref="P42:Q42"/>
    <mergeCell ref="T47:W47"/>
    <mergeCell ref="X47:Z47"/>
    <mergeCell ref="AJ47:AK47"/>
    <mergeCell ref="AL47:AM47"/>
    <mergeCell ref="L58:M58"/>
    <mergeCell ref="L59:M59"/>
    <mergeCell ref="H47:I47"/>
    <mergeCell ref="S47:S48"/>
    <mergeCell ref="A6:Q6"/>
    <mergeCell ref="S6:AE6"/>
    <mergeCell ref="A7:B7"/>
    <mergeCell ref="P7:Q7"/>
    <mergeCell ref="H46:I46"/>
    <mergeCell ref="AA47:AB47"/>
    <mergeCell ref="AC47:AI47"/>
    <mergeCell ref="AI7:AJ7"/>
    <mergeCell ref="AI20:AJ20"/>
    <mergeCell ref="H48:I48"/>
    <mergeCell ref="P24:Q24"/>
    <mergeCell ref="P33:Q33"/>
  </mergeCells>
  <conditionalFormatting sqref="M48:N48">
    <cfRule type="duplicateValues" dxfId="79" priority="29"/>
    <cfRule type="duplicateValues" dxfId="78" priority="30"/>
    <cfRule type="duplicateValues" dxfId="77" priority="31"/>
    <cfRule type="duplicateValues" dxfId="76" priority="32"/>
  </conditionalFormatting>
  <conditionalFormatting sqref="L48 N48">
    <cfRule type="cellIs" dxfId="75" priority="28" operator="equal">
      <formula>66890</formula>
    </cfRule>
  </conditionalFormatting>
  <conditionalFormatting sqref="N48">
    <cfRule type="cellIs" dxfId="74" priority="27" operator="lessThan">
      <formula>1</formula>
    </cfRule>
  </conditionalFormatting>
  <conditionalFormatting sqref="T57">
    <cfRule type="cellIs" dxfId="73" priority="16" operator="lessThan">
      <formula>63</formula>
    </cfRule>
  </conditionalFormatting>
  <conditionalFormatting sqref="U57">
    <cfRule type="cellIs" dxfId="72" priority="14" operator="lessThan">
      <formula>63</formula>
    </cfRule>
    <cfRule type="cellIs" dxfId="71" priority="15" operator="lessThan">
      <formula>63</formula>
    </cfRule>
  </conditionalFormatting>
  <conditionalFormatting sqref="W57">
    <cfRule type="cellIs" dxfId="70" priority="13" operator="lessThan">
      <formula>140</formula>
    </cfRule>
  </conditionalFormatting>
  <conditionalFormatting sqref="X57">
    <cfRule type="cellIs" dxfId="69" priority="12" operator="lessThan">
      <formula>125</formula>
    </cfRule>
  </conditionalFormatting>
  <conditionalFormatting sqref="Y57">
    <cfRule type="cellIs" dxfId="68" priority="11" operator="lessThan">
      <formula>150</formula>
    </cfRule>
  </conditionalFormatting>
  <conditionalFormatting sqref="Z57">
    <cfRule type="cellIs" dxfId="67" priority="10" operator="lessThan">
      <formula>590</formula>
    </cfRule>
  </conditionalFormatting>
  <conditionalFormatting sqref="AA57">
    <cfRule type="cellIs" dxfId="66" priority="9" operator="lessThan">
      <formula>704</formula>
    </cfRule>
  </conditionalFormatting>
  <conditionalFormatting sqref="AC57">
    <cfRule type="cellIs" dxfId="65" priority="7" operator="lessThan">
      <formula>52</formula>
    </cfRule>
  </conditionalFormatting>
  <conditionalFormatting sqref="AG57">
    <cfRule type="cellIs" dxfId="64" priority="6" operator="lessThan">
      <formula>63</formula>
    </cfRule>
  </conditionalFormatting>
  <conditionalFormatting sqref="AH57">
    <cfRule type="cellIs" dxfId="63" priority="5" operator="lessThan">
      <formula>63</formula>
    </cfRule>
  </conditionalFormatting>
  <conditionalFormatting sqref="AJ57">
    <cfRule type="cellIs" dxfId="62" priority="4" operator="lessThan">
      <formula>270</formula>
    </cfRule>
  </conditionalFormatting>
  <conditionalFormatting sqref="AI57">
    <cfRule type="cellIs" dxfId="61" priority="3" operator="lessThan">
      <formula>270</formula>
    </cfRule>
  </conditionalFormatting>
  <conditionalFormatting sqref="AK57:AN57">
    <cfRule type="cellIs" dxfId="60" priority="1" operator="lessThan">
      <formula>270</formula>
    </cfRule>
  </conditionalFormatting>
  <printOptions horizontalCentered="1" verticalCentered="1"/>
  <pageMargins left="0" right="0.5" top="0" bottom="0" header="0" footer="0"/>
  <pageSetup paperSize="5" scale="47" orientation="landscape" cellComments="asDisplayed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AN67"/>
  <sheetViews>
    <sheetView topLeftCell="Y34" zoomScale="90" zoomScaleNormal="90" workbookViewId="0">
      <selection activeCell="Z52" sqref="Z52"/>
    </sheetView>
  </sheetViews>
  <sheetFormatPr defaultRowHeight="15"/>
  <cols>
    <col min="1" max="1" width="32.7109375" bestFit="1" customWidth="1"/>
    <col min="2" max="2" width="17.7109375" customWidth="1"/>
    <col min="3" max="4" width="22.28515625" bestFit="1" customWidth="1"/>
    <col min="5" max="5" width="4.7109375" customWidth="1"/>
    <col min="6" max="6" width="35.85546875" bestFit="1" customWidth="1"/>
    <col min="7" max="7" width="17.7109375" customWidth="1"/>
    <col min="8" max="9" width="19.140625" bestFit="1" customWidth="1"/>
    <col min="10" max="11" width="17.7109375" customWidth="1"/>
    <col min="12" max="12" width="19.140625" bestFit="1" customWidth="1"/>
    <col min="13" max="14" width="18.7109375" customWidth="1"/>
    <col min="15" max="15" width="7.7109375" customWidth="1"/>
    <col min="16" max="16" width="28.7109375" customWidth="1"/>
    <col min="17" max="17" width="22.28515625" bestFit="1" customWidth="1"/>
    <col min="18" max="18" width="7.7109375" customWidth="1"/>
    <col min="19" max="19" width="32.7109375" customWidth="1"/>
    <col min="20" max="20" width="20.28515625" bestFit="1" customWidth="1"/>
    <col min="21" max="21" width="17.7109375" customWidth="1"/>
    <col min="22" max="22" width="20.28515625" bestFit="1" customWidth="1"/>
    <col min="23" max="23" width="17.7109375" customWidth="1"/>
    <col min="24" max="24" width="21.5703125" bestFit="1" customWidth="1"/>
    <col min="25" max="25" width="14.7109375" customWidth="1"/>
    <col min="26" max="26" width="17.140625" bestFit="1" customWidth="1"/>
    <col min="27" max="27" width="20.140625" bestFit="1" customWidth="1"/>
    <col min="28" max="28" width="17.7109375" customWidth="1"/>
    <col min="29" max="29" width="20.140625" bestFit="1" customWidth="1"/>
    <col min="30" max="30" width="17.7109375" customWidth="1"/>
    <col min="31" max="31" width="20.140625" bestFit="1" customWidth="1"/>
    <col min="32" max="33" width="20.7109375" customWidth="1"/>
    <col min="34" max="37" width="17.7109375" customWidth="1"/>
    <col min="38" max="38" width="11.28515625" hidden="1" customWidth="1"/>
    <col min="39" max="40" width="13" hidden="1" customWidth="1"/>
  </cols>
  <sheetData>
    <row r="1" spans="1:36">
      <c r="E1" s="5"/>
    </row>
    <row r="2" spans="1:36">
      <c r="E2" s="5"/>
    </row>
    <row r="3" spans="1:36" ht="15.75" thickBot="1">
      <c r="C3" t="s">
        <v>1</v>
      </c>
      <c r="E3" s="5" t="s">
        <v>1</v>
      </c>
      <c r="F3" t="s">
        <v>1</v>
      </c>
      <c r="N3" t="s">
        <v>1</v>
      </c>
      <c r="S3" t="s">
        <v>1</v>
      </c>
      <c r="U3" t="s">
        <v>1</v>
      </c>
    </row>
    <row r="4" spans="1:36" ht="21.75" thickTop="1">
      <c r="B4" t="s">
        <v>1</v>
      </c>
      <c r="D4" t="s">
        <v>1</v>
      </c>
      <c r="E4" t="s">
        <v>1</v>
      </c>
      <c r="P4" s="617" t="s">
        <v>108</v>
      </c>
      <c r="Q4" s="618">
        <f>'28'!Q4+'29'!Q9+'29'!Q10+'29'!Q19+'29'!Q20+'29'!Q21+'29'!Q22</f>
        <v>0</v>
      </c>
    </row>
    <row r="5" spans="1:36" ht="21.75" thickBot="1">
      <c r="P5" s="619" t="s">
        <v>109</v>
      </c>
      <c r="Q5" s="620">
        <f>'28'!Q5+'29'!Q25+'29'!Q26+'29'!Q27+'29'!Q28+'29'!Q29+'29'!Q30+'29'!Q31</f>
        <v>0</v>
      </c>
    </row>
    <row r="6" spans="1:36" ht="48" thickTop="1" thickBot="1">
      <c r="A6" s="1502">
        <f>'Main Page'!E45</f>
        <v>44894</v>
      </c>
      <c r="B6" s="1507"/>
      <c r="C6" s="1507"/>
      <c r="D6" s="1507"/>
      <c r="E6" s="1507"/>
      <c r="F6" s="1507"/>
      <c r="G6" s="1507"/>
      <c r="H6" s="1507"/>
      <c r="I6" s="1507"/>
      <c r="J6" s="1507"/>
      <c r="K6" s="1507"/>
      <c r="L6" s="1507"/>
      <c r="M6" s="1507"/>
      <c r="N6" s="1507"/>
      <c r="O6" s="1507"/>
      <c r="P6" s="1507"/>
      <c r="Q6" s="1515"/>
      <c r="R6" t="s">
        <v>1</v>
      </c>
      <c r="S6" s="1502">
        <f>A6</f>
        <v>44894</v>
      </c>
      <c r="T6" s="1503"/>
      <c r="U6" s="1503"/>
      <c r="V6" s="1503"/>
      <c r="W6" s="1503"/>
      <c r="X6" s="1503"/>
      <c r="Y6" s="1503"/>
      <c r="Z6" s="1503"/>
      <c r="AA6" s="1503"/>
      <c r="AB6" s="1503"/>
      <c r="AC6" s="1503"/>
      <c r="AD6" s="1503"/>
      <c r="AE6" s="1504"/>
    </row>
    <row r="7" spans="1:36" ht="39.950000000000003" customHeight="1" thickTop="1" thickBot="1">
      <c r="A7" s="1505" t="s">
        <v>110</v>
      </c>
      <c r="B7" s="1506"/>
      <c r="C7" s="367" t="s">
        <v>97</v>
      </c>
      <c r="D7" s="368" t="s">
        <v>74</v>
      </c>
      <c r="F7" s="363" t="s">
        <v>111</v>
      </c>
      <c r="G7" s="364" t="s">
        <v>112</v>
      </c>
      <c r="H7" s="365" t="s">
        <v>113</v>
      </c>
      <c r="I7" s="365" t="s">
        <v>26</v>
      </c>
      <c r="J7" s="365" t="s">
        <v>114</v>
      </c>
      <c r="K7" s="366" t="s">
        <v>115</v>
      </c>
      <c r="L7" s="365" t="s">
        <v>116</v>
      </c>
      <c r="M7" s="365" t="s">
        <v>117</v>
      </c>
      <c r="N7" s="365" t="s">
        <v>118</v>
      </c>
      <c r="P7" s="1510" t="s">
        <v>69</v>
      </c>
      <c r="Q7" s="1511"/>
      <c r="S7" s="380" t="s">
        <v>58</v>
      </c>
      <c r="T7" s="380" t="s">
        <v>59</v>
      </c>
      <c r="U7" s="380" t="s">
        <v>119</v>
      </c>
      <c r="V7" s="380" t="s">
        <v>74</v>
      </c>
      <c r="W7" s="380" t="s">
        <v>120</v>
      </c>
      <c r="X7" s="380" t="s">
        <v>59</v>
      </c>
      <c r="Z7" s="367" t="s">
        <v>121</v>
      </c>
      <c r="AA7" s="367" t="s">
        <v>97</v>
      </c>
      <c r="AB7" s="415" t="s">
        <v>122</v>
      </c>
      <c r="AC7" s="416" t="s">
        <v>90</v>
      </c>
      <c r="AD7" s="367" t="s">
        <v>56</v>
      </c>
      <c r="AE7" s="381" t="s">
        <v>100</v>
      </c>
      <c r="AF7" s="560" t="s">
        <v>122</v>
      </c>
      <c r="AG7" s="570" t="s">
        <v>56</v>
      </c>
      <c r="AI7" s="1487" t="s">
        <v>123</v>
      </c>
      <c r="AJ7" s="1488"/>
    </row>
    <row r="8" spans="1:36" ht="27" customHeight="1" thickTop="1" thickBot="1">
      <c r="A8" s="717"/>
      <c r="B8" s="233"/>
      <c r="C8" s="463"/>
      <c r="D8" s="233"/>
      <c r="F8" s="478" t="str">
        <f>'28'!F8</f>
        <v>ISHAQ ANSARI</v>
      </c>
      <c r="G8" s="405">
        <f>'CUSTOMERS REPORT'!Y36</f>
        <v>0</v>
      </c>
      <c r="H8" s="508">
        <f>'CUSTOMERS REPORT'!Z36</f>
        <v>0</v>
      </c>
      <c r="I8" s="405">
        <f>'CUSTOMERS REPORT'!AA36</f>
        <v>0</v>
      </c>
      <c r="J8" s="497">
        <f>'CUSTOMERS REPORT'!AB36</f>
        <v>0</v>
      </c>
      <c r="K8" s="497">
        <f>'CUSTOMERS REPORT'!AC36</f>
        <v>0</v>
      </c>
      <c r="L8" s="508">
        <f>'CUSTOMERS REPORT'!AD36</f>
        <v>0</v>
      </c>
      <c r="M8" s="413">
        <f>'28'!M8+'29'!G8</f>
        <v>0</v>
      </c>
      <c r="N8" s="411">
        <f>'28'!N8+'29'!J8</f>
        <v>0</v>
      </c>
      <c r="P8" s="191" t="s">
        <v>124</v>
      </c>
      <c r="Q8" s="223">
        <f>'28'!Q32</f>
        <v>0</v>
      </c>
      <c r="S8" s="399" t="str">
        <f>'28'!S8</f>
        <v>FLOUR</v>
      </c>
      <c r="T8" s="446">
        <f>'28'!X8</f>
        <v>-60</v>
      </c>
      <c r="U8" s="455"/>
      <c r="V8" s="450">
        <f t="shared" ref="V8:V43" si="0">SUM(T8:U8)</f>
        <v>-60</v>
      </c>
      <c r="W8" s="450"/>
      <c r="X8" s="446">
        <f t="shared" ref="X8:X43" si="1">V8-W8</f>
        <v>-60</v>
      </c>
      <c r="Z8" s="382" t="str">
        <f>'28'!Z8</f>
        <v>GHAZI</v>
      </c>
      <c r="AA8" s="464">
        <f>'28'!AE8</f>
        <v>-429500</v>
      </c>
      <c r="AB8" s="459"/>
      <c r="AC8" s="233">
        <f t="shared" ref="AC8:AC41" si="2">AA8+AB8</f>
        <v>-429500</v>
      </c>
      <c r="AD8" s="468"/>
      <c r="AE8" s="463">
        <f t="shared" ref="AE8:AE42" si="3">AC8-AD8</f>
        <v>-429500</v>
      </c>
      <c r="AF8" s="563">
        <f>'28'!AF8+'29'!AB8</f>
        <v>347500</v>
      </c>
      <c r="AG8" s="233">
        <f>'28'!AG8+'29'!AD8</f>
        <v>777000</v>
      </c>
      <c r="AI8" s="391" t="s">
        <v>126</v>
      </c>
      <c r="AJ8" s="392">
        <f>'28'!AJ10</f>
        <v>342600</v>
      </c>
    </row>
    <row r="9" spans="1:36" ht="27" customHeight="1" thickTop="1">
      <c r="A9" s="717"/>
      <c r="B9" s="526"/>
      <c r="C9" s="348"/>
      <c r="D9" s="550"/>
      <c r="F9" s="479" t="str">
        <f>'28'!F9</f>
        <v>MAKKI BAKERY</v>
      </c>
      <c r="G9" s="406">
        <f>'CUSTOMERS REPORT'!Y82</f>
        <v>0</v>
      </c>
      <c r="H9" s="504">
        <f>'CUSTOMERS REPORT'!Z82</f>
        <v>0</v>
      </c>
      <c r="I9" s="406">
        <f>'CUSTOMERS REPORT'!AA82</f>
        <v>0</v>
      </c>
      <c r="J9" s="498">
        <f>'CUSTOMERS REPORT'!AB82</f>
        <v>0</v>
      </c>
      <c r="K9" s="498">
        <f>'CUSTOMERS REPORT'!AC82</f>
        <v>0</v>
      </c>
      <c r="L9" s="509">
        <f>'CUSTOMERS REPORT'!AD82</f>
        <v>0</v>
      </c>
      <c r="M9" s="414">
        <f>'28'!M9+'29'!G9</f>
        <v>0</v>
      </c>
      <c r="N9" s="412">
        <f>'28'!N9+'29'!J9</f>
        <v>0</v>
      </c>
      <c r="P9" s="432"/>
      <c r="Q9" s="436"/>
      <c r="S9" s="400" t="str">
        <f>'28'!S9</f>
        <v>SUGAR</v>
      </c>
      <c r="T9" s="446">
        <f>'28'!X9</f>
        <v>-935</v>
      </c>
      <c r="U9" s="456"/>
      <c r="V9" s="451">
        <f t="shared" si="0"/>
        <v>-935</v>
      </c>
      <c r="W9" s="451"/>
      <c r="X9" s="447">
        <f t="shared" si="1"/>
        <v>-935</v>
      </c>
      <c r="Z9" s="375" t="str">
        <f>'28'!Z9</f>
        <v>SOHNI</v>
      </c>
      <c r="AA9" s="464">
        <f>'28'!AE9</f>
        <v>-110000</v>
      </c>
      <c r="AB9" s="460"/>
      <c r="AC9" s="462">
        <f t="shared" si="2"/>
        <v>-110000</v>
      </c>
      <c r="AD9" s="469"/>
      <c r="AE9" s="348">
        <f t="shared" si="3"/>
        <v>-110000</v>
      </c>
      <c r="AF9" s="563">
        <f>'28'!AF9+'29'!AB9</f>
        <v>370000</v>
      </c>
      <c r="AG9" s="234">
        <f>'28'!AG9+'29'!AD9</f>
        <v>480000</v>
      </c>
      <c r="AI9" s="393" t="s">
        <v>128</v>
      </c>
      <c r="AJ9" s="394">
        <f>B26</f>
        <v>0</v>
      </c>
    </row>
    <row r="10" spans="1:36" ht="27" customHeight="1" thickBot="1">
      <c r="A10" s="718"/>
      <c r="B10" s="528"/>
      <c r="C10" s="350"/>
      <c r="D10" s="550"/>
      <c r="F10" s="479" t="str">
        <f>'28'!F10</f>
        <v>ABID HUSSAIN</v>
      </c>
      <c r="G10" s="406">
        <f>'CUSTOMERS REPORT'!Y120</f>
        <v>0</v>
      </c>
      <c r="H10" s="504">
        <f>'CUSTOMERS REPORT'!Z120</f>
        <v>0</v>
      </c>
      <c r="I10" s="406">
        <f>'CUSTOMERS REPORT'!AA120</f>
        <v>0</v>
      </c>
      <c r="J10" s="498">
        <f>'CUSTOMERS REPORT'!AB120</f>
        <v>0</v>
      </c>
      <c r="K10" s="498">
        <f>'CUSTOMERS REPORT'!AC120</f>
        <v>0</v>
      </c>
      <c r="L10" s="509">
        <f>'CUSTOMERS REPORT'!AD120</f>
        <v>0</v>
      </c>
      <c r="M10" s="414">
        <f>'28'!M10+'29'!G10</f>
        <v>0</v>
      </c>
      <c r="N10" s="412">
        <f>'28'!N10+'29'!J10</f>
        <v>0</v>
      </c>
      <c r="P10" s="433"/>
      <c r="Q10" s="437"/>
      <c r="S10" s="400" t="str">
        <f>'28'!S10</f>
        <v>GHEE</v>
      </c>
      <c r="T10" s="446">
        <f>'28'!X10</f>
        <v>-1</v>
      </c>
      <c r="U10" s="456"/>
      <c r="V10" s="451">
        <f t="shared" si="0"/>
        <v>-1</v>
      </c>
      <c r="W10" s="451"/>
      <c r="X10" s="447">
        <f t="shared" si="1"/>
        <v>-1</v>
      </c>
      <c r="Z10" s="375" t="str">
        <f>'28'!Z10</f>
        <v>HUSSAINI</v>
      </c>
      <c r="AA10" s="464">
        <f>'28'!AE10</f>
        <v>54900</v>
      </c>
      <c r="AB10" s="460"/>
      <c r="AC10" s="462">
        <f t="shared" si="2"/>
        <v>54900</v>
      </c>
      <c r="AD10" s="469"/>
      <c r="AE10" s="348">
        <f t="shared" si="3"/>
        <v>54900</v>
      </c>
      <c r="AF10" s="563">
        <f>'28'!AF10+'29'!AB10</f>
        <v>211000</v>
      </c>
      <c r="AG10" s="234">
        <f>'28'!AG10+'29'!AD10</f>
        <v>156100</v>
      </c>
      <c r="AI10" s="395" t="s">
        <v>74</v>
      </c>
      <c r="AJ10" s="396">
        <f>AJ8+AJ9</f>
        <v>342600</v>
      </c>
    </row>
    <row r="11" spans="1:36" ht="27" customHeight="1" thickTop="1">
      <c r="A11" s="718"/>
      <c r="B11" s="528"/>
      <c r="C11" s="350"/>
      <c r="D11" s="550"/>
      <c r="F11" s="479" t="str">
        <f>'28'!F11</f>
        <v>SHAHID 5 #</v>
      </c>
      <c r="G11" s="406">
        <f>'CUSTOMERS REPORT'!Y159</f>
        <v>0</v>
      </c>
      <c r="H11" s="504">
        <f>'CUSTOMERS REPORT'!Z159</f>
        <v>0</v>
      </c>
      <c r="I11" s="406">
        <f>'CUSTOMERS REPORT'!AA159</f>
        <v>0</v>
      </c>
      <c r="J11" s="498">
        <f>'CUSTOMERS REPORT'!AB159</f>
        <v>0</v>
      </c>
      <c r="K11" s="498">
        <f>'CUSTOMERS REPORT'!AC159</f>
        <v>0</v>
      </c>
      <c r="L11" s="509">
        <f>'CUSTOMERS REPORT'!AD159</f>
        <v>0</v>
      </c>
      <c r="M11" s="414">
        <f>'28'!M11+'29'!G11</f>
        <v>0</v>
      </c>
      <c r="N11" s="412">
        <f>'28'!N11+'29'!J11</f>
        <v>0</v>
      </c>
      <c r="P11" s="433"/>
      <c r="Q11" s="437"/>
      <c r="S11" s="400" t="str">
        <f>'28'!S11</f>
        <v>YEAST</v>
      </c>
      <c r="T11" s="446">
        <f>'28'!X11</f>
        <v>-126</v>
      </c>
      <c r="U11" s="456"/>
      <c r="V11" s="451">
        <f t="shared" ref="V11:V20" si="4">SUM(T11:U11)</f>
        <v>-126</v>
      </c>
      <c r="W11" s="451"/>
      <c r="X11" s="447">
        <f t="shared" ref="X11:X20" si="5">V11-W11</f>
        <v>-126</v>
      </c>
      <c r="Z11" s="375" t="str">
        <f>'28'!Z11</f>
        <v>IMRAN ALAM</v>
      </c>
      <c r="AA11" s="464">
        <f>'28'!AE11</f>
        <v>-439000</v>
      </c>
      <c r="AB11" s="460"/>
      <c r="AC11" s="462">
        <f t="shared" ref="AC11:AC18" si="6">AA11+AB11</f>
        <v>-439000</v>
      </c>
      <c r="AD11" s="469"/>
      <c r="AE11" s="348">
        <f t="shared" ref="AE11:AE18" si="7">AC11-AD11</f>
        <v>-439000</v>
      </c>
      <c r="AF11" s="563">
        <f>'28'!AF11+'29'!AB11</f>
        <v>0</v>
      </c>
      <c r="AG11" s="234">
        <f>'28'!AG11+'29'!AD11</f>
        <v>439000</v>
      </c>
      <c r="AI11" s="1031"/>
      <c r="AJ11" s="1032"/>
    </row>
    <row r="12" spans="1:36" ht="27" customHeight="1">
      <c r="A12" s="718"/>
      <c r="B12" s="528"/>
      <c r="C12" s="350"/>
      <c r="D12" s="550"/>
      <c r="F12" s="479" t="str">
        <f>'28'!F12</f>
        <v>ZULFIQAR</v>
      </c>
      <c r="G12" s="406">
        <f>'CUSTOMERS REPORT'!Y197</f>
        <v>0</v>
      </c>
      <c r="H12" s="504">
        <f>'CUSTOMERS REPORT'!Z197</f>
        <v>0</v>
      </c>
      <c r="I12" s="406">
        <f>'CUSTOMERS REPORT'!AA197</f>
        <v>0</v>
      </c>
      <c r="J12" s="498">
        <f>'CUSTOMERS REPORT'!AB197</f>
        <v>0</v>
      </c>
      <c r="K12" s="498">
        <f>'CUSTOMERS REPORT'!AC197</f>
        <v>0</v>
      </c>
      <c r="L12" s="509">
        <f>'CUSTOMERS REPORT'!AD197</f>
        <v>0</v>
      </c>
      <c r="M12" s="414">
        <f>'28'!M12+'29'!G12</f>
        <v>0</v>
      </c>
      <c r="N12" s="412">
        <f>'28'!N12+'29'!J12</f>
        <v>0</v>
      </c>
      <c r="P12" s="433"/>
      <c r="Q12" s="437"/>
      <c r="S12" s="400" t="str">
        <f>'28'!S12</f>
        <v xml:space="preserve">EKKA </v>
      </c>
      <c r="T12" s="446">
        <f>'28'!X12</f>
        <v>-62</v>
      </c>
      <c r="U12" s="456"/>
      <c r="V12" s="451">
        <f t="shared" si="4"/>
        <v>-62</v>
      </c>
      <c r="W12" s="451"/>
      <c r="X12" s="447">
        <f t="shared" si="5"/>
        <v>-62</v>
      </c>
      <c r="Z12" s="375" t="str">
        <f>'28'!Z12</f>
        <v>ZAHEER</v>
      </c>
      <c r="AA12" s="464">
        <f>'28'!AE12</f>
        <v>-23200</v>
      </c>
      <c r="AB12" s="460"/>
      <c r="AC12" s="462">
        <f t="shared" si="6"/>
        <v>-23200</v>
      </c>
      <c r="AD12" s="469"/>
      <c r="AE12" s="348">
        <f t="shared" si="7"/>
        <v>-23200</v>
      </c>
      <c r="AF12" s="563">
        <f>'28'!AF12+'29'!AB12</f>
        <v>0</v>
      </c>
      <c r="AG12" s="234">
        <f>'28'!AG12+'29'!AD12</f>
        <v>23200</v>
      </c>
      <c r="AI12" s="1031"/>
      <c r="AJ12" s="1032"/>
    </row>
    <row r="13" spans="1:36" ht="27" customHeight="1">
      <c r="A13" s="718"/>
      <c r="B13" s="528"/>
      <c r="C13" s="350"/>
      <c r="D13" s="550"/>
      <c r="F13" s="479" t="str">
        <f>'28'!F13</f>
        <v>QASIM ORANGI</v>
      </c>
      <c r="G13" s="406">
        <f>'CUSTOMERS REPORT'!Y237</f>
        <v>0</v>
      </c>
      <c r="H13" s="504">
        <f>'CUSTOMERS REPORT'!Z237</f>
        <v>0</v>
      </c>
      <c r="I13" s="406">
        <f>'CUSTOMERS REPORT'!AA237</f>
        <v>0</v>
      </c>
      <c r="J13" s="498">
        <f>'CUSTOMERS REPORT'!AB237</f>
        <v>0</v>
      </c>
      <c r="K13" s="498">
        <f>'CUSTOMERS REPORT'!AC237</f>
        <v>0</v>
      </c>
      <c r="L13" s="509">
        <f>'CUSTOMERS REPORT'!AD237</f>
        <v>0</v>
      </c>
      <c r="M13" s="414">
        <f>'28'!M13+'29'!G13</f>
        <v>0</v>
      </c>
      <c r="N13" s="412">
        <f>'28'!N13+'29'!J13</f>
        <v>0</v>
      </c>
      <c r="P13" s="433"/>
      <c r="Q13" s="437"/>
      <c r="S13" s="400" t="str">
        <f>'28'!S13</f>
        <v>VANILLA</v>
      </c>
      <c r="T13" s="446">
        <f>'28'!X13</f>
        <v>-9.5</v>
      </c>
      <c r="U13" s="456"/>
      <c r="V13" s="451">
        <f t="shared" si="4"/>
        <v>-9.5</v>
      </c>
      <c r="W13" s="451"/>
      <c r="X13" s="447">
        <f t="shared" si="5"/>
        <v>-9.5</v>
      </c>
      <c r="Z13" s="375" t="str">
        <f>'28'!Z13</f>
        <v>FAISAL</v>
      </c>
      <c r="AA13" s="464">
        <f>'28'!AE13</f>
        <v>-100000</v>
      </c>
      <c r="AB13" s="460"/>
      <c r="AC13" s="462">
        <f t="shared" si="6"/>
        <v>-100000</v>
      </c>
      <c r="AD13" s="469"/>
      <c r="AE13" s="348">
        <f t="shared" si="7"/>
        <v>-100000</v>
      </c>
      <c r="AF13" s="563">
        <f>'28'!AF13+'29'!AB13</f>
        <v>0</v>
      </c>
      <c r="AG13" s="234">
        <f>'28'!AG13+'29'!AD13</f>
        <v>100000</v>
      </c>
      <c r="AI13" s="1031"/>
      <c r="AJ13" s="1032"/>
    </row>
    <row r="14" spans="1:36" ht="27" customHeight="1">
      <c r="A14" s="718"/>
      <c r="B14" s="528"/>
      <c r="C14" s="350"/>
      <c r="D14" s="550"/>
      <c r="F14" s="479" t="str">
        <f>'28'!F14</f>
        <v>BADSHAH KHAN HYD</v>
      </c>
      <c r="G14" s="406">
        <f>'CUSTOMERS REPORT'!Y274</f>
        <v>0</v>
      </c>
      <c r="H14" s="504">
        <f>'CUSTOMERS REPORT'!Z274</f>
        <v>0</v>
      </c>
      <c r="I14" s="406">
        <f>'CUSTOMERS REPORT'!AA274</f>
        <v>0</v>
      </c>
      <c r="J14" s="498">
        <f>'CUSTOMERS REPORT'!AB274</f>
        <v>0</v>
      </c>
      <c r="K14" s="498">
        <f>'CUSTOMERS REPORT'!AC274</f>
        <v>0</v>
      </c>
      <c r="L14" s="509">
        <f>'CUSTOMERS REPORT'!AD274</f>
        <v>0</v>
      </c>
      <c r="M14" s="414">
        <f>'28'!M14+'29'!G14</f>
        <v>0</v>
      </c>
      <c r="N14" s="412">
        <f>'28'!N14+'29'!J14</f>
        <v>0</v>
      </c>
      <c r="P14" s="433"/>
      <c r="Q14" s="437"/>
      <c r="S14" s="400" t="str">
        <f>'28'!S14</f>
        <v>COLOUR</v>
      </c>
      <c r="T14" s="446">
        <f>'28'!X14</f>
        <v>17</v>
      </c>
      <c r="U14" s="456"/>
      <c r="V14" s="451">
        <f t="shared" si="4"/>
        <v>17</v>
      </c>
      <c r="W14" s="451"/>
      <c r="X14" s="447">
        <f t="shared" si="5"/>
        <v>17</v>
      </c>
      <c r="Z14" s="375" t="str">
        <f>'28'!Z14</f>
        <v>RANA EKKA</v>
      </c>
      <c r="AA14" s="464">
        <f>'28'!AE14</f>
        <v>0</v>
      </c>
      <c r="AB14" s="460"/>
      <c r="AC14" s="462">
        <f t="shared" si="6"/>
        <v>0</v>
      </c>
      <c r="AD14" s="469"/>
      <c r="AE14" s="348">
        <f t="shared" si="7"/>
        <v>0</v>
      </c>
      <c r="AF14" s="563">
        <f>'28'!AF14+'29'!AB14</f>
        <v>0</v>
      </c>
      <c r="AG14" s="234">
        <f>'28'!AG14+'29'!AD14</f>
        <v>0</v>
      </c>
      <c r="AI14" s="1031"/>
      <c r="AJ14" s="1032"/>
    </row>
    <row r="15" spans="1:36" ht="27" customHeight="1">
      <c r="A15" s="718"/>
      <c r="B15" s="528"/>
      <c r="C15" s="350"/>
      <c r="D15" s="550"/>
      <c r="F15" s="479" t="str">
        <f>'28'!F15</f>
        <v>SHAMOON</v>
      </c>
      <c r="G15" s="406">
        <f>'CUSTOMERS REPORT'!Y314</f>
        <v>0</v>
      </c>
      <c r="H15" s="504">
        <f>'CUSTOMERS REPORT'!Z314</f>
        <v>0</v>
      </c>
      <c r="I15" s="406">
        <f>'CUSTOMERS REPORT'!AA314</f>
        <v>0</v>
      </c>
      <c r="J15" s="498">
        <f>'CUSTOMERS REPORT'!AB314</f>
        <v>0</v>
      </c>
      <c r="K15" s="498">
        <f>'CUSTOMERS REPORT'!AC314</f>
        <v>0</v>
      </c>
      <c r="L15" s="509">
        <f>'CUSTOMERS REPORT'!AD314</f>
        <v>0</v>
      </c>
      <c r="M15" s="414">
        <f>'28'!M15+'29'!G15</f>
        <v>0</v>
      </c>
      <c r="N15" s="412">
        <f>'28'!N15+'29'!J15</f>
        <v>0</v>
      </c>
      <c r="P15" s="433"/>
      <c r="Q15" s="437"/>
      <c r="S15" s="400" t="str">
        <f>'28'!S15</f>
        <v>TILL</v>
      </c>
      <c r="T15" s="446">
        <f>'28'!X15</f>
        <v>-18</v>
      </c>
      <c r="U15" s="456"/>
      <c r="V15" s="451">
        <f t="shared" si="4"/>
        <v>-18</v>
      </c>
      <c r="W15" s="451"/>
      <c r="X15" s="447">
        <f t="shared" si="5"/>
        <v>-18</v>
      </c>
      <c r="Z15" s="375" t="str">
        <f>'28'!Z15</f>
        <v>sheeba</v>
      </c>
      <c r="AA15" s="464">
        <f>'28'!AE15</f>
        <v>-410250</v>
      </c>
      <c r="AB15" s="460"/>
      <c r="AC15" s="462">
        <f t="shared" si="6"/>
        <v>-410250</v>
      </c>
      <c r="AD15" s="469"/>
      <c r="AE15" s="348">
        <f t="shared" si="7"/>
        <v>-410250</v>
      </c>
      <c r="AF15" s="563">
        <f>'28'!AF15+'29'!AB15</f>
        <v>0</v>
      </c>
      <c r="AG15" s="234">
        <f>'28'!AG15+'29'!AD15</f>
        <v>410250</v>
      </c>
      <c r="AI15" s="1031"/>
      <c r="AJ15" s="1032"/>
    </row>
    <row r="16" spans="1:36" ht="27" customHeight="1">
      <c r="A16" s="718"/>
      <c r="B16" s="528"/>
      <c r="C16" s="350"/>
      <c r="D16" s="550"/>
      <c r="F16" s="479" t="str">
        <f>'28'!F16</f>
        <v>MATEEN</v>
      </c>
      <c r="G16" s="406">
        <f>'CUSTOMERS REPORT'!Y355</f>
        <v>0</v>
      </c>
      <c r="H16" s="504">
        <f>'CUSTOMERS REPORT'!Z355</f>
        <v>0</v>
      </c>
      <c r="I16" s="406">
        <f>'CUSTOMERS REPORT'!AA355</f>
        <v>0</v>
      </c>
      <c r="J16" s="498">
        <f>'CUSTOMERS REPORT'!AB355</f>
        <v>0</v>
      </c>
      <c r="K16" s="498">
        <f>'CUSTOMERS REPORT'!AC355</f>
        <v>0</v>
      </c>
      <c r="L16" s="509">
        <f>'CUSTOMERS REPORT'!AD355</f>
        <v>0</v>
      </c>
      <c r="M16" s="414">
        <f>'28'!M16+'29'!G16</f>
        <v>0</v>
      </c>
      <c r="N16" s="412">
        <f>'28'!N16+'29'!J16</f>
        <v>0</v>
      </c>
      <c r="P16" s="433"/>
      <c r="Q16" s="437"/>
      <c r="S16" s="400" t="str">
        <f>'28'!S16</f>
        <v>ILLAICHI</v>
      </c>
      <c r="T16" s="446">
        <f>'28'!X16</f>
        <v>-1</v>
      </c>
      <c r="U16" s="456"/>
      <c r="V16" s="451">
        <f t="shared" si="4"/>
        <v>-1</v>
      </c>
      <c r="W16" s="451"/>
      <c r="X16" s="447">
        <f t="shared" si="5"/>
        <v>-1</v>
      </c>
      <c r="Z16" s="375" t="str">
        <f>'28'!Z16</f>
        <v>COTTON</v>
      </c>
      <c r="AA16" s="464">
        <f>'28'!AE16</f>
        <v>0</v>
      </c>
      <c r="AB16" s="460"/>
      <c r="AC16" s="462">
        <f t="shared" si="6"/>
        <v>0</v>
      </c>
      <c r="AD16" s="469"/>
      <c r="AE16" s="348">
        <f t="shared" si="7"/>
        <v>0</v>
      </c>
      <c r="AF16" s="563">
        <f>'28'!AF16+'29'!AB16</f>
        <v>26400</v>
      </c>
      <c r="AG16" s="234">
        <f>'28'!AG16+'29'!AD16</f>
        <v>26400</v>
      </c>
      <c r="AI16" s="1031"/>
      <c r="AJ16" s="1032"/>
    </row>
    <row r="17" spans="1:36" ht="27" customHeight="1">
      <c r="A17" s="718"/>
      <c r="B17" s="528"/>
      <c r="C17" s="350"/>
      <c r="D17" s="550"/>
      <c r="F17" s="479" t="str">
        <f>'28'!F17</f>
        <v>AMJAD ORANGI</v>
      </c>
      <c r="G17" s="406">
        <f>'CUSTOMERS REPORT'!Y397</f>
        <v>0</v>
      </c>
      <c r="H17" s="504">
        <f>'CUSTOMERS REPORT'!Z397</f>
        <v>0</v>
      </c>
      <c r="I17" s="406">
        <f>'CUSTOMERS REPORT'!AA397</f>
        <v>0</v>
      </c>
      <c r="J17" s="498">
        <f>'CUSTOMERS REPORT'!AB397</f>
        <v>0</v>
      </c>
      <c r="K17" s="498">
        <f>'CUSTOMERS REPORT'!AC397</f>
        <v>0</v>
      </c>
      <c r="L17" s="509">
        <f>'CUSTOMERS REPORT'!AD397</f>
        <v>0</v>
      </c>
      <c r="M17" s="414">
        <f>'28'!M17+'29'!G17</f>
        <v>0</v>
      </c>
      <c r="N17" s="412">
        <f>'28'!N17+'29'!J17</f>
        <v>0</v>
      </c>
      <c r="P17" s="433"/>
      <c r="Q17" s="437"/>
      <c r="S17" s="400" t="str">
        <f>'28'!S17</f>
        <v>S-THELLI</v>
      </c>
      <c r="T17" s="446">
        <f>'28'!X17</f>
        <v>-339</v>
      </c>
      <c r="U17" s="456"/>
      <c r="V17" s="451">
        <f t="shared" si="4"/>
        <v>-339</v>
      </c>
      <c r="W17" s="451"/>
      <c r="X17" s="447">
        <f t="shared" si="5"/>
        <v>-339</v>
      </c>
      <c r="Z17" s="375" t="str">
        <f>'28'!Z17</f>
        <v>SHAHID UP</v>
      </c>
      <c r="AA17" s="464">
        <f>'28'!AE17</f>
        <v>0</v>
      </c>
      <c r="AB17" s="460"/>
      <c r="AC17" s="462">
        <f t="shared" si="6"/>
        <v>0</v>
      </c>
      <c r="AD17" s="469"/>
      <c r="AE17" s="348">
        <f t="shared" si="7"/>
        <v>0</v>
      </c>
      <c r="AF17" s="563">
        <f>'28'!AF17+'29'!AB17</f>
        <v>21250</v>
      </c>
      <c r="AG17" s="234">
        <f>'28'!AG17+'29'!AD17</f>
        <v>21250</v>
      </c>
      <c r="AI17" s="1031"/>
      <c r="AJ17" s="1032"/>
    </row>
    <row r="18" spans="1:36" ht="27" customHeight="1">
      <c r="A18" s="718"/>
      <c r="B18" s="528"/>
      <c r="C18" s="350"/>
      <c r="D18" s="550"/>
      <c r="F18" s="479" t="str">
        <f>'28'!F18</f>
        <v>HAFIZ DRIVER</v>
      </c>
      <c r="G18" s="406">
        <f>'CUSTOMERS REPORT'!Y436</f>
        <v>0</v>
      </c>
      <c r="H18" s="504">
        <f>'CUSTOMERS REPORT'!Z436</f>
        <v>0</v>
      </c>
      <c r="I18" s="406">
        <f>'CUSTOMERS REPORT'!AA436</f>
        <v>0</v>
      </c>
      <c r="J18" s="498">
        <f>'CUSTOMERS REPORT'!AB436</f>
        <v>0</v>
      </c>
      <c r="K18" s="498">
        <f>'CUSTOMERS REPORT'!AC436</f>
        <v>0</v>
      </c>
      <c r="L18" s="509">
        <f>'CUSTOMERS REPORT'!AD436</f>
        <v>0</v>
      </c>
      <c r="M18" s="414">
        <f>'28'!M18+'29'!G18</f>
        <v>0</v>
      </c>
      <c r="N18" s="412">
        <f>'28'!N18+'29'!J18</f>
        <v>0</v>
      </c>
      <c r="P18" s="433"/>
      <c r="Q18" s="437"/>
      <c r="S18" s="400" t="str">
        <f>'28'!S18</f>
        <v>P-THELLI</v>
      </c>
      <c r="T18" s="446">
        <f>'28'!X18</f>
        <v>-89</v>
      </c>
      <c r="U18" s="456"/>
      <c r="V18" s="451">
        <f t="shared" si="4"/>
        <v>-89</v>
      </c>
      <c r="W18" s="451"/>
      <c r="X18" s="447">
        <f t="shared" si="5"/>
        <v>-89</v>
      </c>
      <c r="Z18" s="375" t="str">
        <f>'28'!Z18</f>
        <v>SALT</v>
      </c>
      <c r="AA18" s="464">
        <f>'28'!AE18</f>
        <v>0</v>
      </c>
      <c r="AB18" s="460"/>
      <c r="AC18" s="462">
        <f t="shared" si="6"/>
        <v>0</v>
      </c>
      <c r="AD18" s="469"/>
      <c r="AE18" s="348">
        <f t="shared" si="7"/>
        <v>0</v>
      </c>
      <c r="AF18" s="563">
        <f>'28'!AF18+'29'!AB18</f>
        <v>1500</v>
      </c>
      <c r="AG18" s="234">
        <f>'28'!AG18+'29'!AD18</f>
        <v>1500</v>
      </c>
      <c r="AI18" s="1031"/>
      <c r="AJ18" s="1032"/>
    </row>
    <row r="19" spans="1:36" ht="27" customHeight="1" thickBot="1">
      <c r="A19" s="719"/>
      <c r="B19" s="529"/>
      <c r="C19" s="350"/>
      <c r="D19" s="550"/>
      <c r="F19" s="479" t="str">
        <f>'28'!F19</f>
        <v>GHULAM QUETTA</v>
      </c>
      <c r="G19" s="406">
        <f>'CUSTOMERS REPORT'!Y474</f>
        <v>0</v>
      </c>
      <c r="H19" s="504">
        <f>'CUSTOMERS REPORT'!Z474</f>
        <v>0</v>
      </c>
      <c r="I19" s="406">
        <f>'CUSTOMERS REPORT'!AA474</f>
        <v>0</v>
      </c>
      <c r="J19" s="498">
        <f>'CUSTOMERS REPORT'!AB474</f>
        <v>0</v>
      </c>
      <c r="K19" s="498">
        <f>'CUSTOMERS REPORT'!AC474</f>
        <v>0</v>
      </c>
      <c r="L19" s="509">
        <f>'CUSTOMERS REPORT'!AD474</f>
        <v>0</v>
      </c>
      <c r="M19" s="414">
        <f>'28'!M19+'29'!G19</f>
        <v>0</v>
      </c>
      <c r="N19" s="412">
        <f>'28'!N19+'29'!J19</f>
        <v>0</v>
      </c>
      <c r="P19" s="433"/>
      <c r="Q19" s="437"/>
      <c r="S19" s="400" t="str">
        <f>'28'!S19</f>
        <v>RUBBER</v>
      </c>
      <c r="T19" s="446">
        <f>'28'!X19</f>
        <v>-3</v>
      </c>
      <c r="U19" s="456"/>
      <c r="V19" s="451">
        <f t="shared" si="4"/>
        <v>-3</v>
      </c>
      <c r="W19" s="451"/>
      <c r="X19" s="447">
        <f t="shared" si="5"/>
        <v>-3</v>
      </c>
      <c r="Z19" s="375" t="str">
        <f>'28'!Z19</f>
        <v>NAVEED</v>
      </c>
      <c r="AA19" s="464">
        <f>'28'!AE19</f>
        <v>0</v>
      </c>
      <c r="AB19" s="460"/>
      <c r="AC19" s="462">
        <f t="shared" si="2"/>
        <v>0</v>
      </c>
      <c r="AD19" s="469"/>
      <c r="AE19" s="348">
        <f t="shared" si="3"/>
        <v>0</v>
      </c>
      <c r="AF19" s="563">
        <f>'28'!AF19+'29'!AB19</f>
        <v>0</v>
      </c>
      <c r="AG19" s="234">
        <f>'28'!AG19+'29'!AD19</f>
        <v>0</v>
      </c>
    </row>
    <row r="20" spans="1:36" ht="27" customHeight="1" thickTop="1" thickBot="1">
      <c r="A20" s="719"/>
      <c r="B20" s="529"/>
      <c r="C20" s="350"/>
      <c r="D20" s="550"/>
      <c r="F20" s="479" t="str">
        <f>'28'!F20</f>
        <v>HUSSAN GWADAR</v>
      </c>
      <c r="G20" s="406">
        <f>'CUSTOMERS REPORT'!Y510</f>
        <v>0</v>
      </c>
      <c r="H20" s="504">
        <f>'CUSTOMERS REPORT'!Z510</f>
        <v>0</v>
      </c>
      <c r="I20" s="406">
        <f>'CUSTOMERS REPORT'!AA510</f>
        <v>0</v>
      </c>
      <c r="J20" s="498">
        <f>'CUSTOMERS REPORT'!AB510</f>
        <v>0</v>
      </c>
      <c r="K20" s="498">
        <f>'CUSTOMERS REPORT'!AC510</f>
        <v>0</v>
      </c>
      <c r="L20" s="509">
        <f>'CUSTOMERS REPORT'!AD510</f>
        <v>0</v>
      </c>
      <c r="M20" s="414">
        <f>'28'!M20+'29'!G20</f>
        <v>0</v>
      </c>
      <c r="N20" s="412">
        <f>'28'!N20+'29'!J20</f>
        <v>0</v>
      </c>
      <c r="P20" s="433"/>
      <c r="Q20" s="437"/>
      <c r="S20" s="400" t="str">
        <f>'28'!S20</f>
        <v>SALT</v>
      </c>
      <c r="T20" s="446">
        <f>'28'!X20</f>
        <v>70</v>
      </c>
      <c r="U20" s="456"/>
      <c r="V20" s="451">
        <f t="shared" si="4"/>
        <v>70</v>
      </c>
      <c r="W20" s="451"/>
      <c r="X20" s="447">
        <f t="shared" si="5"/>
        <v>70</v>
      </c>
      <c r="Z20" s="375" t="str">
        <f>'28'!Z20</f>
        <v>YOUSUF BHAI</v>
      </c>
      <c r="AA20" s="464">
        <f>'28'!AE20</f>
        <v>-107300</v>
      </c>
      <c r="AB20" s="460"/>
      <c r="AC20" s="462">
        <f t="shared" si="2"/>
        <v>-107300</v>
      </c>
      <c r="AD20" s="469"/>
      <c r="AE20" s="348">
        <f t="shared" si="3"/>
        <v>-107300</v>
      </c>
      <c r="AF20" s="563">
        <f>'28'!AF20+'29'!AB20</f>
        <v>447100</v>
      </c>
      <c r="AG20" s="234">
        <f>'28'!AG20+'29'!AD20</f>
        <v>554400</v>
      </c>
      <c r="AI20" s="1487" t="s">
        <v>132</v>
      </c>
      <c r="AJ20" s="1488"/>
    </row>
    <row r="21" spans="1:36" ht="27" customHeight="1" thickTop="1" thickBot="1">
      <c r="A21" s="720"/>
      <c r="B21" s="530"/>
      <c r="C21" s="531"/>
      <c r="D21" s="553"/>
      <c r="F21" s="479" t="str">
        <f>'28'!F21</f>
        <v>AQASH S KOT</v>
      </c>
      <c r="G21" s="406">
        <f>'CUSTOMERS REPORT'!Y547</f>
        <v>0</v>
      </c>
      <c r="H21" s="504">
        <f>'CUSTOMERS REPORT'!Z547</f>
        <v>0</v>
      </c>
      <c r="I21" s="406">
        <f>'CUSTOMERS REPORT'!AA547</f>
        <v>0</v>
      </c>
      <c r="J21" s="498">
        <f>'CUSTOMERS REPORT'!AB547</f>
        <v>0</v>
      </c>
      <c r="K21" s="498">
        <f>'CUSTOMERS REPORT'!AC547</f>
        <v>0</v>
      </c>
      <c r="L21" s="509">
        <f>'CUSTOMERS REPORT'!AD547</f>
        <v>0</v>
      </c>
      <c r="M21" s="414">
        <f>'28'!M21+'29'!G21</f>
        <v>0</v>
      </c>
      <c r="N21" s="412">
        <f>'28'!N21+'29'!J21</f>
        <v>0</v>
      </c>
      <c r="P21" s="433"/>
      <c r="Q21" s="435"/>
      <c r="S21" s="400" t="str">
        <f>'28'!S21</f>
        <v>TAPE</v>
      </c>
      <c r="T21" s="446">
        <f>'28'!X21</f>
        <v>-20</v>
      </c>
      <c r="U21" s="456"/>
      <c r="V21" s="451">
        <f t="shared" si="0"/>
        <v>-20</v>
      </c>
      <c r="W21" s="906"/>
      <c r="X21" s="733">
        <f t="shared" si="1"/>
        <v>-20</v>
      </c>
      <c r="Z21" s="375" t="str">
        <f>'28'!Z21</f>
        <v>SULEMAN  PRINT</v>
      </c>
      <c r="AA21" s="464">
        <f>'28'!AE21</f>
        <v>-312000</v>
      </c>
      <c r="AB21" s="460"/>
      <c r="AC21" s="462">
        <f t="shared" si="2"/>
        <v>-312000</v>
      </c>
      <c r="AD21" s="469"/>
      <c r="AE21" s="348">
        <f t="shared" si="3"/>
        <v>-312000</v>
      </c>
      <c r="AF21" s="563">
        <f>'28'!AF21+'29'!AB21</f>
        <v>0</v>
      </c>
      <c r="AG21" s="234">
        <f>'28'!AG21+'29'!AD21</f>
        <v>312000</v>
      </c>
      <c r="AI21" s="391" t="s">
        <v>126</v>
      </c>
      <c r="AJ21" s="392">
        <f>'28'!AJ23</f>
        <v>257400</v>
      </c>
    </row>
    <row r="22" spans="1:36" ht="27" customHeight="1" thickTop="1" thickBot="1">
      <c r="A22" s="486" t="s">
        <v>74</v>
      </c>
      <c r="B22" s="533">
        <f>SUM(B8:B21)</f>
        <v>0</v>
      </c>
      <c r="C22" s="534">
        <f>'28'!D22</f>
        <v>3569860</v>
      </c>
      <c r="D22" s="535">
        <f t="shared" ref="D22" si="8">B22+C22</f>
        <v>3569860</v>
      </c>
      <c r="F22" s="479" t="str">
        <f>'28'!F22</f>
        <v>SALEEM T JAM</v>
      </c>
      <c r="G22" s="406">
        <f>'CUSTOMERS REPORT'!Y585</f>
        <v>0</v>
      </c>
      <c r="H22" s="504">
        <f>'CUSTOMERS REPORT'!Z585</f>
        <v>0</v>
      </c>
      <c r="I22" s="406">
        <f>'CUSTOMERS REPORT'!AA585</f>
        <v>0</v>
      </c>
      <c r="J22" s="498">
        <f>'CUSTOMERS REPORT'!AB585</f>
        <v>0</v>
      </c>
      <c r="K22" s="498">
        <f>'CUSTOMERS REPORT'!AC585</f>
        <v>0</v>
      </c>
      <c r="L22" s="509">
        <f>'CUSTOMERS REPORT'!AD585</f>
        <v>0</v>
      </c>
      <c r="M22" s="414">
        <f>'28'!M22+'29'!G22</f>
        <v>0</v>
      </c>
      <c r="N22" s="412">
        <f>'28'!N22+'29'!J22</f>
        <v>0</v>
      </c>
      <c r="P22" s="433"/>
      <c r="Q22" s="438"/>
      <c r="S22" s="400" t="str">
        <f>'28'!S22</f>
        <v>COTTON</v>
      </c>
      <c r="T22" s="446">
        <f>'28'!X22</f>
        <v>35</v>
      </c>
      <c r="U22" s="456"/>
      <c r="V22" s="451">
        <f t="shared" si="0"/>
        <v>35</v>
      </c>
      <c r="W22" s="451"/>
      <c r="X22" s="447">
        <f t="shared" si="1"/>
        <v>35</v>
      </c>
      <c r="Z22" s="375" t="str">
        <f>'28'!Z22</f>
        <v>IRFAN VANILA</v>
      </c>
      <c r="AA22" s="464">
        <f>'28'!AE22</f>
        <v>-110000</v>
      </c>
      <c r="AB22" s="460"/>
      <c r="AC22" s="462">
        <f t="shared" si="2"/>
        <v>-110000</v>
      </c>
      <c r="AD22" s="469"/>
      <c r="AE22" s="348">
        <f t="shared" si="3"/>
        <v>-110000</v>
      </c>
      <c r="AF22" s="563">
        <f>'28'!AF22+'29'!AB22</f>
        <v>0</v>
      </c>
      <c r="AG22" s="234">
        <f>'28'!AG22+'29'!AD22</f>
        <v>110000</v>
      </c>
      <c r="AI22" s="393">
        <f>R56</f>
        <v>0</v>
      </c>
      <c r="AJ22" s="394">
        <f>R56*1800</f>
        <v>0</v>
      </c>
    </row>
    <row r="23" spans="1:36" ht="27" customHeight="1" thickTop="1" thickBot="1">
      <c r="A23" s="715" t="str">
        <f>'28'!A23</f>
        <v>OFFICE FOOD</v>
      </c>
      <c r="B23" s="462"/>
      <c r="C23" s="536">
        <f>'28'!D23</f>
        <v>4090</v>
      </c>
      <c r="D23" s="537">
        <f t="shared" ref="D23:D48" si="9">B23+C23</f>
        <v>4090</v>
      </c>
      <c r="F23" s="479" t="str">
        <f>'28'!F23</f>
        <v>JAMSHAD BADEEN</v>
      </c>
      <c r="G23" s="406">
        <f>'CUSTOMERS REPORT'!Y621</f>
        <v>0</v>
      </c>
      <c r="H23" s="504">
        <f>'CUSTOMERS REPORT'!Z621</f>
        <v>0</v>
      </c>
      <c r="I23" s="406">
        <f>'CUSTOMERS REPORT'!AA621</f>
        <v>0</v>
      </c>
      <c r="J23" s="498">
        <f>'CUSTOMERS REPORT'!AB621</f>
        <v>0</v>
      </c>
      <c r="K23" s="498">
        <f>'CUSTOMERS REPORT'!AC621</f>
        <v>0</v>
      </c>
      <c r="L23" s="509">
        <f>'CUSTOMERS REPORT'!AD621</f>
        <v>0</v>
      </c>
      <c r="M23" s="414">
        <f>'28'!M23+'29'!G23</f>
        <v>0</v>
      </c>
      <c r="N23" s="412">
        <f>'28'!N23+'29'!J23</f>
        <v>0</v>
      </c>
      <c r="P23" s="190" t="s">
        <v>48</v>
      </c>
      <c r="Q23" s="439">
        <f>SUM(Q8:Q22)</f>
        <v>0</v>
      </c>
      <c r="S23" s="400" t="str">
        <f>'28'!S23</f>
        <v>WHITE 6</v>
      </c>
      <c r="T23" s="446">
        <f>'28'!X23</f>
        <v>0</v>
      </c>
      <c r="U23" s="456"/>
      <c r="V23" s="451">
        <f t="shared" si="0"/>
        <v>0</v>
      </c>
      <c r="W23" s="451"/>
      <c r="X23" s="447">
        <f t="shared" si="1"/>
        <v>0</v>
      </c>
      <c r="Z23" s="375" t="str">
        <f>'28'!Z23</f>
        <v>IRANI GHEE</v>
      </c>
      <c r="AA23" s="464">
        <f>'28'!AE23</f>
        <v>0</v>
      </c>
      <c r="AB23" s="460"/>
      <c r="AC23" s="462">
        <f t="shared" si="2"/>
        <v>0</v>
      </c>
      <c r="AD23" s="469"/>
      <c r="AE23" s="348">
        <f t="shared" si="3"/>
        <v>0</v>
      </c>
      <c r="AF23" s="563">
        <f>'28'!AF23+'29'!AB23</f>
        <v>77200</v>
      </c>
      <c r="AG23" s="234">
        <f>'28'!AG23+'29'!AD23</f>
        <v>77200</v>
      </c>
      <c r="AI23" s="395" t="s">
        <v>74</v>
      </c>
      <c r="AJ23" s="396">
        <f>AJ21+AJ22</f>
        <v>257400</v>
      </c>
    </row>
    <row r="24" spans="1:36" ht="27" customHeight="1" thickTop="1" thickBot="1">
      <c r="A24" s="715" t="str">
        <f>'28'!A24</f>
        <v>LABOUR FOOD EXP</v>
      </c>
      <c r="B24" s="234"/>
      <c r="C24" s="348">
        <f>'28'!D24</f>
        <v>33000</v>
      </c>
      <c r="D24" s="234">
        <f t="shared" si="9"/>
        <v>33000</v>
      </c>
      <c r="F24" s="479" t="str">
        <f>'28'!F24</f>
        <v>SARFAZ MP</v>
      </c>
      <c r="G24" s="406">
        <f>'CUSTOMERS REPORT'!Y659</f>
        <v>0</v>
      </c>
      <c r="H24" s="504">
        <f>'CUSTOMERS REPORT'!Z659</f>
        <v>0</v>
      </c>
      <c r="I24" s="406">
        <f>'CUSTOMERS REPORT'!AA659</f>
        <v>0</v>
      </c>
      <c r="J24" s="498">
        <f>'CUSTOMERS REPORT'!AB659</f>
        <v>0</v>
      </c>
      <c r="K24" s="498">
        <f>'CUSTOMERS REPORT'!AC659</f>
        <v>0</v>
      </c>
      <c r="L24" s="509">
        <f>'CUSTOMERS REPORT'!AD659</f>
        <v>0</v>
      </c>
      <c r="M24" s="414">
        <f>'28'!M24+'29'!G24</f>
        <v>0</v>
      </c>
      <c r="N24" s="412">
        <f>'28'!N24+'29'!J24</f>
        <v>0</v>
      </c>
      <c r="P24" s="1514" t="s">
        <v>137</v>
      </c>
      <c r="Q24" s="1514"/>
      <c r="R24" t="s">
        <v>1</v>
      </c>
      <c r="S24" s="400" t="str">
        <f>'28'!S24</f>
        <v>ORANGE</v>
      </c>
      <c r="T24" s="446">
        <f>'28'!X24</f>
        <v>-254</v>
      </c>
      <c r="U24" s="456"/>
      <c r="V24" s="451">
        <f t="shared" si="0"/>
        <v>-254</v>
      </c>
      <c r="W24" s="906"/>
      <c r="X24" s="733">
        <f t="shared" si="1"/>
        <v>-254</v>
      </c>
      <c r="Z24" s="375">
        <f>'28'!Z24</f>
        <v>0</v>
      </c>
      <c r="AA24" s="464">
        <f>'28'!AE24</f>
        <v>0</v>
      </c>
      <c r="AB24" s="460"/>
      <c r="AC24" s="462">
        <f t="shared" si="2"/>
        <v>0</v>
      </c>
      <c r="AD24" s="469"/>
      <c r="AE24" s="348">
        <f t="shared" si="3"/>
        <v>0</v>
      </c>
      <c r="AF24" s="563">
        <f>'28'!AF24+'29'!AB24</f>
        <v>0</v>
      </c>
      <c r="AG24" s="234">
        <f>'28'!AG24+'29'!AD24</f>
        <v>0</v>
      </c>
    </row>
    <row r="25" spans="1:36" ht="27" customHeight="1" thickTop="1" thickBot="1">
      <c r="A25" s="715" t="str">
        <f>'28'!A25</f>
        <v>OFFICE SALARY</v>
      </c>
      <c r="B25" s="234">
        <f>ATTENDANCE!BG28</f>
        <v>0</v>
      </c>
      <c r="C25" s="348">
        <f>'28'!D25</f>
        <v>171500</v>
      </c>
      <c r="D25" s="234">
        <f t="shared" si="9"/>
        <v>171500</v>
      </c>
      <c r="F25" s="479" t="str">
        <f>'28'!F25</f>
        <v>AFZAL MATLI</v>
      </c>
      <c r="G25" s="406">
        <f>'CUSTOMERS REPORT'!Y697</f>
        <v>0</v>
      </c>
      <c r="H25" s="504">
        <f>'CUSTOMERS REPORT'!Z697</f>
        <v>0</v>
      </c>
      <c r="I25" s="406">
        <f>'CUSTOMERS REPORT'!AA697</f>
        <v>0</v>
      </c>
      <c r="J25" s="498">
        <f>'CUSTOMERS REPORT'!AB697</f>
        <v>0</v>
      </c>
      <c r="K25" s="498">
        <f>'CUSTOMERS REPORT'!AC697</f>
        <v>0</v>
      </c>
      <c r="L25" s="509">
        <f>'CUSTOMERS REPORT'!AD697</f>
        <v>0</v>
      </c>
      <c r="M25" s="414">
        <f>'28'!M25+'29'!G25</f>
        <v>0</v>
      </c>
      <c r="N25" s="412">
        <f>'28'!N25+'29'!J25</f>
        <v>0</v>
      </c>
      <c r="P25" s="434"/>
      <c r="Q25" s="440"/>
      <c r="S25" s="400" t="str">
        <f>'28'!S25</f>
        <v>MAKKI 7</v>
      </c>
      <c r="T25" s="446">
        <f>'28'!X25</f>
        <v>-400</v>
      </c>
      <c r="U25" s="456"/>
      <c r="V25" s="451">
        <f t="shared" si="0"/>
        <v>-400</v>
      </c>
      <c r="W25" s="815"/>
      <c r="X25" s="816">
        <f t="shared" si="1"/>
        <v>-400</v>
      </c>
      <c r="Z25" s="375">
        <f>'28'!Z25</f>
        <v>0</v>
      </c>
      <c r="AA25" s="464">
        <f>'28'!AE25</f>
        <v>0</v>
      </c>
      <c r="AB25" s="460"/>
      <c r="AC25" s="462">
        <f t="shared" si="2"/>
        <v>0</v>
      </c>
      <c r="AD25" s="469"/>
      <c r="AE25" s="348">
        <f t="shared" si="3"/>
        <v>0</v>
      </c>
      <c r="AF25" s="563">
        <f>'28'!AF25+'29'!AB25</f>
        <v>0</v>
      </c>
      <c r="AG25" s="234">
        <f>'28'!AG25+'29'!AD25</f>
        <v>0</v>
      </c>
      <c r="AI25" s="397" t="s">
        <v>59</v>
      </c>
      <c r="AJ25" s="398">
        <f>AJ23-AJ10</f>
        <v>-85200</v>
      </c>
    </row>
    <row r="26" spans="1:36" ht="27" customHeight="1" thickTop="1">
      <c r="A26" s="715" t="str">
        <f>'28'!A26</f>
        <v>LABOUR SALARY</v>
      </c>
      <c r="B26" s="234">
        <f>SUM('SALERY SHEET'!BH97:BI97)</f>
        <v>0</v>
      </c>
      <c r="C26" s="348">
        <f>'28'!D26</f>
        <v>342600</v>
      </c>
      <c r="D26" s="234">
        <f t="shared" si="9"/>
        <v>342600</v>
      </c>
      <c r="F26" s="479" t="str">
        <f>'28'!F26</f>
        <v xml:space="preserve">ABDUL RASHEED </v>
      </c>
      <c r="G26" s="406">
        <f>'CUSTOMERS REPORT'!Y735</f>
        <v>0</v>
      </c>
      <c r="H26" s="504">
        <f>'CUSTOMERS REPORT'!Z735</f>
        <v>0</v>
      </c>
      <c r="I26" s="406">
        <f>'CUSTOMERS REPORT'!AA735</f>
        <v>0</v>
      </c>
      <c r="J26" s="498">
        <f>'CUSTOMERS REPORT'!AB735</f>
        <v>0</v>
      </c>
      <c r="K26" s="498">
        <f>'CUSTOMERS REPORT'!AC735</f>
        <v>0</v>
      </c>
      <c r="L26" s="509">
        <f>'CUSTOMERS REPORT'!AD735</f>
        <v>0</v>
      </c>
      <c r="M26" s="414">
        <f>'28'!M26+'29'!G26</f>
        <v>0</v>
      </c>
      <c r="N26" s="412">
        <f>'28'!N26+'29'!J26</f>
        <v>0</v>
      </c>
      <c r="P26" s="433"/>
      <c r="Q26" s="438"/>
      <c r="R26" t="s">
        <v>1</v>
      </c>
      <c r="S26" s="400" t="str">
        <f>'28'!S26</f>
        <v>BLUE 125 GM</v>
      </c>
      <c r="T26" s="446">
        <f>'28'!X26</f>
        <v>0</v>
      </c>
      <c r="U26" s="456"/>
      <c r="V26" s="451">
        <f t="shared" si="0"/>
        <v>0</v>
      </c>
      <c r="W26" s="815"/>
      <c r="X26" s="816">
        <f t="shared" si="1"/>
        <v>0</v>
      </c>
      <c r="Z26" s="375">
        <f>'28'!Z26</f>
        <v>0</v>
      </c>
      <c r="AA26" s="464">
        <f>'28'!AE26</f>
        <v>0</v>
      </c>
      <c r="AB26" s="460"/>
      <c r="AC26" s="462">
        <f t="shared" si="2"/>
        <v>0</v>
      </c>
      <c r="AD26" s="469"/>
      <c r="AE26" s="348">
        <f t="shared" si="3"/>
        <v>0</v>
      </c>
      <c r="AF26" s="563">
        <f>'28'!AF26+'29'!AB26</f>
        <v>0</v>
      </c>
      <c r="AG26" s="234">
        <f>'28'!AG26+'29'!AD26</f>
        <v>0</v>
      </c>
    </row>
    <row r="27" spans="1:36" ht="27" customHeight="1">
      <c r="A27" s="715" t="str">
        <f>'28'!A27</f>
        <v>SHAHZORE</v>
      </c>
      <c r="B27" s="234"/>
      <c r="C27" s="348">
        <f>'28'!D27</f>
        <v>15250</v>
      </c>
      <c r="D27" s="234">
        <f t="shared" si="9"/>
        <v>15250</v>
      </c>
      <c r="F27" s="479" t="str">
        <f>'28'!F27</f>
        <v>SALEEM ORANGI</v>
      </c>
      <c r="G27" s="406">
        <f>'CUSTOMERS REPORT'!Y773</f>
        <v>0</v>
      </c>
      <c r="H27" s="504">
        <f>'CUSTOMERS REPORT'!Z773</f>
        <v>0</v>
      </c>
      <c r="I27" s="406">
        <f>'CUSTOMERS REPORT'!AA773</f>
        <v>0</v>
      </c>
      <c r="J27" s="498">
        <f>'CUSTOMERS REPORT'!AB773</f>
        <v>0</v>
      </c>
      <c r="K27" s="498">
        <f>'CUSTOMERS REPORT'!AC773</f>
        <v>0</v>
      </c>
      <c r="L27" s="509">
        <f>'CUSTOMERS REPORT'!AD773</f>
        <v>0</v>
      </c>
      <c r="M27" s="414">
        <f>'28'!M27+'29'!G27</f>
        <v>0</v>
      </c>
      <c r="N27" s="412">
        <f>'28'!N27+'29'!J27</f>
        <v>0</v>
      </c>
      <c r="P27" s="433"/>
      <c r="Q27" s="435"/>
      <c r="R27" t="s">
        <v>1</v>
      </c>
      <c r="S27" s="400" t="str">
        <f>'28'!S27</f>
        <v>MAKKI 5</v>
      </c>
      <c r="T27" s="446">
        <f>'28'!X27</f>
        <v>0</v>
      </c>
      <c r="U27" s="456"/>
      <c r="V27" s="451">
        <f t="shared" si="0"/>
        <v>0</v>
      </c>
      <c r="W27" s="451"/>
      <c r="X27" s="447">
        <f t="shared" si="1"/>
        <v>0</v>
      </c>
      <c r="Z27" s="375">
        <f>'28'!Z27</f>
        <v>0</v>
      </c>
      <c r="AA27" s="464">
        <f>'28'!AE27</f>
        <v>0</v>
      </c>
      <c r="AB27" s="460"/>
      <c r="AC27" s="462">
        <f t="shared" si="2"/>
        <v>0</v>
      </c>
      <c r="AD27" s="469"/>
      <c r="AE27" s="348">
        <f t="shared" si="3"/>
        <v>0</v>
      </c>
      <c r="AF27" s="563">
        <f>'28'!AF27+'29'!AB27</f>
        <v>0</v>
      </c>
      <c r="AG27" s="234">
        <f>'28'!AG27+'29'!AD27</f>
        <v>0</v>
      </c>
    </row>
    <row r="28" spans="1:36" ht="27" customHeight="1">
      <c r="A28" s="715" t="str">
        <f>'28'!A28</f>
        <v>GENERATOR</v>
      </c>
      <c r="B28" s="234"/>
      <c r="C28" s="348">
        <f>'28'!D28</f>
        <v>44550</v>
      </c>
      <c r="D28" s="234">
        <f t="shared" si="9"/>
        <v>44550</v>
      </c>
      <c r="F28" s="479" t="str">
        <f>'28'!F28</f>
        <v>AYAZ OUSTA</v>
      </c>
      <c r="G28" s="406">
        <f>'CUSTOMERS REPORT'!Y811</f>
        <v>0</v>
      </c>
      <c r="H28" s="504">
        <f>'CUSTOMERS REPORT'!Z811</f>
        <v>0</v>
      </c>
      <c r="I28" s="406">
        <f>'CUSTOMERS REPORT'!AA811</f>
        <v>0</v>
      </c>
      <c r="J28" s="498">
        <f>'CUSTOMERS REPORT'!AB811</f>
        <v>0</v>
      </c>
      <c r="K28" s="498">
        <f>'CUSTOMERS REPORT'!AC811</f>
        <v>0</v>
      </c>
      <c r="L28" s="509">
        <f>'CUSTOMERS REPORT'!AD811</f>
        <v>0</v>
      </c>
      <c r="M28" s="414">
        <f>'28'!M28+'29'!G28</f>
        <v>0</v>
      </c>
      <c r="N28" s="412">
        <f>'28'!N28+'29'!J28</f>
        <v>0</v>
      </c>
      <c r="P28" s="433"/>
      <c r="Q28" s="438"/>
      <c r="S28" s="400" t="str">
        <f>'28'!S28</f>
        <v>MAKKI 2 PES</v>
      </c>
      <c r="T28" s="446">
        <f>'28'!X28</f>
        <v>-253</v>
      </c>
      <c r="U28" s="456"/>
      <c r="V28" s="451">
        <f t="shared" si="0"/>
        <v>-253</v>
      </c>
      <c r="W28" s="451"/>
      <c r="X28" s="447">
        <f t="shared" si="1"/>
        <v>-253</v>
      </c>
      <c r="Z28" s="375">
        <f>'28'!Z28</f>
        <v>0</v>
      </c>
      <c r="AA28" s="464">
        <f>'28'!AE28</f>
        <v>0</v>
      </c>
      <c r="AB28" s="460"/>
      <c r="AC28" s="462">
        <f t="shared" si="2"/>
        <v>0</v>
      </c>
      <c r="AD28" s="469"/>
      <c r="AE28" s="348">
        <f t="shared" si="3"/>
        <v>0</v>
      </c>
      <c r="AF28" s="563">
        <f>'28'!AF28+'29'!AB28</f>
        <v>0</v>
      </c>
      <c r="AG28" s="234">
        <f>'28'!AG28+'29'!AD28</f>
        <v>0</v>
      </c>
    </row>
    <row r="29" spans="1:36" ht="27" customHeight="1">
      <c r="A29" s="715" t="str">
        <f>'28'!A29</f>
        <v>PATROL FAW</v>
      </c>
      <c r="B29" s="234"/>
      <c r="C29" s="348">
        <f>'28'!D29</f>
        <v>34270</v>
      </c>
      <c r="D29" s="234">
        <f t="shared" si="9"/>
        <v>34270</v>
      </c>
      <c r="F29" s="479" t="str">
        <f>'28'!F29</f>
        <v>AZHAR BADEEN</v>
      </c>
      <c r="G29" s="406">
        <f>'CUSTOMERS REPORT'!Y849</f>
        <v>0</v>
      </c>
      <c r="H29" s="504">
        <f>'CUSTOMERS REPORT'!Z849</f>
        <v>0</v>
      </c>
      <c r="I29" s="406">
        <f>'CUSTOMERS REPORT'!AA849</f>
        <v>0</v>
      </c>
      <c r="J29" s="498">
        <f>'CUSTOMERS REPORT'!AB849</f>
        <v>0</v>
      </c>
      <c r="K29" s="498">
        <f>'CUSTOMERS REPORT'!AC849</f>
        <v>0</v>
      </c>
      <c r="L29" s="509">
        <f>'CUSTOMERS REPORT'!AD849</f>
        <v>0</v>
      </c>
      <c r="M29" s="414">
        <f>'28'!M29+'29'!G29</f>
        <v>0</v>
      </c>
      <c r="N29" s="412">
        <f>'28'!N29+'29'!J29</f>
        <v>0</v>
      </c>
      <c r="P29" s="433"/>
      <c r="Q29" s="441"/>
      <c r="S29" s="400" t="str">
        <f>'28'!S29</f>
        <v xml:space="preserve">PRIME </v>
      </c>
      <c r="T29" s="446">
        <f>'28'!X29</f>
        <v>0</v>
      </c>
      <c r="U29" s="456"/>
      <c r="V29" s="451">
        <f t="shared" si="0"/>
        <v>0</v>
      </c>
      <c r="W29" s="451"/>
      <c r="X29" s="447">
        <f t="shared" si="1"/>
        <v>0</v>
      </c>
      <c r="Z29" s="375">
        <f>'28'!Z29</f>
        <v>0</v>
      </c>
      <c r="AA29" s="464">
        <f>'28'!AE29</f>
        <v>0</v>
      </c>
      <c r="AB29" s="460"/>
      <c r="AC29" s="462">
        <f t="shared" si="2"/>
        <v>0</v>
      </c>
      <c r="AD29" s="469"/>
      <c r="AE29" s="348">
        <f t="shared" si="3"/>
        <v>0</v>
      </c>
      <c r="AF29" s="563">
        <f>'28'!AF29+'29'!AB29</f>
        <v>0</v>
      </c>
      <c r="AG29" s="234">
        <f>'28'!AG29+'29'!AD29</f>
        <v>0</v>
      </c>
    </row>
    <row r="30" spans="1:36" ht="27" customHeight="1">
      <c r="A30" s="715" t="str">
        <f>'28'!A30</f>
        <v>FOTON DIESEL</v>
      </c>
      <c r="B30" s="234"/>
      <c r="C30" s="348">
        <f>'28'!D30</f>
        <v>30300</v>
      </c>
      <c r="D30" s="234">
        <f t="shared" si="9"/>
        <v>30300</v>
      </c>
      <c r="F30" s="479" t="str">
        <f>'28'!F30</f>
        <v>FAISAL HUB</v>
      </c>
      <c r="G30" s="406">
        <f>'CUSTOMERS REPORT'!Y887</f>
        <v>0</v>
      </c>
      <c r="H30" s="504">
        <f>'CUSTOMERS REPORT'!Z887</f>
        <v>0</v>
      </c>
      <c r="I30" s="406">
        <f>'CUSTOMERS REPORT'!AA887</f>
        <v>0</v>
      </c>
      <c r="J30" s="498">
        <f>'CUSTOMERS REPORT'!AB887</f>
        <v>0</v>
      </c>
      <c r="K30" s="498">
        <f>'CUSTOMERS REPORT'!AC887</f>
        <v>0</v>
      </c>
      <c r="L30" s="509">
        <f>'CUSTOMERS REPORT'!AD887</f>
        <v>0</v>
      </c>
      <c r="M30" s="414">
        <f>'28'!M30+'29'!G30</f>
        <v>0</v>
      </c>
      <c r="N30" s="412">
        <f>'28'!N30+'29'!J30</f>
        <v>0</v>
      </c>
      <c r="P30" s="433"/>
      <c r="Q30" s="442"/>
      <c r="S30" s="400" t="str">
        <f>'28'!S30</f>
        <v>PRIMR 15</v>
      </c>
      <c r="T30" s="446">
        <f>'28'!X30</f>
        <v>0</v>
      </c>
      <c r="U30" s="456"/>
      <c r="V30" s="451">
        <f t="shared" si="0"/>
        <v>0</v>
      </c>
      <c r="W30" s="451"/>
      <c r="X30" s="447">
        <f t="shared" si="1"/>
        <v>0</v>
      </c>
      <c r="Z30" s="375">
        <f>'28'!Z30</f>
        <v>0</v>
      </c>
      <c r="AA30" s="464">
        <f>'28'!AE30</f>
        <v>0</v>
      </c>
      <c r="AB30" s="460"/>
      <c r="AC30" s="462">
        <f t="shared" si="2"/>
        <v>0</v>
      </c>
      <c r="AD30" s="469"/>
      <c r="AE30" s="348">
        <f t="shared" si="3"/>
        <v>0</v>
      </c>
      <c r="AF30" s="563">
        <f>'28'!AF30+'29'!AB30</f>
        <v>0</v>
      </c>
      <c r="AG30" s="234">
        <f>'28'!AG30+'29'!AD30</f>
        <v>0</v>
      </c>
    </row>
    <row r="31" spans="1:36" ht="27" customHeight="1" thickBot="1">
      <c r="A31" s="715" t="str">
        <f>'28'!A31</f>
        <v>UTILITY BILLS</v>
      </c>
      <c r="B31" s="234"/>
      <c r="C31" s="348">
        <f>'28'!D31</f>
        <v>44670</v>
      </c>
      <c r="D31" s="234">
        <f t="shared" si="9"/>
        <v>44670</v>
      </c>
      <c r="F31" s="479" t="str">
        <f>'28'!F31</f>
        <v>ABDUL RAHMAN</v>
      </c>
      <c r="G31" s="406">
        <f>'CUSTOMERS REPORT'!Y926</f>
        <v>0</v>
      </c>
      <c r="H31" s="504">
        <f>'CUSTOMERS REPORT'!Z926</f>
        <v>0</v>
      </c>
      <c r="I31" s="406">
        <f>'CUSTOMERS REPORT'!AA926</f>
        <v>0</v>
      </c>
      <c r="J31" s="498">
        <f>'CUSTOMERS REPORT'!AB926</f>
        <v>0</v>
      </c>
      <c r="K31" s="498">
        <f>'CUSTOMERS REPORT'!AC926</f>
        <v>0</v>
      </c>
      <c r="L31" s="509">
        <f>'CUSTOMERS REPORT'!AD926</f>
        <v>0</v>
      </c>
      <c r="M31" s="414">
        <f>'28'!M31+'29'!G31</f>
        <v>0</v>
      </c>
      <c r="N31" s="412">
        <f>'28'!N31+'29'!J31</f>
        <v>0</v>
      </c>
      <c r="P31" s="433"/>
      <c r="Q31" s="435"/>
      <c r="S31" s="400" t="str">
        <f>'28'!S31</f>
        <v>KARACHI</v>
      </c>
      <c r="T31" s="446">
        <f>'28'!X31</f>
        <v>-110</v>
      </c>
      <c r="U31" s="456"/>
      <c r="V31" s="451">
        <f t="shared" si="0"/>
        <v>-110</v>
      </c>
      <c r="W31" s="906"/>
      <c r="X31" s="733">
        <f t="shared" si="1"/>
        <v>-110</v>
      </c>
      <c r="Z31" s="375">
        <f>'28'!Z31</f>
        <v>0</v>
      </c>
      <c r="AA31" s="464">
        <f>'28'!AE31</f>
        <v>0</v>
      </c>
      <c r="AB31" s="460"/>
      <c r="AC31" s="462">
        <f t="shared" si="2"/>
        <v>0</v>
      </c>
      <c r="AD31" s="469"/>
      <c r="AE31" s="348">
        <f t="shared" si="3"/>
        <v>0</v>
      </c>
      <c r="AF31" s="563">
        <f>'28'!AF31+'29'!AB31</f>
        <v>0</v>
      </c>
      <c r="AG31" s="234">
        <f>'28'!AG31+'29'!AD31</f>
        <v>0</v>
      </c>
      <c r="AI31" t="s">
        <v>1</v>
      </c>
    </row>
    <row r="32" spans="1:36" ht="27" customHeight="1" thickTop="1" thickBot="1">
      <c r="A32" s="715" t="str">
        <f>'28'!A32</f>
        <v>WOOD</v>
      </c>
      <c r="B32" s="234"/>
      <c r="C32" s="348">
        <f>'28'!D32</f>
        <v>150000</v>
      </c>
      <c r="D32" s="550">
        <f t="shared" si="9"/>
        <v>150000</v>
      </c>
      <c r="F32" s="479" t="str">
        <f>'28'!F32</f>
        <v>HAJI JAN GIWANI</v>
      </c>
      <c r="G32" s="406">
        <f>'CUSTOMERS REPORT'!Y965</f>
        <v>0</v>
      </c>
      <c r="H32" s="504">
        <f>'CUSTOMERS REPORT'!Z965</f>
        <v>0</v>
      </c>
      <c r="I32" s="406">
        <f>'CUSTOMERS REPORT'!AA965</f>
        <v>0</v>
      </c>
      <c r="J32" s="498">
        <f>'CUSTOMERS REPORT'!AB965</f>
        <v>0</v>
      </c>
      <c r="K32" s="498">
        <f>'CUSTOMERS REPORT'!AC965</f>
        <v>0</v>
      </c>
      <c r="L32" s="509">
        <f>'CUSTOMERS REPORT'!AD965</f>
        <v>0</v>
      </c>
      <c r="M32" s="414">
        <f>'28'!M32+'29'!G32</f>
        <v>0</v>
      </c>
      <c r="N32" s="412">
        <f>'28'!N32+'29'!J32</f>
        <v>0</v>
      </c>
      <c r="P32" s="190" t="s">
        <v>51</v>
      </c>
      <c r="Q32" s="439">
        <f>Q23-Q25-Q26-Q27-Q28-Q29-Q30-Q31</f>
        <v>0</v>
      </c>
      <c r="R32" t="s">
        <v>1</v>
      </c>
      <c r="S32" s="400" t="str">
        <f>'28'!S32</f>
        <v>MARVI</v>
      </c>
      <c r="T32" s="446">
        <f>'28'!X32</f>
        <v>0</v>
      </c>
      <c r="U32" s="456"/>
      <c r="V32" s="451">
        <f t="shared" si="0"/>
        <v>0</v>
      </c>
      <c r="W32" s="451"/>
      <c r="X32" s="447">
        <f t="shared" si="1"/>
        <v>0</v>
      </c>
      <c r="Z32" s="375">
        <f>'28'!Z32</f>
        <v>0</v>
      </c>
      <c r="AA32" s="464">
        <f>'28'!AE32</f>
        <v>0</v>
      </c>
      <c r="AB32" s="460"/>
      <c r="AC32" s="462">
        <f t="shared" si="2"/>
        <v>0</v>
      </c>
      <c r="AD32" s="469"/>
      <c r="AE32" s="348">
        <f t="shared" si="3"/>
        <v>0</v>
      </c>
      <c r="AF32" s="563">
        <f>'28'!AF32+'29'!AB32</f>
        <v>0</v>
      </c>
      <c r="AG32" s="234">
        <f>'28'!AG32+'29'!AD32</f>
        <v>0</v>
      </c>
    </row>
    <row r="33" spans="1:40" ht="27" customHeight="1" thickTop="1" thickBot="1">
      <c r="A33" s="716" t="str">
        <f>'28'!A33</f>
        <v>TOLL</v>
      </c>
      <c r="B33" s="538"/>
      <c r="C33" s="348">
        <f>'28'!D33</f>
        <v>300</v>
      </c>
      <c r="D33" s="234">
        <f t="shared" si="9"/>
        <v>300</v>
      </c>
      <c r="F33" s="479" t="str">
        <f>'28'!F33</f>
        <v>ALI QURESHI HYD</v>
      </c>
      <c r="G33" s="406">
        <f>'CUSTOMERS REPORT'!Y1003</f>
        <v>0</v>
      </c>
      <c r="H33" s="504">
        <f>'CUSTOMERS REPORT'!Z1003</f>
        <v>0</v>
      </c>
      <c r="I33" s="406">
        <f>'CUSTOMERS REPORT'!AA1003</f>
        <v>0</v>
      </c>
      <c r="J33" s="498">
        <f>'CUSTOMERS REPORT'!AB1003</f>
        <v>0</v>
      </c>
      <c r="K33" s="498">
        <f>'CUSTOMERS REPORT'!AC1003</f>
        <v>0</v>
      </c>
      <c r="L33" s="509">
        <f>'CUSTOMERS REPORT'!AD1003</f>
        <v>0</v>
      </c>
      <c r="M33" s="414">
        <f>'28'!M33+'29'!G33</f>
        <v>0</v>
      </c>
      <c r="N33" s="412">
        <f>'28'!N33+'29'!J33</f>
        <v>0</v>
      </c>
      <c r="P33" s="1499" t="s">
        <v>149</v>
      </c>
      <c r="Q33" s="1500"/>
      <c r="S33" s="400" t="str">
        <f>'28'!S33</f>
        <v>TS</v>
      </c>
      <c r="T33" s="446">
        <f>'28'!X33</f>
        <v>-14</v>
      </c>
      <c r="U33" s="456"/>
      <c r="V33" s="451">
        <f t="shared" si="0"/>
        <v>-14</v>
      </c>
      <c r="W33" s="451"/>
      <c r="X33" s="447">
        <f t="shared" si="1"/>
        <v>-14</v>
      </c>
      <c r="Z33" s="375">
        <f>'28'!Z33</f>
        <v>0</v>
      </c>
      <c r="AA33" s="464">
        <f>'28'!AE33</f>
        <v>0</v>
      </c>
      <c r="AB33" s="460">
        <f>'SHAKEEL RUSK'!D36+'SHAKEEL RUSK'!G3</f>
        <v>0</v>
      </c>
      <c r="AC33" s="462">
        <f t="shared" si="2"/>
        <v>0</v>
      </c>
      <c r="AD33" s="469"/>
      <c r="AE33" s="348">
        <f t="shared" si="3"/>
        <v>0</v>
      </c>
      <c r="AF33" s="563">
        <f>'28'!AF33+'29'!AB33</f>
        <v>0</v>
      </c>
      <c r="AG33" s="234">
        <f>'28'!AG33+'29'!AD33</f>
        <v>0</v>
      </c>
    </row>
    <row r="34" spans="1:40" ht="27" customHeight="1" thickTop="1" thickBot="1">
      <c r="A34" s="715" t="str">
        <f>'28'!A34</f>
        <v>FLOUR / SHGER</v>
      </c>
      <c r="B34" s="538"/>
      <c r="C34" s="348">
        <f>'28'!D34</f>
        <v>1200</v>
      </c>
      <c r="D34" s="234">
        <f t="shared" si="9"/>
        <v>1200</v>
      </c>
      <c r="F34" s="479" t="str">
        <f>'28'!F34</f>
        <v>ALI RAZA KAND KOT</v>
      </c>
      <c r="G34" s="406">
        <f>'CUSTOMERS REPORT'!Y1041</f>
        <v>0</v>
      </c>
      <c r="H34" s="504">
        <f>'CUSTOMERS REPORT'!Z1041</f>
        <v>0</v>
      </c>
      <c r="I34" s="406">
        <f>'CUSTOMERS REPORT'!AA1041</f>
        <v>0</v>
      </c>
      <c r="J34" s="498">
        <f>'CUSTOMERS REPORT'!AB1041</f>
        <v>0</v>
      </c>
      <c r="K34" s="498">
        <f>'CUSTOMERS REPORT'!AC1041</f>
        <v>0</v>
      </c>
      <c r="L34" s="509">
        <f>'CUSTOMERS REPORT'!AD1041</f>
        <v>0</v>
      </c>
      <c r="M34" s="414">
        <f>'28'!M34+'29'!G34</f>
        <v>0</v>
      </c>
      <c r="N34" s="412">
        <f>'28'!N34+'29'!J34</f>
        <v>0</v>
      </c>
      <c r="P34" s="220" t="s">
        <v>150</v>
      </c>
      <c r="Q34" s="223">
        <f>'28'!Q34</f>
        <v>0</v>
      </c>
      <c r="S34" s="400" t="str">
        <f>'28'!S34</f>
        <v>MAXI</v>
      </c>
      <c r="T34" s="446">
        <f>'28'!X34</f>
        <v>-22</v>
      </c>
      <c r="U34" s="457"/>
      <c r="V34" s="452">
        <f t="shared" si="0"/>
        <v>-22</v>
      </c>
      <c r="W34" s="452"/>
      <c r="X34" s="448">
        <f t="shared" si="1"/>
        <v>-22</v>
      </c>
      <c r="Z34" s="375">
        <f>'28'!Z34</f>
        <v>0</v>
      </c>
      <c r="AA34" s="464">
        <f>'28'!AE34</f>
        <v>0</v>
      </c>
      <c r="AB34" s="460"/>
      <c r="AC34" s="462">
        <f t="shared" si="2"/>
        <v>0</v>
      </c>
      <c r="AD34" s="469"/>
      <c r="AE34" s="348">
        <f t="shared" si="3"/>
        <v>0</v>
      </c>
      <c r="AF34" s="563">
        <f>'28'!AF34+'29'!AB34</f>
        <v>0</v>
      </c>
      <c r="AG34" s="234">
        <f>'28'!AG34+'29'!AD34</f>
        <v>0</v>
      </c>
    </row>
    <row r="35" spans="1:40" ht="27" customHeight="1" thickTop="1">
      <c r="A35" s="716" t="str">
        <f>'28'!A35</f>
        <v>OVEN &amp; PP MACHINE</v>
      </c>
      <c r="B35" s="529"/>
      <c r="C35" s="348">
        <f>'28'!D35</f>
        <v>0</v>
      </c>
      <c r="D35" s="529">
        <f t="shared" si="9"/>
        <v>0</v>
      </c>
      <c r="F35" s="479" t="str">
        <f>'28'!F35</f>
        <v>IQBAL MORO</v>
      </c>
      <c r="G35" s="407">
        <f>'CUSTOMERS REPORT'!Y1079</f>
        <v>0</v>
      </c>
      <c r="H35" s="505">
        <f>'CUSTOMERS REPORT'!Z1079</f>
        <v>0</v>
      </c>
      <c r="I35" s="407">
        <f>'CUSTOMERS REPORT'!AA1079</f>
        <v>0</v>
      </c>
      <c r="J35" s="499">
        <f>'CUSTOMERS REPORT'!AB1079</f>
        <v>0</v>
      </c>
      <c r="K35" s="499">
        <f>'CUSTOMERS REPORT'!AC1079</f>
        <v>0</v>
      </c>
      <c r="L35" s="510">
        <f>'CUSTOMERS REPORT'!AD1079</f>
        <v>0</v>
      </c>
      <c r="M35" s="414">
        <f>'28'!M35+'29'!G35</f>
        <v>0</v>
      </c>
      <c r="N35" s="412">
        <f>'28'!N35+'29'!J35</f>
        <v>0</v>
      </c>
      <c r="P35" s="252" t="s">
        <v>151</v>
      </c>
      <c r="Q35" s="443">
        <f>'28'!Q35</f>
        <v>0</v>
      </c>
      <c r="R35" t="s">
        <v>1</v>
      </c>
      <c r="S35" s="400" t="str">
        <f>'28'!S35</f>
        <v>M A WHITE</v>
      </c>
      <c r="T35" s="446">
        <f>'28'!X35</f>
        <v>-385</v>
      </c>
      <c r="U35" s="457"/>
      <c r="V35" s="452">
        <f t="shared" si="0"/>
        <v>-385</v>
      </c>
      <c r="W35" s="452"/>
      <c r="X35" s="448">
        <f t="shared" si="1"/>
        <v>-385</v>
      </c>
      <c r="Z35" s="375">
        <f>'28'!Z35</f>
        <v>0</v>
      </c>
      <c r="AA35" s="464">
        <f>'28'!AE35</f>
        <v>0</v>
      </c>
      <c r="AB35" s="460"/>
      <c r="AC35" s="462">
        <f t="shared" si="2"/>
        <v>0</v>
      </c>
      <c r="AD35" s="469"/>
      <c r="AE35" s="348">
        <f t="shared" si="3"/>
        <v>0</v>
      </c>
      <c r="AF35" s="563">
        <f>'28'!AF35+'29'!AB35</f>
        <v>0</v>
      </c>
      <c r="AG35" s="234">
        <f>'28'!AG35+'29'!AD35</f>
        <v>0</v>
      </c>
    </row>
    <row r="36" spans="1:40" ht="27" customHeight="1">
      <c r="A36" s="716" t="str">
        <f>'28'!A36</f>
        <v>zakat</v>
      </c>
      <c r="B36" s="539"/>
      <c r="C36" s="348">
        <f>'28'!D36</f>
        <v>0</v>
      </c>
      <c r="D36" s="529">
        <f t="shared" si="9"/>
        <v>0</v>
      </c>
      <c r="F36" s="479" t="str">
        <f>'28'!F36</f>
        <v>SARFARAZ T ADAM</v>
      </c>
      <c r="G36" s="407">
        <f>'CUSTOMERS REPORT'!Y1117</f>
        <v>0</v>
      </c>
      <c r="H36" s="505">
        <f>'CUSTOMERS REPORT'!Z1117</f>
        <v>0</v>
      </c>
      <c r="I36" s="407">
        <f>'CUSTOMERS REPORT'!AA1117</f>
        <v>0</v>
      </c>
      <c r="J36" s="499">
        <f>'CUSTOMERS REPORT'!AB1117</f>
        <v>0</v>
      </c>
      <c r="K36" s="499">
        <f>'CUSTOMERS REPORT'!AC1117</f>
        <v>0</v>
      </c>
      <c r="L36" s="510">
        <f>'CUSTOMERS REPORT'!AD1117</f>
        <v>0</v>
      </c>
      <c r="M36" s="414">
        <f>'28'!M36+'29'!G36</f>
        <v>0</v>
      </c>
      <c r="N36" s="412">
        <f>'28'!N36+'29'!J36</f>
        <v>0</v>
      </c>
      <c r="P36" s="372" t="s">
        <v>152</v>
      </c>
      <c r="Q36" s="444">
        <f>J48</f>
        <v>0</v>
      </c>
      <c r="R36" t="s">
        <v>1</v>
      </c>
      <c r="S36" s="400" t="str">
        <f>'28'!S36</f>
        <v>M A ORING</v>
      </c>
      <c r="T36" s="446">
        <f>'28'!X36</f>
        <v>-106</v>
      </c>
      <c r="U36" s="456"/>
      <c r="V36" s="451">
        <f t="shared" si="0"/>
        <v>-106</v>
      </c>
      <c r="W36" s="452"/>
      <c r="X36" s="448">
        <f t="shared" si="1"/>
        <v>-106</v>
      </c>
      <c r="Z36" s="375">
        <f>'28'!Z36</f>
        <v>0</v>
      </c>
      <c r="AA36" s="464">
        <f>'28'!AE36</f>
        <v>0</v>
      </c>
      <c r="AB36" s="460"/>
      <c r="AC36" s="462">
        <f t="shared" si="2"/>
        <v>0</v>
      </c>
      <c r="AD36" s="469"/>
      <c r="AE36" s="348">
        <f t="shared" si="3"/>
        <v>0</v>
      </c>
      <c r="AF36" s="563">
        <f>'28'!AF36+'29'!AB36</f>
        <v>0</v>
      </c>
      <c r="AG36" s="234">
        <f>'28'!AG36+'29'!AD36</f>
        <v>0</v>
      </c>
    </row>
    <row r="37" spans="1:40" ht="27" customHeight="1">
      <c r="A37" s="715" t="str">
        <f>'28'!A37</f>
        <v>javeed manghopir</v>
      </c>
      <c r="B37" s="234"/>
      <c r="C37" s="348">
        <f>'28'!D37</f>
        <v>0</v>
      </c>
      <c r="D37" s="234">
        <f t="shared" si="9"/>
        <v>0</v>
      </c>
      <c r="F37" s="479" t="str">
        <f>'28'!F37</f>
        <v>MUMTAZ K N SHAH</v>
      </c>
      <c r="G37" s="406">
        <f>'CUSTOMERS REPORT'!Y1155</f>
        <v>0</v>
      </c>
      <c r="H37" s="504">
        <f>'CUSTOMERS REPORT'!Z1155</f>
        <v>0</v>
      </c>
      <c r="I37" s="406">
        <f>'CUSTOMERS REPORT'!AA1155</f>
        <v>0</v>
      </c>
      <c r="J37" s="498">
        <f>'CUSTOMERS REPORT'!AB1155</f>
        <v>0</v>
      </c>
      <c r="K37" s="498">
        <f>'CUSTOMERS REPORT'!AC1155</f>
        <v>0</v>
      </c>
      <c r="L37" s="509">
        <f>'CUSTOMERS REPORT'!AD1155</f>
        <v>0</v>
      </c>
      <c r="M37" s="414">
        <f>'28'!M37+'29'!G37</f>
        <v>0</v>
      </c>
      <c r="N37" s="412">
        <f>'28'!N37+'29'!J37</f>
        <v>0</v>
      </c>
      <c r="P37" s="373" t="s">
        <v>153</v>
      </c>
      <c r="Q37" s="445">
        <f>Q34+Q35+Q36</f>
        <v>0</v>
      </c>
      <c r="R37" t="s">
        <v>1</v>
      </c>
      <c r="S37" s="400">
        <f>'28'!S37</f>
        <v>0</v>
      </c>
      <c r="T37" s="446">
        <f>'28'!X37</f>
        <v>0</v>
      </c>
      <c r="U37" s="456"/>
      <c r="V37" s="451">
        <f t="shared" si="0"/>
        <v>0</v>
      </c>
      <c r="W37" s="452"/>
      <c r="X37" s="448">
        <f t="shared" si="1"/>
        <v>0</v>
      </c>
      <c r="Z37" s="375">
        <f>'28'!Z37</f>
        <v>0</v>
      </c>
      <c r="AA37" s="464">
        <f>'28'!AE37</f>
        <v>0</v>
      </c>
      <c r="AB37" s="460"/>
      <c r="AC37" s="462">
        <f t="shared" si="2"/>
        <v>0</v>
      </c>
      <c r="AD37" s="469"/>
      <c r="AE37" s="348">
        <f t="shared" si="3"/>
        <v>0</v>
      </c>
      <c r="AF37" s="563">
        <f>'28'!AF37+'29'!AB37</f>
        <v>0</v>
      </c>
      <c r="AG37" s="234">
        <f>'28'!AG37+'29'!AD37</f>
        <v>0</v>
      </c>
    </row>
    <row r="38" spans="1:40" ht="27" customHeight="1">
      <c r="A38" s="715" t="str">
        <f>'28'!A38</f>
        <v>EXSIS CASH</v>
      </c>
      <c r="B38" s="234"/>
      <c r="C38" s="348">
        <f>'28'!D38</f>
        <v>0</v>
      </c>
      <c r="D38" s="234">
        <f t="shared" si="9"/>
        <v>0</v>
      </c>
      <c r="F38" s="479" t="str">
        <f>'28'!F38</f>
        <v>GHULAM RASOOL QU</v>
      </c>
      <c r="G38" s="408">
        <f>'CUSTOMERS REPORT'!Y1192</f>
        <v>0</v>
      </c>
      <c r="H38" s="506">
        <f>'CUSTOMERS REPORT'!Z1192</f>
        <v>0</v>
      </c>
      <c r="I38" s="408">
        <f>'CUSTOMERS REPORT'!AA1192</f>
        <v>0</v>
      </c>
      <c r="J38" s="500">
        <f>'CUSTOMERS REPORT'!AB1192</f>
        <v>0</v>
      </c>
      <c r="K38" s="500">
        <f>'CUSTOMERS REPORT'!AC1192</f>
        <v>0</v>
      </c>
      <c r="L38" s="511">
        <f>'CUSTOMERS REPORT'!AD1192</f>
        <v>0</v>
      </c>
      <c r="M38" s="414">
        <f>'28'!M38+'29'!G38</f>
        <v>0</v>
      </c>
      <c r="N38" s="412">
        <f>'28'!N38+'29'!J38</f>
        <v>0</v>
      </c>
      <c r="P38" s="373" t="s">
        <v>154</v>
      </c>
      <c r="Q38" s="445">
        <f>D48</f>
        <v>4818050</v>
      </c>
      <c r="S38" s="400">
        <f>'28'!S38</f>
        <v>0</v>
      </c>
      <c r="T38" s="446">
        <f>'28'!X38</f>
        <v>0</v>
      </c>
      <c r="U38" s="456"/>
      <c r="V38" s="451">
        <f t="shared" si="0"/>
        <v>0</v>
      </c>
      <c r="W38" s="452"/>
      <c r="X38" s="448">
        <f t="shared" si="1"/>
        <v>0</v>
      </c>
      <c r="Z38" s="375">
        <f>'28'!Z38</f>
        <v>0</v>
      </c>
      <c r="AA38" s="464">
        <f>'28'!AE38</f>
        <v>0</v>
      </c>
      <c r="AB38" s="460"/>
      <c r="AC38" s="462">
        <f t="shared" si="2"/>
        <v>0</v>
      </c>
      <c r="AD38" s="469"/>
      <c r="AE38" s="348">
        <f t="shared" si="3"/>
        <v>0</v>
      </c>
      <c r="AF38" s="563">
        <f>'28'!AF38+'29'!AB38</f>
        <v>0</v>
      </c>
      <c r="AG38" s="234">
        <f>'28'!AG38+'29'!AD38</f>
        <v>0</v>
      </c>
    </row>
    <row r="39" spans="1:40" ht="27" customHeight="1">
      <c r="A39" s="715" t="str">
        <f>'28'!A39</f>
        <v>SHORT CASH</v>
      </c>
      <c r="B39" s="234"/>
      <c r="C39" s="348">
        <f>'28'!D39</f>
        <v>1950</v>
      </c>
      <c r="D39" s="234">
        <f t="shared" si="9"/>
        <v>1950</v>
      </c>
      <c r="F39" s="479" t="str">
        <f>'28'!F39</f>
        <v>SHAMSHAD UNCLE</v>
      </c>
      <c r="G39" s="406">
        <f>'CUSTOMERS REPORT'!Y1229</f>
        <v>0</v>
      </c>
      <c r="H39" s="504">
        <f>'CUSTOMERS REPORT'!Z1229</f>
        <v>0</v>
      </c>
      <c r="I39" s="406">
        <f>'CUSTOMERS REPORT'!AA1229</f>
        <v>0</v>
      </c>
      <c r="J39" s="498">
        <f>'CUSTOMERS REPORT'!AB1229</f>
        <v>0</v>
      </c>
      <c r="K39" s="498">
        <f>'CUSTOMERS REPORT'!AC1229</f>
        <v>0</v>
      </c>
      <c r="L39" s="509">
        <f>'CUSTOMERS REPORT'!AD1229</f>
        <v>0</v>
      </c>
      <c r="M39" s="414">
        <f>'28'!M39+'29'!G39</f>
        <v>0</v>
      </c>
      <c r="N39" s="412">
        <f>'28'!N39+'29'!J39</f>
        <v>0</v>
      </c>
      <c r="P39" s="373" t="s">
        <v>109</v>
      </c>
      <c r="Q39" s="445">
        <f>'28'!Q39+'29'!Q25+'29'!Q26+'29'!Q27+'29'!Q28+'29'!Q29+'29'!Q30+'29'!Q31</f>
        <v>0</v>
      </c>
      <c r="R39" t="s">
        <v>1</v>
      </c>
      <c r="S39" s="400">
        <f>'28'!S39</f>
        <v>0</v>
      </c>
      <c r="T39" s="446">
        <f>'28'!X39</f>
        <v>0</v>
      </c>
      <c r="U39" s="456"/>
      <c r="V39" s="451">
        <f t="shared" si="0"/>
        <v>0</v>
      </c>
      <c r="W39" s="452"/>
      <c r="X39" s="448">
        <f t="shared" si="1"/>
        <v>0</v>
      </c>
      <c r="Z39" s="375">
        <f>'28'!Z39</f>
        <v>0</v>
      </c>
      <c r="AA39" s="464">
        <f>'28'!AE39</f>
        <v>0</v>
      </c>
      <c r="AB39" s="460"/>
      <c r="AC39" s="462">
        <f t="shared" si="2"/>
        <v>0</v>
      </c>
      <c r="AD39" s="469"/>
      <c r="AE39" s="348">
        <f t="shared" si="3"/>
        <v>0</v>
      </c>
      <c r="AF39" s="563">
        <f>'28'!AF39+'29'!AB39</f>
        <v>0</v>
      </c>
      <c r="AG39" s="234">
        <f>'28'!AG39+'29'!AD39</f>
        <v>0</v>
      </c>
    </row>
    <row r="40" spans="1:40" ht="27" customHeight="1" thickBot="1">
      <c r="A40" s="715" t="str">
        <f>'28'!A40</f>
        <v>ASSETS</v>
      </c>
      <c r="B40" s="234"/>
      <c r="C40" s="348">
        <f>'28'!D40</f>
        <v>0</v>
      </c>
      <c r="D40" s="234">
        <f t="shared" si="9"/>
        <v>0</v>
      </c>
      <c r="F40" s="479" t="str">
        <f>'28'!F40</f>
        <v>IBRAHEEM D.G KHAN</v>
      </c>
      <c r="G40" s="406">
        <f>'CUSTOMERS REPORT'!Y1266</f>
        <v>0</v>
      </c>
      <c r="H40" s="504">
        <f>'CUSTOMERS REPORT'!Z1266</f>
        <v>0</v>
      </c>
      <c r="I40" s="406">
        <f>'CUSTOMERS REPORT'!AA1266</f>
        <v>0</v>
      </c>
      <c r="J40" s="498">
        <f>'CUSTOMERS REPORT'!AB1266</f>
        <v>0</v>
      </c>
      <c r="K40" s="498">
        <f>'CUSTOMERS REPORT'!AC1266</f>
        <v>0</v>
      </c>
      <c r="L40" s="509">
        <f>'CUSTOMERS REPORT'!AD1266</f>
        <v>0</v>
      </c>
      <c r="M40" s="414">
        <f>'28'!M40+'29'!G40</f>
        <v>0</v>
      </c>
      <c r="N40" s="412">
        <f>'28'!N40+'29'!J40</f>
        <v>0</v>
      </c>
      <c r="P40" s="374" t="s">
        <v>155</v>
      </c>
      <c r="Q40" s="445">
        <f>Q48</f>
        <v>-4818050</v>
      </c>
      <c r="S40" s="400">
        <f>'28'!S40</f>
        <v>0</v>
      </c>
      <c r="T40" s="446">
        <f>'28'!X40</f>
        <v>0</v>
      </c>
      <c r="U40" s="456"/>
      <c r="V40" s="451">
        <f t="shared" si="0"/>
        <v>0</v>
      </c>
      <c r="W40" s="452"/>
      <c r="X40" s="448">
        <f t="shared" si="1"/>
        <v>0</v>
      </c>
      <c r="Z40" s="375">
        <f>'28'!Z40</f>
        <v>0</v>
      </c>
      <c r="AA40" s="464">
        <f>'28'!AE40</f>
        <v>0</v>
      </c>
      <c r="AB40" s="460"/>
      <c r="AC40" s="462">
        <f t="shared" si="2"/>
        <v>0</v>
      </c>
      <c r="AD40" s="469"/>
      <c r="AE40" s="348">
        <f t="shared" si="3"/>
        <v>0</v>
      </c>
      <c r="AF40" s="563">
        <f>'28'!AF40+'29'!AB40</f>
        <v>0</v>
      </c>
      <c r="AG40" s="234">
        <f>'28'!AG40+'29'!AD40</f>
        <v>0</v>
      </c>
    </row>
    <row r="41" spans="1:40" ht="27" customHeight="1" thickTop="1" thickBot="1">
      <c r="A41" s="715" t="str">
        <f>'28'!A41</f>
        <v>BIKE.INSTALMINT</v>
      </c>
      <c r="B41" s="234"/>
      <c r="C41" s="348">
        <f>'28'!D41</f>
        <v>12200</v>
      </c>
      <c r="D41" s="234">
        <f t="shared" si="9"/>
        <v>12200</v>
      </c>
      <c r="E41" t="s">
        <v>1</v>
      </c>
      <c r="F41" s="479" t="str">
        <f>'28'!F41</f>
        <v>PISHAWAR</v>
      </c>
      <c r="G41" s="409">
        <f>'CUSTOMERS REPORT'!Y1303</f>
        <v>0</v>
      </c>
      <c r="H41" s="507">
        <f>'CUSTOMERS REPORT'!Z1303</f>
        <v>0</v>
      </c>
      <c r="I41" s="409">
        <f>'CUSTOMERS REPORT'!AA1303</f>
        <v>0</v>
      </c>
      <c r="J41" s="501">
        <f>'CUSTOMERS REPORT'!AB1303</f>
        <v>0</v>
      </c>
      <c r="K41" s="501">
        <f>'CUSTOMERS REPORT'!AC1303</f>
        <v>0</v>
      </c>
      <c r="L41" s="512">
        <f>'CUSTOMERS REPORT'!AD1303</f>
        <v>0</v>
      </c>
      <c r="M41" s="414">
        <f>'28'!M41+'29'!G41</f>
        <v>0</v>
      </c>
      <c r="N41" s="412">
        <f>'28'!N41+'29'!J41</f>
        <v>0</v>
      </c>
      <c r="P41" s="221" t="s">
        <v>51</v>
      </c>
      <c r="Q41" s="223">
        <f>Q37-Q38-Q39-Q40</f>
        <v>0</v>
      </c>
      <c r="S41" s="400">
        <f>'28'!S41</f>
        <v>0</v>
      </c>
      <c r="T41" s="446">
        <f>'28'!X41</f>
        <v>0</v>
      </c>
      <c r="U41" s="456"/>
      <c r="V41" s="451">
        <f t="shared" si="0"/>
        <v>0</v>
      </c>
      <c r="W41" s="452"/>
      <c r="X41" s="448">
        <f t="shared" si="1"/>
        <v>0</v>
      </c>
      <c r="Z41" s="375">
        <f>'28'!Z41</f>
        <v>0</v>
      </c>
      <c r="AA41" s="464">
        <f>'28'!AE41</f>
        <v>0</v>
      </c>
      <c r="AB41" s="460"/>
      <c r="AC41" s="462">
        <f t="shared" si="2"/>
        <v>0</v>
      </c>
      <c r="AD41" s="469"/>
      <c r="AE41" s="348">
        <f t="shared" si="3"/>
        <v>0</v>
      </c>
      <c r="AF41" s="563">
        <f>'28'!AF41+'29'!AB41</f>
        <v>0</v>
      </c>
      <c r="AG41" s="234">
        <f>'28'!AG41+'29'!AD41</f>
        <v>0</v>
      </c>
    </row>
    <row r="42" spans="1:40" ht="27" customHeight="1" thickTop="1" thickBot="1">
      <c r="A42" s="715" t="str">
        <f>'28'!A42</f>
        <v>B.C</v>
      </c>
      <c r="B42" s="529"/>
      <c r="C42" s="348">
        <f>'28'!D42</f>
        <v>200000</v>
      </c>
      <c r="D42" s="529">
        <f t="shared" si="9"/>
        <v>200000</v>
      </c>
      <c r="F42" s="479" t="str">
        <f>'28'!F42</f>
        <v>HUZAFA KOTRI</v>
      </c>
      <c r="G42" s="409">
        <f>'CUSTOMERS REPORT'!Y1340</f>
        <v>0</v>
      </c>
      <c r="H42" s="507">
        <f>'CUSTOMERS REPORT'!Z1340</f>
        <v>0</v>
      </c>
      <c r="I42" s="409">
        <f>'CUSTOMERS REPORT'!AA1340</f>
        <v>0</v>
      </c>
      <c r="J42" s="501">
        <f>'CUSTOMERS REPORT'!AB1340</f>
        <v>0</v>
      </c>
      <c r="K42" s="501">
        <f>'CUSTOMERS REPORT'!AC1340</f>
        <v>0</v>
      </c>
      <c r="L42" s="512">
        <f>'CUSTOMERS REPORT'!AD1340</f>
        <v>0</v>
      </c>
      <c r="M42" s="414">
        <f>'28'!M42+'29'!G42</f>
        <v>0</v>
      </c>
      <c r="N42" s="412">
        <f>'28'!N42+'29'!J42</f>
        <v>0</v>
      </c>
      <c r="P42" s="1499" t="s">
        <v>157</v>
      </c>
      <c r="Q42" s="1500"/>
      <c r="S42" s="400">
        <f>'28'!S42</f>
        <v>0</v>
      </c>
      <c r="T42" s="446">
        <f>'28'!X42</f>
        <v>0</v>
      </c>
      <c r="U42" s="458"/>
      <c r="V42" s="453">
        <f t="shared" si="0"/>
        <v>0</v>
      </c>
      <c r="W42" s="454"/>
      <c r="X42" s="449">
        <f t="shared" si="1"/>
        <v>0</v>
      </c>
      <c r="Z42" s="375">
        <f>'28'!Z42</f>
        <v>0</v>
      </c>
      <c r="AA42" s="464">
        <f>'28'!AE42</f>
        <v>0</v>
      </c>
      <c r="AB42" s="461"/>
      <c r="AC42" s="462">
        <f>AA42+AB42</f>
        <v>0</v>
      </c>
      <c r="AD42" s="470"/>
      <c r="AE42" s="348">
        <f t="shared" si="3"/>
        <v>0</v>
      </c>
      <c r="AF42" s="564">
        <f>'28'!AF42+'29'!AB42</f>
        <v>0</v>
      </c>
      <c r="AG42" s="572">
        <f>'28'!AG42+'29'!AD42</f>
        <v>0</v>
      </c>
    </row>
    <row r="43" spans="1:40" ht="27" customHeight="1" thickTop="1" thickBot="1">
      <c r="A43" s="715" t="str">
        <f>'28'!A43</f>
        <v>AQEEL</v>
      </c>
      <c r="B43" s="539"/>
      <c r="C43" s="348">
        <f>'28'!D43</f>
        <v>0</v>
      </c>
      <c r="D43" s="529">
        <f t="shared" si="9"/>
        <v>0</v>
      </c>
      <c r="F43" s="479" t="str">
        <f>'28'!F43</f>
        <v>ZAHID LAHORE</v>
      </c>
      <c r="G43" s="409">
        <f>'CUSTOMERS REPORT'!Y1377</f>
        <v>0</v>
      </c>
      <c r="H43" s="507">
        <f>'CUSTOMERS REPORT'!Z1377</f>
        <v>0</v>
      </c>
      <c r="I43" s="409">
        <f>'CUSTOMERS REPORT'!AA1377</f>
        <v>0</v>
      </c>
      <c r="J43" s="501">
        <f>'CUSTOMERS REPORT'!AB1377</f>
        <v>0</v>
      </c>
      <c r="K43" s="501">
        <f>'CUSTOMERS REPORT'!AC1377</f>
        <v>0</v>
      </c>
      <c r="L43" s="512">
        <f>'CUSTOMERS REPORT'!AD1377</f>
        <v>0</v>
      </c>
      <c r="M43" s="414">
        <f>'28'!M43+'29'!G43</f>
        <v>0</v>
      </c>
      <c r="N43" s="412">
        <f>'28'!N43+'29'!J43</f>
        <v>0</v>
      </c>
      <c r="P43" s="220" t="s">
        <v>124</v>
      </c>
      <c r="Q43" s="223">
        <f>'28'!Q48</f>
        <v>-4818050</v>
      </c>
      <c r="R43" t="s">
        <v>1</v>
      </c>
      <c r="S43" s="400">
        <f>'28'!S43</f>
        <v>0</v>
      </c>
      <c r="T43" s="446">
        <f>'28'!X43</f>
        <v>0</v>
      </c>
      <c r="U43" s="358"/>
      <c r="V43" s="453">
        <f t="shared" si="0"/>
        <v>0</v>
      </c>
      <c r="W43" s="403"/>
      <c r="X43" s="449">
        <f t="shared" si="1"/>
        <v>0</v>
      </c>
      <c r="Z43" s="383"/>
      <c r="AA43" s="356">
        <f>SUM(AA8:AA42)</f>
        <v>-1986350</v>
      </c>
      <c r="AB43" s="385">
        <f>SUM(AB8:AB42)</f>
        <v>0</v>
      </c>
      <c r="AC43" s="357" t="s">
        <v>74</v>
      </c>
      <c r="AD43" s="387">
        <f>SUM(AD8:AD42)</f>
        <v>0</v>
      </c>
      <c r="AE43" s="358">
        <f>SUM(AE8:AE42)</f>
        <v>-1986350</v>
      </c>
      <c r="AF43" s="565">
        <f>SUM(AF8:AF42)</f>
        <v>1501950</v>
      </c>
      <c r="AG43" s="571">
        <f>SUM(AG8:AG42)</f>
        <v>3488300</v>
      </c>
    </row>
    <row r="44" spans="1:40" ht="27" customHeight="1" thickTop="1">
      <c r="A44" s="715" t="str">
        <f>'28'!A44</f>
        <v>M.YOUSUF</v>
      </c>
      <c r="B44" s="234"/>
      <c r="C44" s="348">
        <f>'28'!D44</f>
        <v>85100</v>
      </c>
      <c r="D44" s="234">
        <f t="shared" si="9"/>
        <v>85100</v>
      </c>
      <c r="F44" s="479" t="str">
        <f>'28'!F44</f>
        <v>CASH SALE</v>
      </c>
      <c r="G44" s="409">
        <f>'CUSTOMERS REPORT'!Y1414</f>
        <v>0</v>
      </c>
      <c r="H44" s="507">
        <f>'CUSTOMERS REPORT'!Z1414</f>
        <v>0</v>
      </c>
      <c r="I44" s="409">
        <f>'CUSTOMERS REPORT'!AA1414</f>
        <v>0</v>
      </c>
      <c r="J44" s="501">
        <f>'CUSTOMERS REPORT'!AB1414</f>
        <v>0</v>
      </c>
      <c r="K44" s="501">
        <f>'CUSTOMERS REPORT'!AC1414</f>
        <v>0</v>
      </c>
      <c r="L44" s="512">
        <f>'CUSTOMERS REPORT'!AD1414</f>
        <v>0</v>
      </c>
      <c r="M44" s="414">
        <f>'28'!M44+'29'!G44</f>
        <v>0</v>
      </c>
      <c r="N44" s="412">
        <f>'28'!N44+'29'!J44</f>
        <v>0</v>
      </c>
      <c r="P44" s="222" t="s">
        <v>114</v>
      </c>
      <c r="Q44" s="377">
        <f>J46</f>
        <v>0</v>
      </c>
      <c r="S44" s="400"/>
      <c r="T44" s="348"/>
      <c r="U44" s="306"/>
      <c r="V44" s="349"/>
      <c r="W44" s="351"/>
      <c r="X44" s="350"/>
      <c r="Z44" s="375"/>
      <c r="AA44" s="339"/>
      <c r="AB44" s="386">
        <f>'28'!AB45</f>
        <v>1501950</v>
      </c>
      <c r="AC44" s="340" t="s">
        <v>126</v>
      </c>
      <c r="AD44" s="388">
        <f>'28'!AD45</f>
        <v>3488300</v>
      </c>
      <c r="AE44" s="341"/>
      <c r="AF44" s="561"/>
      <c r="AG44" s="83" t="s">
        <v>1</v>
      </c>
    </row>
    <row r="45" spans="1:40" ht="27" customHeight="1" thickBot="1">
      <c r="A45" s="715" t="str">
        <f>'28'!A45</f>
        <v>SHAKEEL</v>
      </c>
      <c r="B45" s="234"/>
      <c r="C45" s="348">
        <f>'28'!D45</f>
        <v>77210</v>
      </c>
      <c r="D45" s="234">
        <f t="shared" si="9"/>
        <v>77210</v>
      </c>
      <c r="F45" s="479" t="str">
        <f>'28'!F45</f>
        <v xml:space="preserve">FREE </v>
      </c>
      <c r="G45" s="410">
        <f>'CUSTOMERS REPORT'!Y1450</f>
        <v>0</v>
      </c>
      <c r="H45" s="362">
        <f>'CUSTOMERS REPORT'!Z1450</f>
        <v>0</v>
      </c>
      <c r="I45" s="410">
        <f>'CUSTOMERS REPORT'!AA1450</f>
        <v>0</v>
      </c>
      <c r="J45" s="502">
        <f>'CUSTOMERS REPORT'!AB1450</f>
        <v>0</v>
      </c>
      <c r="K45" s="502">
        <f>'CUSTOMERS REPORT'!AC1450</f>
        <v>0</v>
      </c>
      <c r="L45" s="513">
        <f>'CUSTOMERS REPORT'!AD1450</f>
        <v>0</v>
      </c>
      <c r="M45" s="414">
        <f>'28'!M45+'29'!G45</f>
        <v>0</v>
      </c>
      <c r="N45" s="412">
        <f>'28'!N45+'29'!J45</f>
        <v>0</v>
      </c>
      <c r="P45" s="222" t="s">
        <v>153</v>
      </c>
      <c r="Q45" s="378">
        <f>Q43+Q44</f>
        <v>-4818050</v>
      </c>
      <c r="S45" s="401"/>
      <c r="T45" s="352"/>
      <c r="U45" s="307"/>
      <c r="V45" s="353"/>
      <c r="W45" s="354"/>
      <c r="X45" s="355"/>
      <c r="Z45" s="384"/>
      <c r="AA45" s="359"/>
      <c r="AB45" s="390">
        <f>SUM(AB43:AB44)</f>
        <v>1501950</v>
      </c>
      <c r="AC45" s="360" t="s">
        <v>74</v>
      </c>
      <c r="AD45" s="389">
        <f>SUM(AD43:AD44)</f>
        <v>3488300</v>
      </c>
      <c r="AE45" s="361"/>
      <c r="AF45" s="562"/>
      <c r="AG45" s="573"/>
    </row>
    <row r="46" spans="1:40" ht="27" customHeight="1" thickTop="1" thickBot="1">
      <c r="A46" s="715" t="str">
        <f>'28'!A46</f>
        <v>ZAHID HUSSAN</v>
      </c>
      <c r="B46" s="234"/>
      <c r="C46" s="348">
        <f>'28'!D46</f>
        <v>0</v>
      </c>
      <c r="D46" s="234">
        <f t="shared" si="9"/>
        <v>0</v>
      </c>
      <c r="F46" s="369"/>
      <c r="G46" s="424">
        <f>SUM(G8:G45)</f>
        <v>0</v>
      </c>
      <c r="H46" s="1497" t="s">
        <v>160</v>
      </c>
      <c r="I46" s="1498"/>
      <c r="J46" s="421">
        <f>SUM(J8:J45)</f>
        <v>0</v>
      </c>
      <c r="K46" s="427">
        <f>SUM(K8:K45)</f>
        <v>0</v>
      </c>
      <c r="L46" s="431">
        <f>SUM(L8:L45)</f>
        <v>0</v>
      </c>
      <c r="M46" s="429">
        <f>SUM(M8:M45)</f>
        <v>0</v>
      </c>
      <c r="N46" s="430">
        <f>SUM(N8:N45)</f>
        <v>0</v>
      </c>
      <c r="P46" s="222" t="s">
        <v>154</v>
      </c>
      <c r="Q46" s="378">
        <f>B48</f>
        <v>0</v>
      </c>
    </row>
    <row r="47" spans="1:40" ht="27" customHeight="1" thickBot="1">
      <c r="A47" s="715" t="str">
        <f>'28'!A47</f>
        <v xml:space="preserve">INVESTOR </v>
      </c>
      <c r="B47" s="540"/>
      <c r="C47" s="348">
        <f>'28'!D47</f>
        <v>0</v>
      </c>
      <c r="D47" s="542">
        <f t="shared" si="9"/>
        <v>0</v>
      </c>
      <c r="F47" s="370"/>
      <c r="G47" s="425">
        <f>'28'!G48</f>
        <v>0</v>
      </c>
      <c r="H47" s="1512" t="s">
        <v>162</v>
      </c>
      <c r="I47" s="1513"/>
      <c r="J47" s="423">
        <f>'28'!J48</f>
        <v>0</v>
      </c>
      <c r="K47" s="423">
        <f>'28'!K48</f>
        <v>0</v>
      </c>
      <c r="L47" s="343"/>
      <c r="M47" s="344"/>
      <c r="N47" s="345"/>
      <c r="P47" s="375" t="s">
        <v>163</v>
      </c>
      <c r="Q47" s="378">
        <f>Q9+Q10+Q19+Q20+Q21+Q22</f>
        <v>0</v>
      </c>
      <c r="R47" s="19"/>
      <c r="S47" s="1489" t="s">
        <v>92</v>
      </c>
      <c r="T47" s="1516" t="s">
        <v>95</v>
      </c>
      <c r="U47" s="1518"/>
      <c r="V47" s="1518"/>
      <c r="W47" s="1517"/>
      <c r="X47" s="1516" t="s">
        <v>7</v>
      </c>
      <c r="Y47" s="1518"/>
      <c r="Z47" s="1517"/>
      <c r="AA47" s="1516" t="s">
        <v>8</v>
      </c>
      <c r="AB47" s="1517"/>
      <c r="AC47" s="1516" t="s">
        <v>9</v>
      </c>
      <c r="AD47" s="1518"/>
      <c r="AE47" s="1518"/>
      <c r="AF47" s="1518"/>
      <c r="AG47" s="1518"/>
      <c r="AH47" s="1518"/>
      <c r="AI47" s="1518"/>
      <c r="AJ47" s="1405" t="s">
        <v>10</v>
      </c>
      <c r="AK47" s="1406"/>
      <c r="AL47" s="1400" t="s">
        <v>289</v>
      </c>
      <c r="AM47" s="1401"/>
      <c r="AN47" s="842" t="s">
        <v>290</v>
      </c>
    </row>
    <row r="48" spans="1:40" ht="27" customHeight="1" thickTop="1" thickBot="1">
      <c r="A48" s="192" t="s">
        <v>74</v>
      </c>
      <c r="B48" s="544">
        <f>SUM(B22:B47)</f>
        <v>0</v>
      </c>
      <c r="C48" s="543">
        <f>'28'!D48</f>
        <v>4818050</v>
      </c>
      <c r="D48" s="544">
        <f t="shared" si="9"/>
        <v>4818050</v>
      </c>
      <c r="F48" s="371"/>
      <c r="G48" s="426">
        <f>G46+G47</f>
        <v>0</v>
      </c>
      <c r="H48" s="1495" t="s">
        <v>164</v>
      </c>
      <c r="I48" s="1496"/>
      <c r="J48" s="422">
        <f>J46+J47</f>
        <v>0</v>
      </c>
      <c r="K48" s="428">
        <f>K46+K47</f>
        <v>0</v>
      </c>
      <c r="L48" s="346"/>
      <c r="M48" s="347"/>
      <c r="N48" s="622">
        <f>G48-J48</f>
        <v>0</v>
      </c>
      <c r="P48" s="376" t="s">
        <v>155</v>
      </c>
      <c r="Q48" s="379">
        <f>Q45-Q46-Q47</f>
        <v>-4818050</v>
      </c>
      <c r="R48" s="19"/>
      <c r="S48" s="1490"/>
      <c r="T48" s="482" t="s">
        <v>12</v>
      </c>
      <c r="U48" s="482" t="s">
        <v>13</v>
      </c>
      <c r="V48" s="482" t="s">
        <v>14</v>
      </c>
      <c r="W48" s="958" t="s">
        <v>263</v>
      </c>
      <c r="X48" s="482" t="s">
        <v>12</v>
      </c>
      <c r="Y48" s="482" t="s">
        <v>13</v>
      </c>
      <c r="Z48" s="482" t="s">
        <v>282</v>
      </c>
      <c r="AA48" s="482" t="s">
        <v>12</v>
      </c>
      <c r="AB48" s="482" t="s">
        <v>16</v>
      </c>
      <c r="AC48" s="482" t="s">
        <v>17</v>
      </c>
      <c r="AD48" s="482" t="s">
        <v>18</v>
      </c>
      <c r="AE48" s="482" t="s">
        <v>19</v>
      </c>
      <c r="AF48" s="484" t="s">
        <v>96</v>
      </c>
      <c r="AG48" s="484" t="s">
        <v>257</v>
      </c>
      <c r="AH48" s="482" t="s">
        <v>254</v>
      </c>
      <c r="AI48" s="482" t="s">
        <v>20</v>
      </c>
      <c r="AJ48" s="483" t="s">
        <v>14</v>
      </c>
      <c r="AK48" s="482" t="s">
        <v>13</v>
      </c>
      <c r="AL48" s="846" t="s">
        <v>284</v>
      </c>
      <c r="AM48" s="846" t="s">
        <v>288</v>
      </c>
      <c r="AN48" s="966" t="s">
        <v>291</v>
      </c>
    </row>
    <row r="49" spans="1:40" ht="24.95" customHeight="1" thickTop="1" thickBot="1">
      <c r="Q49" s="111">
        <f>Q48+Q41</f>
        <v>-4818050</v>
      </c>
      <c r="R49" s="19"/>
      <c r="S49" s="865" t="s">
        <v>165</v>
      </c>
      <c r="T49" s="866">
        <f>'28'!T55</f>
        <v>62</v>
      </c>
      <c r="U49" s="866">
        <f>'28'!U55</f>
        <v>0</v>
      </c>
      <c r="V49" s="866">
        <f>'28'!V55</f>
        <v>184</v>
      </c>
      <c r="W49" s="866">
        <f>'28'!W55</f>
        <v>19</v>
      </c>
      <c r="X49" s="866">
        <f>'28'!X55</f>
        <v>0</v>
      </c>
      <c r="Y49" s="866">
        <f>'28'!Y55</f>
        <v>0</v>
      </c>
      <c r="Z49" s="866">
        <f>'28'!Z55</f>
        <v>525</v>
      </c>
      <c r="AA49" s="866">
        <f>'28'!AA55</f>
        <v>5632</v>
      </c>
      <c r="AB49" s="866">
        <f>'28'!AB55</f>
        <v>160</v>
      </c>
      <c r="AC49" s="866">
        <f>'28'!AC55</f>
        <v>3220</v>
      </c>
      <c r="AD49" s="866">
        <f>'28'!AD55</f>
        <v>1292</v>
      </c>
      <c r="AE49" s="866">
        <f>'28'!AE55</f>
        <v>0</v>
      </c>
      <c r="AF49" s="866">
        <f>'28'!AF55</f>
        <v>3752</v>
      </c>
      <c r="AG49" s="866">
        <f>'28'!AG55</f>
        <v>1082</v>
      </c>
      <c r="AH49" s="866">
        <f>'28'!AH55</f>
        <v>2011</v>
      </c>
      <c r="AI49" s="866">
        <f>'28'!AI55</f>
        <v>631</v>
      </c>
      <c r="AJ49" s="866">
        <f>'28'!AJ55</f>
        <v>0</v>
      </c>
      <c r="AK49" s="866">
        <f>'28'!AK55</f>
        <v>123</v>
      </c>
      <c r="AL49" s="866" t="e">
        <f>'28'!AL55</f>
        <v>#VALUE!</v>
      </c>
      <c r="AM49" s="866" t="e">
        <f>'28'!AM55</f>
        <v>#VALUE!</v>
      </c>
      <c r="AN49" s="866" t="e">
        <f>'28'!AN55</f>
        <v>#VALUE!</v>
      </c>
    </row>
    <row r="50" spans="1:40" ht="24.95" customHeight="1" thickBot="1">
      <c r="C50" t="s">
        <v>1</v>
      </c>
      <c r="L50" s="417">
        <v>5000</v>
      </c>
      <c r="M50" s="417"/>
      <c r="N50" s="417">
        <f t="shared" ref="N50:N56" si="10">L50*M50</f>
        <v>0</v>
      </c>
      <c r="R50" s="19"/>
      <c r="S50" s="854" t="s">
        <v>166</v>
      </c>
      <c r="T50" s="852"/>
      <c r="U50" s="852"/>
      <c r="V50" s="852"/>
      <c r="W50" s="852"/>
      <c r="X50" s="852"/>
      <c r="Y50" s="852"/>
      <c r="Z50" s="852"/>
      <c r="AA50" s="852"/>
      <c r="AB50" s="852"/>
      <c r="AC50" s="852"/>
      <c r="AD50" s="852"/>
      <c r="AE50" s="852"/>
      <c r="AF50" s="855"/>
      <c r="AG50" s="852"/>
      <c r="AH50" s="852"/>
      <c r="AI50" s="848"/>
      <c r="AJ50" s="848"/>
      <c r="AK50" s="848"/>
      <c r="AL50" s="849"/>
      <c r="AM50" s="930"/>
      <c r="AN50" s="930"/>
    </row>
    <row r="51" spans="1:40" ht="24.95" customHeight="1" thickBot="1">
      <c r="L51" s="417">
        <v>1000</v>
      </c>
      <c r="M51" s="417"/>
      <c r="N51" s="417">
        <f t="shared" si="10"/>
        <v>0</v>
      </c>
      <c r="R51" s="19"/>
      <c r="S51" s="867" t="s">
        <v>91</v>
      </c>
      <c r="T51" s="868"/>
      <c r="U51" s="868"/>
      <c r="V51" s="868"/>
      <c r="W51" s="868"/>
      <c r="X51" s="868"/>
      <c r="Y51" s="868"/>
      <c r="Z51" s="868"/>
      <c r="AA51" s="868"/>
      <c r="AB51" s="868"/>
      <c r="AC51" s="868"/>
      <c r="AD51" s="868"/>
      <c r="AE51" s="868"/>
      <c r="AF51" s="869"/>
      <c r="AG51" s="868"/>
      <c r="AH51" s="870"/>
      <c r="AI51" s="868"/>
      <c r="AJ51" s="868"/>
      <c r="AK51" s="868"/>
      <c r="AL51" s="849"/>
      <c r="AM51" s="850"/>
      <c r="AN51" s="850"/>
    </row>
    <row r="52" spans="1:40" ht="24.95" customHeight="1" thickBot="1">
      <c r="L52" s="417">
        <v>500</v>
      </c>
      <c r="M52" s="417"/>
      <c r="N52" s="417">
        <f t="shared" si="10"/>
        <v>0</v>
      </c>
      <c r="O52" t="s">
        <v>1</v>
      </c>
      <c r="R52" s="19"/>
      <c r="S52" s="856" t="s">
        <v>167</v>
      </c>
      <c r="T52" s="857"/>
      <c r="U52" s="857"/>
      <c r="V52" s="857"/>
      <c r="W52" s="857"/>
      <c r="X52" s="857"/>
      <c r="Y52" s="857"/>
      <c r="Z52" s="857"/>
      <c r="AA52" s="857"/>
      <c r="AB52" s="857"/>
      <c r="AC52" s="857"/>
      <c r="AD52" s="857"/>
      <c r="AE52" s="857"/>
      <c r="AF52" s="858"/>
      <c r="AG52" s="859"/>
      <c r="AH52" s="860"/>
      <c r="AI52" s="851"/>
      <c r="AJ52" s="851"/>
      <c r="AK52" s="849"/>
      <c r="AL52" s="849"/>
      <c r="AM52" s="850"/>
      <c r="AN52" s="850"/>
    </row>
    <row r="53" spans="1:40" ht="24.95" customHeight="1" thickBot="1">
      <c r="L53" s="417">
        <v>100</v>
      </c>
      <c r="M53" s="417"/>
      <c r="N53" s="417">
        <f t="shared" si="10"/>
        <v>0</v>
      </c>
      <c r="R53" s="19"/>
      <c r="S53" s="871" t="s">
        <v>81</v>
      </c>
      <c r="T53" s="866">
        <f t="shared" ref="T53:AB53" si="11">SUM(T49+T50+T52)</f>
        <v>62</v>
      </c>
      <c r="U53" s="866">
        <f t="shared" si="11"/>
        <v>0</v>
      </c>
      <c r="V53" s="866">
        <f t="shared" si="11"/>
        <v>184</v>
      </c>
      <c r="W53" s="866">
        <f t="shared" si="11"/>
        <v>19</v>
      </c>
      <c r="X53" s="866">
        <f t="shared" si="11"/>
        <v>0</v>
      </c>
      <c r="Y53" s="866">
        <f t="shared" si="11"/>
        <v>0</v>
      </c>
      <c r="Z53" s="866">
        <f t="shared" si="11"/>
        <v>525</v>
      </c>
      <c r="AA53" s="866">
        <f t="shared" si="11"/>
        <v>5632</v>
      </c>
      <c r="AB53" s="866">
        <f t="shared" si="11"/>
        <v>160</v>
      </c>
      <c r="AC53" s="866">
        <f t="shared" ref="AC53:AM53" si="12">SUM(AC49+AC50+AC52)</f>
        <v>3220</v>
      </c>
      <c r="AD53" s="866">
        <f t="shared" si="12"/>
        <v>1292</v>
      </c>
      <c r="AE53" s="866">
        <f t="shared" si="12"/>
        <v>0</v>
      </c>
      <c r="AF53" s="866">
        <f t="shared" si="12"/>
        <v>3752</v>
      </c>
      <c r="AG53" s="866">
        <f t="shared" si="12"/>
        <v>1082</v>
      </c>
      <c r="AH53" s="866">
        <f t="shared" si="12"/>
        <v>2011</v>
      </c>
      <c r="AI53" s="866">
        <f t="shared" si="12"/>
        <v>631</v>
      </c>
      <c r="AJ53" s="866">
        <f t="shared" si="12"/>
        <v>0</v>
      </c>
      <c r="AK53" s="866">
        <f t="shared" si="12"/>
        <v>123</v>
      </c>
      <c r="AL53" s="866" t="e">
        <f t="shared" si="12"/>
        <v>#VALUE!</v>
      </c>
      <c r="AM53" s="872" t="e">
        <f t="shared" si="12"/>
        <v>#VALUE!</v>
      </c>
      <c r="AN53" s="872" t="e">
        <f t="shared" ref="AN53" si="13">SUM(AN49+AN50+AN52)</f>
        <v>#VALUE!</v>
      </c>
    </row>
    <row r="54" spans="1:40" ht="24.95" customHeight="1" thickBot="1">
      <c r="L54" s="417">
        <v>50</v>
      </c>
      <c r="M54" s="417"/>
      <c r="N54" s="417">
        <f t="shared" si="10"/>
        <v>0</v>
      </c>
      <c r="R54" s="19"/>
      <c r="S54" s="854" t="s">
        <v>168</v>
      </c>
      <c r="T54" s="852">
        <f>'CUSTOMERS REPORT'!B36+'CUSTOMERS REPORT'!B82+'CUSTOMERS REPORT'!B120+'CUSTOMERS REPORT'!B159+'CUSTOMERS REPORT'!B197+'CUSTOMERS REPORT'!B237+'CUSTOMERS REPORT'!B274+'CUSTOMERS REPORT'!B314+'CUSTOMERS REPORT'!B355+'CUSTOMERS REPORT'!B397+'CUSTOMERS REPORT'!B436+'CUSTOMERS REPORT'!B474+'CUSTOMERS REPORT'!B510+'CUSTOMERS REPORT'!B547+'CUSTOMERS REPORT'!B585+'CUSTOMERS REPORT'!B621+'CUSTOMERS REPORT'!B659+'CUSTOMERS REPORT'!B697+'CUSTOMERS REPORT'!B735+'CUSTOMERS REPORT'!B773+'CUSTOMERS REPORT'!B811+'CUSTOMERS REPORT'!B849+'CUSTOMERS REPORT'!B887+'CUSTOMERS REPORT'!B926+'CUSTOMERS REPORT'!B965+'CUSTOMERS REPORT'!B1003+'CUSTOMERS REPORT'!B1041+'CUSTOMERS REPORT'!B1079+'CUSTOMERS REPORT'!B1117+'CUSTOMERS REPORT'!B1155+'CUSTOMERS REPORT'!B1192+'CUSTOMERS REPORT'!B1229+'CUSTOMERS REPORT'!B1266+'CUSTOMERS REPORT'!B1303+'CUSTOMERS REPORT'!B1340+'CUSTOMERS REPORT'!B1377+'CUSTOMERS REPORT'!B1414+'CUSTOMERS REPORT'!B1450</f>
        <v>0</v>
      </c>
      <c r="U54" s="852">
        <f>'CUSTOMERS REPORT'!C36+'CUSTOMERS REPORT'!C82+'CUSTOMERS REPORT'!C120+'CUSTOMERS REPORT'!C159+'CUSTOMERS REPORT'!C197+'CUSTOMERS REPORT'!C237+'CUSTOMERS REPORT'!C274+'CUSTOMERS REPORT'!C314+'CUSTOMERS REPORT'!C355+'CUSTOMERS REPORT'!C397+'CUSTOMERS REPORT'!C436+'CUSTOMERS REPORT'!C474+'CUSTOMERS REPORT'!C510+'CUSTOMERS REPORT'!C547+'CUSTOMERS REPORT'!C585+'CUSTOMERS REPORT'!C621+'CUSTOMERS REPORT'!C659+'CUSTOMERS REPORT'!C697+'CUSTOMERS REPORT'!C735+'CUSTOMERS REPORT'!C773+'CUSTOMERS REPORT'!C811+'CUSTOMERS REPORT'!C849+'CUSTOMERS REPORT'!C887+'CUSTOMERS REPORT'!C926+'CUSTOMERS REPORT'!C965+'CUSTOMERS REPORT'!C1003+'CUSTOMERS REPORT'!C1041+'CUSTOMERS REPORT'!C1079+'CUSTOMERS REPORT'!C1117+'CUSTOMERS REPORT'!C1155+'CUSTOMERS REPORT'!C1192+'CUSTOMERS REPORT'!C1229+'CUSTOMERS REPORT'!C1266+'CUSTOMERS REPORT'!C1303+'CUSTOMERS REPORT'!C1340+'CUSTOMERS REPORT'!C1377+'CUSTOMERS REPORT'!C1414+'CUSTOMERS REPORT'!C1450</f>
        <v>0</v>
      </c>
      <c r="V54" s="852">
        <f>'CUSTOMERS REPORT'!D36+'CUSTOMERS REPORT'!D82+'CUSTOMERS REPORT'!D120+'CUSTOMERS REPORT'!D159+'CUSTOMERS REPORT'!D197+'CUSTOMERS REPORT'!D237+'CUSTOMERS REPORT'!D274+'CUSTOMERS REPORT'!D314+'CUSTOMERS REPORT'!D355+'CUSTOMERS REPORT'!D397+'CUSTOMERS REPORT'!D436+'CUSTOMERS REPORT'!D474+'CUSTOMERS REPORT'!D510+'CUSTOMERS REPORT'!D547+'CUSTOMERS REPORT'!D585+'CUSTOMERS REPORT'!D621+'CUSTOMERS REPORT'!D659+'CUSTOMERS REPORT'!D697+'CUSTOMERS REPORT'!D735+'CUSTOMERS REPORT'!D773+'CUSTOMERS REPORT'!D811+'CUSTOMERS REPORT'!D849+'CUSTOMERS REPORT'!D887+'CUSTOMERS REPORT'!D926+'CUSTOMERS REPORT'!D965+'CUSTOMERS REPORT'!D1003+'CUSTOMERS REPORT'!D1041+'CUSTOMERS REPORT'!D1079+'CUSTOMERS REPORT'!D1117+'CUSTOMERS REPORT'!D1155+'CUSTOMERS REPORT'!D1192+'CUSTOMERS REPORT'!D1229+'CUSTOMERS REPORT'!D1266+'CUSTOMERS REPORT'!D1303+'CUSTOMERS REPORT'!D1340+'CUSTOMERS REPORT'!D1377+'CUSTOMERS REPORT'!D1414+'CUSTOMERS REPORT'!D1450</f>
        <v>0</v>
      </c>
      <c r="W54" s="852">
        <f>'CUSTOMERS REPORT'!E36+'CUSTOMERS REPORT'!E82+'CUSTOMERS REPORT'!E120+'CUSTOMERS REPORT'!E159+'CUSTOMERS REPORT'!E197+'CUSTOMERS REPORT'!E237+'CUSTOMERS REPORT'!E274+'CUSTOMERS REPORT'!E314+'CUSTOMERS REPORT'!E355+'CUSTOMERS REPORT'!E397+'CUSTOMERS REPORT'!E436+'CUSTOMERS REPORT'!E474+'CUSTOMERS REPORT'!E510+'CUSTOMERS REPORT'!E547+'CUSTOMERS REPORT'!E585+'CUSTOMERS REPORT'!E621+'CUSTOMERS REPORT'!E659+'CUSTOMERS REPORT'!E697+'CUSTOMERS REPORT'!E735+'CUSTOMERS REPORT'!E773+'CUSTOMERS REPORT'!E811+'CUSTOMERS REPORT'!E849+'CUSTOMERS REPORT'!E887+'CUSTOMERS REPORT'!E926+'CUSTOMERS REPORT'!E965+'CUSTOMERS REPORT'!E1003+'CUSTOMERS REPORT'!E1041+'CUSTOMERS REPORT'!E1079+'CUSTOMERS REPORT'!E1117+'CUSTOMERS REPORT'!E1155+'CUSTOMERS REPORT'!E1192+'CUSTOMERS REPORT'!E1229+'CUSTOMERS REPORT'!E1266+'CUSTOMERS REPORT'!E1303+'CUSTOMERS REPORT'!E1340+'CUSTOMERS REPORT'!E1377+'CUSTOMERS REPORT'!E1414+'CUSTOMERS REPORT'!E1450</f>
        <v>0</v>
      </c>
      <c r="X54" s="852">
        <f>'CUSTOMERS REPORT'!F36+'CUSTOMERS REPORT'!F82+'CUSTOMERS REPORT'!F120+'CUSTOMERS REPORT'!F159+'CUSTOMERS REPORT'!F197+'CUSTOMERS REPORT'!F237+'CUSTOMERS REPORT'!F274+'CUSTOMERS REPORT'!F314+'CUSTOMERS REPORT'!F355+'CUSTOMERS REPORT'!F397+'CUSTOMERS REPORT'!F436+'CUSTOMERS REPORT'!F474+'CUSTOMERS REPORT'!F510+'CUSTOMERS REPORT'!F547+'CUSTOMERS REPORT'!F585+'CUSTOMERS REPORT'!F621+'CUSTOMERS REPORT'!F659+'CUSTOMERS REPORT'!F697+'CUSTOMERS REPORT'!F735+'CUSTOMERS REPORT'!F773+'CUSTOMERS REPORT'!F811+'CUSTOMERS REPORT'!F849+'CUSTOMERS REPORT'!F887+'CUSTOMERS REPORT'!F926+'CUSTOMERS REPORT'!F965+'CUSTOMERS REPORT'!F1003+'CUSTOMERS REPORT'!F1041+'CUSTOMERS REPORT'!F1079+'CUSTOMERS REPORT'!F1117+'CUSTOMERS REPORT'!F1155+'CUSTOMERS REPORT'!F1192+'CUSTOMERS REPORT'!F1229+'CUSTOMERS REPORT'!F1266+'CUSTOMERS REPORT'!F1303+'CUSTOMERS REPORT'!F1340+'CUSTOMERS REPORT'!F1377+'CUSTOMERS REPORT'!F1414+'CUSTOMERS REPORT'!F1450</f>
        <v>0</v>
      </c>
      <c r="Y54" s="852">
        <f>'CUSTOMERS REPORT'!G36+'CUSTOMERS REPORT'!G82+'CUSTOMERS REPORT'!G120+'CUSTOMERS REPORT'!G159+'CUSTOMERS REPORT'!G197+'CUSTOMERS REPORT'!G237+'CUSTOMERS REPORT'!G274+'CUSTOMERS REPORT'!G314+'CUSTOMERS REPORT'!G355+'CUSTOMERS REPORT'!G397+'CUSTOMERS REPORT'!G436+'CUSTOMERS REPORT'!G474+'CUSTOMERS REPORT'!G510+'CUSTOMERS REPORT'!G547+'CUSTOMERS REPORT'!G585+'CUSTOMERS REPORT'!G621+'CUSTOMERS REPORT'!G659+'CUSTOMERS REPORT'!G697+'CUSTOMERS REPORT'!G735+'CUSTOMERS REPORT'!G773+'CUSTOMERS REPORT'!G811+'CUSTOMERS REPORT'!G849+'CUSTOMERS REPORT'!G887+'CUSTOMERS REPORT'!G926+'CUSTOMERS REPORT'!G965+'CUSTOMERS REPORT'!G1003+'CUSTOMERS REPORT'!G1041+'CUSTOMERS REPORT'!G1079+'CUSTOMERS REPORT'!G1117+'CUSTOMERS REPORT'!G1155+'CUSTOMERS REPORT'!G1192+'CUSTOMERS REPORT'!G1229+'CUSTOMERS REPORT'!G1266+'CUSTOMERS REPORT'!G1303+'CUSTOMERS REPORT'!G1340+'CUSTOMERS REPORT'!G1377+'CUSTOMERS REPORT'!G1414+'CUSTOMERS REPORT'!G1450</f>
        <v>0</v>
      </c>
      <c r="Z54" s="852">
        <f>'CUSTOMERS REPORT'!H36+'CUSTOMERS REPORT'!H82+'CUSTOMERS REPORT'!H120+'CUSTOMERS REPORT'!H159+'CUSTOMERS REPORT'!H197+'CUSTOMERS REPORT'!H237+'CUSTOMERS REPORT'!H274+'CUSTOMERS REPORT'!H314+'CUSTOMERS REPORT'!H355+'CUSTOMERS REPORT'!H397+'CUSTOMERS REPORT'!H436+'CUSTOMERS REPORT'!H474+'CUSTOMERS REPORT'!H510+'CUSTOMERS REPORT'!H547+'CUSTOMERS REPORT'!H585+'CUSTOMERS REPORT'!H621+'CUSTOMERS REPORT'!H659+'CUSTOMERS REPORT'!H697+'CUSTOMERS REPORT'!H735+'CUSTOMERS REPORT'!H773+'CUSTOMERS REPORT'!H811+'CUSTOMERS REPORT'!H849+'CUSTOMERS REPORT'!H887+'CUSTOMERS REPORT'!H926+'CUSTOMERS REPORT'!H965+'CUSTOMERS REPORT'!H1003+'CUSTOMERS REPORT'!H1041+'CUSTOMERS REPORT'!H1079+'CUSTOMERS REPORT'!H1117+'CUSTOMERS REPORT'!H1155+'CUSTOMERS REPORT'!H1192+'CUSTOMERS REPORT'!H1229+'CUSTOMERS REPORT'!H1266+'CUSTOMERS REPORT'!H1303+'CUSTOMERS REPORT'!H1340+'CUSTOMERS REPORT'!H1377+'CUSTOMERS REPORT'!H1414+'CUSTOMERS REPORT'!H1450</f>
        <v>0</v>
      </c>
      <c r="AA54" s="852">
        <f>'CUSTOMERS REPORT'!I36+'CUSTOMERS REPORT'!I82+'CUSTOMERS REPORT'!I120+'CUSTOMERS REPORT'!I159+'CUSTOMERS REPORT'!I197+'CUSTOMERS REPORT'!I237+'CUSTOMERS REPORT'!I274+'CUSTOMERS REPORT'!I314+'CUSTOMERS REPORT'!I355+'CUSTOMERS REPORT'!I397+'CUSTOMERS REPORT'!I436+'CUSTOMERS REPORT'!I474+'CUSTOMERS REPORT'!I510+'CUSTOMERS REPORT'!I547+'CUSTOMERS REPORT'!I585+'CUSTOMERS REPORT'!I621+'CUSTOMERS REPORT'!I659+'CUSTOMERS REPORT'!I697+'CUSTOMERS REPORT'!I735+'CUSTOMERS REPORT'!I773+'CUSTOMERS REPORT'!I811+'CUSTOMERS REPORT'!I849+'CUSTOMERS REPORT'!I887+'CUSTOMERS REPORT'!I926+'CUSTOMERS REPORT'!I965+'CUSTOMERS REPORT'!I1003+'CUSTOMERS REPORT'!I1041+'CUSTOMERS REPORT'!I1079+'CUSTOMERS REPORT'!I1117+'CUSTOMERS REPORT'!I1155+'CUSTOMERS REPORT'!I1192+'CUSTOMERS REPORT'!I1229+'CUSTOMERS REPORT'!I1266+'CUSTOMERS REPORT'!I1303+'CUSTOMERS REPORT'!I1340+'CUSTOMERS REPORT'!I1377+'CUSTOMERS REPORT'!I1414+'CUSTOMERS REPORT'!I1450</f>
        <v>0</v>
      </c>
      <c r="AB54" s="852">
        <f>'CUSTOMERS REPORT'!J36+'CUSTOMERS REPORT'!J82+'CUSTOMERS REPORT'!J120+'CUSTOMERS REPORT'!J159+'CUSTOMERS REPORT'!J197+'CUSTOMERS REPORT'!J237+'CUSTOMERS REPORT'!J274+'CUSTOMERS REPORT'!J314+'CUSTOMERS REPORT'!J355+'CUSTOMERS REPORT'!J397+'CUSTOMERS REPORT'!J436+'CUSTOMERS REPORT'!J474+'CUSTOMERS REPORT'!J510+'CUSTOMERS REPORT'!J547+'CUSTOMERS REPORT'!J585+'CUSTOMERS REPORT'!J621+'CUSTOMERS REPORT'!J659+'CUSTOMERS REPORT'!J697+'CUSTOMERS REPORT'!J735+'CUSTOMERS REPORT'!J773+'CUSTOMERS REPORT'!J811+'CUSTOMERS REPORT'!J849+'CUSTOMERS REPORT'!J887+'CUSTOMERS REPORT'!J926+'CUSTOMERS REPORT'!J965+'CUSTOMERS REPORT'!J1003+'CUSTOMERS REPORT'!J1041+'CUSTOMERS REPORT'!J1079+'CUSTOMERS REPORT'!J1117+'CUSTOMERS REPORT'!J1155+'CUSTOMERS REPORT'!J1192+'CUSTOMERS REPORT'!J1229+'CUSTOMERS REPORT'!J1266+'CUSTOMERS REPORT'!J1303+'CUSTOMERS REPORT'!J1340+'CUSTOMERS REPORT'!J1377+'CUSTOMERS REPORT'!J1414+'CUSTOMERS REPORT'!J1450</f>
        <v>0</v>
      </c>
      <c r="AC54" s="852">
        <f>'CUSTOMERS REPORT'!K36+'CUSTOMERS REPORT'!K82+'CUSTOMERS REPORT'!K120+'CUSTOMERS REPORT'!K159+'CUSTOMERS REPORT'!K197+'CUSTOMERS REPORT'!K237+'CUSTOMERS REPORT'!K274+'CUSTOMERS REPORT'!K314+'CUSTOMERS REPORT'!K355+'CUSTOMERS REPORT'!K397+'CUSTOMERS REPORT'!K436+'CUSTOMERS REPORT'!K474+'CUSTOMERS REPORT'!K510+'CUSTOMERS REPORT'!K547+'CUSTOMERS REPORT'!K585+'CUSTOMERS REPORT'!K621+'CUSTOMERS REPORT'!K659+'CUSTOMERS REPORT'!K697+'CUSTOMERS REPORT'!K735+'CUSTOMERS REPORT'!K773+'CUSTOMERS REPORT'!K811+'CUSTOMERS REPORT'!K849+'CUSTOMERS REPORT'!K887+'CUSTOMERS REPORT'!K926+'CUSTOMERS REPORT'!K965+'CUSTOMERS REPORT'!K1003+'CUSTOMERS REPORT'!K1041+'CUSTOMERS REPORT'!K1079+'CUSTOMERS REPORT'!K1117+'CUSTOMERS REPORT'!K1155+'CUSTOMERS REPORT'!K1192+'CUSTOMERS REPORT'!K1229+'CUSTOMERS REPORT'!K1266+'CUSTOMERS REPORT'!K1303+'CUSTOMERS REPORT'!K1340+'CUSTOMERS REPORT'!K1377+'CUSTOMERS REPORT'!K1414+'CUSTOMERS REPORT'!K1450</f>
        <v>0</v>
      </c>
      <c r="AD54" s="852">
        <f>'CUSTOMERS REPORT'!L36+'CUSTOMERS REPORT'!L82+'CUSTOMERS REPORT'!L120+'CUSTOMERS REPORT'!L159+'CUSTOMERS REPORT'!L197+'CUSTOMERS REPORT'!L237+'CUSTOMERS REPORT'!L274+'CUSTOMERS REPORT'!L314+'CUSTOMERS REPORT'!L355+'CUSTOMERS REPORT'!L397+'CUSTOMERS REPORT'!L436+'CUSTOMERS REPORT'!L474+'CUSTOMERS REPORT'!L510+'CUSTOMERS REPORT'!L547+'CUSTOMERS REPORT'!L585+'CUSTOMERS REPORT'!L621+'CUSTOMERS REPORT'!L659+'CUSTOMERS REPORT'!L697+'CUSTOMERS REPORT'!L735+'CUSTOMERS REPORT'!L773+'CUSTOMERS REPORT'!L811+'CUSTOMERS REPORT'!L849+'CUSTOMERS REPORT'!L887+'CUSTOMERS REPORT'!L926+'CUSTOMERS REPORT'!L965+'CUSTOMERS REPORT'!L1003+'CUSTOMERS REPORT'!L1041+'CUSTOMERS REPORT'!L1079+'CUSTOMERS REPORT'!L1117+'CUSTOMERS REPORT'!L1155+'CUSTOMERS REPORT'!L1192+'CUSTOMERS REPORT'!L1229+'CUSTOMERS REPORT'!L1266+'CUSTOMERS REPORT'!L1303+'CUSTOMERS REPORT'!L1340+'CUSTOMERS REPORT'!L1377+'CUSTOMERS REPORT'!L1414+'CUSTOMERS REPORT'!L1450</f>
        <v>0</v>
      </c>
      <c r="AE54" s="852">
        <f>'CUSTOMERS REPORT'!M36+'CUSTOMERS REPORT'!M82+'CUSTOMERS REPORT'!M120+'CUSTOMERS REPORT'!M159+'CUSTOMERS REPORT'!M197+'CUSTOMERS REPORT'!M237+'CUSTOMERS REPORT'!M274+'CUSTOMERS REPORT'!M314+'CUSTOMERS REPORT'!M355+'CUSTOMERS REPORT'!M397+'CUSTOMERS REPORT'!M436+'CUSTOMERS REPORT'!M474+'CUSTOMERS REPORT'!M510+'CUSTOMERS REPORT'!M547+'CUSTOMERS REPORT'!M585+'CUSTOMERS REPORT'!M621+'CUSTOMERS REPORT'!M659+'CUSTOMERS REPORT'!M697+'CUSTOMERS REPORT'!M735+'CUSTOMERS REPORT'!M773+'CUSTOMERS REPORT'!M811+'CUSTOMERS REPORT'!M849+'CUSTOMERS REPORT'!M887+'CUSTOMERS REPORT'!M926+'CUSTOMERS REPORT'!M965+'CUSTOMERS REPORT'!M1003+'CUSTOMERS REPORT'!M1041+'CUSTOMERS REPORT'!M1079+'CUSTOMERS REPORT'!M1117+'CUSTOMERS REPORT'!M1155+'CUSTOMERS REPORT'!M1192+'CUSTOMERS REPORT'!M1229+'CUSTOMERS REPORT'!M1266+'CUSTOMERS REPORT'!M1303+'CUSTOMERS REPORT'!M1340+'CUSTOMERS REPORT'!M1377+'CUSTOMERS REPORT'!M1414+'CUSTOMERS REPORT'!M1450</f>
        <v>0</v>
      </c>
      <c r="AF54" s="852">
        <f>'CUSTOMERS REPORT'!N36+'CUSTOMERS REPORT'!N82+'CUSTOMERS REPORT'!N120+'CUSTOMERS REPORT'!N159+'CUSTOMERS REPORT'!N197+'CUSTOMERS REPORT'!N237+'CUSTOMERS REPORT'!N274+'CUSTOMERS REPORT'!N314+'CUSTOMERS REPORT'!N355+'CUSTOMERS REPORT'!N397+'CUSTOMERS REPORT'!N436+'CUSTOMERS REPORT'!N474+'CUSTOMERS REPORT'!N510+'CUSTOMERS REPORT'!N547+'CUSTOMERS REPORT'!N585+'CUSTOMERS REPORT'!N621+'CUSTOMERS REPORT'!N659+'CUSTOMERS REPORT'!N697+'CUSTOMERS REPORT'!N735+'CUSTOMERS REPORT'!N773+'CUSTOMERS REPORT'!N811+'CUSTOMERS REPORT'!N849+'CUSTOMERS REPORT'!N887+'CUSTOMERS REPORT'!N926+'CUSTOMERS REPORT'!N965+'CUSTOMERS REPORT'!N1003+'CUSTOMERS REPORT'!N1041+'CUSTOMERS REPORT'!N1079+'CUSTOMERS REPORT'!N1117+'CUSTOMERS REPORT'!N1155+'CUSTOMERS REPORT'!N1192+'CUSTOMERS REPORT'!N1229+'CUSTOMERS REPORT'!N1266+'CUSTOMERS REPORT'!N1303+'CUSTOMERS REPORT'!N1340+'CUSTOMERS REPORT'!N1377+'CUSTOMERS REPORT'!N1414+'CUSTOMERS REPORT'!N1450</f>
        <v>0</v>
      </c>
      <c r="AG54" s="852">
        <f>'CUSTOMERS REPORT'!O36+'CUSTOMERS REPORT'!O82+'CUSTOMERS REPORT'!O120+'CUSTOMERS REPORT'!O159+'CUSTOMERS REPORT'!O197+'CUSTOMERS REPORT'!O237+'CUSTOMERS REPORT'!O274+'CUSTOMERS REPORT'!O314+'CUSTOMERS REPORT'!O355+'CUSTOMERS REPORT'!O397+'CUSTOMERS REPORT'!O436+'CUSTOMERS REPORT'!O474+'CUSTOMERS REPORT'!O510+'CUSTOMERS REPORT'!O547+'CUSTOMERS REPORT'!O585+'CUSTOMERS REPORT'!O621+'CUSTOMERS REPORT'!O659+'CUSTOMERS REPORT'!O697+'CUSTOMERS REPORT'!O735+'CUSTOMERS REPORT'!O773+'CUSTOMERS REPORT'!O811+'CUSTOMERS REPORT'!O849+'CUSTOMERS REPORT'!O887+'CUSTOMERS REPORT'!O926+'CUSTOMERS REPORT'!O965+'CUSTOMERS REPORT'!O1003+'CUSTOMERS REPORT'!O1041+'CUSTOMERS REPORT'!O1079+'CUSTOMERS REPORT'!O1117+'CUSTOMERS REPORT'!O1155+'CUSTOMERS REPORT'!O1192+'CUSTOMERS REPORT'!O1229+'CUSTOMERS REPORT'!O1266+'CUSTOMERS REPORT'!O1303+'CUSTOMERS REPORT'!O1340+'CUSTOMERS REPORT'!O1377+'CUSTOMERS REPORT'!O1414+'CUSTOMERS REPORT'!O1450</f>
        <v>0</v>
      </c>
      <c r="AH54" s="852">
        <f>'CUSTOMERS REPORT'!P36+'CUSTOMERS REPORT'!P82+'CUSTOMERS REPORT'!P120+'CUSTOMERS REPORT'!P159+'CUSTOMERS REPORT'!P197+'CUSTOMERS REPORT'!P237+'CUSTOMERS REPORT'!P274+'CUSTOMERS REPORT'!P314+'CUSTOMERS REPORT'!P355+'CUSTOMERS REPORT'!P397+'CUSTOMERS REPORT'!P436+'CUSTOMERS REPORT'!P474+'CUSTOMERS REPORT'!P510+'CUSTOMERS REPORT'!P547+'CUSTOMERS REPORT'!P585+'CUSTOMERS REPORT'!P621+'CUSTOMERS REPORT'!P659+'CUSTOMERS REPORT'!P697+'CUSTOMERS REPORT'!P735+'CUSTOMERS REPORT'!P773+'CUSTOMERS REPORT'!P811+'CUSTOMERS REPORT'!P849+'CUSTOMERS REPORT'!P887+'CUSTOMERS REPORT'!P926+'CUSTOMERS REPORT'!P965+'CUSTOMERS REPORT'!P1003+'CUSTOMERS REPORT'!P1041+'CUSTOMERS REPORT'!P1079+'CUSTOMERS REPORT'!P1117+'CUSTOMERS REPORT'!P1155+'CUSTOMERS REPORT'!P1192+'CUSTOMERS REPORT'!P1229+'CUSTOMERS REPORT'!P1266+'CUSTOMERS REPORT'!P1303+'CUSTOMERS REPORT'!P1340+'CUSTOMERS REPORT'!P1377+'CUSTOMERS REPORT'!P1414+'CUSTOMERS REPORT'!P1450</f>
        <v>0</v>
      </c>
      <c r="AI54" s="852">
        <f>'CUSTOMERS REPORT'!Q36+'CUSTOMERS REPORT'!Q82+'CUSTOMERS REPORT'!Q120+'CUSTOMERS REPORT'!Q159+'CUSTOMERS REPORT'!Q197+'CUSTOMERS REPORT'!Q237+'CUSTOMERS REPORT'!Q274+'CUSTOMERS REPORT'!Q314+'CUSTOMERS REPORT'!Q355+'CUSTOMERS REPORT'!Q397+'CUSTOMERS REPORT'!Q436+'CUSTOMERS REPORT'!Q474+'CUSTOMERS REPORT'!Q510+'CUSTOMERS REPORT'!Q547+'CUSTOMERS REPORT'!Q585+'CUSTOMERS REPORT'!Q621+'CUSTOMERS REPORT'!Q659+'CUSTOMERS REPORT'!Q697+'CUSTOMERS REPORT'!Q735+'CUSTOMERS REPORT'!Q773+'CUSTOMERS REPORT'!Q811+'CUSTOMERS REPORT'!Q849+'CUSTOMERS REPORT'!Q887+'CUSTOMERS REPORT'!Q926+'CUSTOMERS REPORT'!Q965+'CUSTOMERS REPORT'!Q1003+'CUSTOMERS REPORT'!Q1041+'CUSTOMERS REPORT'!Q1079+'CUSTOMERS REPORT'!Q1117+'CUSTOMERS REPORT'!Q1155+'CUSTOMERS REPORT'!Q1192+'CUSTOMERS REPORT'!Q1229+'CUSTOMERS REPORT'!Q1266+'CUSTOMERS REPORT'!Q1303+'CUSTOMERS REPORT'!Q1340+'CUSTOMERS REPORT'!Q1377+'CUSTOMERS REPORT'!Q1414+'CUSTOMERS REPORT'!Q1450</f>
        <v>0</v>
      </c>
      <c r="AJ54" s="852">
        <f>'CUSTOMERS REPORT'!R36+'CUSTOMERS REPORT'!R82+'CUSTOMERS REPORT'!R120+'CUSTOMERS REPORT'!R159+'CUSTOMERS REPORT'!R197+'CUSTOMERS REPORT'!R237+'CUSTOMERS REPORT'!R274+'CUSTOMERS REPORT'!R314+'CUSTOMERS REPORT'!R355+'CUSTOMERS REPORT'!R397+'CUSTOMERS REPORT'!R436+'CUSTOMERS REPORT'!R474+'CUSTOMERS REPORT'!R510+'CUSTOMERS REPORT'!R547+'CUSTOMERS REPORT'!R585+'CUSTOMERS REPORT'!R621+'CUSTOMERS REPORT'!R659+'CUSTOMERS REPORT'!R697+'CUSTOMERS REPORT'!R735+'CUSTOMERS REPORT'!R773+'CUSTOMERS REPORT'!R811+'CUSTOMERS REPORT'!R849+'CUSTOMERS REPORT'!R887+'CUSTOMERS REPORT'!R926+'CUSTOMERS REPORT'!R965+'CUSTOMERS REPORT'!R1003+'CUSTOMERS REPORT'!R1041+'CUSTOMERS REPORT'!R1079+'CUSTOMERS REPORT'!R1117+'CUSTOMERS REPORT'!R1155+'CUSTOMERS REPORT'!R1192+'CUSTOMERS REPORT'!R1229+'CUSTOMERS REPORT'!R1266+'CUSTOMERS REPORT'!R1303+'CUSTOMERS REPORT'!R1340+'CUSTOMERS REPORT'!R1377+'CUSTOMERS REPORT'!R1414+'CUSTOMERS REPORT'!R1450</f>
        <v>0</v>
      </c>
      <c r="AK54" s="852">
        <f>'CUSTOMERS REPORT'!S36+'CUSTOMERS REPORT'!S82+'CUSTOMERS REPORT'!S120+'CUSTOMERS REPORT'!S159+'CUSTOMERS REPORT'!S197+'CUSTOMERS REPORT'!S237+'CUSTOMERS REPORT'!S274+'CUSTOMERS REPORT'!S314+'CUSTOMERS REPORT'!S355+'CUSTOMERS REPORT'!S397+'CUSTOMERS REPORT'!S436+'CUSTOMERS REPORT'!S474+'CUSTOMERS REPORT'!S510+'CUSTOMERS REPORT'!S547+'CUSTOMERS REPORT'!S585+'CUSTOMERS REPORT'!S621+'CUSTOMERS REPORT'!S659+'CUSTOMERS REPORT'!S697+'CUSTOMERS REPORT'!S735+'CUSTOMERS REPORT'!S773+'CUSTOMERS REPORT'!S811+'CUSTOMERS REPORT'!S849+'CUSTOMERS REPORT'!S887+'CUSTOMERS REPORT'!S926+'CUSTOMERS REPORT'!S965+'CUSTOMERS REPORT'!S1003+'CUSTOMERS REPORT'!S1041+'CUSTOMERS REPORT'!S1079+'CUSTOMERS REPORT'!S1117+'CUSTOMERS REPORT'!S1155+'CUSTOMERS REPORT'!S1192+'CUSTOMERS REPORT'!S1229+'CUSTOMERS REPORT'!S1266+'CUSTOMERS REPORT'!S1303+'CUSTOMERS REPORT'!S1340+'CUSTOMERS REPORT'!S1377+'CUSTOMERS REPORT'!S1414+'CUSTOMERS REPORT'!S1450</f>
        <v>0</v>
      </c>
      <c r="AL54" s="852">
        <f>'CUSTOMERS REPORT'!T36+'CUSTOMERS REPORT'!T82+'CUSTOMERS REPORT'!T120+'CUSTOMERS REPORT'!T159+'CUSTOMERS REPORT'!T197+'CUSTOMERS REPORT'!T237+'CUSTOMERS REPORT'!T274+'CUSTOMERS REPORT'!T314+'CUSTOMERS REPORT'!T355+'CUSTOMERS REPORT'!T397+'CUSTOMERS REPORT'!T436+'CUSTOMERS REPORT'!T474+'CUSTOMERS REPORT'!T510+'CUSTOMERS REPORT'!T547+'CUSTOMERS REPORT'!T585+'CUSTOMERS REPORT'!T621+'CUSTOMERS REPORT'!T659+'CUSTOMERS REPORT'!T697+'CUSTOMERS REPORT'!T735+'CUSTOMERS REPORT'!T773+'CUSTOMERS REPORT'!T811+'CUSTOMERS REPORT'!T849+'CUSTOMERS REPORT'!T887+'CUSTOMERS REPORT'!T926+'CUSTOMERS REPORT'!T965+'CUSTOMERS REPORT'!T1003+'CUSTOMERS REPORT'!T1041+'CUSTOMERS REPORT'!T1079+'CUSTOMERS REPORT'!T1117+'CUSTOMERS REPORT'!T1155</f>
        <v>0</v>
      </c>
      <c r="AM54" s="852">
        <f>'CUSTOMERS REPORT'!U36+'CUSTOMERS REPORT'!U82+'CUSTOMERS REPORT'!U120+'CUSTOMERS REPORT'!U159+'CUSTOMERS REPORT'!U197+'CUSTOMERS REPORT'!U237+'CUSTOMERS REPORT'!U274+'CUSTOMERS REPORT'!U314+'CUSTOMERS REPORT'!U355+'CUSTOMERS REPORT'!U397+'CUSTOMERS REPORT'!U436+'CUSTOMERS REPORT'!U474+'CUSTOMERS REPORT'!U510+'CUSTOMERS REPORT'!U547+'CUSTOMERS REPORT'!U585+'CUSTOMERS REPORT'!U621+'CUSTOMERS REPORT'!U659+'CUSTOMERS REPORT'!U697+'CUSTOMERS REPORT'!U735+'CUSTOMERS REPORT'!U773+'CUSTOMERS REPORT'!U811+'CUSTOMERS REPORT'!U849+'CUSTOMERS REPORT'!U887+'CUSTOMERS REPORT'!U926+'CUSTOMERS REPORT'!U965+'CUSTOMERS REPORT'!U1003+'CUSTOMERS REPORT'!U1041+'CUSTOMERS REPORT'!U1079+'CUSTOMERS REPORT'!U1117+'CUSTOMERS REPORT'!U1155</f>
        <v>0</v>
      </c>
      <c r="AN54" s="852">
        <f>'CUSTOMERS REPORT'!V36+'CUSTOMERS REPORT'!V82+'CUSTOMERS REPORT'!V120+'CUSTOMERS REPORT'!V159+'CUSTOMERS REPORT'!V197+'CUSTOMERS REPORT'!V237+'CUSTOMERS REPORT'!V274+'CUSTOMERS REPORT'!V314+'CUSTOMERS REPORT'!V355+'CUSTOMERS REPORT'!V397+'CUSTOMERS REPORT'!V436+'CUSTOMERS REPORT'!V474+'CUSTOMERS REPORT'!V510+'CUSTOMERS REPORT'!V547+'CUSTOMERS REPORT'!V585+'CUSTOMERS REPORT'!V621+'CUSTOMERS REPORT'!V659+'CUSTOMERS REPORT'!V697+'CUSTOMERS REPORT'!V735+'CUSTOMERS REPORT'!V773+'CUSTOMERS REPORT'!V811+'CUSTOMERS REPORT'!V849+'CUSTOMERS REPORT'!V887+'CUSTOMERS REPORT'!V926+'CUSTOMERS REPORT'!V965+'CUSTOMERS REPORT'!V1003+'CUSTOMERS REPORT'!V1041+'CUSTOMERS REPORT'!V1079+'CUSTOMERS REPORT'!V1117+'CUSTOMERS REPORT'!V1155</f>
        <v>0</v>
      </c>
    </row>
    <row r="55" spans="1:40" ht="24.95" customHeight="1" thickBot="1">
      <c r="L55" s="417">
        <v>20</v>
      </c>
      <c r="M55" s="417"/>
      <c r="N55" s="417">
        <f t="shared" si="10"/>
        <v>0</v>
      </c>
      <c r="R55" s="123">
        <f>'28'!R57</f>
        <v>143</v>
      </c>
      <c r="S55" s="865" t="s">
        <v>169</v>
      </c>
      <c r="T55" s="866">
        <f t="shared" ref="T55:AB55" si="14">T53-T54-T51</f>
        <v>62</v>
      </c>
      <c r="U55" s="866">
        <f t="shared" si="14"/>
        <v>0</v>
      </c>
      <c r="V55" s="866">
        <f t="shared" si="14"/>
        <v>184</v>
      </c>
      <c r="W55" s="866">
        <f t="shared" si="14"/>
        <v>19</v>
      </c>
      <c r="X55" s="866">
        <f t="shared" si="14"/>
        <v>0</v>
      </c>
      <c r="Y55" s="866">
        <f t="shared" si="14"/>
        <v>0</v>
      </c>
      <c r="Z55" s="866">
        <f t="shared" si="14"/>
        <v>525</v>
      </c>
      <c r="AA55" s="866">
        <f t="shared" si="14"/>
        <v>5632</v>
      </c>
      <c r="AB55" s="866">
        <f t="shared" si="14"/>
        <v>160</v>
      </c>
      <c r="AC55" s="866">
        <f t="shared" ref="AC55:AM55" si="15">AC53-AC54-AC51</f>
        <v>3220</v>
      </c>
      <c r="AD55" s="866">
        <f t="shared" si="15"/>
        <v>1292</v>
      </c>
      <c r="AE55" s="866">
        <f t="shared" si="15"/>
        <v>0</v>
      </c>
      <c r="AF55" s="866">
        <f t="shared" si="15"/>
        <v>3752</v>
      </c>
      <c r="AG55" s="866">
        <f t="shared" si="15"/>
        <v>1082</v>
      </c>
      <c r="AH55" s="866">
        <f t="shared" si="15"/>
        <v>2011</v>
      </c>
      <c r="AI55" s="866">
        <f t="shared" si="15"/>
        <v>631</v>
      </c>
      <c r="AJ55" s="866">
        <f t="shared" si="15"/>
        <v>0</v>
      </c>
      <c r="AK55" s="866">
        <f t="shared" si="15"/>
        <v>123</v>
      </c>
      <c r="AL55" s="866" t="e">
        <f t="shared" si="15"/>
        <v>#VALUE!</v>
      </c>
      <c r="AM55" s="872" t="e">
        <f t="shared" si="15"/>
        <v>#VALUE!</v>
      </c>
      <c r="AN55" s="872" t="e">
        <f t="shared" ref="AN55" si="16">AN53-AN54-AN51</f>
        <v>#VALUE!</v>
      </c>
    </row>
    <row r="56" spans="1:40" ht="28.5" thickBot="1">
      <c r="A56" s="114"/>
      <c r="B56" s="120"/>
      <c r="C56" s="115"/>
      <c r="L56" s="417">
        <v>10</v>
      </c>
      <c r="M56" s="417"/>
      <c r="N56" s="417">
        <f t="shared" si="10"/>
        <v>0</v>
      </c>
      <c r="R56" s="123">
        <f>T56+U56+V56+W56+X56+Y56+Z56+AA56+AB56+AC56+AD56+AE56+AF56+AG56+AH56+AI56+AJ56+AK56+AL56+AM56+AN56</f>
        <v>0</v>
      </c>
      <c r="S56" s="874" t="s">
        <v>170</v>
      </c>
      <c r="T56" s="875"/>
      <c r="U56" s="875"/>
      <c r="V56" s="875"/>
      <c r="W56" s="875"/>
      <c r="X56" s="875"/>
      <c r="Y56" s="875"/>
      <c r="Z56" s="876"/>
      <c r="AA56" s="875"/>
      <c r="AB56" s="875"/>
      <c r="AC56" s="875"/>
      <c r="AD56" s="875"/>
      <c r="AE56" s="875"/>
      <c r="AF56" s="875"/>
      <c r="AG56" s="875"/>
      <c r="AH56" s="875"/>
      <c r="AI56" s="877"/>
      <c r="AJ56" s="877"/>
      <c r="AK56" s="877"/>
      <c r="AL56" s="52"/>
      <c r="AM56" s="928"/>
      <c r="AN56" s="928"/>
    </row>
    <row r="57" spans="1:40" ht="27" customHeight="1" thickBot="1">
      <c r="A57" s="114"/>
      <c r="B57" s="131"/>
      <c r="C57" s="115"/>
      <c r="D57" s="115"/>
      <c r="E57" s="19"/>
      <c r="F57" s="19"/>
      <c r="G57" s="19"/>
      <c r="H57" s="19"/>
      <c r="I57" s="19"/>
      <c r="J57" s="19"/>
      <c r="K57" s="19"/>
      <c r="L57" s="418">
        <v>1</v>
      </c>
      <c r="M57" s="418"/>
      <c r="N57" s="417">
        <f>L57*M57</f>
        <v>0</v>
      </c>
      <c r="O57" s="19"/>
      <c r="R57" s="123">
        <f>SUM(R55:R56)</f>
        <v>143</v>
      </c>
      <c r="S57" s="882" t="s">
        <v>23</v>
      </c>
      <c r="T57" s="883" t="e">
        <f t="shared" ref="T57:AB57" si="17">T50/T56</f>
        <v>#DIV/0!</v>
      </c>
      <c r="U57" s="883" t="e">
        <f t="shared" si="17"/>
        <v>#DIV/0!</v>
      </c>
      <c r="V57" s="883" t="e">
        <f t="shared" si="17"/>
        <v>#DIV/0!</v>
      </c>
      <c r="W57" s="883" t="e">
        <f t="shared" si="17"/>
        <v>#DIV/0!</v>
      </c>
      <c r="X57" s="883" t="e">
        <f t="shared" si="17"/>
        <v>#DIV/0!</v>
      </c>
      <c r="Y57" s="883" t="e">
        <f t="shared" si="17"/>
        <v>#DIV/0!</v>
      </c>
      <c r="Z57" s="883" t="e">
        <f t="shared" si="17"/>
        <v>#DIV/0!</v>
      </c>
      <c r="AA57" s="883" t="e">
        <f t="shared" si="17"/>
        <v>#DIV/0!</v>
      </c>
      <c r="AB57" s="883" t="e">
        <f t="shared" si="17"/>
        <v>#DIV/0!</v>
      </c>
      <c r="AC57" s="883" t="e">
        <f t="shared" ref="AC57:AJ57" si="18">AC50/AC56</f>
        <v>#DIV/0!</v>
      </c>
      <c r="AD57" s="883" t="e">
        <f t="shared" si="18"/>
        <v>#DIV/0!</v>
      </c>
      <c r="AE57" s="883" t="e">
        <f t="shared" si="18"/>
        <v>#DIV/0!</v>
      </c>
      <c r="AF57" s="883" t="e">
        <f t="shared" si="18"/>
        <v>#DIV/0!</v>
      </c>
      <c r="AG57" s="883" t="e">
        <f t="shared" si="18"/>
        <v>#DIV/0!</v>
      </c>
      <c r="AH57" s="883" t="e">
        <f t="shared" si="18"/>
        <v>#DIV/0!</v>
      </c>
      <c r="AI57" s="883" t="e">
        <f t="shared" si="18"/>
        <v>#DIV/0!</v>
      </c>
      <c r="AJ57" s="883" t="e">
        <f t="shared" si="18"/>
        <v>#DIV/0!</v>
      </c>
      <c r="AK57" s="883" t="e">
        <f t="shared" ref="AK57:AM57" si="19">AK50/AK56</f>
        <v>#DIV/0!</v>
      </c>
      <c r="AL57" s="883" t="e">
        <f t="shared" si="19"/>
        <v>#DIV/0!</v>
      </c>
      <c r="AM57" s="884" t="e">
        <f t="shared" si="19"/>
        <v>#DIV/0!</v>
      </c>
      <c r="AN57" s="884" t="e">
        <f t="shared" ref="AN57" si="20">AN50/AN56</f>
        <v>#DIV/0!</v>
      </c>
    </row>
    <row r="58" spans="1:40" ht="27" customHeight="1" thickBot="1">
      <c r="A58" s="114"/>
      <c r="B58" s="131"/>
      <c r="C58" s="115"/>
      <c r="D58" s="115" t="s">
        <v>1</v>
      </c>
      <c r="L58" s="1501" t="s">
        <v>171</v>
      </c>
      <c r="M58" s="1501"/>
      <c r="N58" s="419">
        <f>SUM(N50:N57)</f>
        <v>0</v>
      </c>
      <c r="R58" s="19"/>
      <c r="S58" s="878" t="s">
        <v>172</v>
      </c>
      <c r="T58" s="879">
        <f>T54</f>
        <v>0</v>
      </c>
      <c r="U58" s="879">
        <f t="shared" ref="U58:AB58" si="21">U54</f>
        <v>0</v>
      </c>
      <c r="V58" s="879">
        <f t="shared" si="21"/>
        <v>0</v>
      </c>
      <c r="W58" s="879">
        <f t="shared" si="21"/>
        <v>0</v>
      </c>
      <c r="X58" s="879">
        <f t="shared" si="21"/>
        <v>0</v>
      </c>
      <c r="Y58" s="879">
        <f t="shared" si="21"/>
        <v>0</v>
      </c>
      <c r="Z58" s="879">
        <f t="shared" si="21"/>
        <v>0</v>
      </c>
      <c r="AA58" s="879">
        <f t="shared" si="21"/>
        <v>0</v>
      </c>
      <c r="AB58" s="879">
        <f t="shared" si="21"/>
        <v>0</v>
      </c>
      <c r="AC58" s="879">
        <f t="shared" ref="AC58:AJ58" si="22">AC54</f>
        <v>0</v>
      </c>
      <c r="AD58" s="879">
        <f t="shared" si="22"/>
        <v>0</v>
      </c>
      <c r="AE58" s="879">
        <f t="shared" si="22"/>
        <v>0</v>
      </c>
      <c r="AF58" s="879">
        <f t="shared" si="22"/>
        <v>0</v>
      </c>
      <c r="AG58" s="879">
        <f t="shared" si="22"/>
        <v>0</v>
      </c>
      <c r="AH58" s="879">
        <f t="shared" si="22"/>
        <v>0</v>
      </c>
      <c r="AI58" s="879">
        <f t="shared" si="22"/>
        <v>0</v>
      </c>
      <c r="AJ58" s="879">
        <f t="shared" si="22"/>
        <v>0</v>
      </c>
      <c r="AK58" s="880"/>
      <c r="AL58" s="880"/>
      <c r="AM58" s="881"/>
      <c r="AN58" s="881"/>
    </row>
    <row r="59" spans="1:40" ht="27" customHeight="1">
      <c r="A59" s="114"/>
      <c r="B59" s="132"/>
      <c r="C59" s="115"/>
      <c r="D59" s="115" t="s">
        <v>1</v>
      </c>
      <c r="K59" t="s">
        <v>1</v>
      </c>
      <c r="L59" s="1486" t="s">
        <v>173</v>
      </c>
      <c r="M59" s="1486"/>
      <c r="N59" s="420">
        <f>N58-Q48</f>
        <v>4818050</v>
      </c>
      <c r="R59" s="19"/>
      <c r="S59" s="114"/>
      <c r="T59" s="121"/>
      <c r="U59" s="121"/>
      <c r="V59" s="121"/>
      <c r="W59" s="121"/>
      <c r="X59" s="121"/>
      <c r="Y59" s="121"/>
      <c r="Z59" s="122"/>
      <c r="AA59" s="121"/>
      <c r="AB59" s="121"/>
      <c r="AC59" s="121"/>
      <c r="AD59" s="121"/>
      <c r="AE59" s="121"/>
      <c r="AF59" s="121"/>
      <c r="AG59" s="121"/>
      <c r="AH59" s="119"/>
      <c r="AI59" s="119"/>
    </row>
    <row r="60" spans="1:40" ht="24" customHeight="1">
      <c r="A60" s="114"/>
      <c r="B60" s="132"/>
      <c r="C60" s="115"/>
      <c r="D60" s="115"/>
      <c r="P60" s="19"/>
      <c r="Q60" s="19"/>
      <c r="R60" s="19"/>
      <c r="S60" s="19"/>
      <c r="U60" t="s">
        <v>1</v>
      </c>
    </row>
    <row r="61" spans="1:40" ht="23.25">
      <c r="A61" s="114"/>
      <c r="B61" s="132"/>
      <c r="C61" s="115"/>
      <c r="D61" s="116"/>
      <c r="M61" t="s">
        <v>1</v>
      </c>
      <c r="N61">
        <v>4329</v>
      </c>
      <c r="P61" s="185"/>
      <c r="Q61" s="186"/>
      <c r="R61" s="19"/>
      <c r="S61" s="19"/>
    </row>
    <row r="62" spans="1:40" ht="20.25">
      <c r="C62" s="116"/>
      <c r="P62" s="19"/>
      <c r="Q62" s="19"/>
      <c r="R62" s="19"/>
      <c r="S62" s="19"/>
    </row>
    <row r="63" spans="1:40">
      <c r="E63" s="19"/>
    </row>
    <row r="64" spans="1:40">
      <c r="E64" s="19"/>
      <c r="J64" t="s">
        <v>3</v>
      </c>
      <c r="U64" t="s">
        <v>1</v>
      </c>
    </row>
    <row r="65" spans="3:5" ht="21">
      <c r="C65" s="251"/>
      <c r="E65" s="19"/>
    </row>
    <row r="66" spans="3:5">
      <c r="E66" s="49"/>
    </row>
    <row r="67" spans="3:5" ht="23.25">
      <c r="E67" s="113"/>
    </row>
  </sheetData>
  <mergeCells count="21">
    <mergeCell ref="P42:Q42"/>
    <mergeCell ref="T47:W47"/>
    <mergeCell ref="X47:Z47"/>
    <mergeCell ref="AJ47:AK47"/>
    <mergeCell ref="AL47:AM47"/>
    <mergeCell ref="L58:M58"/>
    <mergeCell ref="L59:M59"/>
    <mergeCell ref="H47:I47"/>
    <mergeCell ref="S47:S48"/>
    <mergeCell ref="A6:Q6"/>
    <mergeCell ref="S6:AE6"/>
    <mergeCell ref="A7:B7"/>
    <mergeCell ref="P7:Q7"/>
    <mergeCell ref="H46:I46"/>
    <mergeCell ref="AA47:AB47"/>
    <mergeCell ref="AC47:AI47"/>
    <mergeCell ref="AI7:AJ7"/>
    <mergeCell ref="AI20:AJ20"/>
    <mergeCell ref="H48:I48"/>
    <mergeCell ref="P24:Q24"/>
    <mergeCell ref="P33:Q33"/>
  </mergeCells>
  <conditionalFormatting sqref="M48:N48">
    <cfRule type="duplicateValues" dxfId="59" priority="29"/>
    <cfRule type="duplicateValues" dxfId="58" priority="30"/>
    <cfRule type="duplicateValues" dxfId="57" priority="31"/>
    <cfRule type="duplicateValues" dxfId="56" priority="32"/>
  </conditionalFormatting>
  <conditionalFormatting sqref="L48 N48">
    <cfRule type="cellIs" dxfId="55" priority="28" operator="equal">
      <formula>66890</formula>
    </cfRule>
  </conditionalFormatting>
  <conditionalFormatting sqref="N48">
    <cfRule type="cellIs" dxfId="54" priority="27" operator="lessThan">
      <formula>1</formula>
    </cfRule>
  </conditionalFormatting>
  <conditionalFormatting sqref="T57">
    <cfRule type="cellIs" dxfId="53" priority="16" operator="lessThan">
      <formula>63</formula>
    </cfRule>
  </conditionalFormatting>
  <conditionalFormatting sqref="U57">
    <cfRule type="cellIs" dxfId="52" priority="14" operator="lessThan">
      <formula>63</formula>
    </cfRule>
    <cfRule type="cellIs" dxfId="51" priority="15" operator="lessThan">
      <formula>63</formula>
    </cfRule>
  </conditionalFormatting>
  <conditionalFormatting sqref="W57">
    <cfRule type="cellIs" dxfId="50" priority="13" operator="lessThan">
      <formula>140</formula>
    </cfRule>
  </conditionalFormatting>
  <conditionalFormatting sqref="X57">
    <cfRule type="cellIs" dxfId="49" priority="12" operator="lessThan">
      <formula>125</formula>
    </cfRule>
  </conditionalFormatting>
  <conditionalFormatting sqref="Y57">
    <cfRule type="cellIs" dxfId="48" priority="11" operator="lessThan">
      <formula>150</formula>
    </cfRule>
  </conditionalFormatting>
  <conditionalFormatting sqref="Z57">
    <cfRule type="cellIs" dxfId="47" priority="10" operator="lessThan">
      <formula>590</formula>
    </cfRule>
  </conditionalFormatting>
  <conditionalFormatting sqref="AA57">
    <cfRule type="cellIs" dxfId="46" priority="9" operator="lessThan">
      <formula>704</formula>
    </cfRule>
  </conditionalFormatting>
  <conditionalFormatting sqref="AC57">
    <cfRule type="cellIs" dxfId="45" priority="7" operator="lessThan">
      <formula>52</formula>
    </cfRule>
  </conditionalFormatting>
  <conditionalFormatting sqref="AG57">
    <cfRule type="cellIs" dxfId="44" priority="6" operator="lessThan">
      <formula>63</formula>
    </cfRule>
  </conditionalFormatting>
  <conditionalFormatting sqref="AH57">
    <cfRule type="cellIs" dxfId="43" priority="5" operator="lessThan">
      <formula>63</formula>
    </cfRule>
  </conditionalFormatting>
  <conditionalFormatting sqref="AJ57">
    <cfRule type="cellIs" dxfId="42" priority="4" operator="lessThan">
      <formula>270</formula>
    </cfRule>
  </conditionalFormatting>
  <conditionalFormatting sqref="AI57">
    <cfRule type="cellIs" dxfId="41" priority="3" operator="lessThan">
      <formula>270</formula>
    </cfRule>
  </conditionalFormatting>
  <conditionalFormatting sqref="AK57:AN57">
    <cfRule type="cellIs" dxfId="40" priority="1" operator="lessThan">
      <formula>270</formula>
    </cfRule>
  </conditionalFormatting>
  <printOptions horizontalCentered="1" verticalCentered="1"/>
  <pageMargins left="0" right="0" top="0" bottom="0" header="0" footer="0"/>
  <pageSetup paperSize="5" scale="47" orientation="landscape" cellComments="asDisplayed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1:AN67"/>
  <sheetViews>
    <sheetView topLeftCell="X40" zoomScale="90" zoomScaleNormal="90" workbookViewId="0">
      <selection activeCell="AB56" sqref="AB56"/>
    </sheetView>
  </sheetViews>
  <sheetFormatPr defaultRowHeight="15"/>
  <cols>
    <col min="1" max="1" width="32.7109375" bestFit="1" customWidth="1"/>
    <col min="2" max="2" width="17.7109375" customWidth="1"/>
    <col min="3" max="4" width="22.28515625" bestFit="1" customWidth="1"/>
    <col min="5" max="5" width="4.7109375" customWidth="1"/>
    <col min="6" max="6" width="35.85546875" bestFit="1" customWidth="1"/>
    <col min="7" max="7" width="17.7109375" customWidth="1"/>
    <col min="8" max="9" width="19.140625" bestFit="1" customWidth="1"/>
    <col min="10" max="11" width="17.7109375" customWidth="1"/>
    <col min="12" max="12" width="19.140625" bestFit="1" customWidth="1"/>
    <col min="13" max="14" width="18.7109375" customWidth="1"/>
    <col min="15" max="15" width="7.7109375" customWidth="1"/>
    <col min="16" max="16" width="28.7109375" customWidth="1"/>
    <col min="17" max="17" width="22.28515625" bestFit="1" customWidth="1"/>
    <col min="18" max="18" width="7.7109375" customWidth="1"/>
    <col min="19" max="19" width="32.7109375" customWidth="1"/>
    <col min="20" max="20" width="20.28515625" bestFit="1" customWidth="1"/>
    <col min="21" max="21" width="17.7109375" customWidth="1"/>
    <col min="22" max="22" width="20.28515625" bestFit="1" customWidth="1"/>
    <col min="23" max="23" width="19.140625" customWidth="1"/>
    <col min="24" max="24" width="24.140625" bestFit="1" customWidth="1"/>
    <col min="25" max="25" width="14.7109375" customWidth="1"/>
    <col min="26" max="26" width="16.28515625" bestFit="1" customWidth="1"/>
    <col min="27" max="27" width="20.140625" bestFit="1" customWidth="1"/>
    <col min="28" max="28" width="17.7109375" customWidth="1"/>
    <col min="29" max="29" width="20.140625" bestFit="1" customWidth="1"/>
    <col min="30" max="30" width="18.140625" bestFit="1" customWidth="1"/>
    <col min="31" max="31" width="20.140625" bestFit="1" customWidth="1"/>
    <col min="32" max="33" width="20.7109375" customWidth="1"/>
    <col min="34" max="37" width="17.7109375" customWidth="1"/>
    <col min="38" max="39" width="0" hidden="1" customWidth="1"/>
    <col min="40" max="40" width="13" hidden="1" customWidth="1"/>
  </cols>
  <sheetData>
    <row r="1" spans="1:36">
      <c r="E1" s="5"/>
    </row>
    <row r="2" spans="1:36">
      <c r="E2" s="5"/>
    </row>
    <row r="3" spans="1:36" ht="15.75" thickBot="1">
      <c r="C3" t="s">
        <v>1</v>
      </c>
      <c r="E3" s="5" t="s">
        <v>1</v>
      </c>
      <c r="F3" t="s">
        <v>1</v>
      </c>
      <c r="N3" t="s">
        <v>1</v>
      </c>
      <c r="S3" t="s">
        <v>1</v>
      </c>
      <c r="U3" t="s">
        <v>1</v>
      </c>
    </row>
    <row r="4" spans="1:36" ht="21.75" thickTop="1">
      <c r="B4" t="s">
        <v>1</v>
      </c>
      <c r="D4" t="s">
        <v>1</v>
      </c>
      <c r="E4" t="s">
        <v>1</v>
      </c>
      <c r="P4" s="617" t="s">
        <v>108</v>
      </c>
      <c r="Q4" s="618">
        <f>'29'!Q4+'30'!Q9+'30'!Q10+'30'!Q19+'30'!Q20+'30'!Q21+'30'!Q22</f>
        <v>0</v>
      </c>
    </row>
    <row r="5" spans="1:36" ht="21.75" thickBot="1">
      <c r="P5" s="619" t="s">
        <v>109</v>
      </c>
      <c r="Q5" s="620">
        <f>'29'!Q5+'30'!Q25+'30'!Q26+'30'!Q27+'30'!Q28+'30'!Q29+'30'!Q30+'30'!Q31</f>
        <v>0</v>
      </c>
    </row>
    <row r="6" spans="1:36" ht="48" thickTop="1" thickBot="1">
      <c r="A6" s="1502">
        <f>'Main Page'!E46</f>
        <v>44895</v>
      </c>
      <c r="B6" s="1507"/>
      <c r="C6" s="1507"/>
      <c r="D6" s="1507"/>
      <c r="E6" s="1507"/>
      <c r="F6" s="1507"/>
      <c r="G6" s="1507"/>
      <c r="H6" s="1507"/>
      <c r="I6" s="1507"/>
      <c r="J6" s="1507"/>
      <c r="K6" s="1507"/>
      <c r="L6" s="1507"/>
      <c r="M6" s="1507"/>
      <c r="N6" s="1507"/>
      <c r="O6" s="1507"/>
      <c r="P6" s="1507"/>
      <c r="Q6" s="1515"/>
      <c r="R6" t="s">
        <v>1</v>
      </c>
      <c r="S6" s="1502">
        <f>A6</f>
        <v>44895</v>
      </c>
      <c r="T6" s="1503"/>
      <c r="U6" s="1503"/>
      <c r="V6" s="1503"/>
      <c r="W6" s="1503"/>
      <c r="X6" s="1503"/>
      <c r="Y6" s="1503"/>
      <c r="Z6" s="1503"/>
      <c r="AA6" s="1503"/>
      <c r="AB6" s="1503"/>
      <c r="AC6" s="1503"/>
      <c r="AD6" s="1503"/>
      <c r="AE6" s="1504"/>
    </row>
    <row r="7" spans="1:36" ht="39.950000000000003" customHeight="1" thickTop="1" thickBot="1">
      <c r="A7" s="1505" t="s">
        <v>110</v>
      </c>
      <c r="B7" s="1506"/>
      <c r="C7" s="367" t="s">
        <v>97</v>
      </c>
      <c r="D7" s="368" t="s">
        <v>74</v>
      </c>
      <c r="F7" s="363" t="s">
        <v>111</v>
      </c>
      <c r="G7" s="364" t="s">
        <v>112</v>
      </c>
      <c r="H7" s="365" t="s">
        <v>113</v>
      </c>
      <c r="I7" s="365" t="s">
        <v>26</v>
      </c>
      <c r="J7" s="365" t="s">
        <v>114</v>
      </c>
      <c r="K7" s="366" t="s">
        <v>115</v>
      </c>
      <c r="L7" s="365" t="s">
        <v>116</v>
      </c>
      <c r="M7" s="365" t="s">
        <v>117</v>
      </c>
      <c r="N7" s="365" t="s">
        <v>118</v>
      </c>
      <c r="P7" s="1510" t="s">
        <v>69</v>
      </c>
      <c r="Q7" s="1511"/>
      <c r="S7" s="380" t="s">
        <v>58</v>
      </c>
      <c r="T7" s="380" t="s">
        <v>59</v>
      </c>
      <c r="U7" s="380" t="s">
        <v>119</v>
      </c>
      <c r="V7" s="380" t="s">
        <v>74</v>
      </c>
      <c r="W7" s="380" t="s">
        <v>120</v>
      </c>
      <c r="X7" s="380" t="s">
        <v>59</v>
      </c>
      <c r="Z7" s="367" t="s">
        <v>121</v>
      </c>
      <c r="AA7" s="367" t="s">
        <v>97</v>
      </c>
      <c r="AB7" s="415" t="s">
        <v>122</v>
      </c>
      <c r="AC7" s="416" t="s">
        <v>90</v>
      </c>
      <c r="AD7" s="367" t="s">
        <v>56</v>
      </c>
      <c r="AE7" s="381" t="s">
        <v>100</v>
      </c>
      <c r="AF7" s="560" t="s">
        <v>122</v>
      </c>
      <c r="AG7" s="570" t="s">
        <v>56</v>
      </c>
      <c r="AI7" s="1487" t="s">
        <v>123</v>
      </c>
      <c r="AJ7" s="1488"/>
    </row>
    <row r="8" spans="1:36" ht="27" customHeight="1" thickTop="1" thickBot="1">
      <c r="A8" s="717"/>
      <c r="B8" s="233"/>
      <c r="C8" s="463"/>
      <c r="D8" s="233"/>
      <c r="F8" s="478" t="str">
        <f>'29'!F8</f>
        <v>ISHAQ ANSARI</v>
      </c>
      <c r="G8" s="405">
        <f>'CUSTOMERS REPORT'!Y37</f>
        <v>0</v>
      </c>
      <c r="H8" s="503">
        <f>'CUSTOMERS REPORT'!Z37</f>
        <v>0</v>
      </c>
      <c r="I8" s="405">
        <f>'CUSTOMERS REPORT'!AA37</f>
        <v>0</v>
      </c>
      <c r="J8" s="497">
        <f>'CUSTOMERS REPORT'!AB37</f>
        <v>0</v>
      </c>
      <c r="K8" s="497">
        <f>'CUSTOMERS REPORT'!AC37</f>
        <v>0</v>
      </c>
      <c r="L8" s="508">
        <f>'CUSTOMERS REPORT'!AD37</f>
        <v>0</v>
      </c>
      <c r="M8" s="413">
        <f>'29'!M8+'30'!G8</f>
        <v>0</v>
      </c>
      <c r="N8" s="411">
        <f>'29'!N8+'30'!J8</f>
        <v>0</v>
      </c>
      <c r="P8" s="191" t="s">
        <v>124</v>
      </c>
      <c r="Q8" s="223">
        <f>'29'!Q32</f>
        <v>0</v>
      </c>
      <c r="S8" s="399" t="str">
        <f>'29'!S8</f>
        <v>FLOUR</v>
      </c>
      <c r="T8" s="446">
        <f>'29'!X8</f>
        <v>-60</v>
      </c>
      <c r="U8" s="455"/>
      <c r="V8" s="450">
        <f t="shared" ref="V8:V43" si="0">SUM(T8:U8)</f>
        <v>-60</v>
      </c>
      <c r="W8" s="450"/>
      <c r="X8" s="446">
        <f t="shared" ref="X8:X43" si="1">V8-W8</f>
        <v>-60</v>
      </c>
      <c r="Z8" s="382" t="str">
        <f>'29'!Z8</f>
        <v>GHAZI</v>
      </c>
      <c r="AA8" s="464">
        <f>'29'!AE8</f>
        <v>-429500</v>
      </c>
      <c r="AB8" s="459"/>
      <c r="AC8" s="233">
        <f t="shared" ref="AC8:AC41" si="2">AA8+AB8</f>
        <v>-429500</v>
      </c>
      <c r="AD8" s="468"/>
      <c r="AE8" s="463">
        <f t="shared" ref="AE8:AE42" si="3">AC8-AD8</f>
        <v>-429500</v>
      </c>
      <c r="AF8" s="563">
        <f>'29'!AF8+'30'!AB8</f>
        <v>347500</v>
      </c>
      <c r="AG8" s="233">
        <f>'29'!AG8+'30'!AD8</f>
        <v>777000</v>
      </c>
      <c r="AI8" s="391" t="s">
        <v>126</v>
      </c>
      <c r="AJ8" s="392">
        <f>'29'!AJ10</f>
        <v>342600</v>
      </c>
    </row>
    <row r="9" spans="1:36" ht="27" customHeight="1" thickTop="1" thickBot="1">
      <c r="A9" s="717"/>
      <c r="B9" s="526"/>
      <c r="C9" s="348"/>
      <c r="D9" s="550"/>
      <c r="F9" s="479" t="str">
        <f>'29'!F9</f>
        <v>MAKKI BAKERY</v>
      </c>
      <c r="G9" s="406">
        <f>'CUSTOMERS REPORT'!Y83</f>
        <v>0</v>
      </c>
      <c r="H9" s="504">
        <f>'CUSTOMERS REPORT'!Z83</f>
        <v>0</v>
      </c>
      <c r="I9" s="406">
        <f>'CUSTOMERS REPORT'!AA83</f>
        <v>0</v>
      </c>
      <c r="J9" s="498">
        <f>'CUSTOMERS REPORT'!AB83</f>
        <v>0</v>
      </c>
      <c r="K9" s="498">
        <f>'CUSTOMERS REPORT'!AC83</f>
        <v>0</v>
      </c>
      <c r="L9" s="509">
        <f>'CUSTOMERS REPORT'!AD83</f>
        <v>0</v>
      </c>
      <c r="M9" s="414">
        <f>'29'!M9+'30'!G9</f>
        <v>0</v>
      </c>
      <c r="N9" s="412">
        <f>'29'!N9+'30'!J9</f>
        <v>0</v>
      </c>
      <c r="P9" s="432"/>
      <c r="Q9" s="436"/>
      <c r="S9" s="400" t="str">
        <f>'29'!S9</f>
        <v>SUGAR</v>
      </c>
      <c r="T9" s="446">
        <f>'29'!X9</f>
        <v>-935</v>
      </c>
      <c r="U9" s="456"/>
      <c r="V9" s="451">
        <f t="shared" si="0"/>
        <v>-935</v>
      </c>
      <c r="W9" s="451"/>
      <c r="X9" s="447">
        <f t="shared" si="1"/>
        <v>-935</v>
      </c>
      <c r="Z9" s="375" t="str">
        <f>'29'!Z9</f>
        <v>SOHNI</v>
      </c>
      <c r="AA9" s="464">
        <f>'29'!AE9</f>
        <v>-110000</v>
      </c>
      <c r="AB9" s="460"/>
      <c r="AC9" s="462">
        <f t="shared" si="2"/>
        <v>-110000</v>
      </c>
      <c r="AD9" s="469"/>
      <c r="AE9" s="348">
        <f t="shared" si="3"/>
        <v>-110000</v>
      </c>
      <c r="AF9" s="563">
        <f>'29'!AF9+'30'!AB9</f>
        <v>370000</v>
      </c>
      <c r="AG9" s="234">
        <f>'29'!AG9+'30'!AD9</f>
        <v>480000</v>
      </c>
      <c r="AI9" s="393" t="s">
        <v>128</v>
      </c>
      <c r="AJ9" s="394">
        <f>B26</f>
        <v>0</v>
      </c>
    </row>
    <row r="10" spans="1:36" ht="27" customHeight="1" thickTop="1" thickBot="1">
      <c r="A10" s="717"/>
      <c r="B10" s="528"/>
      <c r="C10" s="350"/>
      <c r="D10" s="550"/>
      <c r="F10" s="479" t="str">
        <f>'29'!F10</f>
        <v>ABID HUSSAIN</v>
      </c>
      <c r="G10" s="406">
        <f>'CUSTOMERS REPORT'!Y121</f>
        <v>0</v>
      </c>
      <c r="H10" s="504">
        <f>'CUSTOMERS REPORT'!Z121</f>
        <v>0</v>
      </c>
      <c r="I10" s="406">
        <f>'CUSTOMERS REPORT'!AA121</f>
        <v>0</v>
      </c>
      <c r="J10" s="498">
        <f>'CUSTOMERS REPORT'!AB121</f>
        <v>0</v>
      </c>
      <c r="K10" s="498">
        <f>'CUSTOMERS REPORT'!AC121</f>
        <v>0</v>
      </c>
      <c r="L10" s="509">
        <f>'CUSTOMERS REPORT'!AD121</f>
        <v>0</v>
      </c>
      <c r="M10" s="414">
        <f>'29'!M10+'30'!G10</f>
        <v>0</v>
      </c>
      <c r="N10" s="412">
        <f>'29'!N10+'30'!J10</f>
        <v>0</v>
      </c>
      <c r="P10" s="433"/>
      <c r="Q10" s="437"/>
      <c r="S10" s="400" t="str">
        <f>'29'!S10</f>
        <v>GHEE</v>
      </c>
      <c r="T10" s="446">
        <f>'29'!X10</f>
        <v>-1</v>
      </c>
      <c r="U10" s="456"/>
      <c r="V10" s="451">
        <f t="shared" si="0"/>
        <v>-1</v>
      </c>
      <c r="W10" s="451"/>
      <c r="X10" s="447">
        <f t="shared" si="1"/>
        <v>-1</v>
      </c>
      <c r="Z10" s="375" t="str">
        <f>'29'!Z10</f>
        <v>HUSSAINI</v>
      </c>
      <c r="AA10" s="464">
        <f>'29'!AE10</f>
        <v>54900</v>
      </c>
      <c r="AB10" s="460"/>
      <c r="AC10" s="462">
        <f t="shared" si="2"/>
        <v>54900</v>
      </c>
      <c r="AD10" s="469"/>
      <c r="AE10" s="348">
        <f t="shared" si="3"/>
        <v>54900</v>
      </c>
      <c r="AF10" s="563">
        <f>'29'!AF10+'30'!AB10</f>
        <v>211000</v>
      </c>
      <c r="AG10" s="234">
        <f>'29'!AG10+'30'!AD10</f>
        <v>156100</v>
      </c>
      <c r="AI10" s="395" t="s">
        <v>74</v>
      </c>
      <c r="AJ10" s="396">
        <f>AJ8+AJ9</f>
        <v>342600</v>
      </c>
    </row>
    <row r="11" spans="1:36" ht="27" customHeight="1" thickTop="1">
      <c r="A11" s="718"/>
      <c r="B11" s="528"/>
      <c r="C11" s="350"/>
      <c r="D11" s="550"/>
      <c r="F11" s="479" t="str">
        <f>'29'!F11</f>
        <v>SHAHID 5 #</v>
      </c>
      <c r="G11" s="406">
        <f>'CUSTOMERS REPORT'!Y160</f>
        <v>0</v>
      </c>
      <c r="H11" s="504">
        <f>'CUSTOMERS REPORT'!Z160</f>
        <v>0</v>
      </c>
      <c r="I11" s="406">
        <f>'CUSTOMERS REPORT'!AA160</f>
        <v>0</v>
      </c>
      <c r="J11" s="498">
        <f>'CUSTOMERS REPORT'!AB160</f>
        <v>0</v>
      </c>
      <c r="K11" s="498">
        <f>'CUSTOMERS REPORT'!AC160</f>
        <v>0</v>
      </c>
      <c r="L11" s="509">
        <f>'CUSTOMERS REPORT'!AD160</f>
        <v>0</v>
      </c>
      <c r="M11" s="414">
        <f>'29'!M11+'30'!G11</f>
        <v>0</v>
      </c>
      <c r="N11" s="412">
        <f>'29'!N11+'30'!J11</f>
        <v>0</v>
      </c>
      <c r="P11" s="433"/>
      <c r="Q11" s="437"/>
      <c r="S11" s="400" t="str">
        <f>'29'!S11</f>
        <v>YEAST</v>
      </c>
      <c r="T11" s="446">
        <f>'29'!X11</f>
        <v>-126</v>
      </c>
      <c r="U11" s="456"/>
      <c r="V11" s="451">
        <f t="shared" ref="V11:V19" si="4">SUM(T11:U11)</f>
        <v>-126</v>
      </c>
      <c r="W11" s="451"/>
      <c r="X11" s="447">
        <f t="shared" ref="X11:X19" si="5">V11-W11</f>
        <v>-126</v>
      </c>
      <c r="Z11" s="375" t="str">
        <f>'29'!Z11</f>
        <v>IMRAN ALAM</v>
      </c>
      <c r="AA11" s="464">
        <f>'29'!AE11</f>
        <v>-439000</v>
      </c>
      <c r="AB11" s="460"/>
      <c r="AC11" s="462">
        <f t="shared" ref="AC11:AC18" si="6">AA11+AB11</f>
        <v>-439000</v>
      </c>
      <c r="AD11" s="469"/>
      <c r="AE11" s="348">
        <f t="shared" ref="AE11:AE18" si="7">AC11-AD11</f>
        <v>-439000</v>
      </c>
      <c r="AF11" s="563">
        <f>'29'!AF11+'30'!AB11</f>
        <v>0</v>
      </c>
      <c r="AG11" s="234">
        <f>'29'!AG11+'30'!AD11</f>
        <v>439000</v>
      </c>
      <c r="AI11" s="1031"/>
      <c r="AJ11" s="1032"/>
    </row>
    <row r="12" spans="1:36" ht="27" customHeight="1">
      <c r="A12" s="718"/>
      <c r="B12" s="528"/>
      <c r="C12" s="350"/>
      <c r="D12" s="550"/>
      <c r="F12" s="479" t="str">
        <f>'29'!F12</f>
        <v>ZULFIQAR</v>
      </c>
      <c r="G12" s="406">
        <f>'CUSTOMERS REPORT'!Y198</f>
        <v>0</v>
      </c>
      <c r="H12" s="504">
        <f>'CUSTOMERS REPORT'!Z198</f>
        <v>0</v>
      </c>
      <c r="I12" s="406">
        <f>'CUSTOMERS REPORT'!AA198</f>
        <v>0</v>
      </c>
      <c r="J12" s="498">
        <f>'CUSTOMERS REPORT'!AB198</f>
        <v>0</v>
      </c>
      <c r="K12" s="498">
        <f>'CUSTOMERS REPORT'!AC198</f>
        <v>0</v>
      </c>
      <c r="L12" s="509">
        <f>'CUSTOMERS REPORT'!AD198</f>
        <v>0</v>
      </c>
      <c r="M12" s="414">
        <f>'29'!M12+'30'!G12</f>
        <v>0</v>
      </c>
      <c r="N12" s="412">
        <f>'29'!N12+'30'!J12</f>
        <v>0</v>
      </c>
      <c r="P12" s="433"/>
      <c r="Q12" s="437"/>
      <c r="S12" s="400" t="str">
        <f>'29'!S12</f>
        <v xml:space="preserve">EKKA </v>
      </c>
      <c r="T12" s="446">
        <f>'29'!X12</f>
        <v>-62</v>
      </c>
      <c r="U12" s="456"/>
      <c r="V12" s="451">
        <f t="shared" si="4"/>
        <v>-62</v>
      </c>
      <c r="W12" s="451"/>
      <c r="X12" s="447">
        <f t="shared" si="5"/>
        <v>-62</v>
      </c>
      <c r="Z12" s="375" t="str">
        <f>'29'!Z12</f>
        <v>ZAHEER</v>
      </c>
      <c r="AA12" s="464">
        <f>'29'!AE12</f>
        <v>-23200</v>
      </c>
      <c r="AB12" s="460"/>
      <c r="AC12" s="462">
        <f t="shared" si="6"/>
        <v>-23200</v>
      </c>
      <c r="AD12" s="469"/>
      <c r="AE12" s="348">
        <f t="shared" si="7"/>
        <v>-23200</v>
      </c>
      <c r="AF12" s="563">
        <f>'29'!AF12+'30'!AB12</f>
        <v>0</v>
      </c>
      <c r="AG12" s="234">
        <f>'29'!AG12+'30'!AD12</f>
        <v>23200</v>
      </c>
      <c r="AI12" s="1031"/>
      <c r="AJ12" s="1032"/>
    </row>
    <row r="13" spans="1:36" ht="27" customHeight="1">
      <c r="A13" s="718"/>
      <c r="B13" s="528"/>
      <c r="C13" s="350"/>
      <c r="D13" s="550"/>
      <c r="F13" s="479" t="str">
        <f>'29'!F13</f>
        <v>QASIM ORANGI</v>
      </c>
      <c r="G13" s="406">
        <f>'CUSTOMERS REPORT'!Y238</f>
        <v>0</v>
      </c>
      <c r="H13" s="504">
        <f>'CUSTOMERS REPORT'!Z238</f>
        <v>0</v>
      </c>
      <c r="I13" s="406">
        <f>'CUSTOMERS REPORT'!AA238</f>
        <v>0</v>
      </c>
      <c r="J13" s="498">
        <f>'CUSTOMERS REPORT'!AB238</f>
        <v>0</v>
      </c>
      <c r="K13" s="498">
        <f>'CUSTOMERS REPORT'!AC238</f>
        <v>0</v>
      </c>
      <c r="L13" s="509">
        <f>'CUSTOMERS REPORT'!AD238</f>
        <v>0</v>
      </c>
      <c r="M13" s="414">
        <f>'29'!M13+'30'!G13</f>
        <v>0</v>
      </c>
      <c r="N13" s="412">
        <f>'29'!N13+'30'!J13</f>
        <v>0</v>
      </c>
      <c r="P13" s="433"/>
      <c r="Q13" s="437"/>
      <c r="S13" s="400" t="str">
        <f>'29'!S13</f>
        <v>VANILLA</v>
      </c>
      <c r="T13" s="446">
        <f>'29'!X13</f>
        <v>-9.5</v>
      </c>
      <c r="U13" s="456"/>
      <c r="V13" s="451">
        <f t="shared" si="4"/>
        <v>-9.5</v>
      </c>
      <c r="W13" s="451"/>
      <c r="X13" s="447">
        <f t="shared" si="5"/>
        <v>-9.5</v>
      </c>
      <c r="Z13" s="375" t="str">
        <f>'29'!Z13</f>
        <v>FAISAL</v>
      </c>
      <c r="AA13" s="464">
        <f>'29'!AE13</f>
        <v>-100000</v>
      </c>
      <c r="AB13" s="460"/>
      <c r="AC13" s="462">
        <f t="shared" si="6"/>
        <v>-100000</v>
      </c>
      <c r="AD13" s="469"/>
      <c r="AE13" s="348">
        <f t="shared" si="7"/>
        <v>-100000</v>
      </c>
      <c r="AF13" s="563">
        <f>'29'!AF13+'30'!AB13</f>
        <v>0</v>
      </c>
      <c r="AG13" s="234">
        <f>'29'!AG13+'30'!AD13</f>
        <v>100000</v>
      </c>
      <c r="AI13" s="1031"/>
      <c r="AJ13" s="1032"/>
    </row>
    <row r="14" spans="1:36" ht="27" customHeight="1">
      <c r="A14" s="718"/>
      <c r="B14" s="528"/>
      <c r="C14" s="350"/>
      <c r="D14" s="550"/>
      <c r="F14" s="479" t="str">
        <f>'29'!F14</f>
        <v>BADSHAH KHAN HYD</v>
      </c>
      <c r="G14" s="406">
        <f>'CUSTOMERS REPORT'!Y275</f>
        <v>0</v>
      </c>
      <c r="H14" s="504">
        <f>'CUSTOMERS REPORT'!Z275</f>
        <v>0</v>
      </c>
      <c r="I14" s="406">
        <f>'CUSTOMERS REPORT'!AA275</f>
        <v>0</v>
      </c>
      <c r="J14" s="498">
        <f>'CUSTOMERS REPORT'!AB275</f>
        <v>0</v>
      </c>
      <c r="K14" s="498">
        <f>'CUSTOMERS REPORT'!AC275</f>
        <v>0</v>
      </c>
      <c r="L14" s="509">
        <f>'CUSTOMERS REPORT'!AD275</f>
        <v>0</v>
      </c>
      <c r="M14" s="414">
        <f>'29'!M14+'30'!G14</f>
        <v>0</v>
      </c>
      <c r="N14" s="412">
        <f>'29'!N14+'30'!J14</f>
        <v>0</v>
      </c>
      <c r="P14" s="433"/>
      <c r="Q14" s="437"/>
      <c r="S14" s="400" t="str">
        <f>'29'!S14</f>
        <v>COLOUR</v>
      </c>
      <c r="T14" s="446">
        <f>'29'!X14</f>
        <v>17</v>
      </c>
      <c r="U14" s="456"/>
      <c r="V14" s="451">
        <f t="shared" si="4"/>
        <v>17</v>
      </c>
      <c r="W14" s="451"/>
      <c r="X14" s="447">
        <f t="shared" si="5"/>
        <v>17</v>
      </c>
      <c r="Z14" s="375" t="str">
        <f>'29'!Z14</f>
        <v>RANA EKKA</v>
      </c>
      <c r="AA14" s="464">
        <f>'29'!AE14</f>
        <v>0</v>
      </c>
      <c r="AB14" s="460"/>
      <c r="AC14" s="462">
        <f t="shared" si="6"/>
        <v>0</v>
      </c>
      <c r="AD14" s="469"/>
      <c r="AE14" s="348">
        <f t="shared" si="7"/>
        <v>0</v>
      </c>
      <c r="AF14" s="563">
        <f>'29'!AF14+'30'!AB14</f>
        <v>0</v>
      </c>
      <c r="AG14" s="234">
        <f>'29'!AG14+'30'!AD14</f>
        <v>0</v>
      </c>
      <c r="AI14" s="1031"/>
      <c r="AJ14" s="1032"/>
    </row>
    <row r="15" spans="1:36" ht="27" customHeight="1">
      <c r="A15" s="718"/>
      <c r="B15" s="528"/>
      <c r="C15" s="350"/>
      <c r="D15" s="550"/>
      <c r="F15" s="479" t="str">
        <f>'29'!F15</f>
        <v>SHAMOON</v>
      </c>
      <c r="G15" s="406">
        <f>'CUSTOMERS REPORT'!Y315</f>
        <v>0</v>
      </c>
      <c r="H15" s="504">
        <f>'CUSTOMERS REPORT'!Z315</f>
        <v>0</v>
      </c>
      <c r="I15" s="406">
        <f>'CUSTOMERS REPORT'!AA315</f>
        <v>0</v>
      </c>
      <c r="J15" s="498">
        <f>'CUSTOMERS REPORT'!AB315</f>
        <v>0</v>
      </c>
      <c r="K15" s="498">
        <f>'CUSTOMERS REPORT'!AC315</f>
        <v>0</v>
      </c>
      <c r="L15" s="509">
        <f>'CUSTOMERS REPORT'!AD315</f>
        <v>0</v>
      </c>
      <c r="M15" s="414">
        <f>'29'!M15+'30'!G15</f>
        <v>0</v>
      </c>
      <c r="N15" s="412">
        <f>'29'!N15+'30'!J15</f>
        <v>0</v>
      </c>
      <c r="P15" s="433"/>
      <c r="Q15" s="437"/>
      <c r="S15" s="400" t="str">
        <f>'29'!S15</f>
        <v>TILL</v>
      </c>
      <c r="T15" s="446">
        <f>'29'!X15</f>
        <v>-18</v>
      </c>
      <c r="U15" s="456"/>
      <c r="V15" s="451">
        <f t="shared" si="4"/>
        <v>-18</v>
      </c>
      <c r="W15" s="451"/>
      <c r="X15" s="447">
        <f t="shared" si="5"/>
        <v>-18</v>
      </c>
      <c r="Z15" s="375" t="str">
        <f>'29'!Z15</f>
        <v>sheeba</v>
      </c>
      <c r="AA15" s="464">
        <f>'29'!AE15</f>
        <v>-410250</v>
      </c>
      <c r="AB15" s="460"/>
      <c r="AC15" s="462">
        <f t="shared" si="6"/>
        <v>-410250</v>
      </c>
      <c r="AD15" s="469"/>
      <c r="AE15" s="348">
        <f t="shared" si="7"/>
        <v>-410250</v>
      </c>
      <c r="AF15" s="563">
        <f>'29'!AF15+'30'!AB15</f>
        <v>0</v>
      </c>
      <c r="AG15" s="234">
        <f>'29'!AG15+'30'!AD15</f>
        <v>410250</v>
      </c>
      <c r="AI15" s="1031"/>
      <c r="AJ15" s="1032"/>
    </row>
    <row r="16" spans="1:36" ht="27" customHeight="1">
      <c r="A16" s="718"/>
      <c r="B16" s="528"/>
      <c r="C16" s="350"/>
      <c r="D16" s="550"/>
      <c r="F16" s="479" t="str">
        <f>'29'!F16</f>
        <v>MATEEN</v>
      </c>
      <c r="G16" s="406">
        <f>'CUSTOMERS REPORT'!Y356</f>
        <v>0</v>
      </c>
      <c r="H16" s="504">
        <f>'CUSTOMERS REPORT'!Z356</f>
        <v>0</v>
      </c>
      <c r="I16" s="406">
        <f>'CUSTOMERS REPORT'!AA356</f>
        <v>0</v>
      </c>
      <c r="J16" s="498">
        <f>'CUSTOMERS REPORT'!AB356</f>
        <v>0</v>
      </c>
      <c r="K16" s="498">
        <f>'CUSTOMERS REPORT'!AC356</f>
        <v>0</v>
      </c>
      <c r="L16" s="509">
        <f>'CUSTOMERS REPORT'!AD356</f>
        <v>0</v>
      </c>
      <c r="M16" s="414">
        <f>'29'!M16+'30'!G16</f>
        <v>0</v>
      </c>
      <c r="N16" s="412">
        <f>'29'!N16+'30'!J16</f>
        <v>0</v>
      </c>
      <c r="P16" s="433"/>
      <c r="Q16" s="437"/>
      <c r="S16" s="400" t="str">
        <f>'29'!S16</f>
        <v>ILLAICHI</v>
      </c>
      <c r="T16" s="446">
        <f>'29'!X16</f>
        <v>-1</v>
      </c>
      <c r="U16" s="456"/>
      <c r="V16" s="451">
        <f t="shared" si="4"/>
        <v>-1</v>
      </c>
      <c r="W16" s="451"/>
      <c r="X16" s="447">
        <f t="shared" si="5"/>
        <v>-1</v>
      </c>
      <c r="Z16" s="375" t="str">
        <f>'29'!Z16</f>
        <v>COTTON</v>
      </c>
      <c r="AA16" s="464">
        <f>'29'!AE16</f>
        <v>0</v>
      </c>
      <c r="AB16" s="460"/>
      <c r="AC16" s="462">
        <f t="shared" si="6"/>
        <v>0</v>
      </c>
      <c r="AD16" s="469"/>
      <c r="AE16" s="348">
        <f t="shared" si="7"/>
        <v>0</v>
      </c>
      <c r="AF16" s="563">
        <f>'29'!AF16+'30'!AB16</f>
        <v>26400</v>
      </c>
      <c r="AG16" s="234">
        <f>'29'!AG16+'30'!AD16</f>
        <v>26400</v>
      </c>
      <c r="AI16" s="1031"/>
      <c r="AJ16" s="1032"/>
    </row>
    <row r="17" spans="1:36" ht="27" customHeight="1">
      <c r="A17" s="718"/>
      <c r="B17" s="528"/>
      <c r="C17" s="350"/>
      <c r="D17" s="550"/>
      <c r="F17" s="479" t="str">
        <f>'29'!F17</f>
        <v>AMJAD ORANGI</v>
      </c>
      <c r="G17" s="406">
        <f>'CUSTOMERS REPORT'!Y398</f>
        <v>0</v>
      </c>
      <c r="H17" s="504">
        <f>'CUSTOMERS REPORT'!Z398</f>
        <v>0</v>
      </c>
      <c r="I17" s="406">
        <f>'CUSTOMERS REPORT'!AA398</f>
        <v>0</v>
      </c>
      <c r="J17" s="498">
        <f>'CUSTOMERS REPORT'!AB398</f>
        <v>0</v>
      </c>
      <c r="K17" s="498">
        <f>'CUSTOMERS REPORT'!AC398</f>
        <v>0</v>
      </c>
      <c r="L17" s="509">
        <f>'CUSTOMERS REPORT'!AD398</f>
        <v>0</v>
      </c>
      <c r="M17" s="414">
        <f>'29'!M17+'30'!G17</f>
        <v>0</v>
      </c>
      <c r="N17" s="412">
        <f>'29'!N17+'30'!J17</f>
        <v>0</v>
      </c>
      <c r="P17" s="433"/>
      <c r="Q17" s="437"/>
      <c r="S17" s="400" t="str">
        <f>'29'!S17</f>
        <v>S-THELLI</v>
      </c>
      <c r="T17" s="446">
        <f>'29'!X17</f>
        <v>-339</v>
      </c>
      <c r="U17" s="456"/>
      <c r="V17" s="451">
        <f t="shared" si="4"/>
        <v>-339</v>
      </c>
      <c r="W17" s="815"/>
      <c r="X17" s="816">
        <f t="shared" si="5"/>
        <v>-339</v>
      </c>
      <c r="Z17" s="375" t="str">
        <f>'29'!Z17</f>
        <v>SHAHID UP</v>
      </c>
      <c r="AA17" s="464">
        <f>'29'!AE17</f>
        <v>0</v>
      </c>
      <c r="AB17" s="460"/>
      <c r="AC17" s="462">
        <f t="shared" si="6"/>
        <v>0</v>
      </c>
      <c r="AD17" s="469"/>
      <c r="AE17" s="348">
        <f t="shared" si="7"/>
        <v>0</v>
      </c>
      <c r="AF17" s="563">
        <f>'29'!AF17+'30'!AB17</f>
        <v>21250</v>
      </c>
      <c r="AG17" s="234">
        <f>'29'!AG17+'30'!AD17</f>
        <v>21250</v>
      </c>
      <c r="AI17" s="1031"/>
      <c r="AJ17" s="1032"/>
    </row>
    <row r="18" spans="1:36" ht="27" customHeight="1">
      <c r="A18" s="718"/>
      <c r="B18" s="528"/>
      <c r="C18" s="350"/>
      <c r="D18" s="550"/>
      <c r="F18" s="479" t="str">
        <f>'29'!F18</f>
        <v>HAFIZ DRIVER</v>
      </c>
      <c r="G18" s="406">
        <f>'CUSTOMERS REPORT'!Y437</f>
        <v>0</v>
      </c>
      <c r="H18" s="504">
        <f>'CUSTOMERS REPORT'!Z437</f>
        <v>0</v>
      </c>
      <c r="I18" s="406">
        <f>'CUSTOMERS REPORT'!AA437</f>
        <v>0</v>
      </c>
      <c r="J18" s="498">
        <f>'CUSTOMERS REPORT'!AB437</f>
        <v>0</v>
      </c>
      <c r="K18" s="498">
        <f>'CUSTOMERS REPORT'!AC437</f>
        <v>0</v>
      </c>
      <c r="L18" s="509">
        <f>'CUSTOMERS REPORT'!AD437</f>
        <v>0</v>
      </c>
      <c r="M18" s="414">
        <f>'29'!M18+'30'!G18</f>
        <v>0</v>
      </c>
      <c r="N18" s="412">
        <f>'29'!N18+'30'!J18</f>
        <v>0</v>
      </c>
      <c r="P18" s="433"/>
      <c r="Q18" s="437"/>
      <c r="S18" s="400" t="str">
        <f>'29'!S18</f>
        <v>P-THELLI</v>
      </c>
      <c r="T18" s="446">
        <f>'29'!X18</f>
        <v>-89</v>
      </c>
      <c r="U18" s="456"/>
      <c r="V18" s="451">
        <f t="shared" si="4"/>
        <v>-89</v>
      </c>
      <c r="W18" s="815"/>
      <c r="X18" s="816">
        <f t="shared" si="5"/>
        <v>-89</v>
      </c>
      <c r="Z18" s="375" t="str">
        <f>'29'!Z18</f>
        <v>SALT</v>
      </c>
      <c r="AA18" s="464">
        <f>'29'!AE18</f>
        <v>0</v>
      </c>
      <c r="AB18" s="460"/>
      <c r="AC18" s="462">
        <f t="shared" si="6"/>
        <v>0</v>
      </c>
      <c r="AD18" s="469"/>
      <c r="AE18" s="348">
        <f t="shared" si="7"/>
        <v>0</v>
      </c>
      <c r="AF18" s="563">
        <f>'29'!AF18+'30'!AB18</f>
        <v>1500</v>
      </c>
      <c r="AG18" s="234">
        <f>'29'!AG18+'30'!AD18</f>
        <v>1500</v>
      </c>
      <c r="AI18" s="1031"/>
      <c r="AJ18" s="1032"/>
    </row>
    <row r="19" spans="1:36" ht="27" customHeight="1" thickBot="1">
      <c r="A19" s="718"/>
      <c r="B19" s="529"/>
      <c r="C19" s="350"/>
      <c r="D19" s="550"/>
      <c r="F19" s="479" t="str">
        <f>'29'!F19</f>
        <v>GHULAM QUETTA</v>
      </c>
      <c r="G19" s="406">
        <f>'CUSTOMERS REPORT'!Y475</f>
        <v>0</v>
      </c>
      <c r="H19" s="504">
        <f>'CUSTOMERS REPORT'!Z475</f>
        <v>0</v>
      </c>
      <c r="I19" s="406">
        <f>'CUSTOMERS REPORT'!AA475</f>
        <v>0</v>
      </c>
      <c r="J19" s="498">
        <f>'CUSTOMERS REPORT'!AB475</f>
        <v>0</v>
      </c>
      <c r="K19" s="498">
        <f>'CUSTOMERS REPORT'!AC475</f>
        <v>0</v>
      </c>
      <c r="L19" s="509">
        <f>'CUSTOMERS REPORT'!AD475</f>
        <v>0</v>
      </c>
      <c r="M19" s="414">
        <f>'29'!M19+'30'!G19</f>
        <v>0</v>
      </c>
      <c r="N19" s="412">
        <f>'29'!N19+'30'!J19</f>
        <v>0</v>
      </c>
      <c r="P19" s="433"/>
      <c r="Q19" s="438"/>
      <c r="S19" s="400" t="str">
        <f>'29'!S19</f>
        <v>RUBBER</v>
      </c>
      <c r="T19" s="446">
        <f>'29'!X19</f>
        <v>-3</v>
      </c>
      <c r="U19" s="456"/>
      <c r="V19" s="451">
        <f t="shared" si="4"/>
        <v>-3</v>
      </c>
      <c r="W19" s="451"/>
      <c r="X19" s="447">
        <f t="shared" si="5"/>
        <v>-3</v>
      </c>
      <c r="Z19" s="375" t="str">
        <f>'29'!Z19</f>
        <v>NAVEED</v>
      </c>
      <c r="AA19" s="464">
        <f>'29'!AE19</f>
        <v>0</v>
      </c>
      <c r="AB19" s="460"/>
      <c r="AC19" s="462">
        <f t="shared" si="2"/>
        <v>0</v>
      </c>
      <c r="AD19" s="469"/>
      <c r="AE19" s="348">
        <f t="shared" si="3"/>
        <v>0</v>
      </c>
      <c r="AF19" s="563">
        <f>'29'!AF19+'30'!AB19</f>
        <v>0</v>
      </c>
      <c r="AG19" s="234">
        <f>'29'!AG19+'30'!AD19</f>
        <v>0</v>
      </c>
      <c r="AH19" s="616">
        <f>SUM(AH9-AH10)</f>
        <v>0</v>
      </c>
    </row>
    <row r="20" spans="1:36" ht="27" customHeight="1" thickTop="1" thickBot="1">
      <c r="A20" s="719"/>
      <c r="B20" s="529"/>
      <c r="C20" s="350"/>
      <c r="D20" s="550"/>
      <c r="F20" s="479" t="str">
        <f>'29'!F20</f>
        <v>HUSSAN GWADAR</v>
      </c>
      <c r="G20" s="406">
        <f>'CUSTOMERS REPORT'!Y511</f>
        <v>0</v>
      </c>
      <c r="H20" s="504">
        <f>'CUSTOMERS REPORT'!Z511</f>
        <v>0</v>
      </c>
      <c r="I20" s="406">
        <f>'CUSTOMERS REPORT'!AA511</f>
        <v>0</v>
      </c>
      <c r="J20" s="498">
        <f>'CUSTOMERS REPORT'!AB511</f>
        <v>0</v>
      </c>
      <c r="K20" s="498">
        <f>'CUSTOMERS REPORT'!AC511</f>
        <v>0</v>
      </c>
      <c r="L20" s="509">
        <f>'CUSTOMERS REPORT'!AD511</f>
        <v>0</v>
      </c>
      <c r="M20" s="414">
        <f>'29'!M20+'30'!G20</f>
        <v>0</v>
      </c>
      <c r="N20" s="412">
        <f>'29'!N20+'30'!J20</f>
        <v>0</v>
      </c>
      <c r="P20" s="433"/>
      <c r="Q20" s="437"/>
      <c r="S20" s="400" t="str">
        <f>'29'!S20</f>
        <v>SALT</v>
      </c>
      <c r="T20" s="446">
        <f>'29'!X20</f>
        <v>70</v>
      </c>
      <c r="U20" s="456"/>
      <c r="V20" s="451">
        <f t="shared" si="0"/>
        <v>70</v>
      </c>
      <c r="W20" s="815"/>
      <c r="X20" s="816">
        <f t="shared" si="1"/>
        <v>70</v>
      </c>
      <c r="Z20" s="375" t="str">
        <f>'29'!Z20</f>
        <v>YOUSUF BHAI</v>
      </c>
      <c r="AA20" s="464">
        <f>'29'!AE20</f>
        <v>-107300</v>
      </c>
      <c r="AB20" s="460"/>
      <c r="AC20" s="462">
        <f t="shared" si="2"/>
        <v>-107300</v>
      </c>
      <c r="AD20" s="469"/>
      <c r="AE20" s="348">
        <f t="shared" si="3"/>
        <v>-107300</v>
      </c>
      <c r="AF20" s="563">
        <f>'29'!AF20+'30'!AB20</f>
        <v>447100</v>
      </c>
      <c r="AG20" s="234">
        <f>'29'!AG20+'30'!AD20</f>
        <v>554400</v>
      </c>
      <c r="AI20" s="1487" t="s">
        <v>132</v>
      </c>
      <c r="AJ20" s="1488"/>
    </row>
    <row r="21" spans="1:36" ht="27" customHeight="1" thickTop="1" thickBot="1">
      <c r="A21" s="720"/>
      <c r="B21" s="530"/>
      <c r="C21" s="531"/>
      <c r="D21" s="553"/>
      <c r="F21" s="479" t="str">
        <f>'29'!F21</f>
        <v>AQASH S KOT</v>
      </c>
      <c r="G21" s="406">
        <f>'CUSTOMERS REPORT'!Y548</f>
        <v>0</v>
      </c>
      <c r="H21" s="504">
        <f>'CUSTOMERS REPORT'!Z548</f>
        <v>0</v>
      </c>
      <c r="I21" s="406">
        <f>'CUSTOMERS REPORT'!AA548</f>
        <v>0</v>
      </c>
      <c r="J21" s="498">
        <f>'CUSTOMERS REPORT'!AB548</f>
        <v>0</v>
      </c>
      <c r="K21" s="498">
        <f>'CUSTOMERS REPORT'!AC548</f>
        <v>0</v>
      </c>
      <c r="L21" s="509">
        <f>'CUSTOMERS REPORT'!AD548</f>
        <v>0</v>
      </c>
      <c r="M21" s="414">
        <f>'29'!M21+'30'!G21</f>
        <v>0</v>
      </c>
      <c r="N21" s="412">
        <f>'29'!N21+'30'!J21</f>
        <v>0</v>
      </c>
      <c r="P21" s="433"/>
      <c r="Q21" s="435"/>
      <c r="S21" s="400" t="str">
        <f>'29'!S21</f>
        <v>TAPE</v>
      </c>
      <c r="T21" s="446">
        <f>'29'!X21</f>
        <v>-20</v>
      </c>
      <c r="U21" s="456"/>
      <c r="V21" s="451">
        <f t="shared" si="0"/>
        <v>-20</v>
      </c>
      <c r="W21" s="815"/>
      <c r="X21" s="816">
        <f t="shared" si="1"/>
        <v>-20</v>
      </c>
      <c r="Z21" s="375" t="str">
        <f>'29'!Z21</f>
        <v>SULEMAN  PRINT</v>
      </c>
      <c r="AA21" s="464">
        <f>'29'!AE21</f>
        <v>-312000</v>
      </c>
      <c r="AB21" s="460"/>
      <c r="AC21" s="462">
        <f t="shared" si="2"/>
        <v>-312000</v>
      </c>
      <c r="AD21" s="469"/>
      <c r="AE21" s="348">
        <f t="shared" si="3"/>
        <v>-312000</v>
      </c>
      <c r="AF21" s="563">
        <f>'29'!AF21+'30'!AB21</f>
        <v>0</v>
      </c>
      <c r="AG21" s="234">
        <f>'29'!AG21+'30'!AD21</f>
        <v>312000</v>
      </c>
      <c r="AI21" s="391" t="s">
        <v>126</v>
      </c>
      <c r="AJ21" s="392">
        <f>'29'!AJ23</f>
        <v>257400</v>
      </c>
    </row>
    <row r="22" spans="1:36" ht="27" customHeight="1" thickTop="1" thickBot="1">
      <c r="A22" s="486" t="s">
        <v>74</v>
      </c>
      <c r="B22" s="533">
        <f>SUM(B8:B21)</f>
        <v>0</v>
      </c>
      <c r="C22" s="534">
        <f>'29'!D22</f>
        <v>3569860</v>
      </c>
      <c r="D22" s="535">
        <f t="shared" ref="D22" si="8">B22+C22</f>
        <v>3569860</v>
      </c>
      <c r="F22" s="479" t="str">
        <f>'29'!F22</f>
        <v>SALEEM T JAM</v>
      </c>
      <c r="G22" s="406">
        <f>'CUSTOMERS REPORT'!Y586</f>
        <v>0</v>
      </c>
      <c r="H22" s="504">
        <f>'CUSTOMERS REPORT'!Z586</f>
        <v>0</v>
      </c>
      <c r="I22" s="406">
        <f>'CUSTOMERS REPORT'!AA586</f>
        <v>0</v>
      </c>
      <c r="J22" s="498">
        <f>'CUSTOMERS REPORT'!AB586</f>
        <v>0</v>
      </c>
      <c r="K22" s="498">
        <f>'CUSTOMERS REPORT'!AC586</f>
        <v>0</v>
      </c>
      <c r="L22" s="509">
        <f>'CUSTOMERS REPORT'!AD586</f>
        <v>0</v>
      </c>
      <c r="M22" s="414">
        <f>'29'!M22+'30'!G22</f>
        <v>0</v>
      </c>
      <c r="N22" s="412">
        <f>'29'!N22+'30'!J22</f>
        <v>0</v>
      </c>
      <c r="P22" s="433"/>
      <c r="Q22" s="438"/>
      <c r="S22" s="400" t="str">
        <f>'29'!S22</f>
        <v>COTTON</v>
      </c>
      <c r="T22" s="446">
        <f>'29'!X22</f>
        <v>35</v>
      </c>
      <c r="U22" s="456"/>
      <c r="V22" s="451">
        <f t="shared" si="0"/>
        <v>35</v>
      </c>
      <c r="W22" s="451"/>
      <c r="X22" s="447">
        <f t="shared" si="1"/>
        <v>35</v>
      </c>
      <c r="Z22" s="375" t="str">
        <f>'29'!Z22</f>
        <v>IRFAN VANILA</v>
      </c>
      <c r="AA22" s="464">
        <f>'29'!AE22</f>
        <v>-110000</v>
      </c>
      <c r="AB22" s="460"/>
      <c r="AC22" s="462">
        <f t="shared" si="2"/>
        <v>-110000</v>
      </c>
      <c r="AD22" s="469"/>
      <c r="AE22" s="348">
        <f t="shared" si="3"/>
        <v>-110000</v>
      </c>
      <c r="AF22" s="563">
        <f>'29'!AF22+'30'!AB22</f>
        <v>0</v>
      </c>
      <c r="AG22" s="234">
        <f>'29'!AG22+'30'!AD22</f>
        <v>110000</v>
      </c>
      <c r="AI22" s="393">
        <f>R56</f>
        <v>0</v>
      </c>
      <c r="AJ22" s="394">
        <f>R56*1800</f>
        <v>0</v>
      </c>
    </row>
    <row r="23" spans="1:36" ht="27" customHeight="1" thickTop="1" thickBot="1">
      <c r="A23" s="715" t="str">
        <f>'29'!A23</f>
        <v>OFFICE FOOD</v>
      </c>
      <c r="B23" s="462"/>
      <c r="C23" s="536">
        <f>'29'!D23</f>
        <v>4090</v>
      </c>
      <c r="D23" s="537">
        <f t="shared" ref="D23:D48" si="9">B23+C23</f>
        <v>4090</v>
      </c>
      <c r="F23" s="479" t="str">
        <f>'29'!F23</f>
        <v>JAMSHAD BADEEN</v>
      </c>
      <c r="G23" s="406">
        <f>'CUSTOMERS REPORT'!Y622</f>
        <v>0</v>
      </c>
      <c r="H23" s="504">
        <f>'CUSTOMERS REPORT'!Z622</f>
        <v>0</v>
      </c>
      <c r="I23" s="406">
        <f>'CUSTOMERS REPORT'!AA622</f>
        <v>0</v>
      </c>
      <c r="J23" s="498">
        <f>'CUSTOMERS REPORT'!AB622</f>
        <v>0</v>
      </c>
      <c r="K23" s="498">
        <f>'CUSTOMERS REPORT'!AC622</f>
        <v>0</v>
      </c>
      <c r="L23" s="509">
        <f>'CUSTOMERS REPORT'!AD622</f>
        <v>0</v>
      </c>
      <c r="M23" s="414">
        <f>'29'!M23+'30'!G23</f>
        <v>0</v>
      </c>
      <c r="N23" s="412">
        <f>'29'!N23+'30'!J23</f>
        <v>0</v>
      </c>
      <c r="P23" s="190" t="s">
        <v>48</v>
      </c>
      <c r="Q23" s="439">
        <f>SUM(Q8:Q22)</f>
        <v>0</v>
      </c>
      <c r="S23" s="400" t="str">
        <f>'29'!S23</f>
        <v>WHITE 6</v>
      </c>
      <c r="T23" s="446">
        <f>'29'!X23</f>
        <v>0</v>
      </c>
      <c r="U23" s="456"/>
      <c r="V23" s="451">
        <f t="shared" si="0"/>
        <v>0</v>
      </c>
      <c r="W23" s="906"/>
      <c r="X23" s="1089">
        <f t="shared" si="1"/>
        <v>0</v>
      </c>
      <c r="Z23" s="375" t="str">
        <f>'29'!Z23</f>
        <v>IRANI GHEE</v>
      </c>
      <c r="AA23" s="464">
        <f>'29'!AE23</f>
        <v>0</v>
      </c>
      <c r="AB23" s="460"/>
      <c r="AC23" s="462">
        <f t="shared" si="2"/>
        <v>0</v>
      </c>
      <c r="AD23" s="469"/>
      <c r="AE23" s="348">
        <f t="shared" si="3"/>
        <v>0</v>
      </c>
      <c r="AF23" s="563">
        <f>'29'!AF23+'30'!AB23</f>
        <v>77200</v>
      </c>
      <c r="AG23" s="234">
        <f>'29'!AG23+'30'!AD23</f>
        <v>77200</v>
      </c>
      <c r="AI23" s="395" t="s">
        <v>74</v>
      </c>
      <c r="AJ23" s="396">
        <f>AJ21+AJ22</f>
        <v>257400</v>
      </c>
    </row>
    <row r="24" spans="1:36" ht="27" customHeight="1" thickTop="1" thickBot="1">
      <c r="A24" s="715" t="str">
        <f>'29'!A24</f>
        <v>LABOUR FOOD EXP</v>
      </c>
      <c r="B24" s="234"/>
      <c r="C24" s="348">
        <f>'29'!D24</f>
        <v>33000</v>
      </c>
      <c r="D24" s="234">
        <f t="shared" si="9"/>
        <v>33000</v>
      </c>
      <c r="F24" s="479" t="str">
        <f>'29'!F24</f>
        <v>SARFAZ MP</v>
      </c>
      <c r="G24" s="406">
        <f>'CUSTOMERS REPORT'!Y660</f>
        <v>0</v>
      </c>
      <c r="H24" s="504">
        <f>'CUSTOMERS REPORT'!Z660</f>
        <v>0</v>
      </c>
      <c r="I24" s="406">
        <f>'CUSTOMERS REPORT'!AA660</f>
        <v>0</v>
      </c>
      <c r="J24" s="498">
        <f>'CUSTOMERS REPORT'!AB660</f>
        <v>0</v>
      </c>
      <c r="K24" s="498">
        <f>'CUSTOMERS REPORT'!AC660</f>
        <v>0</v>
      </c>
      <c r="L24" s="509">
        <f>'CUSTOMERS REPORT'!AD660</f>
        <v>0</v>
      </c>
      <c r="M24" s="414">
        <f>'29'!M24+'30'!G24</f>
        <v>0</v>
      </c>
      <c r="N24" s="412">
        <f>'29'!N24+'30'!J24</f>
        <v>0</v>
      </c>
      <c r="P24" s="1514" t="s">
        <v>137</v>
      </c>
      <c r="Q24" s="1514"/>
      <c r="R24" t="s">
        <v>1</v>
      </c>
      <c r="S24" s="400" t="str">
        <f>'29'!S24</f>
        <v>ORANGE</v>
      </c>
      <c r="T24" s="446">
        <f>'29'!X24</f>
        <v>-254</v>
      </c>
      <c r="U24" s="456"/>
      <c r="V24" s="451">
        <f t="shared" si="0"/>
        <v>-254</v>
      </c>
      <c r="W24" s="451"/>
      <c r="X24" s="1089">
        <f t="shared" si="1"/>
        <v>-254</v>
      </c>
      <c r="Z24" s="375">
        <f>'29'!Z24</f>
        <v>0</v>
      </c>
      <c r="AA24" s="464">
        <f>'29'!AE24</f>
        <v>0</v>
      </c>
      <c r="AB24" s="460"/>
      <c r="AC24" s="462">
        <f t="shared" si="2"/>
        <v>0</v>
      </c>
      <c r="AD24" s="469"/>
      <c r="AE24" s="348">
        <f t="shared" si="3"/>
        <v>0</v>
      </c>
      <c r="AF24" s="563">
        <f>'29'!AF24+'30'!AB24</f>
        <v>0</v>
      </c>
      <c r="AG24" s="234">
        <f>'29'!AG24+'30'!AD24</f>
        <v>0</v>
      </c>
    </row>
    <row r="25" spans="1:36" ht="27" customHeight="1" thickTop="1" thickBot="1">
      <c r="A25" s="715" t="str">
        <f>'29'!A25</f>
        <v>OFFICE SALARY</v>
      </c>
      <c r="B25" s="234">
        <f>ATTENDANCE!BI28</f>
        <v>0</v>
      </c>
      <c r="C25" s="348">
        <f>'29'!D25</f>
        <v>171500</v>
      </c>
      <c r="D25" s="234">
        <f t="shared" si="9"/>
        <v>171500</v>
      </c>
      <c r="F25" s="479" t="str">
        <f>'29'!F25</f>
        <v>AFZAL MATLI</v>
      </c>
      <c r="G25" s="406">
        <f>'CUSTOMERS REPORT'!Y698</f>
        <v>0</v>
      </c>
      <c r="H25" s="504">
        <f>'CUSTOMERS REPORT'!Z698</f>
        <v>0</v>
      </c>
      <c r="I25" s="406">
        <f>'CUSTOMERS REPORT'!AA698</f>
        <v>0</v>
      </c>
      <c r="J25" s="498">
        <f>'CUSTOMERS REPORT'!AB698</f>
        <v>0</v>
      </c>
      <c r="K25" s="498">
        <f>'CUSTOMERS REPORT'!AC698</f>
        <v>0</v>
      </c>
      <c r="L25" s="509">
        <f>'CUSTOMERS REPORT'!AD698</f>
        <v>0</v>
      </c>
      <c r="M25" s="414">
        <f>'29'!M25+'30'!G25</f>
        <v>0</v>
      </c>
      <c r="N25" s="412">
        <f>'29'!N25+'30'!J25</f>
        <v>0</v>
      </c>
      <c r="P25" s="434"/>
      <c r="Q25" s="440"/>
      <c r="S25" s="400" t="str">
        <f>'29'!S25</f>
        <v>MAKKI 7</v>
      </c>
      <c r="T25" s="446">
        <f>'29'!X25</f>
        <v>-400</v>
      </c>
      <c r="U25" s="456"/>
      <c r="V25" s="451">
        <f t="shared" si="0"/>
        <v>-400</v>
      </c>
      <c r="W25" s="815"/>
      <c r="X25" s="1089">
        <f t="shared" si="1"/>
        <v>-400</v>
      </c>
      <c r="Z25" s="375">
        <f>'29'!Z25</f>
        <v>0</v>
      </c>
      <c r="AA25" s="464">
        <f>'29'!AE25</f>
        <v>0</v>
      </c>
      <c r="AB25" s="460"/>
      <c r="AC25" s="462">
        <f t="shared" si="2"/>
        <v>0</v>
      </c>
      <c r="AD25" s="469"/>
      <c r="AE25" s="348">
        <f t="shared" si="3"/>
        <v>0</v>
      </c>
      <c r="AF25" s="563">
        <f>'29'!AF25+'30'!AB25</f>
        <v>0</v>
      </c>
      <c r="AG25" s="234">
        <f>'29'!AG25+'30'!AD25</f>
        <v>0</v>
      </c>
      <c r="AI25" s="397" t="s">
        <v>59</v>
      </c>
      <c r="AJ25" s="398">
        <f>AJ23-AJ10</f>
        <v>-85200</v>
      </c>
    </row>
    <row r="26" spans="1:36" ht="27" customHeight="1" thickTop="1">
      <c r="A26" s="715" t="str">
        <f>'29'!A26</f>
        <v>LABOUR SALARY</v>
      </c>
      <c r="B26" s="234">
        <f>SUM('SALERY SHEET'!BJ97:BK97)</f>
        <v>0</v>
      </c>
      <c r="C26" s="348">
        <f>'29'!D26</f>
        <v>342600</v>
      </c>
      <c r="D26" s="234">
        <f t="shared" si="9"/>
        <v>342600</v>
      </c>
      <c r="F26" s="479" t="str">
        <f>'29'!F26</f>
        <v xml:space="preserve">ABDUL RASHEED </v>
      </c>
      <c r="G26" s="406">
        <f>'CUSTOMERS REPORT'!Y736</f>
        <v>0</v>
      </c>
      <c r="H26" s="504">
        <f>'CUSTOMERS REPORT'!Z736</f>
        <v>0</v>
      </c>
      <c r="I26" s="406">
        <f>'CUSTOMERS REPORT'!AA736</f>
        <v>0</v>
      </c>
      <c r="J26" s="498">
        <f>'CUSTOMERS REPORT'!AB736</f>
        <v>0</v>
      </c>
      <c r="K26" s="498">
        <f>'CUSTOMERS REPORT'!AC736</f>
        <v>0</v>
      </c>
      <c r="L26" s="509">
        <f>'CUSTOMERS REPORT'!AD736</f>
        <v>0</v>
      </c>
      <c r="M26" s="414">
        <f>'29'!M26+'30'!G26</f>
        <v>0</v>
      </c>
      <c r="N26" s="412">
        <f>'29'!N26+'30'!J26</f>
        <v>0</v>
      </c>
      <c r="P26" s="433"/>
      <c r="Q26" s="438"/>
      <c r="R26" t="s">
        <v>1</v>
      </c>
      <c r="S26" s="400" t="str">
        <f>'29'!S26</f>
        <v>BLUE 125 GM</v>
      </c>
      <c r="T26" s="446">
        <f>'29'!X26</f>
        <v>0</v>
      </c>
      <c r="U26" s="456"/>
      <c r="V26" s="451">
        <f t="shared" si="0"/>
        <v>0</v>
      </c>
      <c r="W26" s="907"/>
      <c r="X26" s="1089">
        <f t="shared" si="1"/>
        <v>0</v>
      </c>
      <c r="Z26" s="375">
        <f>'29'!Z26</f>
        <v>0</v>
      </c>
      <c r="AA26" s="464">
        <f>'29'!AE26</f>
        <v>0</v>
      </c>
      <c r="AB26" s="460"/>
      <c r="AC26" s="462">
        <f t="shared" si="2"/>
        <v>0</v>
      </c>
      <c r="AD26" s="469"/>
      <c r="AE26" s="348">
        <f t="shared" si="3"/>
        <v>0</v>
      </c>
      <c r="AF26" s="563">
        <f>'29'!AF26+'30'!AB26</f>
        <v>0</v>
      </c>
      <c r="AG26" s="234">
        <f>'29'!AG26+'30'!AD26</f>
        <v>0</v>
      </c>
    </row>
    <row r="27" spans="1:36" ht="27" customHeight="1">
      <c r="A27" s="715" t="str">
        <f>'29'!A27</f>
        <v>SHAHZORE</v>
      </c>
      <c r="B27" s="234"/>
      <c r="C27" s="348">
        <f>'29'!D27</f>
        <v>15250</v>
      </c>
      <c r="D27" s="234">
        <f t="shared" si="9"/>
        <v>15250</v>
      </c>
      <c r="F27" s="479" t="str">
        <f>'29'!F27</f>
        <v>SALEEM ORANGI</v>
      </c>
      <c r="G27" s="406">
        <f>'CUSTOMERS REPORT'!Y774</f>
        <v>0</v>
      </c>
      <c r="H27" s="504">
        <f>'CUSTOMERS REPORT'!Z774</f>
        <v>0</v>
      </c>
      <c r="I27" s="406">
        <f>'CUSTOMERS REPORT'!AA774</f>
        <v>0</v>
      </c>
      <c r="J27" s="498">
        <f>'CUSTOMERS REPORT'!AB774</f>
        <v>0</v>
      </c>
      <c r="K27" s="498">
        <f>'CUSTOMERS REPORT'!AC774</f>
        <v>0</v>
      </c>
      <c r="L27" s="509">
        <f>'CUSTOMERS REPORT'!AD774</f>
        <v>0</v>
      </c>
      <c r="M27" s="414">
        <f>'29'!M27+'30'!G27</f>
        <v>0</v>
      </c>
      <c r="N27" s="412">
        <f>'29'!N27+'30'!J27</f>
        <v>0</v>
      </c>
      <c r="P27" s="433"/>
      <c r="Q27" s="435"/>
      <c r="R27" t="s">
        <v>1</v>
      </c>
      <c r="S27" s="400" t="str">
        <f>'29'!S27</f>
        <v>MAKKI 5</v>
      </c>
      <c r="T27" s="446">
        <f>'29'!X27</f>
        <v>0</v>
      </c>
      <c r="U27" s="456"/>
      <c r="V27" s="451">
        <f t="shared" si="0"/>
        <v>0</v>
      </c>
      <c r="W27" s="907"/>
      <c r="X27" s="1089">
        <f t="shared" si="1"/>
        <v>0</v>
      </c>
      <c r="Z27" s="375">
        <f>'29'!Z27</f>
        <v>0</v>
      </c>
      <c r="AA27" s="464">
        <f>'29'!AE27</f>
        <v>0</v>
      </c>
      <c r="AB27" s="460"/>
      <c r="AC27" s="462">
        <f t="shared" si="2"/>
        <v>0</v>
      </c>
      <c r="AD27" s="469"/>
      <c r="AE27" s="348">
        <f t="shared" si="3"/>
        <v>0</v>
      </c>
      <c r="AF27" s="563">
        <f>'29'!AF27+'30'!AB27</f>
        <v>0</v>
      </c>
      <c r="AG27" s="234">
        <f>'29'!AG27+'30'!AD27</f>
        <v>0</v>
      </c>
    </row>
    <row r="28" spans="1:36" ht="27" customHeight="1">
      <c r="A28" s="715" t="str">
        <f>'29'!A28</f>
        <v>GENERATOR</v>
      </c>
      <c r="B28" s="234"/>
      <c r="C28" s="348">
        <f>'29'!D28</f>
        <v>44550</v>
      </c>
      <c r="D28" s="234">
        <f t="shared" si="9"/>
        <v>44550</v>
      </c>
      <c r="F28" s="479" t="str">
        <f>'29'!F28</f>
        <v>AYAZ OUSTA</v>
      </c>
      <c r="G28" s="406">
        <f>'CUSTOMERS REPORT'!Y812</f>
        <v>0</v>
      </c>
      <c r="H28" s="504">
        <f>'CUSTOMERS REPORT'!Z812</f>
        <v>0</v>
      </c>
      <c r="I28" s="406">
        <f>'CUSTOMERS REPORT'!AA812</f>
        <v>0</v>
      </c>
      <c r="J28" s="498">
        <f>'CUSTOMERS REPORT'!AB812</f>
        <v>0</v>
      </c>
      <c r="K28" s="498">
        <f>'CUSTOMERS REPORT'!AC812</f>
        <v>0</v>
      </c>
      <c r="L28" s="509">
        <f>'CUSTOMERS REPORT'!AD812</f>
        <v>0</v>
      </c>
      <c r="M28" s="414">
        <f>'29'!M28+'30'!G28</f>
        <v>0</v>
      </c>
      <c r="N28" s="412">
        <f>'29'!N28+'30'!J28</f>
        <v>0</v>
      </c>
      <c r="P28" s="433"/>
      <c r="Q28" s="438"/>
      <c r="S28" s="400" t="str">
        <f>'29'!S28</f>
        <v>MAKKI 2 PES</v>
      </c>
      <c r="T28" s="446">
        <f>'29'!X28</f>
        <v>-253</v>
      </c>
      <c r="U28" s="456"/>
      <c r="V28" s="451">
        <f t="shared" si="0"/>
        <v>-253</v>
      </c>
      <c r="W28" s="451"/>
      <c r="X28" s="1089">
        <f t="shared" si="1"/>
        <v>-253</v>
      </c>
      <c r="Z28" s="375">
        <f>'29'!Z28</f>
        <v>0</v>
      </c>
      <c r="AA28" s="464">
        <f>'29'!AE28</f>
        <v>0</v>
      </c>
      <c r="AB28" s="460"/>
      <c r="AC28" s="462">
        <f t="shared" si="2"/>
        <v>0</v>
      </c>
      <c r="AD28" s="469"/>
      <c r="AE28" s="348">
        <f t="shared" si="3"/>
        <v>0</v>
      </c>
      <c r="AF28" s="563">
        <f>'29'!AF28+'30'!AB28</f>
        <v>0</v>
      </c>
      <c r="AG28" s="234">
        <f>'29'!AG28+'30'!AD28</f>
        <v>0</v>
      </c>
    </row>
    <row r="29" spans="1:36" ht="27" customHeight="1">
      <c r="A29" s="715" t="str">
        <f>'29'!A29</f>
        <v>PATROL FAW</v>
      </c>
      <c r="B29" s="234"/>
      <c r="C29" s="348">
        <f>'29'!D29</f>
        <v>34270</v>
      </c>
      <c r="D29" s="234">
        <f t="shared" si="9"/>
        <v>34270</v>
      </c>
      <c r="F29" s="479" t="str">
        <f>'29'!F29</f>
        <v>AZHAR BADEEN</v>
      </c>
      <c r="G29" s="406">
        <f>'CUSTOMERS REPORT'!Y850</f>
        <v>0</v>
      </c>
      <c r="H29" s="504">
        <f>'CUSTOMERS REPORT'!Z850</f>
        <v>0</v>
      </c>
      <c r="I29" s="406">
        <f>'CUSTOMERS REPORT'!AA850</f>
        <v>0</v>
      </c>
      <c r="J29" s="498">
        <f>'CUSTOMERS REPORT'!AB850</f>
        <v>0</v>
      </c>
      <c r="K29" s="498">
        <f>'CUSTOMERS REPORT'!AC850</f>
        <v>0</v>
      </c>
      <c r="L29" s="509">
        <f>'CUSTOMERS REPORT'!AD850</f>
        <v>0</v>
      </c>
      <c r="M29" s="414">
        <f>'29'!M29+'30'!G29</f>
        <v>0</v>
      </c>
      <c r="N29" s="412">
        <f>'29'!N29+'30'!J29</f>
        <v>0</v>
      </c>
      <c r="P29" s="433"/>
      <c r="Q29" s="441"/>
      <c r="S29" s="400" t="str">
        <f>'29'!S29</f>
        <v xml:space="preserve">PRIME </v>
      </c>
      <c r="T29" s="446">
        <f>'29'!X29</f>
        <v>0</v>
      </c>
      <c r="U29" s="456"/>
      <c r="V29" s="451">
        <f t="shared" si="0"/>
        <v>0</v>
      </c>
      <c r="W29" s="451"/>
      <c r="X29" s="1089">
        <f t="shared" si="1"/>
        <v>0</v>
      </c>
      <c r="Z29" s="375">
        <f>'29'!Z29</f>
        <v>0</v>
      </c>
      <c r="AA29" s="464">
        <f>'29'!AE29</f>
        <v>0</v>
      </c>
      <c r="AB29" s="460"/>
      <c r="AC29" s="462">
        <f t="shared" si="2"/>
        <v>0</v>
      </c>
      <c r="AD29" s="469"/>
      <c r="AE29" s="348">
        <f t="shared" si="3"/>
        <v>0</v>
      </c>
      <c r="AF29" s="563">
        <f>'29'!AF29+'30'!AB29</f>
        <v>0</v>
      </c>
      <c r="AG29" s="234">
        <f>'29'!AG29+'30'!AD29</f>
        <v>0</v>
      </c>
    </row>
    <row r="30" spans="1:36" ht="27" customHeight="1">
      <c r="A30" s="715" t="str">
        <f>'29'!A30</f>
        <v>FOTON DIESEL</v>
      </c>
      <c r="B30" s="234"/>
      <c r="C30" s="348">
        <f>'29'!D30</f>
        <v>30300</v>
      </c>
      <c r="D30" s="234">
        <f t="shared" si="9"/>
        <v>30300</v>
      </c>
      <c r="F30" s="479" t="str">
        <f>'29'!F30</f>
        <v>FAISAL HUB</v>
      </c>
      <c r="G30" s="406">
        <f>'CUSTOMERS REPORT'!Y888</f>
        <v>0</v>
      </c>
      <c r="H30" s="504">
        <f>'CUSTOMERS REPORT'!Z888</f>
        <v>0</v>
      </c>
      <c r="I30" s="406">
        <f>'CUSTOMERS REPORT'!AA888</f>
        <v>0</v>
      </c>
      <c r="J30" s="498">
        <f>'CUSTOMERS REPORT'!AB888</f>
        <v>0</v>
      </c>
      <c r="K30" s="498">
        <f>'CUSTOMERS REPORT'!AC888</f>
        <v>0</v>
      </c>
      <c r="L30" s="509">
        <f>'CUSTOMERS REPORT'!AD888</f>
        <v>0</v>
      </c>
      <c r="M30" s="414">
        <f>'29'!M30+'30'!G30</f>
        <v>0</v>
      </c>
      <c r="N30" s="412">
        <f>'29'!N30+'30'!J30</f>
        <v>0</v>
      </c>
      <c r="P30" s="433"/>
      <c r="Q30" s="442"/>
      <c r="S30" s="400" t="str">
        <f>'29'!S30</f>
        <v>PRIMR 15</v>
      </c>
      <c r="T30" s="446">
        <f>'29'!X30</f>
        <v>0</v>
      </c>
      <c r="U30" s="456"/>
      <c r="V30" s="451">
        <f t="shared" si="0"/>
        <v>0</v>
      </c>
      <c r="W30" s="451"/>
      <c r="X30" s="1089">
        <f t="shared" si="1"/>
        <v>0</v>
      </c>
      <c r="Z30" s="375">
        <f>'29'!Z30</f>
        <v>0</v>
      </c>
      <c r="AA30" s="464">
        <f>'29'!AE30</f>
        <v>0</v>
      </c>
      <c r="AB30" s="460"/>
      <c r="AC30" s="462">
        <f t="shared" si="2"/>
        <v>0</v>
      </c>
      <c r="AD30" s="469"/>
      <c r="AE30" s="348">
        <f t="shared" si="3"/>
        <v>0</v>
      </c>
      <c r="AF30" s="563">
        <f>'29'!AF30+'30'!AB30</f>
        <v>0</v>
      </c>
      <c r="AG30" s="234">
        <f>'29'!AG30+'30'!AD30</f>
        <v>0</v>
      </c>
    </row>
    <row r="31" spans="1:36" ht="27" customHeight="1" thickBot="1">
      <c r="A31" s="725" t="str">
        <f>'29'!A31</f>
        <v>UTILITY BILLS</v>
      </c>
      <c r="B31" s="234"/>
      <c r="C31" s="348">
        <f>'29'!D31</f>
        <v>44670</v>
      </c>
      <c r="D31" s="234">
        <f t="shared" si="9"/>
        <v>44670</v>
      </c>
      <c r="F31" s="479" t="str">
        <f>'29'!F31</f>
        <v>ABDUL RAHMAN</v>
      </c>
      <c r="G31" s="406">
        <f>'CUSTOMERS REPORT'!Y927</f>
        <v>0</v>
      </c>
      <c r="H31" s="504">
        <f>'CUSTOMERS REPORT'!Z927</f>
        <v>0</v>
      </c>
      <c r="I31" s="406">
        <f>'CUSTOMERS REPORT'!AA927</f>
        <v>0</v>
      </c>
      <c r="J31" s="498">
        <f>'CUSTOMERS REPORT'!AB927</f>
        <v>0</v>
      </c>
      <c r="K31" s="498">
        <f>'CUSTOMERS REPORT'!AC927</f>
        <v>0</v>
      </c>
      <c r="L31" s="509">
        <f>'CUSTOMERS REPORT'!AD927</f>
        <v>0</v>
      </c>
      <c r="M31" s="414">
        <f>'29'!M31+'30'!G31</f>
        <v>0</v>
      </c>
      <c r="N31" s="412">
        <f>'29'!N31+'30'!J31</f>
        <v>0</v>
      </c>
      <c r="P31" s="433"/>
      <c r="Q31" s="435"/>
      <c r="S31" s="400" t="str">
        <f>'29'!S31</f>
        <v>KARACHI</v>
      </c>
      <c r="T31" s="446">
        <f>'29'!X31</f>
        <v>-110</v>
      </c>
      <c r="U31" s="456"/>
      <c r="V31" s="451">
        <f t="shared" si="0"/>
        <v>-110</v>
      </c>
      <c r="W31" s="906"/>
      <c r="X31" s="1089">
        <f t="shared" si="1"/>
        <v>-110</v>
      </c>
      <c r="Z31" s="375">
        <f>'29'!Z31</f>
        <v>0</v>
      </c>
      <c r="AA31" s="464">
        <f>'29'!AE31</f>
        <v>0</v>
      </c>
      <c r="AB31" s="460"/>
      <c r="AC31" s="462">
        <f t="shared" si="2"/>
        <v>0</v>
      </c>
      <c r="AD31" s="469"/>
      <c r="AE31" s="348">
        <f t="shared" si="3"/>
        <v>0</v>
      </c>
      <c r="AF31" s="563">
        <f>'29'!AF31+'30'!AB31</f>
        <v>0</v>
      </c>
      <c r="AG31" s="234">
        <f>'29'!AG31+'30'!AD31</f>
        <v>0</v>
      </c>
      <c r="AI31" t="s">
        <v>1</v>
      </c>
    </row>
    <row r="32" spans="1:36" ht="27" customHeight="1" thickTop="1" thickBot="1">
      <c r="A32" s="725" t="str">
        <f>'29'!A32</f>
        <v>WOOD</v>
      </c>
      <c r="B32" s="234"/>
      <c r="C32" s="348">
        <f>'29'!D32</f>
        <v>150000</v>
      </c>
      <c r="D32" s="234">
        <f t="shared" si="9"/>
        <v>150000</v>
      </c>
      <c r="F32" s="479" t="str">
        <f>'29'!F32</f>
        <v>HAJI JAN GIWANI</v>
      </c>
      <c r="G32" s="406">
        <f>'CUSTOMERS REPORT'!Y966</f>
        <v>0</v>
      </c>
      <c r="H32" s="504">
        <f>'CUSTOMERS REPORT'!Z966</f>
        <v>0</v>
      </c>
      <c r="I32" s="406">
        <f>'CUSTOMERS REPORT'!AA966</f>
        <v>0</v>
      </c>
      <c r="J32" s="498">
        <f>'CUSTOMERS REPORT'!AB966</f>
        <v>0</v>
      </c>
      <c r="K32" s="498">
        <f>'CUSTOMERS REPORT'!AC966</f>
        <v>0</v>
      </c>
      <c r="L32" s="509">
        <f>'CUSTOMERS REPORT'!AD966</f>
        <v>0</v>
      </c>
      <c r="M32" s="414">
        <f>'29'!M32+'30'!G32</f>
        <v>0</v>
      </c>
      <c r="N32" s="412">
        <f>'29'!N32+'30'!J32</f>
        <v>0</v>
      </c>
      <c r="P32" s="190" t="s">
        <v>51</v>
      </c>
      <c r="Q32" s="439">
        <f>Q23-Q25-Q26-Q27-Q28-Q29-Q30-Q31</f>
        <v>0</v>
      </c>
      <c r="R32" t="s">
        <v>1</v>
      </c>
      <c r="S32" s="400" t="str">
        <f>'29'!S32</f>
        <v>MARVI</v>
      </c>
      <c r="T32" s="446">
        <f>'29'!X32</f>
        <v>0</v>
      </c>
      <c r="U32" s="456"/>
      <c r="V32" s="451">
        <f t="shared" si="0"/>
        <v>0</v>
      </c>
      <c r="W32" s="906"/>
      <c r="X32" s="1089">
        <f t="shared" si="1"/>
        <v>0</v>
      </c>
      <c r="Z32" s="375">
        <f>'29'!Z32</f>
        <v>0</v>
      </c>
      <c r="AA32" s="464">
        <f>'29'!AE32</f>
        <v>0</v>
      </c>
      <c r="AB32" s="460"/>
      <c r="AC32" s="462">
        <f t="shared" si="2"/>
        <v>0</v>
      </c>
      <c r="AD32" s="469"/>
      <c r="AE32" s="348">
        <f t="shared" si="3"/>
        <v>0</v>
      </c>
      <c r="AF32" s="563">
        <f>'29'!AF32+'30'!AB32</f>
        <v>0</v>
      </c>
      <c r="AG32" s="234">
        <f>'29'!AG32+'30'!AD32</f>
        <v>0</v>
      </c>
    </row>
    <row r="33" spans="1:40" ht="27" customHeight="1" thickTop="1" thickBot="1">
      <c r="A33" s="725" t="str">
        <f>'29'!A33</f>
        <v>TOLL</v>
      </c>
      <c r="B33" s="538"/>
      <c r="C33" s="348">
        <f>'29'!D33</f>
        <v>300</v>
      </c>
      <c r="D33" s="234">
        <f t="shared" si="9"/>
        <v>300</v>
      </c>
      <c r="F33" s="479" t="str">
        <f>'29'!F33</f>
        <v>ALI QURESHI HYD</v>
      </c>
      <c r="G33" s="406">
        <f>'CUSTOMERS REPORT'!Y1004</f>
        <v>0</v>
      </c>
      <c r="H33" s="504">
        <f>'CUSTOMERS REPORT'!Z1004</f>
        <v>0</v>
      </c>
      <c r="I33" s="406">
        <f>'CUSTOMERS REPORT'!AA1004</f>
        <v>0</v>
      </c>
      <c r="J33" s="498">
        <f>'CUSTOMERS REPORT'!AB1004</f>
        <v>0</v>
      </c>
      <c r="K33" s="498">
        <f>'CUSTOMERS REPORT'!AC1004</f>
        <v>0</v>
      </c>
      <c r="L33" s="509">
        <f>'CUSTOMERS REPORT'!AD1004</f>
        <v>0</v>
      </c>
      <c r="M33" s="414">
        <f>'29'!M33+'30'!G33</f>
        <v>0</v>
      </c>
      <c r="N33" s="412">
        <f>'29'!N33+'30'!J33</f>
        <v>0</v>
      </c>
      <c r="P33" s="1499" t="s">
        <v>149</v>
      </c>
      <c r="Q33" s="1500"/>
      <c r="S33" s="400" t="str">
        <f>'29'!S33</f>
        <v>TS</v>
      </c>
      <c r="T33" s="446">
        <f>'29'!X33</f>
        <v>-14</v>
      </c>
      <c r="U33" s="456"/>
      <c r="V33" s="451">
        <f t="shared" si="0"/>
        <v>-14</v>
      </c>
      <c r="W33" s="815"/>
      <c r="X33" s="1089">
        <f t="shared" si="1"/>
        <v>-14</v>
      </c>
      <c r="Z33" s="375">
        <f>'29'!Z33</f>
        <v>0</v>
      </c>
      <c r="AA33" s="464">
        <f>'29'!AE33</f>
        <v>0</v>
      </c>
      <c r="AB33" s="460">
        <f>'SHAKEEL RUSK'!D37+'SHAKEEL RUSK'!G37</f>
        <v>0</v>
      </c>
      <c r="AC33" s="462">
        <f t="shared" si="2"/>
        <v>0</v>
      </c>
      <c r="AD33" s="469"/>
      <c r="AE33" s="348">
        <f t="shared" si="3"/>
        <v>0</v>
      </c>
      <c r="AF33" s="563">
        <f>'29'!AF33+'30'!AB33</f>
        <v>0</v>
      </c>
      <c r="AG33" s="234">
        <f>'29'!AG33+'30'!AD33</f>
        <v>0</v>
      </c>
    </row>
    <row r="34" spans="1:40" ht="27" customHeight="1" thickTop="1" thickBot="1">
      <c r="A34" s="726" t="str">
        <f>'29'!A34</f>
        <v>FLOUR / SHGER</v>
      </c>
      <c r="B34" s="538"/>
      <c r="C34" s="348">
        <f>'29'!D34</f>
        <v>1200</v>
      </c>
      <c r="D34" s="234">
        <f t="shared" si="9"/>
        <v>1200</v>
      </c>
      <c r="F34" s="479" t="str">
        <f>'29'!F34</f>
        <v>ALI RAZA KAND KOT</v>
      </c>
      <c r="G34" s="406">
        <f>'CUSTOMERS REPORT'!Y1042</f>
        <v>0</v>
      </c>
      <c r="H34" s="504">
        <f>'CUSTOMERS REPORT'!Z1042</f>
        <v>0</v>
      </c>
      <c r="I34" s="406">
        <f>'CUSTOMERS REPORT'!AA1042</f>
        <v>0</v>
      </c>
      <c r="J34" s="498">
        <f>'CUSTOMERS REPORT'!AB1042</f>
        <v>0</v>
      </c>
      <c r="K34" s="498">
        <f>'CUSTOMERS REPORT'!AC1042</f>
        <v>0</v>
      </c>
      <c r="L34" s="509">
        <f>'CUSTOMERS REPORT'!AD1042</f>
        <v>0</v>
      </c>
      <c r="M34" s="414">
        <f>'29'!M34+'30'!G34</f>
        <v>0</v>
      </c>
      <c r="N34" s="412">
        <f>'29'!N34+'30'!J34</f>
        <v>0</v>
      </c>
      <c r="P34" s="220" t="s">
        <v>150</v>
      </c>
      <c r="Q34" s="223">
        <f>'29'!Q34</f>
        <v>0</v>
      </c>
      <c r="S34" s="400" t="str">
        <f>'29'!S34</f>
        <v>MAXI</v>
      </c>
      <c r="T34" s="446">
        <f>'29'!X34</f>
        <v>-22</v>
      </c>
      <c r="U34" s="457"/>
      <c r="V34" s="452">
        <f t="shared" si="0"/>
        <v>-22</v>
      </c>
      <c r="W34" s="452"/>
      <c r="X34" s="1090">
        <f t="shared" si="1"/>
        <v>-22</v>
      </c>
      <c r="Z34" s="375">
        <f>'29'!Z34</f>
        <v>0</v>
      </c>
      <c r="AA34" s="464">
        <f>'29'!AE34</f>
        <v>0</v>
      </c>
      <c r="AB34" s="460"/>
      <c r="AC34" s="462">
        <f t="shared" si="2"/>
        <v>0</v>
      </c>
      <c r="AD34" s="469"/>
      <c r="AE34" s="348">
        <f t="shared" si="3"/>
        <v>0</v>
      </c>
      <c r="AF34" s="563">
        <f>'29'!AF34+'30'!AB34</f>
        <v>0</v>
      </c>
      <c r="AG34" s="234">
        <f>'29'!AG34+'30'!AD34</f>
        <v>0</v>
      </c>
    </row>
    <row r="35" spans="1:40" ht="27" customHeight="1" thickTop="1">
      <c r="A35" s="726" t="str">
        <f>'29'!A35</f>
        <v>OVEN &amp; PP MACHINE</v>
      </c>
      <c r="B35" s="529"/>
      <c r="C35" s="348">
        <f>'29'!D35</f>
        <v>0</v>
      </c>
      <c r="D35" s="529">
        <f t="shared" si="9"/>
        <v>0</v>
      </c>
      <c r="F35" s="479" t="str">
        <f>'29'!F35</f>
        <v>IQBAL MORO</v>
      </c>
      <c r="G35" s="407">
        <f>'CUSTOMERS REPORT'!Y1080</f>
        <v>0</v>
      </c>
      <c r="H35" s="505">
        <f>'CUSTOMERS REPORT'!Z1080</f>
        <v>0</v>
      </c>
      <c r="I35" s="407">
        <f>'CUSTOMERS REPORT'!AA1080</f>
        <v>0</v>
      </c>
      <c r="J35" s="499">
        <f>'CUSTOMERS REPORT'!AB1080</f>
        <v>0</v>
      </c>
      <c r="K35" s="499">
        <f>'CUSTOMERS REPORT'!AC1080</f>
        <v>0</v>
      </c>
      <c r="L35" s="510">
        <f>'CUSTOMERS REPORT'!AD1080</f>
        <v>0</v>
      </c>
      <c r="M35" s="414">
        <f>'29'!M35+'30'!G35</f>
        <v>0</v>
      </c>
      <c r="N35" s="412">
        <f>'29'!N35+'30'!J35</f>
        <v>0</v>
      </c>
      <c r="P35" s="252" t="s">
        <v>151</v>
      </c>
      <c r="Q35" s="443">
        <f>'29'!Q35</f>
        <v>0</v>
      </c>
      <c r="R35" t="s">
        <v>1</v>
      </c>
      <c r="S35" s="400" t="str">
        <f>'29'!S35</f>
        <v>M A WHITE</v>
      </c>
      <c r="T35" s="446">
        <f>'29'!X35</f>
        <v>-385</v>
      </c>
      <c r="U35" s="457"/>
      <c r="V35" s="452">
        <f t="shared" si="0"/>
        <v>-385</v>
      </c>
      <c r="W35" s="452"/>
      <c r="X35" s="448">
        <f t="shared" si="1"/>
        <v>-385</v>
      </c>
      <c r="Z35" s="375">
        <f>'29'!Z35</f>
        <v>0</v>
      </c>
      <c r="AA35" s="464">
        <f>'29'!AE35</f>
        <v>0</v>
      </c>
      <c r="AB35" s="460"/>
      <c r="AC35" s="462">
        <f t="shared" si="2"/>
        <v>0</v>
      </c>
      <c r="AD35" s="469"/>
      <c r="AE35" s="348">
        <f t="shared" si="3"/>
        <v>0</v>
      </c>
      <c r="AF35" s="563">
        <f>'29'!AF35+'30'!AB35</f>
        <v>0</v>
      </c>
      <c r="AG35" s="234">
        <f>'29'!AG35+'30'!AD35</f>
        <v>0</v>
      </c>
    </row>
    <row r="36" spans="1:40" ht="27" customHeight="1">
      <c r="A36" s="726" t="str">
        <f>'29'!A36</f>
        <v>zakat</v>
      </c>
      <c r="B36" s="539"/>
      <c r="C36" s="348">
        <f>'29'!D36</f>
        <v>0</v>
      </c>
      <c r="D36" s="529">
        <f t="shared" si="9"/>
        <v>0</v>
      </c>
      <c r="F36" s="479" t="str">
        <f>'29'!F36</f>
        <v>SARFARAZ T ADAM</v>
      </c>
      <c r="G36" s="407">
        <f>'CUSTOMERS REPORT'!Y1118</f>
        <v>0</v>
      </c>
      <c r="H36" s="505">
        <f>'CUSTOMERS REPORT'!Z1118</f>
        <v>0</v>
      </c>
      <c r="I36" s="407">
        <f>'CUSTOMERS REPORT'!AA1118</f>
        <v>0</v>
      </c>
      <c r="J36" s="499">
        <f>'CUSTOMERS REPORT'!AB1118</f>
        <v>0</v>
      </c>
      <c r="K36" s="499">
        <f>'CUSTOMERS REPORT'!AC1118</f>
        <v>0</v>
      </c>
      <c r="L36" s="510">
        <f>'CUSTOMERS REPORT'!AD1118</f>
        <v>0</v>
      </c>
      <c r="M36" s="414">
        <f>'29'!M36+'30'!G36</f>
        <v>0</v>
      </c>
      <c r="N36" s="412">
        <f>'29'!N36+'30'!J36</f>
        <v>0</v>
      </c>
      <c r="P36" s="372" t="s">
        <v>152</v>
      </c>
      <c r="Q36" s="444">
        <f>J48</f>
        <v>0</v>
      </c>
      <c r="R36" t="s">
        <v>1</v>
      </c>
      <c r="S36" s="400" t="str">
        <f>'29'!S36</f>
        <v>M A ORING</v>
      </c>
      <c r="T36" s="446">
        <f>'29'!X36</f>
        <v>-106</v>
      </c>
      <c r="U36" s="456"/>
      <c r="V36" s="451">
        <f t="shared" si="0"/>
        <v>-106</v>
      </c>
      <c r="W36" s="452"/>
      <c r="X36" s="448">
        <f t="shared" si="1"/>
        <v>-106</v>
      </c>
      <c r="Z36" s="375">
        <f>'29'!Z36</f>
        <v>0</v>
      </c>
      <c r="AA36" s="464">
        <f>'29'!AE36</f>
        <v>0</v>
      </c>
      <c r="AB36" s="460"/>
      <c r="AC36" s="462">
        <f t="shared" si="2"/>
        <v>0</v>
      </c>
      <c r="AD36" s="469"/>
      <c r="AE36" s="348">
        <f t="shared" si="3"/>
        <v>0</v>
      </c>
      <c r="AF36" s="563">
        <f>'29'!AF36+'30'!AB36</f>
        <v>0</v>
      </c>
      <c r="AG36" s="234">
        <f>'29'!AG36+'30'!AD36</f>
        <v>0</v>
      </c>
    </row>
    <row r="37" spans="1:40" ht="27" customHeight="1">
      <c r="A37" s="726" t="str">
        <f>'29'!A37</f>
        <v>javeed manghopir</v>
      </c>
      <c r="B37" s="234"/>
      <c r="C37" s="348">
        <f>'29'!D37</f>
        <v>0</v>
      </c>
      <c r="D37" s="234">
        <f t="shared" si="9"/>
        <v>0</v>
      </c>
      <c r="F37" s="479" t="str">
        <f>'29'!F37</f>
        <v>MUMTAZ K N SHAH</v>
      </c>
      <c r="G37" s="406">
        <f>'CUSTOMERS REPORT'!Y1156</f>
        <v>0</v>
      </c>
      <c r="H37" s="504">
        <f>'CUSTOMERS REPORT'!Z1156</f>
        <v>0</v>
      </c>
      <c r="I37" s="406">
        <f>'CUSTOMERS REPORT'!AA1156</f>
        <v>0</v>
      </c>
      <c r="J37" s="498">
        <f>'CUSTOMERS REPORT'!AB1156</f>
        <v>0</v>
      </c>
      <c r="K37" s="498">
        <f>'CUSTOMERS REPORT'!AC1156</f>
        <v>0</v>
      </c>
      <c r="L37" s="509">
        <f>'CUSTOMERS REPORT'!AD1156</f>
        <v>0</v>
      </c>
      <c r="M37" s="414">
        <f>'29'!M37+'30'!G37</f>
        <v>0</v>
      </c>
      <c r="N37" s="412">
        <f>'29'!N37+'30'!J37</f>
        <v>0</v>
      </c>
      <c r="P37" s="373" t="s">
        <v>153</v>
      </c>
      <c r="Q37" s="445">
        <f>Q34+Q35+Q36</f>
        <v>0</v>
      </c>
      <c r="R37" t="s">
        <v>1</v>
      </c>
      <c r="S37" s="400">
        <f>'29'!S37</f>
        <v>0</v>
      </c>
      <c r="T37" s="446">
        <f>'29'!X37</f>
        <v>0</v>
      </c>
      <c r="U37" s="456"/>
      <c r="V37" s="451">
        <f t="shared" si="0"/>
        <v>0</v>
      </c>
      <c r="W37" s="452"/>
      <c r="X37" s="448">
        <f t="shared" si="1"/>
        <v>0</v>
      </c>
      <c r="Z37" s="375">
        <f>'29'!Z37</f>
        <v>0</v>
      </c>
      <c r="AA37" s="464">
        <f>'29'!AE37</f>
        <v>0</v>
      </c>
      <c r="AB37" s="460"/>
      <c r="AC37" s="462">
        <f t="shared" si="2"/>
        <v>0</v>
      </c>
      <c r="AD37" s="469"/>
      <c r="AE37" s="348">
        <f t="shared" si="3"/>
        <v>0</v>
      </c>
      <c r="AF37" s="563">
        <f>'29'!AF37+'30'!AB37</f>
        <v>0</v>
      </c>
      <c r="AG37" s="234">
        <f>'29'!AG37+'30'!AD37</f>
        <v>0</v>
      </c>
    </row>
    <row r="38" spans="1:40" ht="27" customHeight="1">
      <c r="A38" s="726" t="str">
        <f>'29'!A38</f>
        <v>EXSIS CASH</v>
      </c>
      <c r="B38" s="234"/>
      <c r="C38" s="348">
        <f>'29'!D38</f>
        <v>0</v>
      </c>
      <c r="D38" s="234">
        <f t="shared" si="9"/>
        <v>0</v>
      </c>
      <c r="F38" s="479" t="str">
        <f>'29'!F38</f>
        <v>GHULAM RASOOL QU</v>
      </c>
      <c r="G38" s="408">
        <f>'CUSTOMERS REPORT'!Y1193</f>
        <v>0</v>
      </c>
      <c r="H38" s="506">
        <f>'CUSTOMERS REPORT'!Z1193</f>
        <v>0</v>
      </c>
      <c r="I38" s="408">
        <f>'CUSTOMERS REPORT'!AA1193</f>
        <v>0</v>
      </c>
      <c r="J38" s="500">
        <f>'CUSTOMERS REPORT'!AB1193</f>
        <v>0</v>
      </c>
      <c r="K38" s="500">
        <f>'CUSTOMERS REPORT'!AC1193</f>
        <v>0</v>
      </c>
      <c r="L38" s="511">
        <f>'CUSTOMERS REPORT'!AD1193</f>
        <v>0</v>
      </c>
      <c r="M38" s="414">
        <f>'29'!M38+'30'!G38</f>
        <v>0</v>
      </c>
      <c r="N38" s="412">
        <f>'29'!N38+'30'!J38</f>
        <v>0</v>
      </c>
      <c r="P38" s="373" t="s">
        <v>154</v>
      </c>
      <c r="Q38" s="445">
        <f>D48</f>
        <v>4818050</v>
      </c>
      <c r="S38" s="400">
        <f>'29'!S38</f>
        <v>0</v>
      </c>
      <c r="T38" s="446">
        <f>'29'!X38</f>
        <v>0</v>
      </c>
      <c r="U38" s="456"/>
      <c r="V38" s="451">
        <f t="shared" si="0"/>
        <v>0</v>
      </c>
      <c r="W38" s="452"/>
      <c r="X38" s="448">
        <f t="shared" si="1"/>
        <v>0</v>
      </c>
      <c r="Z38" s="375">
        <f>'29'!Z38</f>
        <v>0</v>
      </c>
      <c r="AA38" s="464">
        <f>'29'!AE38</f>
        <v>0</v>
      </c>
      <c r="AB38" s="460"/>
      <c r="AC38" s="462">
        <f t="shared" si="2"/>
        <v>0</v>
      </c>
      <c r="AD38" s="469"/>
      <c r="AE38" s="348">
        <f t="shared" si="3"/>
        <v>0</v>
      </c>
      <c r="AF38" s="563">
        <f>'29'!AF38+'30'!AB38</f>
        <v>0</v>
      </c>
      <c r="AG38" s="234">
        <f>'29'!AG38+'30'!AD38</f>
        <v>0</v>
      </c>
    </row>
    <row r="39" spans="1:40" ht="27" customHeight="1">
      <c r="A39" s="726" t="str">
        <f>'29'!A39</f>
        <v>SHORT CASH</v>
      </c>
      <c r="B39" s="234"/>
      <c r="C39" s="348">
        <f>'29'!D39</f>
        <v>1950</v>
      </c>
      <c r="D39" s="234">
        <f t="shared" si="9"/>
        <v>1950</v>
      </c>
      <c r="F39" s="479" t="str">
        <f>'29'!F39</f>
        <v>SHAMSHAD UNCLE</v>
      </c>
      <c r="G39" s="406">
        <f>'CUSTOMERS REPORT'!Y1230</f>
        <v>0</v>
      </c>
      <c r="H39" s="504">
        <f>'CUSTOMERS REPORT'!Z1230</f>
        <v>0</v>
      </c>
      <c r="I39" s="406">
        <f>'CUSTOMERS REPORT'!AA1230</f>
        <v>0</v>
      </c>
      <c r="J39" s="498">
        <f>'CUSTOMERS REPORT'!AB1230</f>
        <v>0</v>
      </c>
      <c r="K39" s="498">
        <f>'CUSTOMERS REPORT'!AC1230</f>
        <v>0</v>
      </c>
      <c r="L39" s="509">
        <f>'CUSTOMERS REPORT'!AD1230</f>
        <v>0</v>
      </c>
      <c r="M39" s="414">
        <f>'29'!M39+'30'!G39</f>
        <v>0</v>
      </c>
      <c r="N39" s="412">
        <f>'29'!N39+'30'!J39</f>
        <v>0</v>
      </c>
      <c r="P39" s="373" t="s">
        <v>109</v>
      </c>
      <c r="Q39" s="445">
        <f>'29'!Q39+'30'!Q25+'30'!Q26+'30'!Q27+'30'!Q28+'30'!Q29+'30'!Q30+'30'!Q31</f>
        <v>0</v>
      </c>
      <c r="R39" t="s">
        <v>1</v>
      </c>
      <c r="S39" s="400">
        <f>'29'!S39</f>
        <v>0</v>
      </c>
      <c r="T39" s="446">
        <f>'29'!X39</f>
        <v>0</v>
      </c>
      <c r="U39" s="456"/>
      <c r="V39" s="451">
        <f t="shared" si="0"/>
        <v>0</v>
      </c>
      <c r="W39" s="452"/>
      <c r="X39" s="448">
        <f t="shared" si="1"/>
        <v>0</v>
      </c>
      <c r="Z39" s="375">
        <f>'29'!Z39</f>
        <v>0</v>
      </c>
      <c r="AA39" s="464">
        <f>'29'!AE39</f>
        <v>0</v>
      </c>
      <c r="AB39" s="460"/>
      <c r="AC39" s="462">
        <f t="shared" si="2"/>
        <v>0</v>
      </c>
      <c r="AD39" s="469"/>
      <c r="AE39" s="348">
        <f t="shared" si="3"/>
        <v>0</v>
      </c>
      <c r="AF39" s="563">
        <f>'29'!AF39+'30'!AB39</f>
        <v>0</v>
      </c>
      <c r="AG39" s="234">
        <f>'29'!AG39+'30'!AD39</f>
        <v>0</v>
      </c>
    </row>
    <row r="40" spans="1:40" ht="27" customHeight="1" thickBot="1">
      <c r="A40" s="715" t="str">
        <f>'29'!A40</f>
        <v>ASSETS</v>
      </c>
      <c r="B40" s="234"/>
      <c r="C40" s="348">
        <f>'29'!D40</f>
        <v>0</v>
      </c>
      <c r="D40" s="234">
        <f t="shared" si="9"/>
        <v>0</v>
      </c>
      <c r="F40" s="479" t="str">
        <f>'29'!F40</f>
        <v>IBRAHEEM D.G KHAN</v>
      </c>
      <c r="G40" s="406">
        <f>'CUSTOMERS REPORT'!Y1267</f>
        <v>0</v>
      </c>
      <c r="H40" s="504">
        <f>'CUSTOMERS REPORT'!Z1267</f>
        <v>0</v>
      </c>
      <c r="I40" s="406">
        <f>'CUSTOMERS REPORT'!AA1267</f>
        <v>0</v>
      </c>
      <c r="J40" s="498">
        <f>'CUSTOMERS REPORT'!AB1267</f>
        <v>0</v>
      </c>
      <c r="K40" s="498">
        <f>'CUSTOMERS REPORT'!AC1267</f>
        <v>0</v>
      </c>
      <c r="L40" s="509">
        <f>'CUSTOMERS REPORT'!AD1267</f>
        <v>0</v>
      </c>
      <c r="M40" s="414">
        <f>'29'!M40+'30'!G40</f>
        <v>0</v>
      </c>
      <c r="N40" s="412">
        <f>'29'!N40+'30'!J40</f>
        <v>0</v>
      </c>
      <c r="P40" s="374" t="s">
        <v>155</v>
      </c>
      <c r="Q40" s="445">
        <f>Q48</f>
        <v>-4818050</v>
      </c>
      <c r="S40" s="400">
        <f>'29'!S40</f>
        <v>0</v>
      </c>
      <c r="T40" s="446">
        <f>'29'!X40</f>
        <v>0</v>
      </c>
      <c r="U40" s="456"/>
      <c r="V40" s="451">
        <f t="shared" si="0"/>
        <v>0</v>
      </c>
      <c r="W40" s="452"/>
      <c r="X40" s="448">
        <f t="shared" si="1"/>
        <v>0</v>
      </c>
      <c r="Z40" s="375">
        <f>'29'!Z40</f>
        <v>0</v>
      </c>
      <c r="AA40" s="464">
        <f>'29'!AE40</f>
        <v>0</v>
      </c>
      <c r="AB40" s="460"/>
      <c r="AC40" s="462">
        <f t="shared" si="2"/>
        <v>0</v>
      </c>
      <c r="AD40" s="469"/>
      <c r="AE40" s="348">
        <f t="shared" si="3"/>
        <v>0</v>
      </c>
      <c r="AF40" s="563">
        <f>'29'!AF40+'30'!AB40</f>
        <v>0</v>
      </c>
      <c r="AG40" s="234">
        <f>'29'!AG40+'30'!AD40</f>
        <v>0</v>
      </c>
    </row>
    <row r="41" spans="1:40" ht="27" customHeight="1" thickTop="1" thickBot="1">
      <c r="A41" s="715" t="str">
        <f>'29'!A41</f>
        <v>BIKE.INSTALMINT</v>
      </c>
      <c r="B41" s="234"/>
      <c r="C41" s="348">
        <f>'29'!D41</f>
        <v>12200</v>
      </c>
      <c r="D41" s="234">
        <f t="shared" si="9"/>
        <v>12200</v>
      </c>
      <c r="E41" t="s">
        <v>1</v>
      </c>
      <c r="F41" s="479" t="str">
        <f>'29'!F41</f>
        <v>PISHAWAR</v>
      </c>
      <c r="G41" s="409">
        <f>'CUSTOMERS REPORT'!Y1304</f>
        <v>0</v>
      </c>
      <c r="H41" s="507">
        <f>'CUSTOMERS REPORT'!Z1304</f>
        <v>0</v>
      </c>
      <c r="I41" s="409">
        <f>'CUSTOMERS REPORT'!AA1304</f>
        <v>0</v>
      </c>
      <c r="J41" s="501">
        <f>'CUSTOMERS REPORT'!AB1304</f>
        <v>0</v>
      </c>
      <c r="K41" s="501">
        <f>'CUSTOMERS REPORT'!AC1304</f>
        <v>0</v>
      </c>
      <c r="L41" s="512">
        <f>'CUSTOMERS REPORT'!AD1304</f>
        <v>0</v>
      </c>
      <c r="M41" s="414">
        <f>'29'!M41+'30'!G41</f>
        <v>0</v>
      </c>
      <c r="N41" s="412">
        <f>'29'!N41+'30'!J41</f>
        <v>0</v>
      </c>
      <c r="P41" s="221" t="s">
        <v>51</v>
      </c>
      <c r="Q41" s="223">
        <f>Q37-Q38-Q39-Q40</f>
        <v>0</v>
      </c>
      <c r="S41" s="400">
        <f>'29'!S41</f>
        <v>0</v>
      </c>
      <c r="T41" s="446">
        <f>'29'!X41</f>
        <v>0</v>
      </c>
      <c r="U41" s="456"/>
      <c r="V41" s="451">
        <f t="shared" si="0"/>
        <v>0</v>
      </c>
      <c r="W41" s="970"/>
      <c r="X41" s="971">
        <f t="shared" si="1"/>
        <v>0</v>
      </c>
      <c r="Z41" s="375">
        <f>'29'!Z41</f>
        <v>0</v>
      </c>
      <c r="AA41" s="464">
        <f>'29'!AE41</f>
        <v>0</v>
      </c>
      <c r="AB41" s="460"/>
      <c r="AC41" s="462">
        <f t="shared" si="2"/>
        <v>0</v>
      </c>
      <c r="AD41" s="469"/>
      <c r="AE41" s="348">
        <f t="shared" si="3"/>
        <v>0</v>
      </c>
      <c r="AF41" s="563">
        <f>'29'!AF41+'30'!AB41</f>
        <v>0</v>
      </c>
      <c r="AG41" s="234">
        <f>'29'!AG41+'30'!AD41</f>
        <v>0</v>
      </c>
    </row>
    <row r="42" spans="1:40" ht="27" customHeight="1" thickTop="1" thickBot="1">
      <c r="A42" s="715" t="str">
        <f>'29'!A42</f>
        <v>B.C</v>
      </c>
      <c r="B42" s="529"/>
      <c r="C42" s="348">
        <f>'29'!D42</f>
        <v>200000</v>
      </c>
      <c r="D42" s="529">
        <f t="shared" si="9"/>
        <v>200000</v>
      </c>
      <c r="F42" s="479" t="str">
        <f>'29'!F42</f>
        <v>HUZAFA KOTRI</v>
      </c>
      <c r="G42" s="409">
        <f>'CUSTOMERS REPORT'!Y1341</f>
        <v>0</v>
      </c>
      <c r="H42" s="507">
        <f>'CUSTOMERS REPORT'!Z1341</f>
        <v>0</v>
      </c>
      <c r="I42" s="409">
        <f>'CUSTOMERS REPORT'!AA1341</f>
        <v>0</v>
      </c>
      <c r="J42" s="501">
        <f>'CUSTOMERS REPORT'!AB1341</f>
        <v>0</v>
      </c>
      <c r="K42" s="501">
        <f>'CUSTOMERS REPORT'!AC1341</f>
        <v>0</v>
      </c>
      <c r="L42" s="512">
        <f>'CUSTOMERS REPORT'!AD1341</f>
        <v>0</v>
      </c>
      <c r="M42" s="414">
        <f>'29'!M42+'30'!G42</f>
        <v>0</v>
      </c>
      <c r="N42" s="412">
        <f>'29'!N42+'30'!J42</f>
        <v>0</v>
      </c>
      <c r="P42" s="1499" t="s">
        <v>157</v>
      </c>
      <c r="Q42" s="1500"/>
      <c r="S42" s="400">
        <f>'29'!S42</f>
        <v>0</v>
      </c>
      <c r="T42" s="446">
        <f>'29'!X42</f>
        <v>0</v>
      </c>
      <c r="U42" s="458"/>
      <c r="V42" s="453">
        <f t="shared" si="0"/>
        <v>0</v>
      </c>
      <c r="W42" s="454"/>
      <c r="X42" s="449">
        <f t="shared" si="1"/>
        <v>0</v>
      </c>
      <c r="Z42" s="375">
        <f>'29'!Z42</f>
        <v>0</v>
      </c>
      <c r="AA42" s="464">
        <f>'29'!AE42</f>
        <v>0</v>
      </c>
      <c r="AB42" s="461"/>
      <c r="AC42" s="462">
        <f>AA42+AB42</f>
        <v>0</v>
      </c>
      <c r="AD42" s="470"/>
      <c r="AE42" s="348">
        <f t="shared" si="3"/>
        <v>0</v>
      </c>
      <c r="AF42" s="564">
        <f>'29'!AF42+'30'!AB42</f>
        <v>0</v>
      </c>
      <c r="AG42" s="572">
        <f>'29'!AG42+'30'!AD42</f>
        <v>0</v>
      </c>
    </row>
    <row r="43" spans="1:40" ht="27" customHeight="1" thickTop="1" thickBot="1">
      <c r="A43" s="715" t="str">
        <f>'29'!A43</f>
        <v>AQEEL</v>
      </c>
      <c r="B43" s="539"/>
      <c r="C43" s="348">
        <f>'29'!D43</f>
        <v>0</v>
      </c>
      <c r="D43" s="529">
        <f t="shared" si="9"/>
        <v>0</v>
      </c>
      <c r="F43" s="479" t="str">
        <f>'29'!F43</f>
        <v>ZAHID LAHORE</v>
      </c>
      <c r="G43" s="409">
        <f>'CUSTOMERS REPORT'!Y1378</f>
        <v>0</v>
      </c>
      <c r="H43" s="507">
        <f>'CUSTOMERS REPORT'!Z1378</f>
        <v>0</v>
      </c>
      <c r="I43" s="409">
        <f>'CUSTOMERS REPORT'!AA1378</f>
        <v>0</v>
      </c>
      <c r="J43" s="501">
        <f>'CUSTOMERS REPORT'!AB1378</f>
        <v>0</v>
      </c>
      <c r="K43" s="501">
        <f>'CUSTOMERS REPORT'!AC1378</f>
        <v>0</v>
      </c>
      <c r="L43" s="512">
        <f>'CUSTOMERS REPORT'!AD1378</f>
        <v>0</v>
      </c>
      <c r="M43" s="414">
        <f>'29'!M43+'30'!G43</f>
        <v>0</v>
      </c>
      <c r="N43" s="412">
        <f>'29'!N43+'30'!J43</f>
        <v>0</v>
      </c>
      <c r="P43" s="220" t="s">
        <v>124</v>
      </c>
      <c r="Q43" s="223">
        <f>'29'!Q48</f>
        <v>-4818050</v>
      </c>
      <c r="R43" t="s">
        <v>1</v>
      </c>
      <c r="S43" s="400">
        <f>'29'!S43</f>
        <v>0</v>
      </c>
      <c r="T43" s="446">
        <f>'29'!X43</f>
        <v>0</v>
      </c>
      <c r="U43" s="358"/>
      <c r="V43" s="453">
        <f t="shared" si="0"/>
        <v>0</v>
      </c>
      <c r="W43" s="403"/>
      <c r="X43" s="449">
        <f t="shared" si="1"/>
        <v>0</v>
      </c>
      <c r="Z43" s="383"/>
      <c r="AA43" s="356">
        <f>SUM(AA8:AA42)</f>
        <v>-1986350</v>
      </c>
      <c r="AB43" s="385">
        <f>SUM(AB8:AB42)</f>
        <v>0</v>
      </c>
      <c r="AC43" s="357" t="s">
        <v>74</v>
      </c>
      <c r="AD43" s="387">
        <f>SUM(AD8:AD42)</f>
        <v>0</v>
      </c>
      <c r="AE43" s="358">
        <f>SUM(AE8:AE42)</f>
        <v>-1986350</v>
      </c>
      <c r="AF43" s="565">
        <f>SUM(AF8:AF42)</f>
        <v>1501950</v>
      </c>
      <c r="AG43" s="571">
        <f>SUM(AG8:AG42)</f>
        <v>3488300</v>
      </c>
    </row>
    <row r="44" spans="1:40" ht="27" customHeight="1" thickTop="1">
      <c r="A44" s="715" t="str">
        <f>'29'!A44</f>
        <v>M.YOUSUF</v>
      </c>
      <c r="B44" s="234"/>
      <c r="C44" s="348">
        <f>'29'!D44</f>
        <v>85100</v>
      </c>
      <c r="D44" s="234">
        <f t="shared" si="9"/>
        <v>85100</v>
      </c>
      <c r="F44" s="479" t="str">
        <f>'29'!F44</f>
        <v>CASH SALE</v>
      </c>
      <c r="G44" s="409">
        <f>'CUSTOMERS REPORT'!Y1415</f>
        <v>0</v>
      </c>
      <c r="H44" s="507">
        <f>'CUSTOMERS REPORT'!Z1415</f>
        <v>0</v>
      </c>
      <c r="I44" s="409">
        <f>'CUSTOMERS REPORT'!AA1415</f>
        <v>0</v>
      </c>
      <c r="J44" s="501">
        <f>'CUSTOMERS REPORT'!AB1415</f>
        <v>0</v>
      </c>
      <c r="K44" s="501">
        <f>'CUSTOMERS REPORT'!AC1415</f>
        <v>0</v>
      </c>
      <c r="L44" s="512">
        <f>'CUSTOMERS REPORT'!AD1415</f>
        <v>0</v>
      </c>
      <c r="M44" s="414">
        <f>'29'!M44+'30'!G44</f>
        <v>0</v>
      </c>
      <c r="N44" s="412">
        <f>'29'!N44+'30'!J44</f>
        <v>0</v>
      </c>
      <c r="P44" s="222" t="s">
        <v>114</v>
      </c>
      <c r="Q44" s="377">
        <f>J46</f>
        <v>0</v>
      </c>
      <c r="S44" s="400"/>
      <c r="T44" s="348"/>
      <c r="U44" s="306"/>
      <c r="V44" s="349"/>
      <c r="W44" s="351"/>
      <c r="X44" s="350"/>
      <c r="Z44" s="375"/>
      <c r="AA44" s="339"/>
      <c r="AB44" s="386">
        <f>'29'!AB45</f>
        <v>1501950</v>
      </c>
      <c r="AC44" s="340" t="s">
        <v>126</v>
      </c>
      <c r="AD44" s="388">
        <f>'29'!AD45</f>
        <v>3488300</v>
      </c>
      <c r="AE44" s="341"/>
      <c r="AF44" s="561"/>
      <c r="AG44" s="83" t="s">
        <v>1</v>
      </c>
    </row>
    <row r="45" spans="1:40" ht="27" customHeight="1" thickBot="1">
      <c r="A45" s="715" t="str">
        <f>'29'!A45</f>
        <v>SHAKEEL</v>
      </c>
      <c r="B45" s="234"/>
      <c r="C45" s="348">
        <f>'29'!D45</f>
        <v>77210</v>
      </c>
      <c r="D45" s="234">
        <f t="shared" si="9"/>
        <v>77210</v>
      </c>
      <c r="F45" s="479" t="str">
        <f>'29'!F45</f>
        <v xml:space="preserve">FREE </v>
      </c>
      <c r="G45" s="410">
        <f>'CUSTOMERS REPORT'!Y1451</f>
        <v>0</v>
      </c>
      <c r="H45" s="362">
        <f>'CUSTOMERS REPORT'!Z1451</f>
        <v>0</v>
      </c>
      <c r="I45" s="410">
        <f>'CUSTOMERS REPORT'!AA1451</f>
        <v>0</v>
      </c>
      <c r="J45" s="502">
        <f>'CUSTOMERS REPORT'!AB1451</f>
        <v>0</v>
      </c>
      <c r="K45" s="502">
        <f>'CUSTOMERS REPORT'!AC1451</f>
        <v>0</v>
      </c>
      <c r="L45" s="513">
        <f>'CUSTOMERS REPORT'!AD1451</f>
        <v>0</v>
      </c>
      <c r="M45" s="414">
        <f>'29'!M45+'30'!G45</f>
        <v>0</v>
      </c>
      <c r="N45" s="412">
        <f>'29'!N45+'30'!J45</f>
        <v>0</v>
      </c>
      <c r="P45" s="222" t="s">
        <v>153</v>
      </c>
      <c r="Q45" s="378">
        <f>Q43+Q44</f>
        <v>-4818050</v>
      </c>
      <c r="S45" s="401"/>
      <c r="T45" s="352"/>
      <c r="U45" s="307"/>
      <c r="V45" s="353"/>
      <c r="W45" s="354"/>
      <c r="X45" s="355"/>
      <c r="Z45" s="384"/>
      <c r="AA45" s="359"/>
      <c r="AB45" s="390">
        <f>SUM(AB43:AB44)</f>
        <v>1501950</v>
      </c>
      <c r="AC45" s="360" t="s">
        <v>74</v>
      </c>
      <c r="AD45" s="389">
        <f>SUM(AD43:AD44)</f>
        <v>3488300</v>
      </c>
      <c r="AE45" s="361"/>
      <c r="AF45" s="562"/>
      <c r="AG45" s="573"/>
    </row>
    <row r="46" spans="1:40" ht="27" customHeight="1" thickTop="1" thickBot="1">
      <c r="A46" s="715" t="str">
        <f>'29'!A46</f>
        <v>ZAHID HUSSAN</v>
      </c>
      <c r="B46" s="234"/>
      <c r="C46" s="348">
        <f>'29'!D46</f>
        <v>0</v>
      </c>
      <c r="D46" s="234">
        <f t="shared" si="9"/>
        <v>0</v>
      </c>
      <c r="F46" s="369"/>
      <c r="G46" s="424">
        <f>SUM(G8:G45)</f>
        <v>0</v>
      </c>
      <c r="H46" s="1497" t="s">
        <v>160</v>
      </c>
      <c r="I46" s="1498"/>
      <c r="J46" s="421">
        <f>SUM(J8:J45)</f>
        <v>0</v>
      </c>
      <c r="K46" s="427">
        <f>SUM(K8:K45)</f>
        <v>0</v>
      </c>
      <c r="L46" s="431">
        <f>SUM(L8:L45)</f>
        <v>0</v>
      </c>
      <c r="M46" s="429">
        <f>SUM(M8:M45)</f>
        <v>0</v>
      </c>
      <c r="N46" s="430">
        <f>SUM(N8:N45)</f>
        <v>0</v>
      </c>
      <c r="P46" s="222" t="s">
        <v>154</v>
      </c>
      <c r="Q46" s="378">
        <f>B48</f>
        <v>0</v>
      </c>
      <c r="X46" s="1081">
        <f>SUM(X23:X34)</f>
        <v>-1053</v>
      </c>
    </row>
    <row r="47" spans="1:40" ht="27" customHeight="1" thickBot="1">
      <c r="A47" s="715" t="str">
        <f>'29'!A47</f>
        <v xml:space="preserve">INVESTOR </v>
      </c>
      <c r="B47" s="540"/>
      <c r="C47" s="348">
        <f>'29'!D47</f>
        <v>0</v>
      </c>
      <c r="D47" s="542">
        <f t="shared" si="9"/>
        <v>0</v>
      </c>
      <c r="F47" s="370"/>
      <c r="G47" s="425">
        <f>'29'!G48</f>
        <v>0</v>
      </c>
      <c r="H47" s="1512" t="s">
        <v>162</v>
      </c>
      <c r="I47" s="1513"/>
      <c r="J47" s="423">
        <f>'29'!J48</f>
        <v>0</v>
      </c>
      <c r="K47" s="423">
        <f>'29'!K48</f>
        <v>0</v>
      </c>
      <c r="L47" s="343"/>
      <c r="M47" s="344"/>
      <c r="N47" s="345"/>
      <c r="P47" s="375" t="s">
        <v>163</v>
      </c>
      <c r="Q47" s="378">
        <f>Q9+Q10+Q19+Q20+Q21+Q22</f>
        <v>0</v>
      </c>
      <c r="R47" s="19"/>
      <c r="S47" s="1489" t="s">
        <v>92</v>
      </c>
      <c r="T47" s="1516" t="s">
        <v>95</v>
      </c>
      <c r="U47" s="1518"/>
      <c r="V47" s="1518"/>
      <c r="W47" s="1517"/>
      <c r="X47" s="1516" t="s">
        <v>7</v>
      </c>
      <c r="Y47" s="1518"/>
      <c r="Z47" s="1517"/>
      <c r="AA47" s="1516" t="s">
        <v>8</v>
      </c>
      <c r="AB47" s="1517"/>
      <c r="AC47" s="1516" t="s">
        <v>9</v>
      </c>
      <c r="AD47" s="1518"/>
      <c r="AE47" s="1518"/>
      <c r="AF47" s="1518"/>
      <c r="AG47" s="1518"/>
      <c r="AH47" s="1518"/>
      <c r="AI47" s="1518"/>
      <c r="AJ47" s="1405" t="s">
        <v>10</v>
      </c>
      <c r="AK47" s="1406"/>
      <c r="AL47" s="1400" t="s">
        <v>289</v>
      </c>
      <c r="AM47" s="1401"/>
      <c r="AN47" s="842" t="s">
        <v>290</v>
      </c>
    </row>
    <row r="48" spans="1:40" ht="27" customHeight="1" thickTop="1" thickBot="1">
      <c r="A48" s="192" t="s">
        <v>74</v>
      </c>
      <c r="B48" s="544">
        <f>SUM(B22:B47)</f>
        <v>0</v>
      </c>
      <c r="C48" s="543">
        <f>'29'!D48</f>
        <v>4818050</v>
      </c>
      <c r="D48" s="544">
        <f t="shared" si="9"/>
        <v>4818050</v>
      </c>
      <c r="F48" s="371"/>
      <c r="G48" s="426">
        <f>G46+G47</f>
        <v>0</v>
      </c>
      <c r="H48" s="1495" t="s">
        <v>164</v>
      </c>
      <c r="I48" s="1496"/>
      <c r="J48" s="422">
        <f>J46+J47</f>
        <v>0</v>
      </c>
      <c r="K48" s="428">
        <f>K46+K47</f>
        <v>0</v>
      </c>
      <c r="L48" s="346"/>
      <c r="M48" s="347"/>
      <c r="N48" s="622">
        <f>G48-J48</f>
        <v>0</v>
      </c>
      <c r="P48" s="376" t="s">
        <v>155</v>
      </c>
      <c r="Q48" s="379">
        <f>Q45-Q46-Q47</f>
        <v>-4818050</v>
      </c>
      <c r="R48" s="19"/>
      <c r="S48" s="1490"/>
      <c r="T48" s="482" t="s">
        <v>12</v>
      </c>
      <c r="U48" s="482" t="s">
        <v>13</v>
      </c>
      <c r="V48" s="482" t="s">
        <v>14</v>
      </c>
      <c r="W48" s="958" t="s">
        <v>263</v>
      </c>
      <c r="X48" s="482" t="s">
        <v>12</v>
      </c>
      <c r="Y48" s="482" t="s">
        <v>13</v>
      </c>
      <c r="Z48" s="482" t="s">
        <v>282</v>
      </c>
      <c r="AA48" s="482" t="s">
        <v>12</v>
      </c>
      <c r="AB48" s="482" t="s">
        <v>16</v>
      </c>
      <c r="AC48" s="482" t="s">
        <v>17</v>
      </c>
      <c r="AD48" s="482" t="s">
        <v>18</v>
      </c>
      <c r="AE48" s="482" t="s">
        <v>19</v>
      </c>
      <c r="AF48" s="484" t="s">
        <v>96</v>
      </c>
      <c r="AG48" s="484" t="s">
        <v>257</v>
      </c>
      <c r="AH48" s="482" t="s">
        <v>254</v>
      </c>
      <c r="AI48" s="482" t="s">
        <v>20</v>
      </c>
      <c r="AJ48" s="483" t="s">
        <v>13</v>
      </c>
      <c r="AK48" s="482" t="s">
        <v>14</v>
      </c>
      <c r="AL48" s="846" t="s">
        <v>284</v>
      </c>
      <c r="AM48" s="846" t="s">
        <v>288</v>
      </c>
      <c r="AN48" s="966" t="s">
        <v>291</v>
      </c>
    </row>
    <row r="49" spans="1:40" ht="24.95" customHeight="1" thickTop="1" thickBot="1">
      <c r="Q49" s="111">
        <f>Q48+Q41</f>
        <v>-4818050</v>
      </c>
      <c r="R49" s="19"/>
      <c r="S49" s="865" t="s">
        <v>165</v>
      </c>
      <c r="T49" s="866">
        <f>'29'!T55</f>
        <v>62</v>
      </c>
      <c r="U49" s="866">
        <f>'29'!U55</f>
        <v>0</v>
      </c>
      <c r="V49" s="866">
        <f>'29'!V55</f>
        <v>184</v>
      </c>
      <c r="W49" s="866">
        <f>'29'!W55</f>
        <v>19</v>
      </c>
      <c r="X49" s="866">
        <f>'29'!X55</f>
        <v>0</v>
      </c>
      <c r="Y49" s="866">
        <f>'29'!Y55</f>
        <v>0</v>
      </c>
      <c r="Z49" s="866">
        <f>'29'!Z55</f>
        <v>525</v>
      </c>
      <c r="AA49" s="866">
        <f>'29'!AA55</f>
        <v>5632</v>
      </c>
      <c r="AB49" s="866">
        <f>'29'!AB55</f>
        <v>160</v>
      </c>
      <c r="AC49" s="866">
        <f>'29'!AC55</f>
        <v>3220</v>
      </c>
      <c r="AD49" s="866">
        <f>'29'!AD55</f>
        <v>1292</v>
      </c>
      <c r="AE49" s="866">
        <f>'29'!AE55</f>
        <v>0</v>
      </c>
      <c r="AF49" s="866">
        <f>'29'!AF55</f>
        <v>3752</v>
      </c>
      <c r="AG49" s="866">
        <f>'29'!AG55</f>
        <v>1082</v>
      </c>
      <c r="AH49" s="866">
        <f>'29'!AH55</f>
        <v>2011</v>
      </c>
      <c r="AI49" s="866">
        <f>'29'!AI55</f>
        <v>631</v>
      </c>
      <c r="AJ49" s="866">
        <f>'29'!AJ55</f>
        <v>0</v>
      </c>
      <c r="AK49" s="866">
        <f>'29'!AK55</f>
        <v>123</v>
      </c>
      <c r="AL49" s="866" t="e">
        <f>'29'!AL55</f>
        <v>#VALUE!</v>
      </c>
      <c r="AM49" s="866" t="e">
        <f>'29'!AM55</f>
        <v>#VALUE!</v>
      </c>
      <c r="AN49" s="866" t="e">
        <f>'29'!AN55</f>
        <v>#VALUE!</v>
      </c>
    </row>
    <row r="50" spans="1:40" ht="24.95" customHeight="1" thickBot="1">
      <c r="C50" t="s">
        <v>1</v>
      </c>
      <c r="L50" s="417">
        <v>5000</v>
      </c>
      <c r="M50" s="417"/>
      <c r="N50" s="417">
        <f t="shared" ref="N50:N57" si="10">L50*M50</f>
        <v>0</v>
      </c>
      <c r="R50" s="19"/>
      <c r="S50" s="854" t="s">
        <v>166</v>
      </c>
      <c r="T50" s="852"/>
      <c r="U50" s="852"/>
      <c r="V50" s="852"/>
      <c r="W50" s="852"/>
      <c r="X50" s="852"/>
      <c r="Y50" s="852"/>
      <c r="Z50" s="852"/>
      <c r="AA50" s="852"/>
      <c r="AB50" s="852"/>
      <c r="AC50" s="852"/>
      <c r="AD50" s="852"/>
      <c r="AE50" s="852"/>
      <c r="AF50" s="855"/>
      <c r="AG50" s="852"/>
      <c r="AH50" s="852"/>
      <c r="AI50" s="848"/>
      <c r="AJ50" s="848"/>
      <c r="AK50" s="1011"/>
      <c r="AL50" s="849"/>
      <c r="AM50" s="850"/>
      <c r="AN50" s="930"/>
    </row>
    <row r="51" spans="1:40" ht="24.95" customHeight="1" thickBot="1">
      <c r="L51" s="417">
        <v>1000</v>
      </c>
      <c r="M51" s="417"/>
      <c r="N51" s="417">
        <f t="shared" si="10"/>
        <v>0</v>
      </c>
      <c r="R51" s="19"/>
      <c r="S51" s="867" t="s">
        <v>91</v>
      </c>
      <c r="T51" s="868"/>
      <c r="U51" s="868"/>
      <c r="V51" s="868"/>
      <c r="W51" s="868"/>
      <c r="X51" s="868"/>
      <c r="Y51" s="868"/>
      <c r="Z51" s="868"/>
      <c r="AA51" s="868"/>
      <c r="AB51" s="868"/>
      <c r="AC51" s="868"/>
      <c r="AD51" s="868"/>
      <c r="AE51" s="868"/>
      <c r="AF51" s="869"/>
      <c r="AG51" s="868"/>
      <c r="AH51" s="870"/>
      <c r="AI51" s="868"/>
      <c r="AJ51" s="868"/>
      <c r="AK51" s="849"/>
      <c r="AL51" s="849"/>
      <c r="AM51" s="850"/>
      <c r="AN51" s="850"/>
    </row>
    <row r="52" spans="1:40" ht="24.95" customHeight="1" thickBot="1">
      <c r="L52" s="417">
        <v>500</v>
      </c>
      <c r="M52" s="417"/>
      <c r="N52" s="417">
        <f t="shared" si="10"/>
        <v>0</v>
      </c>
      <c r="O52" t="s">
        <v>1</v>
      </c>
      <c r="R52" s="19"/>
      <c r="S52" s="856" t="s">
        <v>167</v>
      </c>
      <c r="T52" s="857"/>
      <c r="U52" s="857"/>
      <c r="V52" s="857"/>
      <c r="W52" s="857"/>
      <c r="X52" s="857"/>
      <c r="Y52" s="857"/>
      <c r="Z52" s="857"/>
      <c r="AA52" s="857"/>
      <c r="AB52" s="857"/>
      <c r="AC52" s="857"/>
      <c r="AD52" s="857"/>
      <c r="AE52" s="857"/>
      <c r="AF52" s="858"/>
      <c r="AG52" s="859"/>
      <c r="AH52" s="860"/>
      <c r="AI52" s="851"/>
      <c r="AJ52" s="851"/>
      <c r="AK52" s="849"/>
      <c r="AL52" s="849"/>
      <c r="AM52" s="850"/>
      <c r="AN52" s="850"/>
    </row>
    <row r="53" spans="1:40" ht="24.95" customHeight="1" thickBot="1">
      <c r="L53" s="417">
        <v>100</v>
      </c>
      <c r="M53" s="417"/>
      <c r="N53" s="417">
        <f t="shared" si="10"/>
        <v>0</v>
      </c>
      <c r="R53" s="19"/>
      <c r="S53" s="871" t="s">
        <v>81</v>
      </c>
      <c r="T53" s="866">
        <f t="shared" ref="T53:AB53" si="11">SUM(T49+T50+T52)</f>
        <v>62</v>
      </c>
      <c r="U53" s="866">
        <f t="shared" si="11"/>
        <v>0</v>
      </c>
      <c r="V53" s="866">
        <f t="shared" si="11"/>
        <v>184</v>
      </c>
      <c r="W53" s="866">
        <f t="shared" si="11"/>
        <v>19</v>
      </c>
      <c r="X53" s="866">
        <f t="shared" si="11"/>
        <v>0</v>
      </c>
      <c r="Y53" s="866">
        <f t="shared" si="11"/>
        <v>0</v>
      </c>
      <c r="Z53" s="866">
        <f t="shared" si="11"/>
        <v>525</v>
      </c>
      <c r="AA53" s="866">
        <f t="shared" si="11"/>
        <v>5632</v>
      </c>
      <c r="AB53" s="866">
        <f t="shared" si="11"/>
        <v>160</v>
      </c>
      <c r="AC53" s="866">
        <f t="shared" ref="AC53:AM53" si="12">SUM(AC49+AC50+AC52)</f>
        <v>3220</v>
      </c>
      <c r="AD53" s="866">
        <f t="shared" si="12"/>
        <v>1292</v>
      </c>
      <c r="AE53" s="866">
        <f t="shared" si="12"/>
        <v>0</v>
      </c>
      <c r="AF53" s="866">
        <f t="shared" si="12"/>
        <v>3752</v>
      </c>
      <c r="AG53" s="866">
        <f t="shared" si="12"/>
        <v>1082</v>
      </c>
      <c r="AH53" s="866">
        <f t="shared" si="12"/>
        <v>2011</v>
      </c>
      <c r="AI53" s="866">
        <f t="shared" si="12"/>
        <v>631</v>
      </c>
      <c r="AJ53" s="866">
        <f t="shared" si="12"/>
        <v>0</v>
      </c>
      <c r="AK53" s="866">
        <f t="shared" si="12"/>
        <v>123</v>
      </c>
      <c r="AL53" s="866" t="e">
        <f t="shared" si="12"/>
        <v>#VALUE!</v>
      </c>
      <c r="AM53" s="872" t="e">
        <f t="shared" si="12"/>
        <v>#VALUE!</v>
      </c>
      <c r="AN53" s="872" t="e">
        <f t="shared" ref="AN53" si="13">SUM(AN49+AN50+AN52)</f>
        <v>#VALUE!</v>
      </c>
    </row>
    <row r="54" spans="1:40" ht="24.95" customHeight="1" thickBot="1">
      <c r="L54" s="417">
        <v>50</v>
      </c>
      <c r="M54" s="417"/>
      <c r="N54" s="417">
        <f t="shared" si="10"/>
        <v>0</v>
      </c>
      <c r="R54" s="19"/>
      <c r="S54" s="854" t="s">
        <v>168</v>
      </c>
      <c r="T54" s="852">
        <f>'CUSTOMERS REPORT'!B37+'CUSTOMERS REPORT'!B83+'CUSTOMERS REPORT'!B121+'CUSTOMERS REPORT'!B160+'CUSTOMERS REPORT'!B198+'CUSTOMERS REPORT'!B238+'CUSTOMERS REPORT'!B275+'CUSTOMERS REPORT'!B315+'CUSTOMERS REPORT'!B356+'CUSTOMERS REPORT'!B398+'CUSTOMERS REPORT'!B437+'CUSTOMERS REPORT'!B475+'CUSTOMERS REPORT'!B511+'CUSTOMERS REPORT'!B548+'CUSTOMERS REPORT'!B586+'CUSTOMERS REPORT'!B622+'CUSTOMERS REPORT'!B660+'CUSTOMERS REPORT'!B698+'CUSTOMERS REPORT'!B736+'CUSTOMERS REPORT'!B774+'CUSTOMERS REPORT'!B812+'CUSTOMERS REPORT'!B850+'CUSTOMERS REPORT'!B888+'CUSTOMERS REPORT'!B927+'CUSTOMERS REPORT'!B966+'CUSTOMERS REPORT'!B1004+'CUSTOMERS REPORT'!B1042+'CUSTOMERS REPORT'!B1080+'CUSTOMERS REPORT'!B1118+'CUSTOMERS REPORT'!B1156+'CUSTOMERS REPORT'!B1230</f>
        <v>0</v>
      </c>
      <c r="U54" s="852">
        <f>'CUSTOMERS REPORT'!C37+'CUSTOMERS REPORT'!C83+'CUSTOMERS REPORT'!C121+'CUSTOMERS REPORT'!C160+'CUSTOMERS REPORT'!C198+'CUSTOMERS REPORT'!C238+'CUSTOMERS REPORT'!C275+'CUSTOMERS REPORT'!C315+'CUSTOMERS REPORT'!C356+'CUSTOMERS REPORT'!C398+'CUSTOMERS REPORT'!C437+'CUSTOMERS REPORT'!C475+'CUSTOMERS REPORT'!C511+'CUSTOMERS REPORT'!C548+'CUSTOMERS REPORT'!C586+'CUSTOMERS REPORT'!C622+'CUSTOMERS REPORT'!C660+'CUSTOMERS REPORT'!C698+'CUSTOMERS REPORT'!C736+'CUSTOMERS REPORT'!C774+'CUSTOMERS REPORT'!C812+'CUSTOMERS REPORT'!C850+'CUSTOMERS REPORT'!C888+'CUSTOMERS REPORT'!C927+'CUSTOMERS REPORT'!C966+'CUSTOMERS REPORT'!C1004+'CUSTOMERS REPORT'!C1042+'CUSTOMERS REPORT'!C1080+'CUSTOMERS REPORT'!C1118+'CUSTOMERS REPORT'!C1156+'CUSTOMERS REPORT'!C1230</f>
        <v>0</v>
      </c>
      <c r="V54" s="852">
        <f>'CUSTOMERS REPORT'!D37+'CUSTOMERS REPORT'!D83+'CUSTOMERS REPORT'!D121+'CUSTOMERS REPORT'!D160+'CUSTOMERS REPORT'!D198+'CUSTOMERS REPORT'!D238+'CUSTOMERS REPORT'!D275+'CUSTOMERS REPORT'!D315+'CUSTOMERS REPORT'!D356+'CUSTOMERS REPORT'!D398+'CUSTOMERS REPORT'!D437+'CUSTOMERS REPORT'!D475+'CUSTOMERS REPORT'!D511+'CUSTOMERS REPORT'!D548+'CUSTOMERS REPORT'!D586+'CUSTOMERS REPORT'!D622+'CUSTOMERS REPORT'!D660+'CUSTOMERS REPORT'!D698+'CUSTOMERS REPORT'!D736+'CUSTOMERS REPORT'!D774+'CUSTOMERS REPORT'!D812+'CUSTOMERS REPORT'!D850+'CUSTOMERS REPORT'!D888+'CUSTOMERS REPORT'!D927+'CUSTOMERS REPORT'!D966+'CUSTOMERS REPORT'!D1004+'CUSTOMERS REPORT'!D1042+'CUSTOMERS REPORT'!D1080+'CUSTOMERS REPORT'!D1118+'CUSTOMERS REPORT'!D1156+'CUSTOMERS REPORT'!D1230</f>
        <v>0</v>
      </c>
      <c r="W54" s="852">
        <f>'CUSTOMERS REPORT'!E37+'CUSTOMERS REPORT'!E83+'CUSTOMERS REPORT'!E121+'CUSTOMERS REPORT'!E160+'CUSTOMERS REPORT'!E198+'CUSTOMERS REPORT'!E238+'CUSTOMERS REPORT'!E275+'CUSTOMERS REPORT'!E315+'CUSTOMERS REPORT'!E356+'CUSTOMERS REPORT'!E398+'CUSTOMERS REPORT'!E437+'CUSTOMERS REPORT'!E475+'CUSTOMERS REPORT'!E511+'CUSTOMERS REPORT'!E548+'CUSTOMERS REPORT'!E586+'CUSTOMERS REPORT'!E622+'CUSTOMERS REPORT'!E660+'CUSTOMERS REPORT'!E698+'CUSTOMERS REPORT'!E736+'CUSTOMERS REPORT'!E774+'CUSTOMERS REPORT'!E812+'CUSTOMERS REPORT'!E850+'CUSTOMERS REPORT'!E888+'CUSTOMERS REPORT'!E927+'CUSTOMERS REPORT'!E966+'CUSTOMERS REPORT'!E1004+'CUSTOMERS REPORT'!E1042+'CUSTOMERS REPORT'!E1080+'CUSTOMERS REPORT'!E1118+'CUSTOMERS REPORT'!E1156+'CUSTOMERS REPORT'!E1230</f>
        <v>0</v>
      </c>
      <c r="X54" s="852">
        <f>'CUSTOMERS REPORT'!F37+'CUSTOMERS REPORT'!F83+'CUSTOMERS REPORT'!F121+'CUSTOMERS REPORT'!F160+'CUSTOMERS REPORT'!F198+'CUSTOMERS REPORT'!F238+'CUSTOMERS REPORT'!F275+'CUSTOMERS REPORT'!F315+'CUSTOMERS REPORT'!F356+'CUSTOMERS REPORT'!F398+'CUSTOMERS REPORT'!F437+'CUSTOMERS REPORT'!F475+'CUSTOMERS REPORT'!F511+'CUSTOMERS REPORT'!F548+'CUSTOMERS REPORT'!F586+'CUSTOMERS REPORT'!F622+'CUSTOMERS REPORT'!F660+'CUSTOMERS REPORT'!F698+'CUSTOMERS REPORT'!F736+'CUSTOMERS REPORT'!F774+'CUSTOMERS REPORT'!F812+'CUSTOMERS REPORT'!F850+'CUSTOMERS REPORT'!F888+'CUSTOMERS REPORT'!F927+'CUSTOMERS REPORT'!F966+'CUSTOMERS REPORT'!F1004+'CUSTOMERS REPORT'!F1042+'CUSTOMERS REPORT'!F1080+'CUSTOMERS REPORT'!F1118+'CUSTOMERS REPORT'!F1156+'CUSTOMERS REPORT'!F1230</f>
        <v>0</v>
      </c>
      <c r="Y54" s="852">
        <f>'CUSTOMERS REPORT'!G37+'CUSTOMERS REPORT'!G83+'CUSTOMERS REPORT'!G121+'CUSTOMERS REPORT'!G160+'CUSTOMERS REPORT'!G198+'CUSTOMERS REPORT'!G238+'CUSTOMERS REPORT'!G275+'CUSTOMERS REPORT'!G315+'CUSTOMERS REPORT'!G356+'CUSTOMERS REPORT'!G398+'CUSTOMERS REPORT'!G437+'CUSTOMERS REPORT'!G475+'CUSTOMERS REPORT'!G511+'CUSTOMERS REPORT'!G548+'CUSTOMERS REPORT'!G586+'CUSTOMERS REPORT'!G622+'CUSTOMERS REPORT'!G660+'CUSTOMERS REPORT'!G698+'CUSTOMERS REPORT'!G736+'CUSTOMERS REPORT'!G774+'CUSTOMERS REPORT'!G812+'CUSTOMERS REPORT'!G850+'CUSTOMERS REPORT'!G888+'CUSTOMERS REPORT'!G927+'CUSTOMERS REPORT'!G966+'CUSTOMERS REPORT'!G1004+'CUSTOMERS REPORT'!G1042+'CUSTOMERS REPORT'!G1080+'CUSTOMERS REPORT'!G1118+'CUSTOMERS REPORT'!G1156+'CUSTOMERS REPORT'!G1230</f>
        <v>0</v>
      </c>
      <c r="Z54" s="852">
        <f>'CUSTOMERS REPORT'!H37+'CUSTOMERS REPORT'!H83+'CUSTOMERS REPORT'!H121+'CUSTOMERS REPORT'!H160+'CUSTOMERS REPORT'!H198+'CUSTOMERS REPORT'!H238+'CUSTOMERS REPORT'!H275+'CUSTOMERS REPORT'!H315+'CUSTOMERS REPORT'!H356+'CUSTOMERS REPORT'!H398+'CUSTOMERS REPORT'!H437+'CUSTOMERS REPORT'!H475+'CUSTOMERS REPORT'!H511+'CUSTOMERS REPORT'!H548+'CUSTOMERS REPORT'!H586+'CUSTOMERS REPORT'!H622+'CUSTOMERS REPORT'!H660+'CUSTOMERS REPORT'!H698+'CUSTOMERS REPORT'!H736+'CUSTOMERS REPORT'!H774+'CUSTOMERS REPORT'!H812+'CUSTOMERS REPORT'!H850+'CUSTOMERS REPORT'!H888+'CUSTOMERS REPORT'!H927+'CUSTOMERS REPORT'!H966+'CUSTOMERS REPORT'!H1004+'CUSTOMERS REPORT'!H1042+'CUSTOMERS REPORT'!H1080+'CUSTOMERS REPORT'!H1118+'CUSTOMERS REPORT'!H1156+'CUSTOMERS REPORT'!H1230</f>
        <v>0</v>
      </c>
      <c r="AA54" s="852">
        <f>'CUSTOMERS REPORT'!I37+'CUSTOMERS REPORT'!I83+'CUSTOMERS REPORT'!I121+'CUSTOMERS REPORT'!I160+'CUSTOMERS REPORT'!I198+'CUSTOMERS REPORT'!I238+'CUSTOMERS REPORT'!I275+'CUSTOMERS REPORT'!I315+'CUSTOMERS REPORT'!I356+'CUSTOMERS REPORT'!I398+'CUSTOMERS REPORT'!I437+'CUSTOMERS REPORT'!I475+'CUSTOMERS REPORT'!I511+'CUSTOMERS REPORT'!I548+'CUSTOMERS REPORT'!I586+'CUSTOMERS REPORT'!I622+'CUSTOMERS REPORT'!I660+'CUSTOMERS REPORT'!I698+'CUSTOMERS REPORT'!I736+'CUSTOMERS REPORT'!I774+'CUSTOMERS REPORT'!I812+'CUSTOMERS REPORT'!I850+'CUSTOMERS REPORT'!I888+'CUSTOMERS REPORT'!I927+'CUSTOMERS REPORT'!I966+'CUSTOMERS REPORT'!I1004+'CUSTOMERS REPORT'!I1042+'CUSTOMERS REPORT'!I1080+'CUSTOMERS REPORT'!I1118+'CUSTOMERS REPORT'!I1156+'CUSTOMERS REPORT'!I1230</f>
        <v>0</v>
      </c>
      <c r="AB54" s="852">
        <f>'CUSTOMERS REPORT'!J37+'CUSTOMERS REPORT'!J83+'CUSTOMERS REPORT'!J121+'CUSTOMERS REPORT'!J160+'CUSTOMERS REPORT'!J198+'CUSTOMERS REPORT'!J238+'CUSTOMERS REPORT'!J275+'CUSTOMERS REPORT'!J315+'CUSTOMERS REPORT'!J356+'CUSTOMERS REPORT'!J398+'CUSTOMERS REPORT'!J437+'CUSTOMERS REPORT'!J475+'CUSTOMERS REPORT'!J511+'CUSTOMERS REPORT'!J548+'CUSTOMERS REPORT'!J586+'CUSTOMERS REPORT'!J622+'CUSTOMERS REPORT'!J660+'CUSTOMERS REPORT'!J698+'CUSTOMERS REPORT'!J736+'CUSTOMERS REPORT'!J774+'CUSTOMERS REPORT'!J812+'CUSTOMERS REPORT'!J850+'CUSTOMERS REPORT'!J888+'CUSTOMERS REPORT'!J927+'CUSTOMERS REPORT'!J966+'CUSTOMERS REPORT'!J1004+'CUSTOMERS REPORT'!J1042+'CUSTOMERS REPORT'!J1080+'CUSTOMERS REPORT'!J1118+'CUSTOMERS REPORT'!J1156+'CUSTOMERS REPORT'!J1230</f>
        <v>0</v>
      </c>
      <c r="AC54" s="852">
        <f>'CUSTOMERS REPORT'!K37+'CUSTOMERS REPORT'!K83+'CUSTOMERS REPORT'!K121+'CUSTOMERS REPORT'!K160+'CUSTOMERS REPORT'!K198+'CUSTOMERS REPORT'!K238+'CUSTOMERS REPORT'!K275+'CUSTOMERS REPORT'!K315+'CUSTOMERS REPORT'!K356+'CUSTOMERS REPORT'!K398+'CUSTOMERS REPORT'!K437+'CUSTOMERS REPORT'!K475+'CUSTOMERS REPORT'!K511+'CUSTOMERS REPORT'!K548+'CUSTOMERS REPORT'!K586+'CUSTOMERS REPORT'!K622+'CUSTOMERS REPORT'!K660+'CUSTOMERS REPORT'!K698+'CUSTOMERS REPORT'!K736+'CUSTOMERS REPORT'!K774+'CUSTOMERS REPORT'!K812+'CUSTOMERS REPORT'!K850+'CUSTOMERS REPORT'!K888+'CUSTOMERS REPORT'!K927+'CUSTOMERS REPORT'!K966+'CUSTOMERS REPORT'!K1004+'CUSTOMERS REPORT'!K1042+'CUSTOMERS REPORT'!K1080+'CUSTOMERS REPORT'!K1118+'CUSTOMERS REPORT'!K1156+'CUSTOMERS REPORT'!K1230</f>
        <v>0</v>
      </c>
      <c r="AD54" s="852">
        <f>'CUSTOMERS REPORT'!L37+'CUSTOMERS REPORT'!L83+'CUSTOMERS REPORT'!L121+'CUSTOMERS REPORT'!L160+'CUSTOMERS REPORT'!L198+'CUSTOMERS REPORT'!L238+'CUSTOMERS REPORT'!L275+'CUSTOMERS REPORT'!L315+'CUSTOMERS REPORT'!L356+'CUSTOMERS REPORT'!L398+'CUSTOMERS REPORT'!L437+'CUSTOMERS REPORT'!L475+'CUSTOMERS REPORT'!L511+'CUSTOMERS REPORT'!L548+'CUSTOMERS REPORT'!L586+'CUSTOMERS REPORT'!L622+'CUSTOMERS REPORT'!L660+'CUSTOMERS REPORT'!L698+'CUSTOMERS REPORT'!L736+'CUSTOMERS REPORT'!L774+'CUSTOMERS REPORT'!L812+'CUSTOMERS REPORT'!L850+'CUSTOMERS REPORT'!L888+'CUSTOMERS REPORT'!L927+'CUSTOMERS REPORT'!L966+'CUSTOMERS REPORT'!L1004+'CUSTOMERS REPORT'!L1042+'CUSTOMERS REPORT'!L1080+'CUSTOMERS REPORT'!L1118+'CUSTOMERS REPORT'!L1156+'CUSTOMERS REPORT'!L1230</f>
        <v>0</v>
      </c>
      <c r="AE54" s="852">
        <f>'CUSTOMERS REPORT'!M37+'CUSTOMERS REPORT'!M83+'CUSTOMERS REPORT'!M121+'CUSTOMERS REPORT'!M160+'CUSTOMERS REPORT'!M198+'CUSTOMERS REPORT'!M238+'CUSTOMERS REPORT'!M275+'CUSTOMERS REPORT'!M315+'CUSTOMERS REPORT'!M356+'CUSTOMERS REPORT'!M398+'CUSTOMERS REPORT'!M437+'CUSTOMERS REPORT'!M475+'CUSTOMERS REPORT'!M511+'CUSTOMERS REPORT'!M548+'CUSTOMERS REPORT'!M586+'CUSTOMERS REPORT'!M622+'CUSTOMERS REPORT'!M660+'CUSTOMERS REPORT'!M698+'CUSTOMERS REPORT'!M736+'CUSTOMERS REPORT'!M774+'CUSTOMERS REPORT'!M812+'CUSTOMERS REPORT'!M850+'CUSTOMERS REPORT'!M888+'CUSTOMERS REPORT'!M927+'CUSTOMERS REPORT'!M966+'CUSTOMERS REPORT'!M1004+'CUSTOMERS REPORT'!M1042+'CUSTOMERS REPORT'!M1080+'CUSTOMERS REPORT'!M1118+'CUSTOMERS REPORT'!M1156+'CUSTOMERS REPORT'!M1230</f>
        <v>0</v>
      </c>
      <c r="AF54" s="852">
        <f>'CUSTOMERS REPORT'!N37+'CUSTOMERS REPORT'!N83+'CUSTOMERS REPORT'!N121+'CUSTOMERS REPORT'!N160+'CUSTOMERS REPORT'!N198+'CUSTOMERS REPORT'!N238+'CUSTOMERS REPORT'!N275+'CUSTOMERS REPORT'!N315+'CUSTOMERS REPORT'!N356+'CUSTOMERS REPORT'!N398+'CUSTOMERS REPORT'!N437+'CUSTOMERS REPORT'!N475+'CUSTOMERS REPORT'!N511+'CUSTOMERS REPORT'!N548+'CUSTOMERS REPORT'!N586+'CUSTOMERS REPORT'!N622+'CUSTOMERS REPORT'!N660+'CUSTOMERS REPORT'!N698+'CUSTOMERS REPORT'!N736+'CUSTOMERS REPORT'!N774+'CUSTOMERS REPORT'!N812+'CUSTOMERS REPORT'!N850+'CUSTOMERS REPORT'!N888+'CUSTOMERS REPORT'!N927+'CUSTOMERS REPORT'!N966+'CUSTOMERS REPORT'!N1004+'CUSTOMERS REPORT'!N1042+'CUSTOMERS REPORT'!N1080+'CUSTOMERS REPORT'!N1118+'CUSTOMERS REPORT'!N1156+'CUSTOMERS REPORT'!N1230</f>
        <v>0</v>
      </c>
      <c r="AG54" s="852">
        <f>'CUSTOMERS REPORT'!O37+'CUSTOMERS REPORT'!O83+'CUSTOMERS REPORT'!O121+'CUSTOMERS REPORT'!O160+'CUSTOMERS REPORT'!O198+'CUSTOMERS REPORT'!O238+'CUSTOMERS REPORT'!O275+'CUSTOMERS REPORT'!O315+'CUSTOMERS REPORT'!O356+'CUSTOMERS REPORT'!O398+'CUSTOMERS REPORT'!O437+'CUSTOMERS REPORT'!O475+'CUSTOMERS REPORT'!O511+'CUSTOMERS REPORT'!O548+'CUSTOMERS REPORT'!O586+'CUSTOMERS REPORT'!O622+'CUSTOMERS REPORT'!O660+'CUSTOMERS REPORT'!O698+'CUSTOMERS REPORT'!O736+'CUSTOMERS REPORT'!O774+'CUSTOMERS REPORT'!O812+'CUSTOMERS REPORT'!O850+'CUSTOMERS REPORT'!O888+'CUSTOMERS REPORT'!O927+'CUSTOMERS REPORT'!O966+'CUSTOMERS REPORT'!O1004+'CUSTOMERS REPORT'!O1042+'CUSTOMERS REPORT'!O1080+'CUSTOMERS REPORT'!O1118+'CUSTOMERS REPORT'!O1156+'CUSTOMERS REPORT'!O1230</f>
        <v>0</v>
      </c>
      <c r="AH54" s="852">
        <f>'CUSTOMERS REPORT'!P37+'CUSTOMERS REPORT'!P83+'CUSTOMERS REPORT'!P121+'CUSTOMERS REPORT'!P160+'CUSTOMERS REPORT'!P198+'CUSTOMERS REPORT'!P238+'CUSTOMERS REPORT'!P275+'CUSTOMERS REPORT'!P315+'CUSTOMERS REPORT'!P356+'CUSTOMERS REPORT'!P398+'CUSTOMERS REPORT'!P437+'CUSTOMERS REPORT'!P475+'CUSTOMERS REPORT'!P511+'CUSTOMERS REPORT'!P548+'CUSTOMERS REPORT'!P586+'CUSTOMERS REPORT'!P622+'CUSTOMERS REPORT'!P660+'CUSTOMERS REPORT'!P698+'CUSTOMERS REPORT'!P736+'CUSTOMERS REPORT'!P774+'CUSTOMERS REPORT'!P812+'CUSTOMERS REPORT'!P850+'CUSTOMERS REPORT'!P888+'CUSTOMERS REPORT'!P927+'CUSTOMERS REPORT'!P966+'CUSTOMERS REPORT'!P1004+'CUSTOMERS REPORT'!P1042+'CUSTOMERS REPORT'!P1080+'CUSTOMERS REPORT'!P1118+'CUSTOMERS REPORT'!P1156+'CUSTOMERS REPORT'!P1230</f>
        <v>0</v>
      </c>
      <c r="AI54" s="852">
        <f>'CUSTOMERS REPORT'!Q37+'CUSTOMERS REPORT'!Q83+'CUSTOMERS REPORT'!Q121+'CUSTOMERS REPORT'!Q160+'CUSTOMERS REPORT'!Q198+'CUSTOMERS REPORT'!Q238+'CUSTOMERS REPORT'!Q275+'CUSTOMERS REPORT'!Q315+'CUSTOMERS REPORT'!Q356+'CUSTOMERS REPORT'!Q398+'CUSTOMERS REPORT'!Q437+'CUSTOMERS REPORT'!Q475+'CUSTOMERS REPORT'!Q511+'CUSTOMERS REPORT'!Q548+'CUSTOMERS REPORT'!Q586+'CUSTOMERS REPORT'!Q622+'CUSTOMERS REPORT'!Q660+'CUSTOMERS REPORT'!Q698+'CUSTOMERS REPORT'!Q736+'CUSTOMERS REPORT'!Q774+'CUSTOMERS REPORT'!Q812+'CUSTOMERS REPORT'!Q850+'CUSTOMERS REPORT'!Q888+'CUSTOMERS REPORT'!Q927+'CUSTOMERS REPORT'!Q966+'CUSTOMERS REPORT'!Q1004+'CUSTOMERS REPORT'!Q1042+'CUSTOMERS REPORT'!Q1080+'CUSTOMERS REPORT'!Q1118+'CUSTOMERS REPORT'!Q1156+'CUSTOMERS REPORT'!Q1230</f>
        <v>0</v>
      </c>
      <c r="AJ54" s="852">
        <f>'CUSTOMERS REPORT'!R37+'CUSTOMERS REPORT'!R83+'CUSTOMERS REPORT'!R121+'CUSTOMERS REPORT'!R160+'CUSTOMERS REPORT'!R198+'CUSTOMERS REPORT'!R238+'CUSTOMERS REPORT'!R275+'CUSTOMERS REPORT'!R315+'CUSTOMERS REPORT'!R356+'CUSTOMERS REPORT'!R398+'CUSTOMERS REPORT'!R437+'CUSTOMERS REPORT'!R475+'CUSTOMERS REPORT'!R511+'CUSTOMERS REPORT'!R548+'CUSTOMERS REPORT'!R586+'CUSTOMERS REPORT'!R622+'CUSTOMERS REPORT'!R660+'CUSTOMERS REPORT'!R698+'CUSTOMERS REPORT'!R736+'CUSTOMERS REPORT'!R774+'CUSTOMERS REPORT'!R812+'CUSTOMERS REPORT'!R850+'CUSTOMERS REPORT'!R888+'CUSTOMERS REPORT'!R927+'CUSTOMERS REPORT'!R966+'CUSTOMERS REPORT'!R1004+'CUSTOMERS REPORT'!R1042+'CUSTOMERS REPORT'!R1080+'CUSTOMERS REPORT'!R1118+'CUSTOMERS REPORT'!R1156+'CUSTOMERS REPORT'!R1230</f>
        <v>0</v>
      </c>
      <c r="AK54" s="852">
        <f>'CUSTOMERS REPORT'!S37+'CUSTOMERS REPORT'!S83+'CUSTOMERS REPORT'!S121+'CUSTOMERS REPORT'!S160+'CUSTOMERS REPORT'!S198+'CUSTOMERS REPORT'!S238+'CUSTOMERS REPORT'!S275+'CUSTOMERS REPORT'!S315+'CUSTOMERS REPORT'!S356+'CUSTOMERS REPORT'!S398+'CUSTOMERS REPORT'!S437+'CUSTOMERS REPORT'!S475+'CUSTOMERS REPORT'!S511+'CUSTOMERS REPORT'!S548+'CUSTOMERS REPORT'!S586+'CUSTOMERS REPORT'!S622+'CUSTOMERS REPORT'!S660+'CUSTOMERS REPORT'!S698+'CUSTOMERS REPORT'!S736+'CUSTOMERS REPORT'!S774+'CUSTOMERS REPORT'!S812+'CUSTOMERS REPORT'!S850+'CUSTOMERS REPORT'!S888+'CUSTOMERS REPORT'!S927+'CUSTOMERS REPORT'!S966+'CUSTOMERS REPORT'!S1004+'CUSTOMERS REPORT'!S1042+'CUSTOMERS REPORT'!S1080+'CUSTOMERS REPORT'!S1118+'CUSTOMERS REPORT'!S1156+'CUSTOMERS REPORT'!S1230</f>
        <v>0</v>
      </c>
      <c r="AL54" s="852">
        <f>'CUSTOMERS REPORT'!T37+'CUSTOMERS REPORT'!T83+'CUSTOMERS REPORT'!T121+'CUSTOMERS REPORT'!T160+'CUSTOMERS REPORT'!T198+'CUSTOMERS REPORT'!T238+'CUSTOMERS REPORT'!T275+'CUSTOMERS REPORT'!T315+'CUSTOMERS REPORT'!T356+'CUSTOMERS REPORT'!T398+'CUSTOMERS REPORT'!T437+'CUSTOMERS REPORT'!T475+'CUSTOMERS REPORT'!T511+'CUSTOMERS REPORT'!T548+'CUSTOMERS REPORT'!T586+'CUSTOMERS REPORT'!T622+'CUSTOMERS REPORT'!T660+'CUSTOMERS REPORT'!T698+'CUSTOMERS REPORT'!T736+'CUSTOMERS REPORT'!T774+'CUSTOMERS REPORT'!T812+'CUSTOMERS REPORT'!T850+'CUSTOMERS REPORT'!T888+'CUSTOMERS REPORT'!T927+'CUSTOMERS REPORT'!T966+'CUSTOMERS REPORT'!T1004+'CUSTOMERS REPORT'!T1042+'CUSTOMERS REPORT'!T1080+'CUSTOMERS REPORT'!T1118+'CUSTOMERS REPORT'!T1156</f>
        <v>0</v>
      </c>
      <c r="AM54" s="852">
        <f>'CUSTOMERS REPORT'!U37+'CUSTOMERS REPORT'!U83+'CUSTOMERS REPORT'!U121+'CUSTOMERS REPORT'!U160+'CUSTOMERS REPORT'!U198+'CUSTOMERS REPORT'!U238+'CUSTOMERS REPORT'!U275+'CUSTOMERS REPORT'!U315+'CUSTOMERS REPORT'!U356+'CUSTOMERS REPORT'!U398+'CUSTOMERS REPORT'!U437+'CUSTOMERS REPORT'!U475+'CUSTOMERS REPORT'!U511+'CUSTOMERS REPORT'!U548+'CUSTOMERS REPORT'!U586+'CUSTOMERS REPORT'!U622+'CUSTOMERS REPORT'!U660+'CUSTOMERS REPORT'!U698+'CUSTOMERS REPORT'!U736+'CUSTOMERS REPORT'!U774+'CUSTOMERS REPORT'!U812+'CUSTOMERS REPORT'!U850+'CUSTOMERS REPORT'!U888+'CUSTOMERS REPORT'!U927+'CUSTOMERS REPORT'!U966+'CUSTOMERS REPORT'!U1004+'CUSTOMERS REPORT'!U1042+'CUSTOMERS REPORT'!U1080+'CUSTOMERS REPORT'!U1118+'CUSTOMERS REPORT'!U1156</f>
        <v>0</v>
      </c>
      <c r="AN54" s="852">
        <f>'CUSTOMERS REPORT'!V37+'CUSTOMERS REPORT'!V83+'CUSTOMERS REPORT'!V121+'CUSTOMERS REPORT'!V160+'CUSTOMERS REPORT'!V198+'CUSTOMERS REPORT'!V238+'CUSTOMERS REPORT'!V275+'CUSTOMERS REPORT'!V315+'CUSTOMERS REPORT'!V356+'CUSTOMERS REPORT'!V398+'CUSTOMERS REPORT'!V437+'CUSTOMERS REPORT'!V475+'CUSTOMERS REPORT'!V511+'CUSTOMERS REPORT'!V548+'CUSTOMERS REPORT'!V586+'CUSTOMERS REPORT'!V622+'CUSTOMERS REPORT'!V660+'CUSTOMERS REPORT'!V698+'CUSTOMERS REPORT'!V736+'CUSTOMERS REPORT'!V774+'CUSTOMERS REPORT'!V812+'CUSTOMERS REPORT'!V850+'CUSTOMERS REPORT'!V888+'CUSTOMERS REPORT'!V927+'CUSTOMERS REPORT'!V966+'CUSTOMERS REPORT'!V1004+'CUSTOMERS REPORT'!V1042+'CUSTOMERS REPORT'!V1080+'CUSTOMERS REPORT'!V1118+'CUSTOMERS REPORT'!V1156</f>
        <v>0</v>
      </c>
    </row>
    <row r="55" spans="1:40" ht="24.95" customHeight="1" thickBot="1">
      <c r="L55" s="417">
        <v>20</v>
      </c>
      <c r="M55" s="417"/>
      <c r="N55" s="417">
        <f t="shared" si="10"/>
        <v>0</v>
      </c>
      <c r="R55" s="123">
        <f>'29'!R57</f>
        <v>143</v>
      </c>
      <c r="S55" s="865" t="s">
        <v>169</v>
      </c>
      <c r="T55" s="866">
        <f t="shared" ref="T55:AB55" si="14">T53-T54-T51</f>
        <v>62</v>
      </c>
      <c r="U55" s="866">
        <f t="shared" si="14"/>
        <v>0</v>
      </c>
      <c r="V55" s="866">
        <f t="shared" si="14"/>
        <v>184</v>
      </c>
      <c r="W55" s="866">
        <f t="shared" si="14"/>
        <v>19</v>
      </c>
      <c r="X55" s="866">
        <f t="shared" si="14"/>
        <v>0</v>
      </c>
      <c r="Y55" s="866">
        <f t="shared" si="14"/>
        <v>0</v>
      </c>
      <c r="Z55" s="866">
        <f t="shared" si="14"/>
        <v>525</v>
      </c>
      <c r="AA55" s="866">
        <f t="shared" si="14"/>
        <v>5632</v>
      </c>
      <c r="AB55" s="866">
        <f t="shared" si="14"/>
        <v>160</v>
      </c>
      <c r="AC55" s="866">
        <f t="shared" ref="AC55:AM55" si="15">AC53-AC54-AC51</f>
        <v>3220</v>
      </c>
      <c r="AD55" s="866">
        <f t="shared" si="15"/>
        <v>1292</v>
      </c>
      <c r="AE55" s="866">
        <f t="shared" si="15"/>
        <v>0</v>
      </c>
      <c r="AF55" s="866">
        <f t="shared" si="15"/>
        <v>3752</v>
      </c>
      <c r="AG55" s="866">
        <f t="shared" si="15"/>
        <v>1082</v>
      </c>
      <c r="AH55" s="866">
        <f t="shared" si="15"/>
        <v>2011</v>
      </c>
      <c r="AI55" s="866">
        <f t="shared" si="15"/>
        <v>631</v>
      </c>
      <c r="AJ55" s="866">
        <f t="shared" si="15"/>
        <v>0</v>
      </c>
      <c r="AK55" s="866">
        <f t="shared" si="15"/>
        <v>123</v>
      </c>
      <c r="AL55" s="866" t="e">
        <f t="shared" si="15"/>
        <v>#VALUE!</v>
      </c>
      <c r="AM55" s="872" t="e">
        <f t="shared" si="15"/>
        <v>#VALUE!</v>
      </c>
      <c r="AN55" s="872" t="e">
        <f t="shared" ref="AN55" si="16">AN53-AN54-AN51</f>
        <v>#VALUE!</v>
      </c>
    </row>
    <row r="56" spans="1:40" ht="28.5" thickBot="1">
      <c r="A56" s="114"/>
      <c r="B56" s="120"/>
      <c r="C56" s="115"/>
      <c r="L56" s="417">
        <v>10</v>
      </c>
      <c r="M56" s="417"/>
      <c r="N56" s="417">
        <f t="shared" si="10"/>
        <v>0</v>
      </c>
      <c r="P56" s="417"/>
      <c r="R56" s="123">
        <f>T56+U56+V56+W56+X56+Y56+Z56+AA56+AB56+AC56+AD56+AE56+AF56+AG56+AH56+AI56+AJ56+AK56+AL56+AM56+AN56</f>
        <v>0</v>
      </c>
      <c r="S56" s="874" t="s">
        <v>170</v>
      </c>
      <c r="T56" s="875"/>
      <c r="U56" s="875"/>
      <c r="V56" s="875"/>
      <c r="W56" s="875"/>
      <c r="X56" s="875"/>
      <c r="Y56" s="875"/>
      <c r="Z56" s="876"/>
      <c r="AA56" s="875"/>
      <c r="AB56" s="875"/>
      <c r="AC56" s="875"/>
      <c r="AD56" s="875"/>
      <c r="AE56" s="875"/>
      <c r="AF56" s="875"/>
      <c r="AG56" s="875"/>
      <c r="AH56" s="875"/>
      <c r="AI56" s="877"/>
      <c r="AJ56" s="877"/>
      <c r="AK56" s="1012"/>
      <c r="AL56" s="52"/>
      <c r="AM56" s="853"/>
      <c r="AN56" s="928"/>
    </row>
    <row r="57" spans="1:40" ht="27" customHeight="1" thickBot="1">
      <c r="A57" s="114"/>
      <c r="B57" s="131"/>
      <c r="C57" s="115"/>
      <c r="D57" s="115"/>
      <c r="E57" s="19"/>
      <c r="F57" s="19"/>
      <c r="G57" s="19"/>
      <c r="H57" s="19"/>
      <c r="I57" s="19"/>
      <c r="J57" s="19"/>
      <c r="K57" s="19"/>
      <c r="L57" s="418">
        <v>1</v>
      </c>
      <c r="M57" s="418"/>
      <c r="N57" s="417">
        <f t="shared" si="10"/>
        <v>0</v>
      </c>
      <c r="O57" s="19"/>
      <c r="R57" s="123">
        <f>SUM(R55:R56)</f>
        <v>143</v>
      </c>
      <c r="S57" s="882" t="s">
        <v>23</v>
      </c>
      <c r="T57" s="883" t="e">
        <f t="shared" ref="T57:AB57" si="17">T50/T56</f>
        <v>#DIV/0!</v>
      </c>
      <c r="U57" s="883" t="e">
        <f t="shared" si="17"/>
        <v>#DIV/0!</v>
      </c>
      <c r="V57" s="883" t="e">
        <f t="shared" si="17"/>
        <v>#DIV/0!</v>
      </c>
      <c r="W57" s="883" t="e">
        <f t="shared" si="17"/>
        <v>#DIV/0!</v>
      </c>
      <c r="X57" s="883" t="e">
        <f t="shared" si="17"/>
        <v>#DIV/0!</v>
      </c>
      <c r="Y57" s="883" t="e">
        <f t="shared" si="17"/>
        <v>#DIV/0!</v>
      </c>
      <c r="Z57" s="883" t="e">
        <f t="shared" si="17"/>
        <v>#DIV/0!</v>
      </c>
      <c r="AA57" s="883" t="e">
        <f t="shared" si="17"/>
        <v>#DIV/0!</v>
      </c>
      <c r="AB57" s="883" t="e">
        <f t="shared" si="17"/>
        <v>#DIV/0!</v>
      </c>
      <c r="AC57" s="883" t="e">
        <f t="shared" ref="AC57:AJ57" si="18">AC50/AC56</f>
        <v>#DIV/0!</v>
      </c>
      <c r="AD57" s="883" t="e">
        <f t="shared" si="18"/>
        <v>#DIV/0!</v>
      </c>
      <c r="AE57" s="883" t="e">
        <f t="shared" si="18"/>
        <v>#DIV/0!</v>
      </c>
      <c r="AF57" s="883" t="e">
        <f t="shared" si="18"/>
        <v>#DIV/0!</v>
      </c>
      <c r="AG57" s="883" t="e">
        <f t="shared" si="18"/>
        <v>#DIV/0!</v>
      </c>
      <c r="AH57" s="883" t="e">
        <f t="shared" si="18"/>
        <v>#DIV/0!</v>
      </c>
      <c r="AI57" s="883" t="e">
        <f t="shared" si="18"/>
        <v>#DIV/0!</v>
      </c>
      <c r="AJ57" s="883" t="e">
        <f t="shared" si="18"/>
        <v>#DIV/0!</v>
      </c>
      <c r="AK57" s="883" t="e">
        <f t="shared" ref="AK57:AM57" si="19">AK50/AK56</f>
        <v>#DIV/0!</v>
      </c>
      <c r="AL57" s="883" t="e">
        <f t="shared" si="19"/>
        <v>#DIV/0!</v>
      </c>
      <c r="AM57" s="884" t="e">
        <f t="shared" si="19"/>
        <v>#DIV/0!</v>
      </c>
      <c r="AN57" s="884" t="e">
        <f t="shared" ref="AN57" si="20">AN50/AN56</f>
        <v>#DIV/0!</v>
      </c>
    </row>
    <row r="58" spans="1:40" ht="27" customHeight="1" thickBot="1">
      <c r="A58" s="114"/>
      <c r="B58" s="131"/>
      <c r="C58" s="115"/>
      <c r="D58" s="115" t="s">
        <v>1</v>
      </c>
      <c r="L58" s="1501" t="s">
        <v>171</v>
      </c>
      <c r="M58" s="1501"/>
      <c r="N58" s="419">
        <f>SUM(N50:N57)</f>
        <v>0</v>
      </c>
      <c r="R58" s="19"/>
      <c r="S58" s="878" t="s">
        <v>172</v>
      </c>
      <c r="T58" s="879">
        <f>T54</f>
        <v>0</v>
      </c>
      <c r="U58" s="879">
        <f t="shared" ref="U58:AB58" si="21">U54</f>
        <v>0</v>
      </c>
      <c r="V58" s="879">
        <f t="shared" si="21"/>
        <v>0</v>
      </c>
      <c r="W58" s="879">
        <f t="shared" si="21"/>
        <v>0</v>
      </c>
      <c r="X58" s="879">
        <f t="shared" si="21"/>
        <v>0</v>
      </c>
      <c r="Y58" s="879">
        <f t="shared" si="21"/>
        <v>0</v>
      </c>
      <c r="Z58" s="879">
        <f t="shared" si="21"/>
        <v>0</v>
      </c>
      <c r="AA58" s="879">
        <f t="shared" si="21"/>
        <v>0</v>
      </c>
      <c r="AB58" s="879">
        <f t="shared" si="21"/>
        <v>0</v>
      </c>
      <c r="AC58" s="879">
        <f t="shared" ref="AC58:AJ58" si="22">AC54</f>
        <v>0</v>
      </c>
      <c r="AD58" s="879">
        <f t="shared" si="22"/>
        <v>0</v>
      </c>
      <c r="AE58" s="879">
        <f t="shared" si="22"/>
        <v>0</v>
      </c>
      <c r="AF58" s="879">
        <f t="shared" si="22"/>
        <v>0</v>
      </c>
      <c r="AG58" s="879">
        <f t="shared" si="22"/>
        <v>0</v>
      </c>
      <c r="AH58" s="879">
        <f t="shared" si="22"/>
        <v>0</v>
      </c>
      <c r="AI58" s="879">
        <f t="shared" si="22"/>
        <v>0</v>
      </c>
      <c r="AJ58" s="879">
        <f t="shared" si="22"/>
        <v>0</v>
      </c>
      <c r="AK58" s="880"/>
      <c r="AL58" s="880"/>
      <c r="AM58" s="881"/>
      <c r="AN58" s="881"/>
    </row>
    <row r="59" spans="1:40" ht="27" customHeight="1">
      <c r="A59" s="114"/>
      <c r="B59" s="132"/>
      <c r="C59" s="115"/>
      <c r="D59" s="115" t="s">
        <v>1</v>
      </c>
      <c r="K59" t="s">
        <v>1</v>
      </c>
      <c r="L59" s="1486" t="s">
        <v>173</v>
      </c>
      <c r="M59" s="1486"/>
      <c r="N59" s="420">
        <f>N58-Q48</f>
        <v>4818050</v>
      </c>
      <c r="R59" s="19"/>
      <c r="S59" s="114"/>
      <c r="T59" s="121"/>
      <c r="U59" s="121"/>
      <c r="V59" s="121"/>
      <c r="W59" s="121"/>
      <c r="X59" s="121"/>
      <c r="Y59" s="121"/>
      <c r="Z59" s="122"/>
      <c r="AA59" s="121"/>
      <c r="AB59" s="121"/>
      <c r="AC59" s="121"/>
      <c r="AD59" s="121"/>
      <c r="AE59" s="121"/>
      <c r="AF59" s="121"/>
      <c r="AG59" s="121"/>
      <c r="AH59" s="119"/>
      <c r="AI59" s="119"/>
    </row>
    <row r="60" spans="1:40" ht="24" customHeight="1">
      <c r="A60" s="114"/>
      <c r="B60" s="132"/>
      <c r="C60" s="115"/>
      <c r="D60" s="115"/>
      <c r="P60" s="19"/>
      <c r="Q60" s="19"/>
      <c r="R60" s="19"/>
      <c r="S60" s="19"/>
    </row>
    <row r="61" spans="1:40" ht="23.25">
      <c r="A61" s="114"/>
      <c r="B61" s="132"/>
      <c r="C61" s="115"/>
      <c r="D61" s="116"/>
      <c r="M61" t="s">
        <v>1</v>
      </c>
      <c r="P61" s="1240"/>
      <c r="Q61" s="186"/>
      <c r="R61" s="19"/>
      <c r="S61" s="19"/>
    </row>
    <row r="62" spans="1:40" ht="20.25">
      <c r="A62" t="s">
        <v>1</v>
      </c>
      <c r="C62" s="116"/>
      <c r="P62" s="19"/>
      <c r="Q62" s="19"/>
      <c r="R62" s="19"/>
      <c r="S62" s="19"/>
    </row>
    <row r="63" spans="1:40">
      <c r="E63" s="19"/>
      <c r="M63" t="s">
        <v>1</v>
      </c>
    </row>
    <row r="64" spans="1:40">
      <c r="E64" s="19"/>
      <c r="J64" t="s">
        <v>3</v>
      </c>
    </row>
    <row r="65" spans="3:5" ht="21">
      <c r="C65" s="251"/>
      <c r="E65" s="19"/>
    </row>
    <row r="66" spans="3:5">
      <c r="E66" s="49"/>
    </row>
    <row r="67" spans="3:5" ht="23.25">
      <c r="E67" s="113"/>
    </row>
  </sheetData>
  <mergeCells count="21">
    <mergeCell ref="AL47:AM47"/>
    <mergeCell ref="L58:M58"/>
    <mergeCell ref="L59:M59"/>
    <mergeCell ref="H47:I47"/>
    <mergeCell ref="S47:S48"/>
    <mergeCell ref="AA47:AB47"/>
    <mergeCell ref="AC47:AI47"/>
    <mergeCell ref="A6:Q6"/>
    <mergeCell ref="S6:AE6"/>
    <mergeCell ref="A7:B7"/>
    <mergeCell ref="P7:Q7"/>
    <mergeCell ref="H46:I46"/>
    <mergeCell ref="AI7:AJ7"/>
    <mergeCell ref="AI20:AJ20"/>
    <mergeCell ref="H48:I48"/>
    <mergeCell ref="P24:Q24"/>
    <mergeCell ref="P33:Q33"/>
    <mergeCell ref="P42:Q42"/>
    <mergeCell ref="T47:W47"/>
    <mergeCell ref="X47:Z47"/>
    <mergeCell ref="AJ47:AK47"/>
  </mergeCells>
  <conditionalFormatting sqref="M48:N48">
    <cfRule type="duplicateValues" dxfId="39" priority="29"/>
    <cfRule type="duplicateValues" dxfId="38" priority="30"/>
    <cfRule type="duplicateValues" dxfId="37" priority="31"/>
    <cfRule type="duplicateValues" dxfId="36" priority="32"/>
  </conditionalFormatting>
  <conditionalFormatting sqref="L48 N48">
    <cfRule type="cellIs" dxfId="35" priority="28" operator="equal">
      <formula>66890</formula>
    </cfRule>
  </conditionalFormatting>
  <conditionalFormatting sqref="N48">
    <cfRule type="cellIs" dxfId="34" priority="27" operator="lessThan">
      <formula>1</formula>
    </cfRule>
  </conditionalFormatting>
  <conditionalFormatting sqref="T57">
    <cfRule type="cellIs" dxfId="33" priority="16" operator="lessThan">
      <formula>63</formula>
    </cfRule>
  </conditionalFormatting>
  <conditionalFormatting sqref="U57">
    <cfRule type="cellIs" dxfId="32" priority="14" operator="lessThan">
      <formula>63</formula>
    </cfRule>
    <cfRule type="cellIs" dxfId="31" priority="15" operator="lessThan">
      <formula>63</formula>
    </cfRule>
  </conditionalFormatting>
  <conditionalFormatting sqref="W57">
    <cfRule type="cellIs" dxfId="30" priority="13" operator="lessThan">
      <formula>140</formula>
    </cfRule>
  </conditionalFormatting>
  <conditionalFormatting sqref="X57">
    <cfRule type="cellIs" dxfId="29" priority="12" operator="lessThan">
      <formula>125</formula>
    </cfRule>
  </conditionalFormatting>
  <conditionalFormatting sqref="Y57">
    <cfRule type="cellIs" dxfId="28" priority="11" operator="lessThan">
      <formula>150</formula>
    </cfRule>
  </conditionalFormatting>
  <conditionalFormatting sqref="Z57">
    <cfRule type="cellIs" dxfId="27" priority="10" operator="lessThan">
      <formula>590</formula>
    </cfRule>
  </conditionalFormatting>
  <conditionalFormatting sqref="AA57">
    <cfRule type="cellIs" dxfId="26" priority="9" operator="lessThan">
      <formula>704</formula>
    </cfRule>
  </conditionalFormatting>
  <conditionalFormatting sqref="AC57">
    <cfRule type="cellIs" dxfId="25" priority="7" operator="lessThan">
      <formula>52</formula>
    </cfRule>
  </conditionalFormatting>
  <conditionalFormatting sqref="AG57">
    <cfRule type="cellIs" dxfId="24" priority="6" operator="lessThan">
      <formula>63</formula>
    </cfRule>
  </conditionalFormatting>
  <conditionalFormatting sqref="AH57">
    <cfRule type="cellIs" dxfId="23" priority="5" operator="lessThan">
      <formula>63</formula>
    </cfRule>
  </conditionalFormatting>
  <conditionalFormatting sqref="AJ57">
    <cfRule type="cellIs" dxfId="22" priority="4" operator="lessThan">
      <formula>270</formula>
    </cfRule>
  </conditionalFormatting>
  <conditionalFormatting sqref="AI57">
    <cfRule type="cellIs" dxfId="21" priority="3" operator="lessThan">
      <formula>270</formula>
    </cfRule>
  </conditionalFormatting>
  <conditionalFormatting sqref="AK57:AN57">
    <cfRule type="cellIs" dxfId="20" priority="1" operator="lessThan">
      <formula>270</formula>
    </cfRule>
  </conditionalFormatting>
  <printOptions horizontalCentered="1" verticalCentered="1"/>
  <pageMargins left="0" right="0.25" top="0" bottom="0" header="0" footer="0"/>
  <pageSetup paperSize="5" scale="47" orientation="landscape" cellComments="asDisplayed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F88"/>
  <sheetViews>
    <sheetView topLeftCell="A10" zoomScale="90" zoomScaleNormal="90" workbookViewId="0">
      <selection activeCell="B23" sqref="B23"/>
    </sheetView>
  </sheetViews>
  <sheetFormatPr defaultRowHeight="15"/>
  <cols>
    <col min="1" max="1" width="32.7109375" bestFit="1" customWidth="1"/>
    <col min="2" max="2" width="20.140625" bestFit="1" customWidth="1"/>
    <col min="3" max="4" width="22.28515625" bestFit="1" customWidth="1"/>
    <col min="5" max="5" width="4.7109375" customWidth="1"/>
    <col min="6" max="6" width="35.85546875" bestFit="1" customWidth="1"/>
    <col min="7" max="7" width="17.7109375" customWidth="1"/>
    <col min="8" max="9" width="19.140625" bestFit="1" customWidth="1"/>
    <col min="10" max="11" width="17.7109375" customWidth="1"/>
    <col min="12" max="12" width="19.140625" bestFit="1" customWidth="1"/>
    <col min="13" max="14" width="18.7109375" customWidth="1"/>
    <col min="15" max="15" width="7.7109375" customWidth="1"/>
    <col min="16" max="16" width="28.7109375" customWidth="1"/>
    <col min="17" max="17" width="20.7109375" customWidth="1"/>
    <col min="18" max="18" width="7.7109375" customWidth="1"/>
    <col min="19" max="19" width="32.7109375" customWidth="1"/>
    <col min="20" max="20" width="20.28515625" bestFit="1" customWidth="1"/>
    <col min="21" max="21" width="17.7109375" customWidth="1"/>
    <col min="22" max="22" width="20.28515625" bestFit="1" customWidth="1"/>
    <col min="23" max="23" width="20.85546875" customWidth="1"/>
    <col min="24" max="24" width="21.5703125" bestFit="1" customWidth="1"/>
    <col min="25" max="25" width="14.7109375" customWidth="1"/>
    <col min="26" max="26" width="16.28515625" bestFit="1" customWidth="1"/>
    <col min="27" max="29" width="20.140625" bestFit="1" customWidth="1"/>
    <col min="30" max="30" width="17.7109375" customWidth="1"/>
    <col min="31" max="31" width="20.140625" bestFit="1" customWidth="1"/>
    <col min="32" max="33" width="20.7109375" customWidth="1"/>
    <col min="34" max="37" width="17.7109375" customWidth="1"/>
    <col min="38" max="38" width="13" hidden="1" customWidth="1"/>
    <col min="39" max="40" width="0" hidden="1" customWidth="1"/>
    <col min="54" max="54" width="45" bestFit="1" customWidth="1"/>
    <col min="55" max="56" width="30.7109375" customWidth="1"/>
    <col min="57" max="57" width="24" bestFit="1" customWidth="1"/>
    <col min="58" max="58" width="30.7109375" customWidth="1"/>
  </cols>
  <sheetData>
    <row r="1" spans="1:36">
      <c r="E1" s="5"/>
    </row>
    <row r="2" spans="1:36">
      <c r="E2" s="5"/>
    </row>
    <row r="3" spans="1:36" ht="15.75" thickBot="1">
      <c r="C3" t="s">
        <v>1</v>
      </c>
      <c r="E3" s="5" t="s">
        <v>1</v>
      </c>
      <c r="F3" t="s">
        <v>1</v>
      </c>
      <c r="S3" t="s">
        <v>1</v>
      </c>
      <c r="U3" t="s">
        <v>1</v>
      </c>
    </row>
    <row r="4" spans="1:36" ht="21.75" thickTop="1">
      <c r="B4" t="s">
        <v>1</v>
      </c>
      <c r="D4" t="s">
        <v>1</v>
      </c>
      <c r="E4" t="s">
        <v>1</v>
      </c>
      <c r="N4" s="111"/>
      <c r="P4" s="617" t="s">
        <v>108</v>
      </c>
      <c r="Q4" s="618">
        <f>'30'!Q4+'31'!Q9+'31'!Q10+'31'!Q19+'31'!Q20+'31'!Q21+'31'!Q22</f>
        <v>0</v>
      </c>
    </row>
    <row r="5" spans="1:36" ht="21.75" thickBot="1">
      <c r="P5" s="619" t="s">
        <v>109</v>
      </c>
      <c r="Q5" s="620">
        <f>'30'!Q5+'31'!Q25+'31'!Q26+'31'!Q27+'31'!Q28+'31'!Q29+'31'!Q30+'31'!Q31</f>
        <v>0</v>
      </c>
    </row>
    <row r="6" spans="1:36" ht="48" thickTop="1" thickBot="1">
      <c r="A6" s="1522">
        <f>'Main Page'!E47</f>
        <v>44896</v>
      </c>
      <c r="B6" s="1523"/>
      <c r="C6" s="1523"/>
      <c r="D6" s="1523"/>
      <c r="E6" s="1523"/>
      <c r="F6" s="1523"/>
      <c r="G6" s="1523"/>
      <c r="H6" s="1523"/>
      <c r="I6" s="1523"/>
      <c r="J6" s="1523"/>
      <c r="K6" s="1523"/>
      <c r="L6" s="1523"/>
      <c r="M6" s="1523"/>
      <c r="N6" s="1523"/>
      <c r="O6" s="1523"/>
      <c r="P6" s="1523"/>
      <c r="Q6" s="1524"/>
      <c r="R6" t="s">
        <v>1</v>
      </c>
      <c r="S6" s="1502">
        <f>A6</f>
        <v>44896</v>
      </c>
      <c r="T6" s="1503"/>
      <c r="U6" s="1503"/>
      <c r="V6" s="1503"/>
      <c r="W6" s="1503"/>
      <c r="X6" s="1503"/>
      <c r="Y6" s="1503"/>
      <c r="Z6" s="1503"/>
      <c r="AA6" s="1503"/>
      <c r="AB6" s="1503"/>
      <c r="AC6" s="1503"/>
      <c r="AD6" s="1503"/>
      <c r="AE6" s="1504"/>
    </row>
    <row r="7" spans="1:36" ht="39.950000000000003" customHeight="1" thickTop="1" thickBot="1">
      <c r="A7" s="1505" t="s">
        <v>110</v>
      </c>
      <c r="B7" s="1506"/>
      <c r="C7" s="367" t="s">
        <v>97</v>
      </c>
      <c r="D7" s="368" t="s">
        <v>74</v>
      </c>
      <c r="F7" s="363" t="s">
        <v>111</v>
      </c>
      <c r="G7" s="364" t="s">
        <v>112</v>
      </c>
      <c r="H7" s="365" t="s">
        <v>113</v>
      </c>
      <c r="I7" s="365" t="s">
        <v>26</v>
      </c>
      <c r="J7" s="365" t="s">
        <v>114</v>
      </c>
      <c r="K7" s="366" t="s">
        <v>115</v>
      </c>
      <c r="L7" s="365" t="s">
        <v>116</v>
      </c>
      <c r="M7" s="365" t="s">
        <v>117</v>
      </c>
      <c r="N7" s="365" t="s">
        <v>118</v>
      </c>
      <c r="P7" s="1510" t="s">
        <v>69</v>
      </c>
      <c r="Q7" s="1511"/>
      <c r="S7" s="380" t="s">
        <v>58</v>
      </c>
      <c r="T7" s="380" t="s">
        <v>59</v>
      </c>
      <c r="U7" s="380" t="s">
        <v>119</v>
      </c>
      <c r="V7" s="380" t="s">
        <v>74</v>
      </c>
      <c r="W7" s="380" t="s">
        <v>120</v>
      </c>
      <c r="X7" s="380" t="s">
        <v>59</v>
      </c>
      <c r="Z7" s="367" t="s">
        <v>121</v>
      </c>
      <c r="AA7" s="367" t="s">
        <v>97</v>
      </c>
      <c r="AB7" s="415" t="s">
        <v>122</v>
      </c>
      <c r="AC7" s="416" t="s">
        <v>90</v>
      </c>
      <c r="AD7" s="367" t="s">
        <v>56</v>
      </c>
      <c r="AE7" s="381" t="s">
        <v>100</v>
      </c>
      <c r="AF7" s="560" t="s">
        <v>122</v>
      </c>
      <c r="AG7" s="570" t="s">
        <v>56</v>
      </c>
      <c r="AI7" s="1487" t="s">
        <v>123</v>
      </c>
      <c r="AJ7" s="1488"/>
    </row>
    <row r="8" spans="1:36" ht="27" customHeight="1" thickTop="1" thickBot="1">
      <c r="A8" s="717"/>
      <c r="B8" s="233"/>
      <c r="C8" s="463"/>
      <c r="D8" s="233"/>
      <c r="F8" s="478" t="str">
        <f>'30'!F8</f>
        <v>ISHAQ ANSARI</v>
      </c>
      <c r="G8" s="405">
        <f>'CUSTOMERS REPORT'!Y38</f>
        <v>0</v>
      </c>
      <c r="H8" s="503">
        <f>'CUSTOMERS REPORT'!Z38</f>
        <v>0</v>
      </c>
      <c r="I8" s="405">
        <f>'CUSTOMERS REPORT'!AA38</f>
        <v>0</v>
      </c>
      <c r="J8" s="497">
        <f>'CUSTOMERS REPORT'!AB38</f>
        <v>0</v>
      </c>
      <c r="K8" s="497">
        <f>'CUSTOMERS REPORT'!AC38</f>
        <v>0</v>
      </c>
      <c r="L8" s="508">
        <f>'CUSTOMERS REPORT'!AD38</f>
        <v>0</v>
      </c>
      <c r="M8" s="413">
        <f>'30'!M8+'31'!G8</f>
        <v>0</v>
      </c>
      <c r="N8" s="411">
        <f>'30'!N8+'31'!J8</f>
        <v>0</v>
      </c>
      <c r="P8" s="191" t="s">
        <v>124</v>
      </c>
      <c r="Q8" s="223">
        <f>'30'!Q32</f>
        <v>0</v>
      </c>
      <c r="S8" s="399" t="str">
        <f>'30'!S8</f>
        <v>FLOUR</v>
      </c>
      <c r="T8" s="446">
        <f>'30'!X8</f>
        <v>-60</v>
      </c>
      <c r="U8" s="455"/>
      <c r="V8" s="450">
        <f t="shared" ref="V8:V43" si="0">SUM(T8:U8)</f>
        <v>-60</v>
      </c>
      <c r="W8" s="450"/>
      <c r="X8" s="446">
        <f t="shared" ref="X8:X43" si="1">V8-W8</f>
        <v>-60</v>
      </c>
      <c r="Z8" s="382" t="str">
        <f>'30'!Z8</f>
        <v>GHAZI</v>
      </c>
      <c r="AA8" s="464">
        <f>'30'!AE8</f>
        <v>-429500</v>
      </c>
      <c r="AB8" s="459"/>
      <c r="AC8" s="233">
        <f t="shared" ref="AC8:AC41" si="2">AA8+AB8</f>
        <v>-429500</v>
      </c>
      <c r="AD8" s="468"/>
      <c r="AE8" s="463">
        <f t="shared" ref="AE8:AE42" si="3">AC8-AD8</f>
        <v>-429500</v>
      </c>
      <c r="AF8" s="563">
        <f>'30'!AF8+'31'!AB8</f>
        <v>347500</v>
      </c>
      <c r="AG8" s="233">
        <f>'30'!AG8+'31'!AD8</f>
        <v>777000</v>
      </c>
      <c r="AI8" s="391" t="s">
        <v>126</v>
      </c>
      <c r="AJ8" s="392">
        <f>'30'!AJ10</f>
        <v>342600</v>
      </c>
    </row>
    <row r="9" spans="1:36" ht="27" customHeight="1" thickTop="1">
      <c r="A9" s="718"/>
      <c r="B9" s="526"/>
      <c r="C9" s="348"/>
      <c r="D9" s="550"/>
      <c r="F9" s="479" t="str">
        <f>'30'!F9</f>
        <v>MAKKI BAKERY</v>
      </c>
      <c r="G9" s="406">
        <f>'CUSTOMERS REPORT'!Y84</f>
        <v>0</v>
      </c>
      <c r="H9" s="504">
        <f>'CUSTOMERS REPORT'!Z84</f>
        <v>0</v>
      </c>
      <c r="I9" s="406">
        <f>'CUSTOMERS REPORT'!AA84</f>
        <v>0</v>
      </c>
      <c r="J9" s="498">
        <f>'CUSTOMERS REPORT'!AB84</f>
        <v>0</v>
      </c>
      <c r="K9" s="498">
        <f>'CUSTOMERS REPORT'!AC84</f>
        <v>0</v>
      </c>
      <c r="L9" s="509">
        <f>'CUSTOMERS REPORT'!AD84</f>
        <v>0</v>
      </c>
      <c r="M9" s="414">
        <f>'30'!M9+'31'!G9</f>
        <v>0</v>
      </c>
      <c r="N9" s="412">
        <f>'30'!N9+'31'!J9</f>
        <v>0</v>
      </c>
      <c r="P9" s="432"/>
      <c r="Q9" s="436"/>
      <c r="S9" s="399" t="str">
        <f>'30'!S9</f>
        <v>SUGAR</v>
      </c>
      <c r="T9" s="446">
        <f>'30'!X9</f>
        <v>-935</v>
      </c>
      <c r="U9" s="447"/>
      <c r="V9" s="451">
        <f t="shared" si="0"/>
        <v>-935</v>
      </c>
      <c r="W9" s="451"/>
      <c r="X9" s="447">
        <f t="shared" si="1"/>
        <v>-935</v>
      </c>
      <c r="Z9" s="382" t="str">
        <f>'30'!Z9</f>
        <v>SOHNI</v>
      </c>
      <c r="AA9" s="464">
        <f>'30'!AE9</f>
        <v>-110000</v>
      </c>
      <c r="AB9" s="460"/>
      <c r="AC9" s="462">
        <f t="shared" si="2"/>
        <v>-110000</v>
      </c>
      <c r="AD9" s="469"/>
      <c r="AE9" s="348">
        <f t="shared" si="3"/>
        <v>-110000</v>
      </c>
      <c r="AF9" s="563">
        <f>'30'!AF9+'31'!AB9</f>
        <v>370000</v>
      </c>
      <c r="AG9" s="234">
        <f>'30'!AG9+'31'!AD9</f>
        <v>480000</v>
      </c>
      <c r="AI9" s="393" t="s">
        <v>128</v>
      </c>
      <c r="AJ9" s="394">
        <f>B26</f>
        <v>0</v>
      </c>
    </row>
    <row r="10" spans="1:36" ht="27" customHeight="1" thickBot="1">
      <c r="A10" s="718"/>
      <c r="B10" s="528"/>
      <c r="C10" s="350"/>
      <c r="D10" s="550"/>
      <c r="F10" s="479" t="str">
        <f>'30'!F10</f>
        <v>ABID HUSSAIN</v>
      </c>
      <c r="G10" s="406">
        <f>'CUSTOMERS REPORT'!Y122</f>
        <v>0</v>
      </c>
      <c r="H10" s="504">
        <f>'CUSTOMERS REPORT'!Z122</f>
        <v>0</v>
      </c>
      <c r="I10" s="406">
        <f>'CUSTOMERS REPORT'!AA122</f>
        <v>0</v>
      </c>
      <c r="J10" s="498">
        <f>'CUSTOMERS REPORT'!AB122</f>
        <v>0</v>
      </c>
      <c r="K10" s="498">
        <f>'CUSTOMERS REPORT'!AC122</f>
        <v>0</v>
      </c>
      <c r="L10" s="509">
        <f>'CUSTOMERS REPORT'!AD122</f>
        <v>0</v>
      </c>
      <c r="M10" s="414">
        <f>'30'!M10+'31'!G10</f>
        <v>0</v>
      </c>
      <c r="N10" s="412">
        <f>'30'!N10+'31'!J10</f>
        <v>0</v>
      </c>
      <c r="P10" s="433"/>
      <c r="Q10" s="437"/>
      <c r="S10" s="399" t="str">
        <f>'30'!S10</f>
        <v>GHEE</v>
      </c>
      <c r="T10" s="446">
        <f>'30'!X10</f>
        <v>-1</v>
      </c>
      <c r="U10" s="447"/>
      <c r="V10" s="451">
        <f t="shared" si="0"/>
        <v>-1</v>
      </c>
      <c r="W10" s="451"/>
      <c r="X10" s="447">
        <f t="shared" si="1"/>
        <v>-1</v>
      </c>
      <c r="Z10" s="382" t="str">
        <f>'30'!Z10</f>
        <v>HUSSAINI</v>
      </c>
      <c r="AA10" s="464">
        <f>'30'!AE10</f>
        <v>54900</v>
      </c>
      <c r="AB10" s="460"/>
      <c r="AC10" s="462">
        <f t="shared" si="2"/>
        <v>54900</v>
      </c>
      <c r="AD10" s="469"/>
      <c r="AE10" s="348">
        <f t="shared" si="3"/>
        <v>54900</v>
      </c>
      <c r="AF10" s="563">
        <f>'30'!AF10+'31'!AB10</f>
        <v>211000</v>
      </c>
      <c r="AG10" s="234">
        <f>'30'!AG10+'31'!AD10</f>
        <v>156100</v>
      </c>
      <c r="AI10" s="395" t="s">
        <v>74</v>
      </c>
      <c r="AJ10" s="396">
        <f>AJ8+AJ9</f>
        <v>342600</v>
      </c>
    </row>
    <row r="11" spans="1:36" ht="27" customHeight="1" thickTop="1">
      <c r="A11" s="718"/>
      <c r="B11" s="528"/>
      <c r="C11" s="350"/>
      <c r="D11" s="550"/>
      <c r="F11" s="479" t="str">
        <f>'30'!F11</f>
        <v>SHAHID 5 #</v>
      </c>
      <c r="G11" s="406">
        <f>'CUSTOMERS REPORT'!Y161</f>
        <v>0</v>
      </c>
      <c r="H11" s="504">
        <f>'CUSTOMERS REPORT'!Z161</f>
        <v>0</v>
      </c>
      <c r="I11" s="406">
        <f>'CUSTOMERS REPORT'!AA161</f>
        <v>0</v>
      </c>
      <c r="J11" s="498">
        <f>'CUSTOMERS REPORT'!AB161</f>
        <v>0</v>
      </c>
      <c r="K11" s="498">
        <f>'CUSTOMERS REPORT'!AC161</f>
        <v>0</v>
      </c>
      <c r="L11" s="509">
        <f>'CUSTOMERS REPORT'!AD161</f>
        <v>0</v>
      </c>
      <c r="M11" s="414">
        <f>'30'!M11+'31'!G11</f>
        <v>0</v>
      </c>
      <c r="N11" s="412">
        <f>'30'!N11+'31'!J11</f>
        <v>0</v>
      </c>
      <c r="P11" s="433"/>
      <c r="Q11" s="437"/>
      <c r="S11" s="399" t="str">
        <f>'30'!S11</f>
        <v>YEAST</v>
      </c>
      <c r="T11" s="446">
        <f>'30'!X11</f>
        <v>-126</v>
      </c>
      <c r="U11" s="447"/>
      <c r="V11" s="451">
        <f t="shared" ref="V11:V23" si="4">SUM(T11:U11)</f>
        <v>-126</v>
      </c>
      <c r="W11" s="451"/>
      <c r="X11" s="447">
        <f t="shared" ref="X11:X23" si="5">V11-W11</f>
        <v>-126</v>
      </c>
      <c r="Z11" s="382" t="str">
        <f>'30'!Z11</f>
        <v>IMRAN ALAM</v>
      </c>
      <c r="AA11" s="464">
        <f>'30'!AE11</f>
        <v>-439000</v>
      </c>
      <c r="AB11" s="460"/>
      <c r="AC11" s="462">
        <f t="shared" ref="AC11:AC22" si="6">AA11+AB11</f>
        <v>-439000</v>
      </c>
      <c r="AD11" s="469"/>
      <c r="AE11" s="348">
        <f t="shared" ref="AE11:AE22" si="7">AC11-AD11</f>
        <v>-439000</v>
      </c>
      <c r="AF11" s="563">
        <f>'30'!AF11+'31'!AB11</f>
        <v>0</v>
      </c>
      <c r="AG11" s="234">
        <f>'30'!AG11+'31'!AD11</f>
        <v>439000</v>
      </c>
      <c r="AI11" s="1031"/>
      <c r="AJ11" s="1032"/>
    </row>
    <row r="12" spans="1:36" ht="27" customHeight="1">
      <c r="A12" s="718"/>
      <c r="B12" s="528"/>
      <c r="C12" s="350"/>
      <c r="D12" s="550"/>
      <c r="F12" s="479" t="str">
        <f>'30'!F12</f>
        <v>ZULFIQAR</v>
      </c>
      <c r="G12" s="406">
        <f>'CUSTOMERS REPORT'!Y199</f>
        <v>0</v>
      </c>
      <c r="H12" s="504">
        <f>'CUSTOMERS REPORT'!Z199</f>
        <v>0</v>
      </c>
      <c r="I12" s="406">
        <f>'CUSTOMERS REPORT'!AA199</f>
        <v>0</v>
      </c>
      <c r="J12" s="498">
        <f>'CUSTOMERS REPORT'!AB199</f>
        <v>0</v>
      </c>
      <c r="K12" s="498">
        <f>'CUSTOMERS REPORT'!AC199</f>
        <v>0</v>
      </c>
      <c r="L12" s="509">
        <f>'CUSTOMERS REPORT'!AD199</f>
        <v>0</v>
      </c>
      <c r="M12" s="414">
        <f>'30'!M12+'31'!G12</f>
        <v>0</v>
      </c>
      <c r="N12" s="412">
        <f>'30'!N12+'31'!J12</f>
        <v>0</v>
      </c>
      <c r="P12" s="433"/>
      <c r="Q12" s="437"/>
      <c r="S12" s="399" t="str">
        <f>'30'!S12</f>
        <v xml:space="preserve">EKKA </v>
      </c>
      <c r="T12" s="446">
        <f>'30'!X12</f>
        <v>-62</v>
      </c>
      <c r="U12" s="447"/>
      <c r="V12" s="451">
        <f t="shared" si="4"/>
        <v>-62</v>
      </c>
      <c r="W12" s="815"/>
      <c r="X12" s="816">
        <f t="shared" si="5"/>
        <v>-62</v>
      </c>
      <c r="Z12" s="382" t="str">
        <f>'30'!Z12</f>
        <v>ZAHEER</v>
      </c>
      <c r="AA12" s="464">
        <f>'30'!AE12</f>
        <v>-23200</v>
      </c>
      <c r="AB12" s="460"/>
      <c r="AC12" s="462">
        <f t="shared" si="6"/>
        <v>-23200</v>
      </c>
      <c r="AD12" s="469"/>
      <c r="AE12" s="348">
        <f t="shared" si="7"/>
        <v>-23200</v>
      </c>
      <c r="AF12" s="563">
        <f>'30'!AF12+'31'!AB12</f>
        <v>0</v>
      </c>
      <c r="AG12" s="234">
        <f>'30'!AG12+'31'!AD12</f>
        <v>23200</v>
      </c>
      <c r="AI12" s="1031"/>
      <c r="AJ12" s="1032"/>
    </row>
    <row r="13" spans="1:36" ht="27" customHeight="1">
      <c r="A13" s="718"/>
      <c r="B13" s="528"/>
      <c r="C13" s="350"/>
      <c r="D13" s="550"/>
      <c r="F13" s="479" t="str">
        <f>'30'!F13</f>
        <v>QASIM ORANGI</v>
      </c>
      <c r="G13" s="406">
        <f>'CUSTOMERS REPORT'!Y239</f>
        <v>0</v>
      </c>
      <c r="H13" s="504">
        <f>'CUSTOMERS REPORT'!Z239</f>
        <v>0</v>
      </c>
      <c r="I13" s="406">
        <f>'CUSTOMERS REPORT'!AA239</f>
        <v>0</v>
      </c>
      <c r="J13" s="498">
        <f>'CUSTOMERS REPORT'!AB239</f>
        <v>0</v>
      </c>
      <c r="K13" s="498">
        <f>'CUSTOMERS REPORT'!AC239</f>
        <v>0</v>
      </c>
      <c r="L13" s="509">
        <f>'CUSTOMERS REPORT'!AD239</f>
        <v>0</v>
      </c>
      <c r="M13" s="414">
        <f>'30'!M13+'31'!G13</f>
        <v>0</v>
      </c>
      <c r="N13" s="412">
        <f>'30'!N13+'31'!J13</f>
        <v>0</v>
      </c>
      <c r="P13" s="433"/>
      <c r="Q13" s="437"/>
      <c r="S13" s="399" t="str">
        <f>'30'!S13</f>
        <v>VANILLA</v>
      </c>
      <c r="T13" s="446">
        <f>'30'!X13</f>
        <v>-9.5</v>
      </c>
      <c r="U13" s="447"/>
      <c r="V13" s="451">
        <f t="shared" si="4"/>
        <v>-9.5</v>
      </c>
      <c r="W13" s="815"/>
      <c r="X13" s="816">
        <f t="shared" si="5"/>
        <v>-9.5</v>
      </c>
      <c r="Z13" s="382" t="str">
        <f>'30'!Z13</f>
        <v>FAISAL</v>
      </c>
      <c r="AA13" s="464">
        <f>'30'!AE13</f>
        <v>-100000</v>
      </c>
      <c r="AB13" s="460"/>
      <c r="AC13" s="462">
        <f t="shared" si="6"/>
        <v>-100000</v>
      </c>
      <c r="AD13" s="469"/>
      <c r="AE13" s="348">
        <f t="shared" si="7"/>
        <v>-100000</v>
      </c>
      <c r="AF13" s="563">
        <f>'30'!AF13+'31'!AB13</f>
        <v>0</v>
      </c>
      <c r="AG13" s="234">
        <f>'30'!AG13+'31'!AD13</f>
        <v>100000</v>
      </c>
      <c r="AI13" s="1031"/>
      <c r="AJ13" s="1032"/>
    </row>
    <row r="14" spans="1:36" ht="27" customHeight="1">
      <c r="A14" s="718"/>
      <c r="B14" s="528"/>
      <c r="C14" s="350"/>
      <c r="D14" s="550"/>
      <c r="F14" s="479" t="str">
        <f>'30'!F14</f>
        <v>BADSHAH KHAN HYD</v>
      </c>
      <c r="G14" s="406">
        <f>'CUSTOMERS REPORT'!Y276</f>
        <v>0</v>
      </c>
      <c r="H14" s="504">
        <f>'CUSTOMERS REPORT'!Z276</f>
        <v>0</v>
      </c>
      <c r="I14" s="406">
        <f>'CUSTOMERS REPORT'!AA276</f>
        <v>0</v>
      </c>
      <c r="J14" s="498">
        <f>'CUSTOMERS REPORT'!AB276</f>
        <v>0</v>
      </c>
      <c r="K14" s="498">
        <f>'CUSTOMERS REPORT'!AC276</f>
        <v>0</v>
      </c>
      <c r="L14" s="509">
        <f>'CUSTOMERS REPORT'!AD276</f>
        <v>0</v>
      </c>
      <c r="M14" s="414">
        <f>'30'!M14+'31'!G14</f>
        <v>0</v>
      </c>
      <c r="N14" s="412">
        <f>'30'!N14+'31'!J14</f>
        <v>0</v>
      </c>
      <c r="P14" s="433"/>
      <c r="Q14" s="437"/>
      <c r="S14" s="399" t="str">
        <f>'30'!S14</f>
        <v>COLOUR</v>
      </c>
      <c r="T14" s="446">
        <f>'30'!X14</f>
        <v>17</v>
      </c>
      <c r="U14" s="447"/>
      <c r="V14" s="451">
        <f t="shared" si="4"/>
        <v>17</v>
      </c>
      <c r="W14" s="815"/>
      <c r="X14" s="816">
        <f t="shared" si="5"/>
        <v>17</v>
      </c>
      <c r="Z14" s="382" t="str">
        <f>'30'!Z14</f>
        <v>RANA EKKA</v>
      </c>
      <c r="AA14" s="464">
        <f>'30'!AE14</f>
        <v>0</v>
      </c>
      <c r="AB14" s="460"/>
      <c r="AC14" s="462">
        <f t="shared" si="6"/>
        <v>0</v>
      </c>
      <c r="AD14" s="469"/>
      <c r="AE14" s="348">
        <f t="shared" si="7"/>
        <v>0</v>
      </c>
      <c r="AF14" s="563">
        <f>'30'!AF14+'31'!AB14</f>
        <v>0</v>
      </c>
      <c r="AG14" s="234">
        <f>'30'!AG14+'31'!AD14</f>
        <v>0</v>
      </c>
      <c r="AI14" s="1031"/>
      <c r="AJ14" s="1032"/>
    </row>
    <row r="15" spans="1:36" ht="27" customHeight="1">
      <c r="A15" s="718"/>
      <c r="B15" s="528"/>
      <c r="C15" s="350"/>
      <c r="D15" s="550"/>
      <c r="F15" s="479" t="str">
        <f>'30'!F15</f>
        <v>SHAMOON</v>
      </c>
      <c r="G15" s="406">
        <f>'CUSTOMERS REPORT'!Y316</f>
        <v>0</v>
      </c>
      <c r="H15" s="504">
        <f>'CUSTOMERS REPORT'!Z316</f>
        <v>0</v>
      </c>
      <c r="I15" s="406">
        <f>'CUSTOMERS REPORT'!AA316</f>
        <v>0</v>
      </c>
      <c r="J15" s="498">
        <f>'CUSTOMERS REPORT'!AB316</f>
        <v>0</v>
      </c>
      <c r="K15" s="498">
        <f>'CUSTOMERS REPORT'!AC316</f>
        <v>0</v>
      </c>
      <c r="L15" s="509">
        <f>'CUSTOMERS REPORT'!AD316</f>
        <v>0</v>
      </c>
      <c r="M15" s="414">
        <f>'30'!M15+'31'!G15</f>
        <v>0</v>
      </c>
      <c r="N15" s="412">
        <f>'30'!N15+'31'!J15</f>
        <v>0</v>
      </c>
      <c r="P15" s="433"/>
      <c r="Q15" s="437"/>
      <c r="S15" s="399" t="str">
        <f>'30'!S15</f>
        <v>TILL</v>
      </c>
      <c r="T15" s="446">
        <f>'30'!X15</f>
        <v>-18</v>
      </c>
      <c r="U15" s="447"/>
      <c r="V15" s="451">
        <f t="shared" si="4"/>
        <v>-18</v>
      </c>
      <c r="W15" s="815"/>
      <c r="X15" s="816">
        <f t="shared" si="5"/>
        <v>-18</v>
      </c>
      <c r="Z15" s="382" t="str">
        <f>'30'!Z15</f>
        <v>sheeba</v>
      </c>
      <c r="AA15" s="464">
        <f>'30'!AE15</f>
        <v>-410250</v>
      </c>
      <c r="AB15" s="460"/>
      <c r="AC15" s="462">
        <f t="shared" si="6"/>
        <v>-410250</v>
      </c>
      <c r="AD15" s="469"/>
      <c r="AE15" s="348">
        <f t="shared" si="7"/>
        <v>-410250</v>
      </c>
      <c r="AF15" s="563">
        <f>'30'!AF15+'31'!AB15</f>
        <v>0</v>
      </c>
      <c r="AG15" s="234">
        <f>'30'!AG15+'31'!AD15</f>
        <v>410250</v>
      </c>
      <c r="AI15" s="1031"/>
      <c r="AJ15" s="1032"/>
    </row>
    <row r="16" spans="1:36" ht="27" customHeight="1">
      <c r="A16" s="718"/>
      <c r="B16" s="528"/>
      <c r="C16" s="350"/>
      <c r="D16" s="550"/>
      <c r="F16" s="479" t="str">
        <f>'30'!F16</f>
        <v>MATEEN</v>
      </c>
      <c r="G16" s="406">
        <f>'CUSTOMERS REPORT'!Y357</f>
        <v>0</v>
      </c>
      <c r="H16" s="504">
        <f>'CUSTOMERS REPORT'!Z357</f>
        <v>0</v>
      </c>
      <c r="I16" s="406">
        <f>'CUSTOMERS REPORT'!AA357</f>
        <v>0</v>
      </c>
      <c r="J16" s="498">
        <f>'CUSTOMERS REPORT'!AB357</f>
        <v>0</v>
      </c>
      <c r="K16" s="498">
        <f>'CUSTOMERS REPORT'!AC357</f>
        <v>0</v>
      </c>
      <c r="L16" s="509">
        <f>'CUSTOMERS REPORT'!AD357</f>
        <v>0</v>
      </c>
      <c r="M16" s="414">
        <f>'30'!M16+'31'!G16</f>
        <v>0</v>
      </c>
      <c r="N16" s="412">
        <f>'30'!N16+'31'!J16</f>
        <v>0</v>
      </c>
      <c r="P16" s="433"/>
      <c r="Q16" s="437"/>
      <c r="S16" s="399" t="str">
        <f>'30'!S16</f>
        <v>ILLAICHI</v>
      </c>
      <c r="T16" s="446">
        <f>'30'!X16</f>
        <v>-1</v>
      </c>
      <c r="U16" s="447"/>
      <c r="V16" s="451">
        <f t="shared" si="4"/>
        <v>-1</v>
      </c>
      <c r="W16" s="815"/>
      <c r="X16" s="816">
        <f t="shared" si="5"/>
        <v>-1</v>
      </c>
      <c r="Z16" s="382" t="str">
        <f>'30'!Z16</f>
        <v>COTTON</v>
      </c>
      <c r="AA16" s="464">
        <f>'30'!AE16</f>
        <v>0</v>
      </c>
      <c r="AB16" s="460"/>
      <c r="AC16" s="462">
        <f t="shared" si="6"/>
        <v>0</v>
      </c>
      <c r="AD16" s="469"/>
      <c r="AE16" s="348">
        <f t="shared" si="7"/>
        <v>0</v>
      </c>
      <c r="AF16" s="563">
        <f>'30'!AF16+'31'!AB16</f>
        <v>26400</v>
      </c>
      <c r="AG16" s="234">
        <f>'30'!AG16+'31'!AD16</f>
        <v>26400</v>
      </c>
      <c r="AI16" s="1031"/>
      <c r="AJ16" s="1032"/>
    </row>
    <row r="17" spans="1:39" ht="27" customHeight="1">
      <c r="A17" s="718"/>
      <c r="B17" s="528"/>
      <c r="C17" s="350"/>
      <c r="D17" s="550"/>
      <c r="F17" s="479" t="str">
        <f>'30'!F17</f>
        <v>AMJAD ORANGI</v>
      </c>
      <c r="G17" s="406">
        <f>'CUSTOMERS REPORT'!Y399</f>
        <v>0</v>
      </c>
      <c r="H17" s="504">
        <f>'CUSTOMERS REPORT'!Z399</f>
        <v>0</v>
      </c>
      <c r="I17" s="406">
        <f>'CUSTOMERS REPORT'!AA399</f>
        <v>0</v>
      </c>
      <c r="J17" s="498">
        <f>'CUSTOMERS REPORT'!AB399</f>
        <v>0</v>
      </c>
      <c r="K17" s="498">
        <f>'CUSTOMERS REPORT'!AC399</f>
        <v>0</v>
      </c>
      <c r="L17" s="509">
        <f>'CUSTOMERS REPORT'!AD399</f>
        <v>0</v>
      </c>
      <c r="M17" s="414">
        <f>'30'!M17+'31'!G17</f>
        <v>0</v>
      </c>
      <c r="N17" s="412">
        <f>'30'!N17+'31'!J17</f>
        <v>0</v>
      </c>
      <c r="P17" s="433"/>
      <c r="Q17" s="437"/>
      <c r="S17" s="399" t="str">
        <f>'30'!S17</f>
        <v>S-THELLI</v>
      </c>
      <c r="T17" s="446">
        <f>'30'!X17</f>
        <v>-339</v>
      </c>
      <c r="U17" s="447"/>
      <c r="V17" s="451">
        <f t="shared" si="4"/>
        <v>-339</v>
      </c>
      <c r="W17" s="815"/>
      <c r="X17" s="816">
        <f t="shared" si="5"/>
        <v>-339</v>
      </c>
      <c r="Z17" s="382" t="str">
        <f>'30'!Z17</f>
        <v>SHAHID UP</v>
      </c>
      <c r="AA17" s="464">
        <f>'30'!AE17</f>
        <v>0</v>
      </c>
      <c r="AB17" s="460"/>
      <c r="AC17" s="462">
        <f t="shared" si="6"/>
        <v>0</v>
      </c>
      <c r="AD17" s="469"/>
      <c r="AE17" s="348">
        <f t="shared" si="7"/>
        <v>0</v>
      </c>
      <c r="AF17" s="563">
        <f>'30'!AF17+'31'!AB17</f>
        <v>21250</v>
      </c>
      <c r="AG17" s="234">
        <f>'30'!AG17+'31'!AD17</f>
        <v>21250</v>
      </c>
      <c r="AI17" s="1031"/>
      <c r="AJ17" s="1032"/>
    </row>
    <row r="18" spans="1:39" ht="27" customHeight="1">
      <c r="A18" s="718"/>
      <c r="B18" s="528"/>
      <c r="C18" s="350"/>
      <c r="D18" s="550"/>
      <c r="F18" s="479" t="str">
        <f>'30'!F18</f>
        <v>HAFIZ DRIVER</v>
      </c>
      <c r="G18" s="406">
        <f>'CUSTOMERS REPORT'!Y438</f>
        <v>0</v>
      </c>
      <c r="H18" s="504">
        <f>'CUSTOMERS REPORT'!Z438</f>
        <v>0</v>
      </c>
      <c r="I18" s="406">
        <f>'CUSTOMERS REPORT'!AA438</f>
        <v>0</v>
      </c>
      <c r="J18" s="498">
        <f>'CUSTOMERS REPORT'!AB438</f>
        <v>0</v>
      </c>
      <c r="K18" s="498">
        <f>'CUSTOMERS REPORT'!AC438</f>
        <v>0</v>
      </c>
      <c r="L18" s="509">
        <f>'CUSTOMERS REPORT'!AD438</f>
        <v>0</v>
      </c>
      <c r="M18" s="414">
        <f>'30'!M18+'31'!G18</f>
        <v>0</v>
      </c>
      <c r="N18" s="412">
        <f>'30'!N18+'31'!J18</f>
        <v>0</v>
      </c>
      <c r="P18" s="433"/>
      <c r="Q18" s="437"/>
      <c r="S18" s="399" t="str">
        <f>'30'!S18</f>
        <v>P-THELLI</v>
      </c>
      <c r="T18" s="446">
        <f>'30'!X18</f>
        <v>-89</v>
      </c>
      <c r="U18" s="447"/>
      <c r="V18" s="451">
        <f t="shared" si="4"/>
        <v>-89</v>
      </c>
      <c r="W18" s="815"/>
      <c r="X18" s="816">
        <f t="shared" si="5"/>
        <v>-89</v>
      </c>
      <c r="Z18" s="382" t="str">
        <f>'30'!Z18</f>
        <v>SALT</v>
      </c>
      <c r="AA18" s="464">
        <f>'30'!AE18</f>
        <v>0</v>
      </c>
      <c r="AB18" s="460"/>
      <c r="AC18" s="462">
        <f t="shared" si="6"/>
        <v>0</v>
      </c>
      <c r="AD18" s="469"/>
      <c r="AE18" s="348">
        <f t="shared" si="7"/>
        <v>0</v>
      </c>
      <c r="AF18" s="563">
        <f>'30'!AF18+'31'!AB18</f>
        <v>1500</v>
      </c>
      <c r="AG18" s="234">
        <f>'30'!AG18+'31'!AD18</f>
        <v>1500</v>
      </c>
      <c r="AI18" s="1031"/>
      <c r="AJ18" s="1032"/>
    </row>
    <row r="19" spans="1:39" ht="27" customHeight="1" thickBot="1">
      <c r="A19" s="719"/>
      <c r="B19" s="529"/>
      <c r="C19" s="350"/>
      <c r="D19" s="550"/>
      <c r="F19" s="479" t="str">
        <f>'30'!F19</f>
        <v>GHULAM QUETTA</v>
      </c>
      <c r="G19" s="406">
        <f>'CUSTOMERS REPORT'!Y476</f>
        <v>0</v>
      </c>
      <c r="H19" s="504">
        <f>'CUSTOMERS REPORT'!Z476</f>
        <v>0</v>
      </c>
      <c r="I19" s="406">
        <f>'CUSTOMERS REPORT'!AA476</f>
        <v>0</v>
      </c>
      <c r="J19" s="498">
        <f>'CUSTOMERS REPORT'!AB476</f>
        <v>0</v>
      </c>
      <c r="K19" s="498">
        <f>'CUSTOMERS REPORT'!AC476</f>
        <v>0</v>
      </c>
      <c r="L19" s="509">
        <f>'CUSTOMERS REPORT'!AD476</f>
        <v>0</v>
      </c>
      <c r="M19" s="414">
        <f>'30'!M19+'31'!G19</f>
        <v>0</v>
      </c>
      <c r="N19" s="412">
        <f>'30'!N19+'31'!J19</f>
        <v>0</v>
      </c>
      <c r="P19" s="433"/>
      <c r="Q19" s="437"/>
      <c r="S19" s="399" t="str">
        <f>'30'!S19</f>
        <v>RUBBER</v>
      </c>
      <c r="T19" s="446">
        <f>'30'!X19</f>
        <v>-3</v>
      </c>
      <c r="U19" s="447"/>
      <c r="V19" s="451">
        <f t="shared" si="4"/>
        <v>-3</v>
      </c>
      <c r="W19" s="815"/>
      <c r="X19" s="816">
        <f t="shared" si="5"/>
        <v>-3</v>
      </c>
      <c r="Z19" s="382" t="str">
        <f>'30'!Z19</f>
        <v>NAVEED</v>
      </c>
      <c r="AA19" s="464">
        <f>'30'!AE19</f>
        <v>0</v>
      </c>
      <c r="AB19" s="460"/>
      <c r="AC19" s="462">
        <f t="shared" si="6"/>
        <v>0</v>
      </c>
      <c r="AD19" s="469"/>
      <c r="AE19" s="348">
        <f t="shared" si="7"/>
        <v>0</v>
      </c>
      <c r="AF19" s="563">
        <f>'30'!AF19+'31'!AB19</f>
        <v>0</v>
      </c>
      <c r="AG19" s="234">
        <f>'30'!AG19+'31'!AD19</f>
        <v>0</v>
      </c>
    </row>
    <row r="20" spans="1:39" ht="27" customHeight="1" thickTop="1" thickBot="1">
      <c r="A20" s="719"/>
      <c r="B20" s="529"/>
      <c r="C20" s="350"/>
      <c r="D20" s="550"/>
      <c r="F20" s="479" t="str">
        <f>'30'!F20</f>
        <v>HUSSAN GWADAR</v>
      </c>
      <c r="G20" s="406">
        <f>'CUSTOMERS REPORT'!Y512</f>
        <v>0</v>
      </c>
      <c r="H20" s="504">
        <f>'CUSTOMERS REPORT'!Z512</f>
        <v>0</v>
      </c>
      <c r="I20" s="406">
        <f>'CUSTOMERS REPORT'!AA512</f>
        <v>0</v>
      </c>
      <c r="J20" s="498">
        <f>'CUSTOMERS REPORT'!AB512</f>
        <v>0</v>
      </c>
      <c r="K20" s="498">
        <f>'CUSTOMERS REPORT'!AC512</f>
        <v>0</v>
      </c>
      <c r="L20" s="509">
        <f>'CUSTOMERS REPORT'!AD512</f>
        <v>0</v>
      </c>
      <c r="M20" s="414">
        <f>'30'!M20+'31'!G20</f>
        <v>0</v>
      </c>
      <c r="N20" s="412">
        <f>'30'!N20+'31'!J20</f>
        <v>0</v>
      </c>
      <c r="P20" s="433"/>
      <c r="Q20" s="437"/>
      <c r="S20" s="399" t="str">
        <f>'30'!S20</f>
        <v>SALT</v>
      </c>
      <c r="T20" s="446">
        <f>'30'!X20</f>
        <v>70</v>
      </c>
      <c r="U20" s="447"/>
      <c r="V20" s="451">
        <f t="shared" si="4"/>
        <v>70</v>
      </c>
      <c r="W20" s="815"/>
      <c r="X20" s="816">
        <f t="shared" si="5"/>
        <v>70</v>
      </c>
      <c r="Z20" s="382" t="str">
        <f>'30'!Z20</f>
        <v>YOUSUF BHAI</v>
      </c>
      <c r="AA20" s="464">
        <f>'30'!AE20</f>
        <v>-107300</v>
      </c>
      <c r="AB20" s="460"/>
      <c r="AC20" s="462">
        <f t="shared" si="6"/>
        <v>-107300</v>
      </c>
      <c r="AD20" s="469"/>
      <c r="AE20" s="348">
        <f t="shared" si="7"/>
        <v>-107300</v>
      </c>
      <c r="AF20" s="563">
        <f>'30'!AF20+'31'!AB20</f>
        <v>447100</v>
      </c>
      <c r="AG20" s="234">
        <f>'30'!AG20+'31'!AD20</f>
        <v>554400</v>
      </c>
      <c r="AI20" s="1487" t="s">
        <v>132</v>
      </c>
      <c r="AJ20" s="1488"/>
    </row>
    <row r="21" spans="1:39" ht="27" customHeight="1" thickTop="1" thickBot="1">
      <c r="A21" s="720"/>
      <c r="B21" s="530"/>
      <c r="C21" s="531"/>
      <c r="D21" s="553"/>
      <c r="F21" s="479" t="str">
        <f>'30'!F21</f>
        <v>AQASH S KOT</v>
      </c>
      <c r="G21" s="406">
        <f>'CUSTOMERS REPORT'!Y549</f>
        <v>0</v>
      </c>
      <c r="H21" s="504">
        <f>'CUSTOMERS REPORT'!Z549</f>
        <v>0</v>
      </c>
      <c r="I21" s="406">
        <f>'CUSTOMERS REPORT'!AA549</f>
        <v>0</v>
      </c>
      <c r="J21" s="498">
        <f>'CUSTOMERS REPORT'!AB549</f>
        <v>0</v>
      </c>
      <c r="K21" s="498">
        <f>'CUSTOMERS REPORT'!AC549</f>
        <v>0</v>
      </c>
      <c r="L21" s="509">
        <f>'CUSTOMERS REPORT'!AD549</f>
        <v>0</v>
      </c>
      <c r="M21" s="414">
        <f>'30'!M21+'31'!G21</f>
        <v>0</v>
      </c>
      <c r="N21" s="412">
        <f>'30'!N21+'31'!J21</f>
        <v>0</v>
      </c>
      <c r="P21" s="433"/>
      <c r="Q21" s="435"/>
      <c r="S21" s="399" t="str">
        <f>'30'!S21</f>
        <v>TAPE</v>
      </c>
      <c r="T21" s="446">
        <f>'30'!X21</f>
        <v>-20</v>
      </c>
      <c r="U21" s="447"/>
      <c r="V21" s="451">
        <f t="shared" si="4"/>
        <v>-20</v>
      </c>
      <c r="W21" s="815"/>
      <c r="X21" s="816">
        <f t="shared" si="5"/>
        <v>-20</v>
      </c>
      <c r="Z21" s="382" t="str">
        <f>'30'!Z21</f>
        <v>SULEMAN  PRINT</v>
      </c>
      <c r="AA21" s="464">
        <f>'30'!AE21</f>
        <v>-312000</v>
      </c>
      <c r="AB21" s="460"/>
      <c r="AC21" s="462">
        <f t="shared" si="6"/>
        <v>-312000</v>
      </c>
      <c r="AD21" s="469"/>
      <c r="AE21" s="348">
        <f t="shared" si="7"/>
        <v>-312000</v>
      </c>
      <c r="AF21" s="563">
        <f>'30'!AF21+'31'!AB21</f>
        <v>0</v>
      </c>
      <c r="AG21" s="234">
        <f>'30'!AG21+'31'!AD21</f>
        <v>312000</v>
      </c>
      <c r="AI21" s="391" t="s">
        <v>126</v>
      </c>
      <c r="AJ21" s="392">
        <f>'30'!AJ23</f>
        <v>257400</v>
      </c>
    </row>
    <row r="22" spans="1:39" ht="27" customHeight="1" thickTop="1" thickBot="1">
      <c r="A22" s="486" t="s">
        <v>74</v>
      </c>
      <c r="B22" s="533">
        <f>SUM(B8:B21)</f>
        <v>0</v>
      </c>
      <c r="C22" s="534">
        <f>'30'!D22</f>
        <v>3569860</v>
      </c>
      <c r="D22" s="535">
        <f t="shared" ref="D22" si="8">B22+C22</f>
        <v>3569860</v>
      </c>
      <c r="F22" s="479" t="str">
        <f>'30'!F22</f>
        <v>SALEEM T JAM</v>
      </c>
      <c r="G22" s="406">
        <f>'CUSTOMERS REPORT'!Y587</f>
        <v>0</v>
      </c>
      <c r="H22" s="504">
        <f>'CUSTOMERS REPORT'!Z587</f>
        <v>0</v>
      </c>
      <c r="I22" s="406">
        <f>'CUSTOMERS REPORT'!AA587</f>
        <v>0</v>
      </c>
      <c r="J22" s="498">
        <f>'CUSTOMERS REPORT'!AB587</f>
        <v>0</v>
      </c>
      <c r="K22" s="498">
        <f>'CUSTOMERS REPORT'!AC587</f>
        <v>0</v>
      </c>
      <c r="L22" s="509">
        <f>'CUSTOMERS REPORT'!AD587</f>
        <v>0</v>
      </c>
      <c r="M22" s="414">
        <f>'30'!M22+'31'!G22</f>
        <v>0</v>
      </c>
      <c r="N22" s="412">
        <f>'30'!N22+'31'!J22</f>
        <v>0</v>
      </c>
      <c r="P22" s="433"/>
      <c r="Q22" s="438"/>
      <c r="S22" s="399" t="str">
        <f>'30'!S22</f>
        <v>COTTON</v>
      </c>
      <c r="T22" s="446">
        <f>'30'!X22</f>
        <v>35</v>
      </c>
      <c r="U22" s="447"/>
      <c r="V22" s="451">
        <f t="shared" si="4"/>
        <v>35</v>
      </c>
      <c r="W22" s="815"/>
      <c r="X22" s="816">
        <f t="shared" si="5"/>
        <v>35</v>
      </c>
      <c r="Z22" s="382" t="str">
        <f>'30'!Z22</f>
        <v>IRFAN VANILA</v>
      </c>
      <c r="AA22" s="464">
        <f>'30'!AE22</f>
        <v>-110000</v>
      </c>
      <c r="AB22" s="460"/>
      <c r="AC22" s="462">
        <f t="shared" si="6"/>
        <v>-110000</v>
      </c>
      <c r="AD22" s="469"/>
      <c r="AE22" s="348">
        <f t="shared" si="7"/>
        <v>-110000</v>
      </c>
      <c r="AF22" s="563">
        <f>'30'!AF22+'31'!AB22</f>
        <v>0</v>
      </c>
      <c r="AG22" s="234">
        <f>'30'!AG22+'31'!AD22</f>
        <v>110000</v>
      </c>
      <c r="AI22" s="393">
        <f>R56</f>
        <v>0</v>
      </c>
      <c r="AJ22" s="394">
        <f>R56*1800</f>
        <v>0</v>
      </c>
      <c r="AL22" t="s">
        <v>1</v>
      </c>
    </row>
    <row r="23" spans="1:39" ht="27" customHeight="1" thickTop="1" thickBot="1">
      <c r="A23" s="715" t="str">
        <f>'30'!A23</f>
        <v>OFFICE FOOD</v>
      </c>
      <c r="B23" s="462"/>
      <c r="C23" s="536">
        <f>'30'!D23</f>
        <v>4090</v>
      </c>
      <c r="D23" s="537">
        <f t="shared" ref="D23:D47" si="9">B23+C23</f>
        <v>4090</v>
      </c>
      <c r="F23" s="479" t="str">
        <f>'30'!F23</f>
        <v>JAMSHAD BADEEN</v>
      </c>
      <c r="G23" s="406">
        <f>'CUSTOMERS REPORT'!Y623</f>
        <v>0</v>
      </c>
      <c r="H23" s="504">
        <f>'CUSTOMERS REPORT'!Z623</f>
        <v>0</v>
      </c>
      <c r="I23" s="406">
        <f>'CUSTOMERS REPORT'!AA623</f>
        <v>0</v>
      </c>
      <c r="J23" s="498">
        <f>'CUSTOMERS REPORT'!AB623</f>
        <v>0</v>
      </c>
      <c r="K23" s="498">
        <f>'CUSTOMERS REPORT'!AC623</f>
        <v>0</v>
      </c>
      <c r="L23" s="509">
        <f>'CUSTOMERS REPORT'!AD623</f>
        <v>0</v>
      </c>
      <c r="M23" s="414">
        <f>'30'!M23+'31'!G23</f>
        <v>0</v>
      </c>
      <c r="N23" s="412">
        <f>'30'!N23+'31'!J23</f>
        <v>0</v>
      </c>
      <c r="P23" s="190" t="s">
        <v>48</v>
      </c>
      <c r="Q23" s="439">
        <f>SUM(Q8:Q22)</f>
        <v>0</v>
      </c>
      <c r="S23" s="399" t="str">
        <f>'30'!S23</f>
        <v>WHITE 6</v>
      </c>
      <c r="T23" s="446">
        <f>'30'!X23</f>
        <v>0</v>
      </c>
      <c r="U23" s="447"/>
      <c r="V23" s="451">
        <f t="shared" si="4"/>
        <v>0</v>
      </c>
      <c r="W23" s="815"/>
      <c r="X23" s="816">
        <f t="shared" si="5"/>
        <v>0</v>
      </c>
      <c r="Z23" s="375" t="str">
        <f>'30'!Z23</f>
        <v>IRANI GHEE</v>
      </c>
      <c r="AA23" s="464">
        <f>'30'!AE23</f>
        <v>0</v>
      </c>
      <c r="AB23" s="460"/>
      <c r="AC23" s="462">
        <f t="shared" si="2"/>
        <v>0</v>
      </c>
      <c r="AD23" s="469"/>
      <c r="AE23" s="348">
        <f t="shared" si="3"/>
        <v>0</v>
      </c>
      <c r="AF23" s="563">
        <f>'30'!AF23+'31'!AB23</f>
        <v>77200</v>
      </c>
      <c r="AG23" s="234">
        <f>'30'!AG23+'31'!AD23</f>
        <v>77200</v>
      </c>
      <c r="AI23" s="395" t="s">
        <v>74</v>
      </c>
      <c r="AJ23" s="396">
        <f>AJ21+AJ22</f>
        <v>257400</v>
      </c>
    </row>
    <row r="24" spans="1:39" ht="27" customHeight="1" thickTop="1" thickBot="1">
      <c r="A24" s="715" t="str">
        <f>'30'!A24</f>
        <v>LABOUR FOOD EXP</v>
      </c>
      <c r="B24" s="234"/>
      <c r="C24" s="348">
        <f>'30'!D24</f>
        <v>33000</v>
      </c>
      <c r="D24" s="234">
        <f t="shared" si="9"/>
        <v>33000</v>
      </c>
      <c r="F24" s="479" t="str">
        <f>'30'!F24</f>
        <v>SARFAZ MP</v>
      </c>
      <c r="G24" s="406">
        <f>'CUSTOMERS REPORT'!Y661</f>
        <v>0</v>
      </c>
      <c r="H24" s="504">
        <f>'CUSTOMERS REPORT'!Z661</f>
        <v>0</v>
      </c>
      <c r="I24" s="406">
        <f>'CUSTOMERS REPORT'!AA661</f>
        <v>0</v>
      </c>
      <c r="J24" s="498">
        <f>'CUSTOMERS REPORT'!AB661</f>
        <v>0</v>
      </c>
      <c r="K24" s="498">
        <f>'CUSTOMERS REPORT'!AC661</f>
        <v>0</v>
      </c>
      <c r="L24" s="509">
        <f>'CUSTOMERS REPORT'!AD661</f>
        <v>0</v>
      </c>
      <c r="M24" s="414">
        <f>'30'!M24+'31'!G24</f>
        <v>0</v>
      </c>
      <c r="N24" s="412">
        <f>'30'!N24+'31'!J24</f>
        <v>0</v>
      </c>
      <c r="P24" s="1514" t="s">
        <v>137</v>
      </c>
      <c r="Q24" s="1514"/>
      <c r="R24" t="s">
        <v>1</v>
      </c>
      <c r="S24" s="399" t="str">
        <f>'30'!S24</f>
        <v>ORANGE</v>
      </c>
      <c r="T24" s="446">
        <f>'30'!X24</f>
        <v>-254</v>
      </c>
      <c r="U24" s="456"/>
      <c r="V24" s="451">
        <f t="shared" si="0"/>
        <v>-254</v>
      </c>
      <c r="W24" s="815"/>
      <c r="X24" s="816">
        <f t="shared" si="1"/>
        <v>-254</v>
      </c>
      <c r="Z24" s="375">
        <f>'30'!Z24</f>
        <v>0</v>
      </c>
      <c r="AA24" s="464">
        <f>'30'!AE24</f>
        <v>0</v>
      </c>
      <c r="AB24" s="745"/>
      <c r="AC24" s="462">
        <f t="shared" si="2"/>
        <v>0</v>
      </c>
      <c r="AD24" s="469"/>
      <c r="AE24" s="348">
        <f t="shared" si="3"/>
        <v>0</v>
      </c>
      <c r="AF24" s="563">
        <f>'30'!AF24+'31'!AB24</f>
        <v>0</v>
      </c>
      <c r="AG24" s="234">
        <f>'30'!AG24+'31'!AD24</f>
        <v>0</v>
      </c>
    </row>
    <row r="25" spans="1:39" ht="27" customHeight="1" thickTop="1" thickBot="1">
      <c r="A25" s="715" t="str">
        <f>'30'!A25</f>
        <v>OFFICE SALARY</v>
      </c>
      <c r="B25" s="234">
        <f>ATTENDANCE!BK28</f>
        <v>0</v>
      </c>
      <c r="C25" s="348">
        <f>'30'!D25</f>
        <v>171500</v>
      </c>
      <c r="D25" s="234">
        <f t="shared" si="9"/>
        <v>171500</v>
      </c>
      <c r="F25" s="479" t="str">
        <f>'30'!F25</f>
        <v>AFZAL MATLI</v>
      </c>
      <c r="G25" s="406">
        <f>'CUSTOMERS REPORT'!Y699</f>
        <v>0</v>
      </c>
      <c r="H25" s="504">
        <f>'CUSTOMERS REPORT'!Z699</f>
        <v>0</v>
      </c>
      <c r="I25" s="406">
        <f>'CUSTOMERS REPORT'!AA699</f>
        <v>0</v>
      </c>
      <c r="J25" s="498">
        <f>'CUSTOMERS REPORT'!AB699</f>
        <v>0</v>
      </c>
      <c r="K25" s="498">
        <f>'CUSTOMERS REPORT'!AC699</f>
        <v>0</v>
      </c>
      <c r="L25" s="509">
        <f>'CUSTOMERS REPORT'!AD699</f>
        <v>0</v>
      </c>
      <c r="M25" s="414">
        <f>'30'!M25+'31'!G25</f>
        <v>0</v>
      </c>
      <c r="N25" s="412">
        <f>'30'!N25+'31'!J25</f>
        <v>0</v>
      </c>
      <c r="P25" s="434"/>
      <c r="Q25" s="440"/>
      <c r="S25" s="399" t="str">
        <f>'30'!S25</f>
        <v>MAKKI 7</v>
      </c>
      <c r="T25" s="446">
        <f>'30'!X25</f>
        <v>-400</v>
      </c>
      <c r="U25" s="456"/>
      <c r="V25" s="451">
        <f t="shared" si="0"/>
        <v>-400</v>
      </c>
      <c r="W25" s="815"/>
      <c r="X25" s="816">
        <f t="shared" si="1"/>
        <v>-400</v>
      </c>
      <c r="Z25" s="375">
        <f>'30'!Z25</f>
        <v>0</v>
      </c>
      <c r="AA25" s="464">
        <f>'30'!AE25</f>
        <v>0</v>
      </c>
      <c r="AB25" s="460"/>
      <c r="AC25" s="462">
        <f t="shared" si="2"/>
        <v>0</v>
      </c>
      <c r="AD25" s="469"/>
      <c r="AE25" s="348">
        <f t="shared" si="3"/>
        <v>0</v>
      </c>
      <c r="AF25" s="563">
        <f>'30'!AF25+'31'!AB25</f>
        <v>0</v>
      </c>
      <c r="AG25" s="234">
        <f>'30'!AG25+'31'!AD25</f>
        <v>0</v>
      </c>
      <c r="AI25" s="397" t="s">
        <v>59</v>
      </c>
      <c r="AJ25" s="398">
        <f>AJ23-AJ10</f>
        <v>-85200</v>
      </c>
    </row>
    <row r="26" spans="1:39" ht="27" customHeight="1" thickTop="1">
      <c r="A26" s="715" t="str">
        <f>'30'!A26</f>
        <v>LABOUR SALARY</v>
      </c>
      <c r="B26" s="234">
        <f>ATTENDANCE!BK92</f>
        <v>0</v>
      </c>
      <c r="C26" s="348">
        <f>'30'!D26</f>
        <v>342600</v>
      </c>
      <c r="D26" s="234">
        <f t="shared" si="9"/>
        <v>342600</v>
      </c>
      <c r="F26" s="479" t="str">
        <f>'30'!F26</f>
        <v xml:space="preserve">ABDUL RASHEED </v>
      </c>
      <c r="G26" s="406">
        <f>'CUSTOMERS REPORT'!Y737</f>
        <v>0</v>
      </c>
      <c r="H26" s="504">
        <f>'CUSTOMERS REPORT'!Z737</f>
        <v>0</v>
      </c>
      <c r="I26" s="406">
        <f>'CUSTOMERS REPORT'!AA737</f>
        <v>0</v>
      </c>
      <c r="J26" s="498">
        <f>'CUSTOMERS REPORT'!AB737</f>
        <v>0</v>
      </c>
      <c r="K26" s="498">
        <f>'CUSTOMERS REPORT'!AC737</f>
        <v>0</v>
      </c>
      <c r="L26" s="509">
        <f>'CUSTOMERS REPORT'!AD737</f>
        <v>0</v>
      </c>
      <c r="M26" s="414">
        <f>'30'!M26+'31'!G26</f>
        <v>0</v>
      </c>
      <c r="N26" s="412">
        <f>'30'!N26+'31'!J26</f>
        <v>0</v>
      </c>
      <c r="P26" s="433"/>
      <c r="Q26" s="438"/>
      <c r="R26" t="s">
        <v>1</v>
      </c>
      <c r="S26" s="399" t="str">
        <f>'30'!S26</f>
        <v>BLUE 125 GM</v>
      </c>
      <c r="T26" s="446">
        <f>'30'!X26</f>
        <v>0</v>
      </c>
      <c r="U26" s="456"/>
      <c r="V26" s="451">
        <f t="shared" si="0"/>
        <v>0</v>
      </c>
      <c r="W26" s="815"/>
      <c r="X26" s="816">
        <f t="shared" si="1"/>
        <v>0</v>
      </c>
      <c r="Z26" s="375">
        <f>'30'!Z26</f>
        <v>0</v>
      </c>
      <c r="AA26" s="464">
        <f>'30'!AE26</f>
        <v>0</v>
      </c>
      <c r="AB26" s="460"/>
      <c r="AC26" s="462">
        <f t="shared" si="2"/>
        <v>0</v>
      </c>
      <c r="AD26" s="469"/>
      <c r="AE26" s="348">
        <f t="shared" si="3"/>
        <v>0</v>
      </c>
      <c r="AF26" s="563">
        <f>'30'!AF26+'31'!AB26</f>
        <v>0</v>
      </c>
      <c r="AG26" s="234">
        <f>'30'!AG26+'31'!AD26</f>
        <v>0</v>
      </c>
    </row>
    <row r="27" spans="1:39" ht="27" customHeight="1">
      <c r="A27" s="715" t="str">
        <f>'30'!A27</f>
        <v>SHAHZORE</v>
      </c>
      <c r="B27" s="234"/>
      <c r="C27" s="348">
        <f>'30'!D27</f>
        <v>15250</v>
      </c>
      <c r="D27" s="234">
        <f t="shared" si="9"/>
        <v>15250</v>
      </c>
      <c r="F27" s="479" t="str">
        <f>'30'!F27</f>
        <v>SALEEM ORANGI</v>
      </c>
      <c r="G27" s="406">
        <f>'CUSTOMERS REPORT'!Y775</f>
        <v>0</v>
      </c>
      <c r="H27" s="504">
        <f>'CUSTOMERS REPORT'!Z775</f>
        <v>0</v>
      </c>
      <c r="I27" s="406">
        <f>'CUSTOMERS REPORT'!AA775</f>
        <v>0</v>
      </c>
      <c r="J27" s="498">
        <f>'CUSTOMERS REPORT'!AB775</f>
        <v>0</v>
      </c>
      <c r="K27" s="498">
        <f>'CUSTOMERS REPORT'!AC775</f>
        <v>0</v>
      </c>
      <c r="L27" s="509">
        <f>'CUSTOMERS REPORT'!AD775</f>
        <v>0</v>
      </c>
      <c r="M27" s="414">
        <f>'30'!M27+'31'!G27</f>
        <v>0</v>
      </c>
      <c r="N27" s="412">
        <f>'30'!N27+'31'!J27</f>
        <v>0</v>
      </c>
      <c r="P27" s="433"/>
      <c r="Q27" s="435"/>
      <c r="R27" t="s">
        <v>1</v>
      </c>
      <c r="S27" s="399" t="str">
        <f>'30'!S27</f>
        <v>MAKKI 5</v>
      </c>
      <c r="T27" s="446">
        <f>'30'!X27</f>
        <v>0</v>
      </c>
      <c r="U27" s="456"/>
      <c r="V27" s="451">
        <f t="shared" si="0"/>
        <v>0</v>
      </c>
      <c r="W27" s="815"/>
      <c r="X27" s="816">
        <f t="shared" si="1"/>
        <v>0</v>
      </c>
      <c r="Z27" s="375">
        <f>'30'!Z27</f>
        <v>0</v>
      </c>
      <c r="AA27" s="464">
        <f>'30'!AE27</f>
        <v>0</v>
      </c>
      <c r="AB27" s="460"/>
      <c r="AC27" s="462">
        <f t="shared" si="2"/>
        <v>0</v>
      </c>
      <c r="AD27" s="469"/>
      <c r="AE27" s="348">
        <f t="shared" si="3"/>
        <v>0</v>
      </c>
      <c r="AF27" s="563">
        <f>'30'!AF27+'31'!AB27</f>
        <v>0</v>
      </c>
      <c r="AG27" s="234">
        <f>'30'!AG27+'31'!AD27</f>
        <v>0</v>
      </c>
      <c r="AM27" t="s">
        <v>1</v>
      </c>
    </row>
    <row r="28" spans="1:39" ht="27" customHeight="1">
      <c r="A28" s="715" t="str">
        <f>'30'!A28</f>
        <v>GENERATOR</v>
      </c>
      <c r="B28" s="234"/>
      <c r="C28" s="348">
        <f>'30'!D28</f>
        <v>44550</v>
      </c>
      <c r="D28" s="234">
        <f t="shared" si="9"/>
        <v>44550</v>
      </c>
      <c r="F28" s="479" t="str">
        <f>'30'!F28</f>
        <v>AYAZ OUSTA</v>
      </c>
      <c r="G28" s="406">
        <f>'CUSTOMERS REPORT'!Y813</f>
        <v>0</v>
      </c>
      <c r="H28" s="504">
        <f>'CUSTOMERS REPORT'!Z813</f>
        <v>0</v>
      </c>
      <c r="I28" s="406">
        <f>'CUSTOMERS REPORT'!AA813</f>
        <v>0</v>
      </c>
      <c r="J28" s="498">
        <f>'CUSTOMERS REPORT'!AB813</f>
        <v>0</v>
      </c>
      <c r="K28" s="498">
        <f>'CUSTOMERS REPORT'!AC813</f>
        <v>0</v>
      </c>
      <c r="L28" s="509">
        <f>'CUSTOMERS REPORT'!AD813</f>
        <v>0</v>
      </c>
      <c r="M28" s="414">
        <f>'30'!M28+'31'!G28</f>
        <v>0</v>
      </c>
      <c r="N28" s="412">
        <f>'30'!N28+'31'!J28</f>
        <v>0</v>
      </c>
      <c r="P28" s="433"/>
      <c r="Q28" s="438"/>
      <c r="S28" s="399" t="str">
        <f>'30'!S28</f>
        <v>MAKKI 2 PES</v>
      </c>
      <c r="T28" s="446">
        <f>'30'!X28</f>
        <v>-253</v>
      </c>
      <c r="U28" s="456"/>
      <c r="V28" s="451">
        <f t="shared" si="0"/>
        <v>-253</v>
      </c>
      <c r="W28" s="815"/>
      <c r="X28" s="816">
        <f t="shared" si="1"/>
        <v>-253</v>
      </c>
      <c r="Z28" s="375">
        <f>'30'!Z28</f>
        <v>0</v>
      </c>
      <c r="AA28" s="464">
        <f>'30'!AE28</f>
        <v>0</v>
      </c>
      <c r="AB28" s="460"/>
      <c r="AC28" s="462">
        <f t="shared" si="2"/>
        <v>0</v>
      </c>
      <c r="AD28" s="469"/>
      <c r="AE28" s="348">
        <f t="shared" si="3"/>
        <v>0</v>
      </c>
      <c r="AF28" s="563">
        <f>'30'!AF28+'31'!AB28</f>
        <v>0</v>
      </c>
      <c r="AG28" s="234">
        <f>'30'!AG28+'31'!AD28</f>
        <v>0</v>
      </c>
    </row>
    <row r="29" spans="1:39" ht="27" customHeight="1">
      <c r="A29" s="715" t="str">
        <f>'30'!A29</f>
        <v>PATROL FAW</v>
      </c>
      <c r="B29" s="234"/>
      <c r="C29" s="348">
        <f>'30'!D29</f>
        <v>34270</v>
      </c>
      <c r="D29" s="234">
        <f t="shared" si="9"/>
        <v>34270</v>
      </c>
      <c r="F29" s="479" t="str">
        <f>'30'!F29</f>
        <v>AZHAR BADEEN</v>
      </c>
      <c r="G29" s="406">
        <f>'CUSTOMERS REPORT'!Y851</f>
        <v>0</v>
      </c>
      <c r="H29" s="504">
        <f>'CUSTOMERS REPORT'!Z851</f>
        <v>0</v>
      </c>
      <c r="I29" s="406">
        <f>'CUSTOMERS REPORT'!AA851</f>
        <v>0</v>
      </c>
      <c r="J29" s="498">
        <f>'CUSTOMERS REPORT'!AB851</f>
        <v>0</v>
      </c>
      <c r="K29" s="498">
        <f>'CUSTOMERS REPORT'!AC851</f>
        <v>0</v>
      </c>
      <c r="L29" s="509">
        <f>'CUSTOMERS REPORT'!AD851</f>
        <v>0</v>
      </c>
      <c r="M29" s="414">
        <f>'30'!M29+'31'!G29</f>
        <v>0</v>
      </c>
      <c r="N29" s="412">
        <f>'30'!N29+'31'!J29</f>
        <v>0</v>
      </c>
      <c r="P29" s="433"/>
      <c r="Q29" s="441"/>
      <c r="S29" s="399" t="str">
        <f>'30'!S29</f>
        <v xml:space="preserve">PRIME </v>
      </c>
      <c r="T29" s="446">
        <f>'30'!X29</f>
        <v>0</v>
      </c>
      <c r="U29" s="456"/>
      <c r="V29" s="451">
        <f t="shared" si="0"/>
        <v>0</v>
      </c>
      <c r="W29" s="815"/>
      <c r="X29" s="816">
        <f t="shared" si="1"/>
        <v>0</v>
      </c>
      <c r="Z29" s="375">
        <f>'30'!Z29</f>
        <v>0</v>
      </c>
      <c r="AA29" s="464">
        <f>'30'!AE29</f>
        <v>0</v>
      </c>
      <c r="AB29" s="460"/>
      <c r="AC29" s="462">
        <f t="shared" si="2"/>
        <v>0</v>
      </c>
      <c r="AD29" s="469"/>
      <c r="AE29" s="348">
        <f t="shared" si="3"/>
        <v>0</v>
      </c>
      <c r="AF29" s="563">
        <f>'30'!AF29+'31'!AB29</f>
        <v>0</v>
      </c>
      <c r="AG29" s="234">
        <f>'30'!AG29+'31'!AD29</f>
        <v>0</v>
      </c>
    </row>
    <row r="30" spans="1:39" ht="27" customHeight="1">
      <c r="A30" s="715" t="str">
        <f>'30'!A30</f>
        <v>FOTON DIESEL</v>
      </c>
      <c r="B30" s="234"/>
      <c r="C30" s="348">
        <f>'30'!D30</f>
        <v>30300</v>
      </c>
      <c r="D30" s="234">
        <f t="shared" si="9"/>
        <v>30300</v>
      </c>
      <c r="F30" s="479" t="str">
        <f>'30'!F30</f>
        <v>FAISAL HUB</v>
      </c>
      <c r="G30" s="406">
        <f>'CUSTOMERS REPORT'!Y889</f>
        <v>0</v>
      </c>
      <c r="H30" s="504">
        <f>'CUSTOMERS REPORT'!Z889</f>
        <v>0</v>
      </c>
      <c r="I30" s="406">
        <f>'CUSTOMERS REPORT'!AA889</f>
        <v>0</v>
      </c>
      <c r="J30" s="498">
        <f>'CUSTOMERS REPORT'!AB889</f>
        <v>0</v>
      </c>
      <c r="K30" s="498">
        <f>'CUSTOMERS REPORT'!AC889</f>
        <v>0</v>
      </c>
      <c r="L30" s="509">
        <f>'CUSTOMERS REPORT'!AD889</f>
        <v>0</v>
      </c>
      <c r="M30" s="414">
        <f>'30'!M30+'31'!G30</f>
        <v>0</v>
      </c>
      <c r="N30" s="412">
        <f>'30'!N30+'31'!J30</f>
        <v>0</v>
      </c>
      <c r="P30" s="433"/>
      <c r="Q30" s="442"/>
      <c r="S30" s="399" t="str">
        <f>'30'!S30</f>
        <v>PRIMR 15</v>
      </c>
      <c r="T30" s="446">
        <f>'30'!X30</f>
        <v>0</v>
      </c>
      <c r="U30" s="456"/>
      <c r="V30" s="451">
        <f t="shared" si="0"/>
        <v>0</v>
      </c>
      <c r="W30" s="815"/>
      <c r="X30" s="816">
        <f t="shared" si="1"/>
        <v>0</v>
      </c>
      <c r="Z30" s="375">
        <f>'30'!Z30</f>
        <v>0</v>
      </c>
      <c r="AA30" s="464">
        <f>'30'!AE30</f>
        <v>0</v>
      </c>
      <c r="AB30" s="460"/>
      <c r="AC30" s="462">
        <f t="shared" si="2"/>
        <v>0</v>
      </c>
      <c r="AD30" s="469"/>
      <c r="AE30" s="348">
        <f t="shared" si="3"/>
        <v>0</v>
      </c>
      <c r="AF30" s="563">
        <f>'30'!AF30+'31'!AB30</f>
        <v>0</v>
      </c>
      <c r="AG30" s="234">
        <f>'30'!AG30+'31'!AD30</f>
        <v>0</v>
      </c>
      <c r="AJ30" s="616">
        <f>L29+L34+L35+L36+L37+L38+L39+L41+L40+L42</f>
        <v>0</v>
      </c>
    </row>
    <row r="31" spans="1:39" ht="27" customHeight="1" thickBot="1">
      <c r="A31" s="715" t="str">
        <f>'30'!A31</f>
        <v>UTILITY BILLS</v>
      </c>
      <c r="B31" s="234"/>
      <c r="C31" s="548">
        <f>'30'!D31</f>
        <v>44670</v>
      </c>
      <c r="D31" s="234">
        <f t="shared" si="9"/>
        <v>44670</v>
      </c>
      <c r="F31" s="479" t="str">
        <f>'30'!F31</f>
        <v>ABDUL RAHMAN</v>
      </c>
      <c r="G31" s="406">
        <f>'CUSTOMERS REPORT'!Y928</f>
        <v>0</v>
      </c>
      <c r="H31" s="504">
        <f>'CUSTOMERS REPORT'!Z928</f>
        <v>0</v>
      </c>
      <c r="I31" s="406">
        <f>'CUSTOMERS REPORT'!AA928</f>
        <v>0</v>
      </c>
      <c r="J31" s="498">
        <f>'CUSTOMERS REPORT'!AB928</f>
        <v>0</v>
      </c>
      <c r="K31" s="498">
        <f>'CUSTOMERS REPORT'!AC928</f>
        <v>0</v>
      </c>
      <c r="L31" s="509">
        <f>'CUSTOMERS REPORT'!AD928</f>
        <v>0</v>
      </c>
      <c r="M31" s="414">
        <f>'30'!M31+'31'!G31</f>
        <v>0</v>
      </c>
      <c r="N31" s="412">
        <f>'30'!N31+'31'!J31</f>
        <v>0</v>
      </c>
      <c r="P31" s="433"/>
      <c r="Q31" s="435"/>
      <c r="S31" s="399" t="str">
        <f>'30'!S31</f>
        <v>KARACHI</v>
      </c>
      <c r="T31" s="446">
        <f>'30'!X31</f>
        <v>-110</v>
      </c>
      <c r="U31" s="456"/>
      <c r="V31" s="451">
        <f t="shared" si="0"/>
        <v>-110</v>
      </c>
      <c r="W31" s="815"/>
      <c r="X31" s="816">
        <f t="shared" si="1"/>
        <v>-110</v>
      </c>
      <c r="Z31" s="375">
        <f>'30'!Z31</f>
        <v>0</v>
      </c>
      <c r="AA31" s="464">
        <f>'30'!AE31</f>
        <v>0</v>
      </c>
      <c r="AB31" s="460"/>
      <c r="AC31" s="462">
        <f t="shared" si="2"/>
        <v>0</v>
      </c>
      <c r="AD31" s="469"/>
      <c r="AE31" s="348">
        <f t="shared" si="3"/>
        <v>0</v>
      </c>
      <c r="AF31" s="563">
        <f>'30'!AF31+'31'!AB31</f>
        <v>0</v>
      </c>
      <c r="AG31" s="234">
        <f>'30'!AG31+'31'!AD31</f>
        <v>0</v>
      </c>
      <c r="AI31" t="s">
        <v>1</v>
      </c>
    </row>
    <row r="32" spans="1:39" ht="27" customHeight="1" thickTop="1" thickBot="1">
      <c r="A32" s="715" t="str">
        <f>'30'!A32</f>
        <v>WOOD</v>
      </c>
      <c r="B32" s="234"/>
      <c r="C32" s="348">
        <f>'30'!D32</f>
        <v>150000</v>
      </c>
      <c r="D32" s="234">
        <f t="shared" si="9"/>
        <v>150000</v>
      </c>
      <c r="F32" s="479" t="str">
        <f>'30'!F32</f>
        <v>HAJI JAN GIWANI</v>
      </c>
      <c r="G32" s="406">
        <f>'CUSTOMERS REPORT'!Y967</f>
        <v>0</v>
      </c>
      <c r="H32" s="504">
        <f>'CUSTOMERS REPORT'!Z967</f>
        <v>0</v>
      </c>
      <c r="I32" s="406">
        <f>'CUSTOMERS REPORT'!AA967</f>
        <v>0</v>
      </c>
      <c r="J32" s="498">
        <f>'CUSTOMERS REPORT'!AB967</f>
        <v>0</v>
      </c>
      <c r="K32" s="498">
        <f>'CUSTOMERS REPORT'!AC967</f>
        <v>0</v>
      </c>
      <c r="L32" s="509">
        <f>'CUSTOMERS REPORT'!AD967</f>
        <v>0</v>
      </c>
      <c r="M32" s="414">
        <f>'30'!M32+'31'!G32</f>
        <v>0</v>
      </c>
      <c r="N32" s="412">
        <f>'30'!N32+'31'!J32</f>
        <v>0</v>
      </c>
      <c r="P32" s="190" t="s">
        <v>51</v>
      </c>
      <c r="Q32" s="439">
        <f>Q23-Q25-Q26-Q27-Q28-Q29-Q30-Q31</f>
        <v>0</v>
      </c>
      <c r="R32" t="s">
        <v>1</v>
      </c>
      <c r="S32" s="399" t="str">
        <f>'30'!S32</f>
        <v>MARVI</v>
      </c>
      <c r="T32" s="446">
        <f>'30'!X32</f>
        <v>0</v>
      </c>
      <c r="U32" s="456"/>
      <c r="V32" s="451">
        <f t="shared" si="0"/>
        <v>0</v>
      </c>
      <c r="W32" s="815"/>
      <c r="X32" s="816">
        <f t="shared" si="1"/>
        <v>0</v>
      </c>
      <c r="Z32" s="375">
        <f>'30'!Z32</f>
        <v>0</v>
      </c>
      <c r="AA32" s="464">
        <f>'30'!AE32</f>
        <v>0</v>
      </c>
      <c r="AB32" s="460"/>
      <c r="AC32" s="462">
        <f t="shared" si="2"/>
        <v>0</v>
      </c>
      <c r="AD32" s="469"/>
      <c r="AE32" s="348">
        <f t="shared" si="3"/>
        <v>0</v>
      </c>
      <c r="AF32" s="563">
        <f>'30'!AF32+'31'!AB32</f>
        <v>0</v>
      </c>
      <c r="AG32" s="234">
        <f>'30'!AG32+'31'!AD32</f>
        <v>0</v>
      </c>
    </row>
    <row r="33" spans="1:40" ht="27" customHeight="1" thickTop="1" thickBot="1">
      <c r="A33" s="716" t="str">
        <f>'30'!A33</f>
        <v>TOLL</v>
      </c>
      <c r="B33" s="538"/>
      <c r="C33" s="348">
        <f>'30'!D33</f>
        <v>300</v>
      </c>
      <c r="D33" s="234">
        <f t="shared" si="9"/>
        <v>300</v>
      </c>
      <c r="F33" s="479" t="str">
        <f>'30'!F33</f>
        <v>ALI QURESHI HYD</v>
      </c>
      <c r="G33" s="406">
        <f>'CUSTOMERS REPORT'!Y1005</f>
        <v>0</v>
      </c>
      <c r="H33" s="504">
        <f>'CUSTOMERS REPORT'!Z1005</f>
        <v>0</v>
      </c>
      <c r="I33" s="406">
        <f>'CUSTOMERS REPORT'!AA1005</f>
        <v>0</v>
      </c>
      <c r="J33" s="498">
        <f>'CUSTOMERS REPORT'!AB1005</f>
        <v>0</v>
      </c>
      <c r="K33" s="498">
        <f>'CUSTOMERS REPORT'!AC1005</f>
        <v>0</v>
      </c>
      <c r="L33" s="509">
        <f>'CUSTOMERS REPORT'!AD1005</f>
        <v>0</v>
      </c>
      <c r="M33" s="414">
        <f>'30'!M33+'31'!G33</f>
        <v>0</v>
      </c>
      <c r="N33" s="412">
        <f>'30'!N33+'31'!J33</f>
        <v>0</v>
      </c>
      <c r="P33" s="1499" t="s">
        <v>149</v>
      </c>
      <c r="Q33" s="1500"/>
      <c r="S33" s="399" t="str">
        <f>'30'!S33</f>
        <v>TS</v>
      </c>
      <c r="T33" s="446">
        <f>'30'!X33</f>
        <v>-14</v>
      </c>
      <c r="U33" s="456"/>
      <c r="V33" s="451">
        <f t="shared" si="0"/>
        <v>-14</v>
      </c>
      <c r="W33" s="815"/>
      <c r="X33" s="816">
        <f t="shared" si="1"/>
        <v>-14</v>
      </c>
      <c r="Z33" s="375">
        <f>'30'!Z33</f>
        <v>0</v>
      </c>
      <c r="AA33" s="464">
        <f>'30'!AE33</f>
        <v>0</v>
      </c>
      <c r="AB33" s="460">
        <f>'SHAKEEL RUSK'!D38+'SHAKEEL RUSK'!G38</f>
        <v>0</v>
      </c>
      <c r="AC33" s="462">
        <f t="shared" si="2"/>
        <v>0</v>
      </c>
      <c r="AD33" s="469"/>
      <c r="AE33" s="348">
        <f t="shared" si="3"/>
        <v>0</v>
      </c>
      <c r="AF33" s="563">
        <f>'30'!AF33+'31'!AB33</f>
        <v>0</v>
      </c>
      <c r="AG33" s="234">
        <f>'30'!AG33+'31'!AD33</f>
        <v>0</v>
      </c>
    </row>
    <row r="34" spans="1:40" ht="27" customHeight="1" thickTop="1" thickBot="1">
      <c r="A34" s="716" t="str">
        <f>'30'!A34</f>
        <v>FLOUR / SHGER</v>
      </c>
      <c r="B34" s="538"/>
      <c r="C34" s="348">
        <f>'30'!D34</f>
        <v>1200</v>
      </c>
      <c r="D34" s="234">
        <f t="shared" si="9"/>
        <v>1200</v>
      </c>
      <c r="F34" s="479" t="str">
        <f>'30'!F34</f>
        <v>ALI RAZA KAND KOT</v>
      </c>
      <c r="G34" s="406">
        <f>'CUSTOMERS REPORT'!Y1043</f>
        <v>0</v>
      </c>
      <c r="H34" s="504">
        <f>'CUSTOMERS REPORT'!Z1043</f>
        <v>0</v>
      </c>
      <c r="I34" s="406">
        <f>'CUSTOMERS REPORT'!AA1043</f>
        <v>0</v>
      </c>
      <c r="J34" s="498">
        <f>'CUSTOMERS REPORT'!AB1043</f>
        <v>0</v>
      </c>
      <c r="K34" s="498">
        <f>'CUSTOMERS REPORT'!AC1043</f>
        <v>0</v>
      </c>
      <c r="L34" s="509">
        <f>'CUSTOMERS REPORT'!AD1043</f>
        <v>0</v>
      </c>
      <c r="M34" s="414">
        <f>'30'!M34+'31'!G34</f>
        <v>0</v>
      </c>
      <c r="N34" s="412">
        <f>'30'!N34+'31'!J34</f>
        <v>0</v>
      </c>
      <c r="P34" s="220" t="s">
        <v>150</v>
      </c>
      <c r="Q34" s="223">
        <f>'30'!Q34</f>
        <v>0</v>
      </c>
      <c r="S34" s="399" t="str">
        <f>'30'!S34</f>
        <v>MAXI</v>
      </c>
      <c r="T34" s="446">
        <f>'30'!X34</f>
        <v>-22</v>
      </c>
      <c r="U34" s="457"/>
      <c r="V34" s="452">
        <f t="shared" si="0"/>
        <v>-22</v>
      </c>
      <c r="W34" s="970"/>
      <c r="X34" s="971">
        <f t="shared" si="1"/>
        <v>-22</v>
      </c>
      <c r="Z34" s="375">
        <f>'30'!Z34</f>
        <v>0</v>
      </c>
      <c r="AA34" s="464">
        <f>'30'!AE34</f>
        <v>0</v>
      </c>
      <c r="AB34" s="460"/>
      <c r="AC34" s="462">
        <f t="shared" si="2"/>
        <v>0</v>
      </c>
      <c r="AD34" s="469"/>
      <c r="AE34" s="348">
        <f t="shared" si="3"/>
        <v>0</v>
      </c>
      <c r="AF34" s="563">
        <f>'30'!AF34+'31'!AB34</f>
        <v>0</v>
      </c>
      <c r="AG34" s="234">
        <f>'30'!AG34+'31'!AD34</f>
        <v>0</v>
      </c>
    </row>
    <row r="35" spans="1:40" ht="27" customHeight="1" thickTop="1">
      <c r="A35" s="716" t="str">
        <f>'30'!A35</f>
        <v>OVEN &amp; PP MACHINE</v>
      </c>
      <c r="B35" s="529"/>
      <c r="C35" s="348">
        <f>'30'!D35</f>
        <v>0</v>
      </c>
      <c r="D35" s="529">
        <f t="shared" si="9"/>
        <v>0</v>
      </c>
      <c r="F35" s="479" t="str">
        <f>'30'!F35</f>
        <v>IQBAL MORO</v>
      </c>
      <c r="G35" s="407">
        <f>'CUSTOMERS REPORT'!Y1081</f>
        <v>0</v>
      </c>
      <c r="H35" s="505">
        <f>'CUSTOMERS REPORT'!Z1081</f>
        <v>0</v>
      </c>
      <c r="I35" s="407">
        <f>'CUSTOMERS REPORT'!AA1081</f>
        <v>0</v>
      </c>
      <c r="J35" s="499">
        <f>'CUSTOMERS REPORT'!AB1081</f>
        <v>0</v>
      </c>
      <c r="K35" s="499">
        <f>'CUSTOMERS REPORT'!AC1081</f>
        <v>0</v>
      </c>
      <c r="L35" s="510">
        <f>'CUSTOMERS REPORT'!AD1081</f>
        <v>0</v>
      </c>
      <c r="M35" s="414">
        <f>'30'!M35+'31'!G35</f>
        <v>0</v>
      </c>
      <c r="N35" s="412">
        <f>'30'!N35+'31'!J35</f>
        <v>0</v>
      </c>
      <c r="P35" s="252" t="s">
        <v>151</v>
      </c>
      <c r="Q35" s="443">
        <f>'30'!Q35</f>
        <v>0</v>
      </c>
      <c r="R35" t="s">
        <v>1</v>
      </c>
      <c r="S35" s="399" t="str">
        <f>'30'!S35</f>
        <v>M A WHITE</v>
      </c>
      <c r="T35" s="446">
        <f>'30'!X35</f>
        <v>-385</v>
      </c>
      <c r="U35" s="457"/>
      <c r="V35" s="452">
        <f t="shared" si="0"/>
        <v>-385</v>
      </c>
      <c r="W35" s="970"/>
      <c r="X35" s="971">
        <f t="shared" si="1"/>
        <v>-385</v>
      </c>
      <c r="Z35" s="375">
        <f>'30'!Z35</f>
        <v>0</v>
      </c>
      <c r="AA35" s="464">
        <f>'30'!AE35</f>
        <v>0</v>
      </c>
      <c r="AB35" s="460"/>
      <c r="AC35" s="462">
        <f t="shared" si="2"/>
        <v>0</v>
      </c>
      <c r="AD35" s="469"/>
      <c r="AE35" s="348">
        <f t="shared" si="3"/>
        <v>0</v>
      </c>
      <c r="AF35" s="563">
        <f>'30'!AF35+'31'!AB35</f>
        <v>0</v>
      </c>
      <c r="AG35" s="234">
        <f>'30'!AG35+'31'!AD35</f>
        <v>0</v>
      </c>
    </row>
    <row r="36" spans="1:40" ht="27" customHeight="1">
      <c r="A36" s="716" t="str">
        <f>'30'!A36</f>
        <v>zakat</v>
      </c>
      <c r="B36" s="539"/>
      <c r="C36" s="348">
        <f>'30'!D36</f>
        <v>0</v>
      </c>
      <c r="D36" s="529">
        <f t="shared" si="9"/>
        <v>0</v>
      </c>
      <c r="F36" s="479" t="str">
        <f>'30'!F36</f>
        <v>SARFARAZ T ADAM</v>
      </c>
      <c r="G36" s="407">
        <f>'CUSTOMERS REPORT'!Y1119</f>
        <v>0</v>
      </c>
      <c r="H36" s="505">
        <f>'CUSTOMERS REPORT'!Z1119</f>
        <v>0</v>
      </c>
      <c r="I36" s="407">
        <f>'CUSTOMERS REPORT'!AA1119</f>
        <v>0</v>
      </c>
      <c r="J36" s="499">
        <f>'CUSTOMERS REPORT'!AB1119</f>
        <v>0</v>
      </c>
      <c r="K36" s="499">
        <f>'CUSTOMERS REPORT'!AC1119</f>
        <v>0</v>
      </c>
      <c r="L36" s="510">
        <f>'CUSTOMERS REPORT'!AD1119</f>
        <v>0</v>
      </c>
      <c r="M36" s="414">
        <f>'30'!M36+'31'!G36</f>
        <v>0</v>
      </c>
      <c r="N36" s="412">
        <f>'30'!N36+'31'!J36</f>
        <v>0</v>
      </c>
      <c r="P36" s="372" t="s">
        <v>152</v>
      </c>
      <c r="Q36" s="444">
        <f>J48</f>
        <v>0</v>
      </c>
      <c r="R36" t="s">
        <v>1</v>
      </c>
      <c r="S36" s="399" t="str">
        <f>'30'!S36</f>
        <v>M A ORING</v>
      </c>
      <c r="T36" s="446">
        <f>'30'!X36</f>
        <v>-106</v>
      </c>
      <c r="U36" s="456"/>
      <c r="V36" s="451">
        <f t="shared" si="0"/>
        <v>-106</v>
      </c>
      <c r="W36" s="970"/>
      <c r="X36" s="971">
        <f t="shared" si="1"/>
        <v>-106</v>
      </c>
      <c r="Z36" s="375">
        <f>'30'!Z36</f>
        <v>0</v>
      </c>
      <c r="AA36" s="464">
        <f>'30'!AE36</f>
        <v>0</v>
      </c>
      <c r="AB36" s="460"/>
      <c r="AC36" s="462">
        <f t="shared" si="2"/>
        <v>0</v>
      </c>
      <c r="AD36" s="469"/>
      <c r="AE36" s="348">
        <f t="shared" si="3"/>
        <v>0</v>
      </c>
      <c r="AF36" s="563">
        <f>'30'!AF36+'31'!AB36</f>
        <v>0</v>
      </c>
      <c r="AG36" s="234">
        <f>'30'!AG36+'31'!AD36</f>
        <v>0</v>
      </c>
    </row>
    <row r="37" spans="1:40" ht="27" customHeight="1">
      <c r="A37" s="715" t="str">
        <f>'30'!A37</f>
        <v>javeed manghopir</v>
      </c>
      <c r="B37" s="234"/>
      <c r="C37" s="348">
        <f>'30'!D37</f>
        <v>0</v>
      </c>
      <c r="D37" s="234">
        <f t="shared" si="9"/>
        <v>0</v>
      </c>
      <c r="F37" s="479" t="str">
        <f>'30'!F37</f>
        <v>MUMTAZ K N SHAH</v>
      </c>
      <c r="G37" s="406">
        <f>'CUSTOMERS REPORT'!Y1157</f>
        <v>0</v>
      </c>
      <c r="H37" s="504">
        <f>'CUSTOMERS REPORT'!Z1157</f>
        <v>0</v>
      </c>
      <c r="I37" s="406">
        <f>'CUSTOMERS REPORT'!AA1157</f>
        <v>0</v>
      </c>
      <c r="J37" s="498">
        <f>'CUSTOMERS REPORT'!AB1157</f>
        <v>0</v>
      </c>
      <c r="K37" s="498">
        <f>'CUSTOMERS REPORT'!AC1157</f>
        <v>0</v>
      </c>
      <c r="L37" s="509">
        <f>'CUSTOMERS REPORT'!AD1157</f>
        <v>0</v>
      </c>
      <c r="M37" s="414">
        <f>'30'!M37+'31'!G37</f>
        <v>0</v>
      </c>
      <c r="N37" s="412">
        <f>'30'!N37+'31'!J37</f>
        <v>0</v>
      </c>
      <c r="P37" s="373" t="s">
        <v>153</v>
      </c>
      <c r="Q37" s="445">
        <f>Q34+Q35+Q36</f>
        <v>0</v>
      </c>
      <c r="R37" t="s">
        <v>1</v>
      </c>
      <c r="S37" s="399">
        <f>'30'!S37</f>
        <v>0</v>
      </c>
      <c r="T37" s="446">
        <f>'30'!X37</f>
        <v>0</v>
      </c>
      <c r="U37" s="456"/>
      <c r="V37" s="451">
        <f t="shared" si="0"/>
        <v>0</v>
      </c>
      <c r="W37" s="997"/>
      <c r="X37" s="998">
        <f t="shared" si="1"/>
        <v>0</v>
      </c>
      <c r="Z37" s="375">
        <f>'30'!Z37</f>
        <v>0</v>
      </c>
      <c r="AA37" s="464">
        <f>'30'!AE37</f>
        <v>0</v>
      </c>
      <c r="AB37" s="460"/>
      <c r="AC37" s="462">
        <f t="shared" si="2"/>
        <v>0</v>
      </c>
      <c r="AD37" s="469"/>
      <c r="AE37" s="348">
        <f t="shared" si="3"/>
        <v>0</v>
      </c>
      <c r="AF37" s="563">
        <f>'30'!AF37+'31'!AB37</f>
        <v>0</v>
      </c>
      <c r="AG37" s="234">
        <f>'30'!AG37+'31'!AD37</f>
        <v>0</v>
      </c>
    </row>
    <row r="38" spans="1:40" ht="27" customHeight="1">
      <c r="A38" s="715" t="str">
        <f>'30'!A38</f>
        <v>EXSIS CASH</v>
      </c>
      <c r="B38" s="234"/>
      <c r="C38" s="348">
        <f>'30'!D38</f>
        <v>0</v>
      </c>
      <c r="D38" s="234">
        <f t="shared" si="9"/>
        <v>0</v>
      </c>
      <c r="F38" s="479" t="str">
        <f>'30'!F38</f>
        <v>GHULAM RASOOL QU</v>
      </c>
      <c r="G38" s="408">
        <f>'CUSTOMERS REPORT'!Y1194</f>
        <v>0</v>
      </c>
      <c r="H38" s="506">
        <f>'CUSTOMERS REPORT'!Z1194</f>
        <v>0</v>
      </c>
      <c r="I38" s="408">
        <f>'CUSTOMERS REPORT'!AA1194</f>
        <v>0</v>
      </c>
      <c r="J38" s="500">
        <f>'CUSTOMERS REPORT'!AB1194</f>
        <v>0</v>
      </c>
      <c r="K38" s="500">
        <f>'CUSTOMERS REPORT'!AC1194</f>
        <v>0</v>
      </c>
      <c r="L38" s="511">
        <f>'CUSTOMERS REPORT'!AD1194</f>
        <v>0</v>
      </c>
      <c r="M38" s="414">
        <f>'30'!M38+'31'!G38</f>
        <v>0</v>
      </c>
      <c r="N38" s="412">
        <f>'30'!N38+'31'!J38</f>
        <v>0</v>
      </c>
      <c r="P38" s="373" t="s">
        <v>154</v>
      </c>
      <c r="Q38" s="445">
        <f>D48</f>
        <v>4818050</v>
      </c>
      <c r="S38" s="399">
        <f>'30'!S38</f>
        <v>0</v>
      </c>
      <c r="T38" s="446">
        <f>'30'!X38</f>
        <v>0</v>
      </c>
      <c r="U38" s="456"/>
      <c r="V38" s="451">
        <f t="shared" si="0"/>
        <v>0</v>
      </c>
      <c r="W38" s="997"/>
      <c r="X38" s="998">
        <f t="shared" si="1"/>
        <v>0</v>
      </c>
      <c r="Z38" s="375">
        <f>'30'!Z38</f>
        <v>0</v>
      </c>
      <c r="AA38" s="464">
        <f>'30'!AE38</f>
        <v>0</v>
      </c>
      <c r="AB38" s="460"/>
      <c r="AC38" s="462">
        <f t="shared" si="2"/>
        <v>0</v>
      </c>
      <c r="AD38" s="469"/>
      <c r="AE38" s="348">
        <f t="shared" si="3"/>
        <v>0</v>
      </c>
      <c r="AF38" s="563">
        <f>'30'!AF38+'31'!AB38</f>
        <v>0</v>
      </c>
      <c r="AG38" s="234">
        <f>'30'!AG38+'31'!AD38</f>
        <v>0</v>
      </c>
    </row>
    <row r="39" spans="1:40" ht="27" customHeight="1">
      <c r="A39" s="715" t="str">
        <f>'30'!A39</f>
        <v>SHORT CASH</v>
      </c>
      <c r="B39" s="234"/>
      <c r="C39" s="348">
        <f>'30'!D39</f>
        <v>1950</v>
      </c>
      <c r="D39" s="550">
        <f t="shared" si="9"/>
        <v>1950</v>
      </c>
      <c r="F39" s="479" t="str">
        <f>'30'!F39</f>
        <v>SHAMSHAD UNCLE</v>
      </c>
      <c r="G39" s="406">
        <f>'CUSTOMERS REPORT'!Y1231</f>
        <v>0</v>
      </c>
      <c r="H39" s="504">
        <f>'CUSTOMERS REPORT'!Z1231</f>
        <v>0</v>
      </c>
      <c r="I39" s="406">
        <f>'CUSTOMERS REPORT'!AA1231</f>
        <v>0</v>
      </c>
      <c r="J39" s="498">
        <f>'CUSTOMERS REPORT'!AB1231</f>
        <v>0</v>
      </c>
      <c r="K39" s="498">
        <f>'CUSTOMERS REPORT'!AC1231</f>
        <v>0</v>
      </c>
      <c r="L39" s="509">
        <f>'CUSTOMERS REPORT'!AD1231</f>
        <v>0</v>
      </c>
      <c r="M39" s="414">
        <f>'30'!M39+'31'!G39</f>
        <v>0</v>
      </c>
      <c r="N39" s="412">
        <f>'30'!N39+'31'!J39</f>
        <v>0</v>
      </c>
      <c r="P39" s="373" t="s">
        <v>109</v>
      </c>
      <c r="Q39" s="445">
        <f>'30'!Q39+'31'!Q25+'31'!Q26+'31'!Q27+'31'!Q28+'31'!Q29+'31'!Q30+'31'!Q31</f>
        <v>0</v>
      </c>
      <c r="R39" t="s">
        <v>1</v>
      </c>
      <c r="S39" s="399">
        <f>'30'!S39</f>
        <v>0</v>
      </c>
      <c r="T39" s="446">
        <f>'30'!X39</f>
        <v>0</v>
      </c>
      <c r="U39" s="456"/>
      <c r="V39" s="451">
        <f t="shared" si="0"/>
        <v>0</v>
      </c>
      <c r="W39" s="997"/>
      <c r="X39" s="998">
        <f t="shared" si="1"/>
        <v>0</v>
      </c>
      <c r="Z39" s="375">
        <f>'30'!Z39</f>
        <v>0</v>
      </c>
      <c r="AA39" s="464">
        <f>'30'!AE39</f>
        <v>0</v>
      </c>
      <c r="AB39" s="460"/>
      <c r="AC39" s="462">
        <f t="shared" si="2"/>
        <v>0</v>
      </c>
      <c r="AD39" s="469"/>
      <c r="AE39" s="348">
        <f t="shared" si="3"/>
        <v>0</v>
      </c>
      <c r="AF39" s="563">
        <f>'30'!AF39+'31'!AB39</f>
        <v>0</v>
      </c>
      <c r="AG39" s="234">
        <f>'30'!AG39+'31'!AD39</f>
        <v>0</v>
      </c>
    </row>
    <row r="40" spans="1:40" ht="27" customHeight="1" thickBot="1">
      <c r="A40" s="715" t="str">
        <f>'30'!A40</f>
        <v>ASSETS</v>
      </c>
      <c r="B40" s="550"/>
      <c r="C40" s="348">
        <f>'30'!D40</f>
        <v>0</v>
      </c>
      <c r="D40" s="550">
        <f t="shared" si="9"/>
        <v>0</v>
      </c>
      <c r="F40" s="479" t="str">
        <f>'30'!F40</f>
        <v>IBRAHEEM D.G KHAN</v>
      </c>
      <c r="G40" s="406">
        <f>'CUSTOMERS REPORT'!Y1268</f>
        <v>0</v>
      </c>
      <c r="H40" s="504">
        <f>'CUSTOMERS REPORT'!Z1268</f>
        <v>0</v>
      </c>
      <c r="I40" s="406">
        <f>'CUSTOMERS REPORT'!AA1268</f>
        <v>0</v>
      </c>
      <c r="J40" s="498">
        <f>'CUSTOMERS REPORT'!AB1268</f>
        <v>0</v>
      </c>
      <c r="K40" s="498">
        <f>'CUSTOMERS REPORT'!AC1268</f>
        <v>0</v>
      </c>
      <c r="L40" s="509">
        <f>'CUSTOMERS REPORT'!AD1268</f>
        <v>0</v>
      </c>
      <c r="M40" s="414">
        <f>'30'!M40+'31'!G40</f>
        <v>0</v>
      </c>
      <c r="N40" s="412">
        <f>'30'!N40+'31'!J40</f>
        <v>0</v>
      </c>
      <c r="P40" s="374" t="s">
        <v>155</v>
      </c>
      <c r="Q40" s="445">
        <f>Q48</f>
        <v>-4818050</v>
      </c>
      <c r="S40" s="399">
        <f>'30'!S40</f>
        <v>0</v>
      </c>
      <c r="T40" s="446">
        <f>'30'!X40</f>
        <v>0</v>
      </c>
      <c r="U40" s="456"/>
      <c r="V40" s="451">
        <f t="shared" si="0"/>
        <v>0</v>
      </c>
      <c r="W40" s="997"/>
      <c r="X40" s="998">
        <f t="shared" si="1"/>
        <v>0</v>
      </c>
      <c r="Z40" s="375">
        <f>'30'!Z40</f>
        <v>0</v>
      </c>
      <c r="AA40" s="464">
        <f>'30'!AE40</f>
        <v>0</v>
      </c>
      <c r="AB40" s="460"/>
      <c r="AC40" s="462">
        <f t="shared" si="2"/>
        <v>0</v>
      </c>
      <c r="AD40" s="469"/>
      <c r="AE40" s="348">
        <f t="shared" si="3"/>
        <v>0</v>
      </c>
      <c r="AF40" s="563">
        <f>'30'!AF40+'31'!AB40</f>
        <v>0</v>
      </c>
      <c r="AG40" s="234">
        <f>'30'!AG40+'31'!AD40</f>
        <v>0</v>
      </c>
    </row>
    <row r="41" spans="1:40" ht="27" customHeight="1" thickTop="1" thickBot="1">
      <c r="A41" s="715" t="str">
        <f>'30'!A41</f>
        <v>BIKE.INSTALMINT</v>
      </c>
      <c r="B41" s="234"/>
      <c r="C41" s="348">
        <f>'30'!D41</f>
        <v>12200</v>
      </c>
      <c r="D41" s="234">
        <f t="shared" si="9"/>
        <v>12200</v>
      </c>
      <c r="E41" t="s">
        <v>1</v>
      </c>
      <c r="F41" s="479" t="str">
        <f>'30'!F41</f>
        <v>PISHAWAR</v>
      </c>
      <c r="G41" s="409">
        <f>'CUSTOMERS REPORT'!Y1305</f>
        <v>0</v>
      </c>
      <c r="H41" s="507">
        <f>'CUSTOMERS REPORT'!Z1305</f>
        <v>0</v>
      </c>
      <c r="I41" s="409">
        <f>'CUSTOMERS REPORT'!AA1305</f>
        <v>0</v>
      </c>
      <c r="J41" s="501">
        <f>'CUSTOMERS REPORT'!AB1305</f>
        <v>0</v>
      </c>
      <c r="K41" s="501">
        <f>'CUSTOMERS REPORT'!AC1305</f>
        <v>0</v>
      </c>
      <c r="L41" s="512">
        <f>'CUSTOMERS REPORT'!AD1305</f>
        <v>0</v>
      </c>
      <c r="M41" s="414">
        <f>'30'!M41+'31'!G41</f>
        <v>0</v>
      </c>
      <c r="N41" s="412">
        <f>'30'!N41+'31'!J41</f>
        <v>0</v>
      </c>
      <c r="P41" s="221" t="s">
        <v>51</v>
      </c>
      <c r="Q41" s="223">
        <f>Q37-Q38-Q39-Q40</f>
        <v>0</v>
      </c>
      <c r="S41" s="399">
        <f>'30'!S41</f>
        <v>0</v>
      </c>
      <c r="T41" s="446">
        <f>'30'!X41</f>
        <v>0</v>
      </c>
      <c r="U41" s="456"/>
      <c r="V41" s="451">
        <f t="shared" si="0"/>
        <v>0</v>
      </c>
      <c r="W41" s="997"/>
      <c r="X41" s="998">
        <f t="shared" si="1"/>
        <v>0</v>
      </c>
      <c r="Z41" s="375">
        <f>'30'!Z41</f>
        <v>0</v>
      </c>
      <c r="AA41" s="464">
        <f>'30'!AE41</f>
        <v>0</v>
      </c>
      <c r="AB41" s="460"/>
      <c r="AC41" s="462">
        <f t="shared" si="2"/>
        <v>0</v>
      </c>
      <c r="AD41" s="469"/>
      <c r="AE41" s="348">
        <f t="shared" si="3"/>
        <v>0</v>
      </c>
      <c r="AF41" s="563">
        <f>'30'!AF41+'31'!AB41</f>
        <v>0</v>
      </c>
      <c r="AG41" s="234">
        <f>'30'!AG41+'31'!AD41</f>
        <v>0</v>
      </c>
    </row>
    <row r="42" spans="1:40" ht="27" customHeight="1" thickTop="1" thickBot="1">
      <c r="A42" s="715" t="str">
        <f>'30'!A42</f>
        <v>B.C</v>
      </c>
      <c r="B42" s="529"/>
      <c r="C42" s="348">
        <f>'30'!D42</f>
        <v>200000</v>
      </c>
      <c r="D42" s="529">
        <f t="shared" si="9"/>
        <v>200000</v>
      </c>
      <c r="F42" s="479" t="str">
        <f>'30'!F42</f>
        <v>HUZAFA KOTRI</v>
      </c>
      <c r="G42" s="409">
        <f>'CUSTOMERS REPORT'!Y1342</f>
        <v>0</v>
      </c>
      <c r="H42" s="507">
        <f>'CUSTOMERS REPORT'!Z1342</f>
        <v>0</v>
      </c>
      <c r="I42" s="409">
        <f>'CUSTOMERS REPORT'!AA1342</f>
        <v>0</v>
      </c>
      <c r="J42" s="501">
        <f>'CUSTOMERS REPORT'!AB1342</f>
        <v>0</v>
      </c>
      <c r="K42" s="501">
        <f>'CUSTOMERS REPORT'!AC1342</f>
        <v>0</v>
      </c>
      <c r="L42" s="512">
        <f>'CUSTOMERS REPORT'!AD1342</f>
        <v>0</v>
      </c>
      <c r="M42" s="414">
        <f>'30'!M42+'31'!G42</f>
        <v>0</v>
      </c>
      <c r="N42" s="412">
        <f>'30'!N42+'31'!J42</f>
        <v>0</v>
      </c>
      <c r="P42" s="1499" t="s">
        <v>157</v>
      </c>
      <c r="Q42" s="1500"/>
      <c r="S42" s="399">
        <f>'30'!S42</f>
        <v>0</v>
      </c>
      <c r="T42" s="446">
        <f>'30'!X42</f>
        <v>0</v>
      </c>
      <c r="U42" s="458"/>
      <c r="V42" s="453">
        <f t="shared" si="0"/>
        <v>0</v>
      </c>
      <c r="W42" s="999"/>
      <c r="X42" s="1000">
        <f t="shared" si="1"/>
        <v>0</v>
      </c>
      <c r="Z42" s="375">
        <f>'30'!Z42</f>
        <v>0</v>
      </c>
      <c r="AA42" s="464">
        <f>'30'!AE42</f>
        <v>0</v>
      </c>
      <c r="AB42" s="461"/>
      <c r="AC42" s="462">
        <f>AA42+AB42</f>
        <v>0</v>
      </c>
      <c r="AD42" s="470"/>
      <c r="AE42" s="348">
        <f t="shared" si="3"/>
        <v>0</v>
      </c>
      <c r="AF42" s="564">
        <f>'30'!AF42+'31'!AB42</f>
        <v>0</v>
      </c>
      <c r="AG42" s="572">
        <f>'30'!AG42+'31'!AD42</f>
        <v>0</v>
      </c>
    </row>
    <row r="43" spans="1:40" ht="27" customHeight="1" thickTop="1" thickBot="1">
      <c r="A43" s="715" t="str">
        <f>'30'!A43</f>
        <v>AQEEL</v>
      </c>
      <c r="B43" s="539"/>
      <c r="C43" s="348">
        <f>'30'!D43</f>
        <v>0</v>
      </c>
      <c r="D43" s="529">
        <f t="shared" si="9"/>
        <v>0</v>
      </c>
      <c r="F43" s="479" t="str">
        <f>'30'!F43</f>
        <v>ZAHID LAHORE</v>
      </c>
      <c r="G43" s="409">
        <f>'CUSTOMERS REPORT'!Y1379</f>
        <v>0</v>
      </c>
      <c r="H43" s="507">
        <f>'CUSTOMERS REPORT'!Z1379</f>
        <v>0</v>
      </c>
      <c r="I43" s="409">
        <f>'CUSTOMERS REPORT'!AA1379</f>
        <v>0</v>
      </c>
      <c r="J43" s="501">
        <f>'CUSTOMERS REPORT'!AB1379</f>
        <v>0</v>
      </c>
      <c r="K43" s="501">
        <f>'CUSTOMERS REPORT'!AC1379</f>
        <v>0</v>
      </c>
      <c r="L43" s="512">
        <f>'CUSTOMERS REPORT'!AD1379</f>
        <v>0</v>
      </c>
      <c r="M43" s="414">
        <f>'30'!M43+'31'!G43</f>
        <v>0</v>
      </c>
      <c r="N43" s="412">
        <f>'30'!N43+'31'!J43</f>
        <v>0</v>
      </c>
      <c r="P43" s="220" t="s">
        <v>124</v>
      </c>
      <c r="Q43" s="223">
        <f>'30'!Q48</f>
        <v>-4818050</v>
      </c>
      <c r="R43" t="s">
        <v>1</v>
      </c>
      <c r="S43" s="399">
        <f>'30'!S43</f>
        <v>0</v>
      </c>
      <c r="T43" s="446">
        <f>'30'!X43</f>
        <v>0</v>
      </c>
      <c r="U43" s="358"/>
      <c r="V43" s="453">
        <f t="shared" si="0"/>
        <v>0</v>
      </c>
      <c r="W43" s="403"/>
      <c r="X43" s="449">
        <f t="shared" si="1"/>
        <v>0</v>
      </c>
      <c r="Z43" s="383"/>
      <c r="AA43" s="356">
        <f>SUM(AA8:AA42)</f>
        <v>-1986350</v>
      </c>
      <c r="AB43" s="385">
        <f>SUM(AB8:AB42)</f>
        <v>0</v>
      </c>
      <c r="AC43" s="357" t="s">
        <v>74</v>
      </c>
      <c r="AD43" s="387">
        <f>SUM(AD8:AD42)</f>
        <v>0</v>
      </c>
      <c r="AE43" s="358">
        <f>SUM(AE8:AE42)</f>
        <v>-1986350</v>
      </c>
      <c r="AF43" s="565">
        <f>SUM(AF8:AF42)</f>
        <v>1501950</v>
      </c>
      <c r="AG43" s="571">
        <f>SUM(AG8:AG42)</f>
        <v>3488300</v>
      </c>
      <c r="AI43" t="s">
        <v>1</v>
      </c>
    </row>
    <row r="44" spans="1:40" ht="27" customHeight="1" thickTop="1">
      <c r="A44" s="715" t="str">
        <f>'30'!A44</f>
        <v>M.YOUSUF</v>
      </c>
      <c r="B44" s="234"/>
      <c r="C44" s="348">
        <f>'30'!D44</f>
        <v>85100</v>
      </c>
      <c r="D44" s="234">
        <f t="shared" si="9"/>
        <v>85100</v>
      </c>
      <c r="F44" s="479" t="str">
        <f>'30'!F44</f>
        <v>CASH SALE</v>
      </c>
      <c r="G44" s="409">
        <f>'CUSTOMERS REPORT'!Y1416</f>
        <v>0</v>
      </c>
      <c r="H44" s="507">
        <f>'CUSTOMERS REPORT'!Z1416</f>
        <v>0</v>
      </c>
      <c r="I44" s="409">
        <f>'CUSTOMERS REPORT'!AA1416</f>
        <v>0</v>
      </c>
      <c r="J44" s="501">
        <f>'CUSTOMERS REPORT'!AB1416</f>
        <v>0</v>
      </c>
      <c r="K44" s="501">
        <f>'CUSTOMERS REPORT'!AC1416</f>
        <v>0</v>
      </c>
      <c r="L44" s="512">
        <f>'CUSTOMERS REPORT'!AD1416</f>
        <v>0</v>
      </c>
      <c r="M44" s="414">
        <f>'30'!M44+'31'!G44</f>
        <v>0</v>
      </c>
      <c r="N44" s="412">
        <f>'30'!N44+'31'!J44</f>
        <v>0</v>
      </c>
      <c r="P44" s="222" t="s">
        <v>114</v>
      </c>
      <c r="Q44" s="377">
        <f>J46</f>
        <v>0</v>
      </c>
      <c r="S44" s="399">
        <f>'30'!S44</f>
        <v>0</v>
      </c>
      <c r="T44" s="348"/>
      <c r="U44" s="306"/>
      <c r="V44" s="349"/>
      <c r="W44" s="351"/>
      <c r="X44" s="350"/>
      <c r="Z44" s="375"/>
      <c r="AA44" s="339"/>
      <c r="AB44" s="386">
        <f>'30'!AB45</f>
        <v>1501950</v>
      </c>
      <c r="AC44" s="340" t="s">
        <v>126</v>
      </c>
      <c r="AD44" s="388">
        <f>'30'!AD45</f>
        <v>3488300</v>
      </c>
      <c r="AE44" s="341"/>
      <c r="AF44" s="561"/>
      <c r="AG44" s="83" t="s">
        <v>1</v>
      </c>
    </row>
    <row r="45" spans="1:40" ht="27" customHeight="1" thickBot="1">
      <c r="A45" s="715" t="str">
        <f>'30'!A45</f>
        <v>SHAKEEL</v>
      </c>
      <c r="B45" s="234"/>
      <c r="C45" s="348">
        <f>'30'!D45</f>
        <v>77210</v>
      </c>
      <c r="D45" s="234">
        <f t="shared" si="9"/>
        <v>77210</v>
      </c>
      <c r="F45" s="479" t="str">
        <f>'30'!F45</f>
        <v xml:space="preserve">FREE </v>
      </c>
      <c r="G45" s="410">
        <f>'CUSTOMERS REPORT'!Y1452</f>
        <v>0</v>
      </c>
      <c r="H45" s="362">
        <f>'CUSTOMERS REPORT'!Z1452</f>
        <v>0</v>
      </c>
      <c r="I45" s="410">
        <f>'CUSTOMERS REPORT'!AA1452</f>
        <v>0</v>
      </c>
      <c r="J45" s="502">
        <f>'CUSTOMERS REPORT'!AB1452</f>
        <v>0</v>
      </c>
      <c r="K45" s="502">
        <f>'CUSTOMERS REPORT'!AC1452</f>
        <v>0</v>
      </c>
      <c r="L45" s="513">
        <f>'CUSTOMERS REPORT'!AD1452</f>
        <v>0</v>
      </c>
      <c r="M45" s="414">
        <f>'30'!M45+'31'!G45</f>
        <v>0</v>
      </c>
      <c r="N45" s="412">
        <f>'30'!N45+'31'!J45</f>
        <v>0</v>
      </c>
      <c r="P45" s="222" t="s">
        <v>153</v>
      </c>
      <c r="Q45" s="378">
        <f>Q43+Q44</f>
        <v>-4818050</v>
      </c>
      <c r="S45" s="399">
        <f>'30'!S45</f>
        <v>0</v>
      </c>
      <c r="T45" s="352"/>
      <c r="U45" s="307"/>
      <c r="V45" s="353"/>
      <c r="W45" s="354"/>
      <c r="X45" s="355"/>
      <c r="Y45" t="s">
        <v>1</v>
      </c>
      <c r="Z45" s="384"/>
      <c r="AA45" s="359"/>
      <c r="AB45" s="390">
        <f>SUM(AB43:AB44)</f>
        <v>1501950</v>
      </c>
      <c r="AC45" s="360" t="s">
        <v>74</v>
      </c>
      <c r="AD45" s="389">
        <f>SUM(AD43:AD44)</f>
        <v>3488300</v>
      </c>
      <c r="AE45" s="361"/>
      <c r="AF45" s="562"/>
      <c r="AG45" s="573"/>
    </row>
    <row r="46" spans="1:40" ht="27" customHeight="1" thickTop="1" thickBot="1">
      <c r="A46" s="715" t="str">
        <f>'30'!A46</f>
        <v>ZAHID HUSSAN</v>
      </c>
      <c r="B46" s="234"/>
      <c r="C46" s="348">
        <f>'30'!D46</f>
        <v>0</v>
      </c>
      <c r="D46" s="234">
        <f t="shared" si="9"/>
        <v>0</v>
      </c>
      <c r="F46" s="369"/>
      <c r="G46" s="424">
        <f>SUM(G8:G45)</f>
        <v>0</v>
      </c>
      <c r="H46" s="1497" t="s">
        <v>160</v>
      </c>
      <c r="I46" s="1498"/>
      <c r="J46" s="421">
        <f>SUM(J8:J45)</f>
        <v>0</v>
      </c>
      <c r="K46" s="427">
        <f>SUM(K8:K45)</f>
        <v>0</v>
      </c>
      <c r="L46" s="431">
        <f>SUM(L8:L45)</f>
        <v>0</v>
      </c>
      <c r="M46" s="429">
        <f>SUM(M8:M45)</f>
        <v>0</v>
      </c>
      <c r="N46" s="430">
        <f>SUM(N8:N45)</f>
        <v>0</v>
      </c>
      <c r="P46" s="222" t="s">
        <v>154</v>
      </c>
      <c r="Q46" s="378">
        <f>B48</f>
        <v>0</v>
      </c>
    </row>
    <row r="47" spans="1:40" ht="27" customHeight="1" thickBot="1">
      <c r="A47" s="715" t="str">
        <f>'30'!A47</f>
        <v xml:space="preserve">INVESTOR </v>
      </c>
      <c r="B47" s="540"/>
      <c r="C47" s="348">
        <f>'30'!D47</f>
        <v>0</v>
      </c>
      <c r="D47" s="542">
        <f t="shared" si="9"/>
        <v>0</v>
      </c>
      <c r="F47" s="370"/>
      <c r="G47" s="425">
        <f>'30'!G48</f>
        <v>0</v>
      </c>
      <c r="H47" s="1512" t="s">
        <v>162</v>
      </c>
      <c r="I47" s="1513"/>
      <c r="J47" s="423">
        <f>'30'!J48</f>
        <v>0</v>
      </c>
      <c r="K47" s="423">
        <f>'30'!K48</f>
        <v>0</v>
      </c>
      <c r="L47" s="343"/>
      <c r="M47" s="344"/>
      <c r="N47" s="345"/>
      <c r="P47" s="375" t="s">
        <v>163</v>
      </c>
      <c r="Q47" s="378">
        <f>Q9+Q10+Q19+Q20+Q21+Q22</f>
        <v>0</v>
      </c>
      <c r="R47" s="19"/>
      <c r="S47" s="1489" t="s">
        <v>92</v>
      </c>
      <c r="T47" s="1516" t="s">
        <v>95</v>
      </c>
      <c r="U47" s="1518"/>
      <c r="V47" s="1518"/>
      <c r="W47" s="1517"/>
      <c r="X47" s="1516" t="s">
        <v>7</v>
      </c>
      <c r="Y47" s="1518"/>
      <c r="Z47" s="1517"/>
      <c r="AA47" s="1516" t="s">
        <v>8</v>
      </c>
      <c r="AB47" s="1517"/>
      <c r="AC47" s="1516" t="s">
        <v>9</v>
      </c>
      <c r="AD47" s="1518"/>
      <c r="AE47" s="1518"/>
      <c r="AF47" s="1518"/>
      <c r="AG47" s="1518"/>
      <c r="AH47" s="1518"/>
      <c r="AI47" s="1518"/>
      <c r="AJ47" s="1405" t="s">
        <v>10</v>
      </c>
      <c r="AK47" s="1406"/>
      <c r="AL47" s="1400" t="s">
        <v>289</v>
      </c>
      <c r="AM47" s="1401"/>
      <c r="AN47" s="842" t="s">
        <v>290</v>
      </c>
    </row>
    <row r="48" spans="1:40" ht="27" customHeight="1" thickTop="1" thickBot="1">
      <c r="A48" s="192" t="s">
        <v>74</v>
      </c>
      <c r="B48" s="544">
        <f>SUM(B22:B47)</f>
        <v>0</v>
      </c>
      <c r="C48" s="543">
        <f>'30'!D48</f>
        <v>4818050</v>
      </c>
      <c r="D48" s="544">
        <f>B48+C48</f>
        <v>4818050</v>
      </c>
      <c r="F48" s="371"/>
      <c r="G48" s="426">
        <f>G46+G47</f>
        <v>0</v>
      </c>
      <c r="H48" s="1495" t="s">
        <v>164</v>
      </c>
      <c r="I48" s="1496"/>
      <c r="J48" s="422">
        <f>J46+J47</f>
        <v>0</v>
      </c>
      <c r="K48" s="428">
        <f>K46+K47</f>
        <v>0</v>
      </c>
      <c r="L48" s="346"/>
      <c r="M48" s="347"/>
      <c r="N48" s="621">
        <f>G48-J48</f>
        <v>0</v>
      </c>
      <c r="P48" s="376" t="s">
        <v>155</v>
      </c>
      <c r="Q48" s="969">
        <f>Q45-Q46-Q47</f>
        <v>-4818050</v>
      </c>
      <c r="R48" s="19"/>
      <c r="S48" s="1490"/>
      <c r="T48" s="482" t="s">
        <v>12</v>
      </c>
      <c r="U48" s="482" t="s">
        <v>13</v>
      </c>
      <c r="V48" s="482" t="s">
        <v>14</v>
      </c>
      <c r="W48" s="958" t="s">
        <v>263</v>
      </c>
      <c r="X48" s="482" t="s">
        <v>12</v>
      </c>
      <c r="Y48" s="482" t="s">
        <v>13</v>
      </c>
      <c r="Z48" s="482" t="s">
        <v>282</v>
      </c>
      <c r="AA48" s="482" t="s">
        <v>12</v>
      </c>
      <c r="AB48" s="482" t="s">
        <v>16</v>
      </c>
      <c r="AC48" s="482" t="s">
        <v>17</v>
      </c>
      <c r="AD48" s="482" t="s">
        <v>18</v>
      </c>
      <c r="AE48" s="482" t="s">
        <v>19</v>
      </c>
      <c r="AF48" s="484" t="s">
        <v>96</v>
      </c>
      <c r="AG48" s="484" t="s">
        <v>257</v>
      </c>
      <c r="AH48" s="482" t="s">
        <v>254</v>
      </c>
      <c r="AI48" s="482" t="s">
        <v>20</v>
      </c>
      <c r="AJ48" s="483" t="s">
        <v>13</v>
      </c>
      <c r="AK48" s="482" t="s">
        <v>14</v>
      </c>
      <c r="AL48" s="846" t="s">
        <v>284</v>
      </c>
      <c r="AM48" s="846" t="s">
        <v>288</v>
      </c>
      <c r="AN48" s="966" t="s">
        <v>291</v>
      </c>
    </row>
    <row r="49" spans="1:40" ht="27" customHeight="1" thickTop="1" thickBot="1">
      <c r="G49" s="616"/>
      <c r="Q49" s="968">
        <f>Q48+Q41</f>
        <v>-4818050</v>
      </c>
      <c r="R49" s="19"/>
      <c r="S49" s="865" t="s">
        <v>165</v>
      </c>
      <c r="T49" s="866">
        <f>'30'!T55</f>
        <v>62</v>
      </c>
      <c r="U49" s="866">
        <f>'30'!U55</f>
        <v>0</v>
      </c>
      <c r="V49" s="866">
        <f>'30'!V55</f>
        <v>184</v>
      </c>
      <c r="W49" s="866">
        <f>'30'!W55</f>
        <v>19</v>
      </c>
      <c r="X49" s="866">
        <f>'30'!X55</f>
        <v>0</v>
      </c>
      <c r="Y49" s="866">
        <f>'30'!Y55</f>
        <v>0</v>
      </c>
      <c r="Z49" s="866">
        <f>'30'!Z55</f>
        <v>525</v>
      </c>
      <c r="AA49" s="866">
        <f>'30'!AA55</f>
        <v>5632</v>
      </c>
      <c r="AB49" s="866">
        <f>'30'!AB55</f>
        <v>160</v>
      </c>
      <c r="AC49" s="866">
        <f>'30'!AC55</f>
        <v>3220</v>
      </c>
      <c r="AD49" s="866">
        <f>'30'!AD55</f>
        <v>1292</v>
      </c>
      <c r="AE49" s="866">
        <f>'30'!AE55</f>
        <v>0</v>
      </c>
      <c r="AF49" s="866">
        <f>'30'!AF55</f>
        <v>3752</v>
      </c>
      <c r="AG49" s="866">
        <f>'30'!AG55</f>
        <v>1082</v>
      </c>
      <c r="AH49" s="866">
        <f>'30'!AH55</f>
        <v>2011</v>
      </c>
      <c r="AI49" s="866">
        <f>'30'!AI55</f>
        <v>631</v>
      </c>
      <c r="AJ49" s="866">
        <f>'30'!AJ55</f>
        <v>0</v>
      </c>
      <c r="AK49" s="866">
        <f>'30'!AK55</f>
        <v>123</v>
      </c>
      <c r="AL49" s="866" t="e">
        <f>'30'!AL55</f>
        <v>#VALUE!</v>
      </c>
      <c r="AM49" s="866" t="e">
        <f>'30'!AM55</f>
        <v>#VALUE!</v>
      </c>
      <c r="AN49" s="866" t="e">
        <f>'30'!AN55</f>
        <v>#VALUE!</v>
      </c>
    </row>
    <row r="50" spans="1:40" ht="27" customHeight="1" thickBot="1">
      <c r="C50" t="s">
        <v>1</v>
      </c>
      <c r="L50" s="417">
        <v>5000</v>
      </c>
      <c r="M50" s="417"/>
      <c r="N50" s="417">
        <f t="shared" ref="N50:N57" si="10">L50*M50</f>
        <v>0</v>
      </c>
      <c r="Q50" s="968"/>
      <c r="R50" s="19"/>
      <c r="S50" s="854" t="s">
        <v>166</v>
      </c>
      <c r="T50" s="852"/>
      <c r="U50" s="852"/>
      <c r="V50" s="852"/>
      <c r="W50" s="852"/>
      <c r="X50" s="852"/>
      <c r="Y50" s="852"/>
      <c r="Z50" s="852"/>
      <c r="AA50" s="852"/>
      <c r="AB50" s="852"/>
      <c r="AC50" s="852"/>
      <c r="AD50" s="852"/>
      <c r="AE50" s="852"/>
      <c r="AF50" s="855"/>
      <c r="AG50" s="852"/>
      <c r="AH50" s="852"/>
      <c r="AI50" s="848"/>
      <c r="AJ50" s="848"/>
      <c r="AK50" s="848"/>
      <c r="AL50" s="848"/>
      <c r="AM50" s="930"/>
      <c r="AN50" s="930"/>
    </row>
    <row r="51" spans="1:40" ht="27" customHeight="1" thickBot="1">
      <c r="L51" s="417">
        <v>1000</v>
      </c>
      <c r="M51" s="417"/>
      <c r="N51" s="417">
        <f t="shared" si="10"/>
        <v>0</v>
      </c>
      <c r="Q51" s="111"/>
      <c r="R51" s="19"/>
      <c r="S51" s="867" t="s">
        <v>91</v>
      </c>
      <c r="T51" s="868"/>
      <c r="U51" s="868"/>
      <c r="V51" s="868"/>
      <c r="W51" s="868"/>
      <c r="X51" s="868"/>
      <c r="Y51" s="868"/>
      <c r="Z51" s="868"/>
      <c r="AA51" s="868"/>
      <c r="AB51" s="868"/>
      <c r="AC51" s="868"/>
      <c r="AD51" s="868"/>
      <c r="AE51" s="868"/>
      <c r="AF51" s="869"/>
      <c r="AG51" s="868"/>
      <c r="AH51" s="870"/>
      <c r="AI51" s="868"/>
      <c r="AJ51" s="868"/>
      <c r="AK51" s="849"/>
      <c r="AL51" s="849"/>
      <c r="AM51" s="850"/>
      <c r="AN51" s="850"/>
    </row>
    <row r="52" spans="1:40" ht="27" customHeight="1" thickBot="1">
      <c r="L52" s="417">
        <v>500</v>
      </c>
      <c r="M52" s="417"/>
      <c r="N52" s="417">
        <f t="shared" si="10"/>
        <v>0</v>
      </c>
      <c r="O52" t="s">
        <v>1</v>
      </c>
      <c r="R52" s="19"/>
      <c r="S52" s="856" t="s">
        <v>167</v>
      </c>
      <c r="T52" s="857"/>
      <c r="U52" s="857"/>
      <c r="V52" s="857"/>
      <c r="W52" s="857"/>
      <c r="X52" s="857"/>
      <c r="Y52" s="857"/>
      <c r="Z52" s="857"/>
      <c r="AA52" s="857"/>
      <c r="AB52" s="857"/>
      <c r="AC52" s="857"/>
      <c r="AD52" s="857"/>
      <c r="AE52" s="857"/>
      <c r="AF52" s="858"/>
      <c r="AG52" s="859"/>
      <c r="AH52" s="860"/>
      <c r="AI52" s="851"/>
      <c r="AJ52" s="851"/>
      <c r="AK52" s="849"/>
      <c r="AL52" s="849"/>
      <c r="AM52" s="850"/>
      <c r="AN52" s="850"/>
    </row>
    <row r="53" spans="1:40" ht="27" customHeight="1" thickBot="1">
      <c r="K53">
        <v>701</v>
      </c>
      <c r="L53" s="417">
        <v>100</v>
      </c>
      <c r="M53" s="417"/>
      <c r="N53" s="417">
        <f t="shared" si="10"/>
        <v>0</v>
      </c>
      <c r="R53" s="19"/>
      <c r="S53" s="871" t="s">
        <v>81</v>
      </c>
      <c r="T53" s="866">
        <f t="shared" ref="T53:AB53" si="11">SUM(T49+T50+T52)</f>
        <v>62</v>
      </c>
      <c r="U53" s="866">
        <f t="shared" si="11"/>
        <v>0</v>
      </c>
      <c r="V53" s="866">
        <f t="shared" si="11"/>
        <v>184</v>
      </c>
      <c r="W53" s="866">
        <f t="shared" si="11"/>
        <v>19</v>
      </c>
      <c r="X53" s="866">
        <f t="shared" si="11"/>
        <v>0</v>
      </c>
      <c r="Y53" s="866">
        <f t="shared" si="11"/>
        <v>0</v>
      </c>
      <c r="Z53" s="866">
        <f t="shared" si="11"/>
        <v>525</v>
      </c>
      <c r="AA53" s="866">
        <f t="shared" si="11"/>
        <v>5632</v>
      </c>
      <c r="AB53" s="866">
        <f t="shared" si="11"/>
        <v>160</v>
      </c>
      <c r="AC53" s="866">
        <f t="shared" ref="AC53:AM53" si="12">SUM(AC49+AC50+AC52)</f>
        <v>3220</v>
      </c>
      <c r="AD53" s="866">
        <f t="shared" si="12"/>
        <v>1292</v>
      </c>
      <c r="AE53" s="866">
        <f t="shared" si="12"/>
        <v>0</v>
      </c>
      <c r="AF53" s="866">
        <f t="shared" si="12"/>
        <v>3752</v>
      </c>
      <c r="AG53" s="866">
        <f t="shared" si="12"/>
        <v>1082</v>
      </c>
      <c r="AH53" s="866">
        <f t="shared" si="12"/>
        <v>2011</v>
      </c>
      <c r="AI53" s="866">
        <f t="shared" si="12"/>
        <v>631</v>
      </c>
      <c r="AJ53" s="866">
        <f t="shared" si="12"/>
        <v>0</v>
      </c>
      <c r="AK53" s="866">
        <f t="shared" si="12"/>
        <v>123</v>
      </c>
      <c r="AL53" s="866" t="e">
        <f t="shared" si="12"/>
        <v>#VALUE!</v>
      </c>
      <c r="AM53" s="872" t="e">
        <f t="shared" si="12"/>
        <v>#VALUE!</v>
      </c>
      <c r="AN53" s="872" t="e">
        <f t="shared" ref="AN53" si="13">SUM(AN49+AN50+AN52)</f>
        <v>#VALUE!</v>
      </c>
    </row>
    <row r="54" spans="1:40" ht="27" customHeight="1" thickBot="1">
      <c r="K54">
        <v>469</v>
      </c>
      <c r="L54" s="417">
        <v>50</v>
      </c>
      <c r="M54" s="417"/>
      <c r="N54" s="417">
        <f t="shared" si="10"/>
        <v>0</v>
      </c>
      <c r="R54" s="19"/>
      <c r="S54" s="854" t="s">
        <v>168</v>
      </c>
      <c r="T54" s="852">
        <f>'CUSTOMERS REPORT'!B38+'CUSTOMERS REPORT'!B84+'CUSTOMERS REPORT'!B122+'CUSTOMERS REPORT'!B161+'CUSTOMERS REPORT'!B199+'CUSTOMERS REPORT'!B239+'CUSTOMERS REPORT'!B276+'CUSTOMERS REPORT'!B316+'CUSTOMERS REPORT'!B357+'CUSTOMERS REPORT'!B399+'CUSTOMERS REPORT'!B438+'CUSTOMERS REPORT'!B476+'CUSTOMERS REPORT'!B512+'CUSTOMERS REPORT'!B549+'CUSTOMERS REPORT'!B587+'CUSTOMERS REPORT'!B623+'CUSTOMERS REPORT'!B661+'CUSTOMERS REPORT'!B699+'CUSTOMERS REPORT'!B737+'CUSTOMERS REPORT'!B775+'CUSTOMERS REPORT'!B813+'CUSTOMERS REPORT'!B851+'CUSTOMERS REPORT'!B889+'CUSTOMERS REPORT'!B928+'CUSTOMERS REPORT'!B967+'CUSTOMERS REPORT'!B1005+'CUSTOMERS REPORT'!B1043+'CUSTOMERS REPORT'!B1081+'CUSTOMERS REPORT'!B1119+'CUSTOMERS REPORT'!B1157</f>
        <v>0</v>
      </c>
      <c r="U54" s="852">
        <f>'CUSTOMERS REPORT'!C38+'CUSTOMERS REPORT'!C84+'CUSTOMERS REPORT'!C122+'CUSTOMERS REPORT'!C161+'CUSTOMERS REPORT'!C199+'CUSTOMERS REPORT'!C239+'CUSTOMERS REPORT'!C276+'CUSTOMERS REPORT'!C316+'CUSTOMERS REPORT'!C357+'CUSTOMERS REPORT'!C399+'CUSTOMERS REPORT'!C438+'CUSTOMERS REPORT'!C476+'CUSTOMERS REPORT'!C512+'CUSTOMERS REPORT'!C549+'CUSTOMERS REPORT'!C587+'CUSTOMERS REPORT'!C623+'CUSTOMERS REPORT'!C661+'CUSTOMERS REPORT'!C699+'CUSTOMERS REPORT'!C737+'CUSTOMERS REPORT'!C775+'CUSTOMERS REPORT'!C813+'CUSTOMERS REPORT'!C851+'CUSTOMERS REPORT'!C889+'CUSTOMERS REPORT'!C928+'CUSTOMERS REPORT'!C967+'CUSTOMERS REPORT'!C1005+'CUSTOMERS REPORT'!C1043+'CUSTOMERS REPORT'!C1081+'CUSTOMERS REPORT'!C1119+'CUSTOMERS REPORT'!C1157</f>
        <v>0</v>
      </c>
      <c r="V54" s="852">
        <f>'CUSTOMERS REPORT'!D38+'CUSTOMERS REPORT'!D84+'CUSTOMERS REPORT'!D122+'CUSTOMERS REPORT'!D161+'CUSTOMERS REPORT'!D199+'CUSTOMERS REPORT'!D239+'CUSTOMERS REPORT'!D276+'CUSTOMERS REPORT'!D316+'CUSTOMERS REPORT'!D357+'CUSTOMERS REPORT'!D399+'CUSTOMERS REPORT'!D438+'CUSTOMERS REPORT'!D476+'CUSTOMERS REPORT'!D512+'CUSTOMERS REPORT'!D549+'CUSTOMERS REPORT'!D587+'CUSTOMERS REPORT'!D623+'CUSTOMERS REPORT'!D661+'CUSTOMERS REPORT'!D699+'CUSTOMERS REPORT'!D737+'CUSTOMERS REPORT'!D775+'CUSTOMERS REPORT'!D813+'CUSTOMERS REPORT'!D851+'CUSTOMERS REPORT'!D889+'CUSTOMERS REPORT'!D928+'CUSTOMERS REPORT'!D967+'CUSTOMERS REPORT'!D1005+'CUSTOMERS REPORT'!D1043+'CUSTOMERS REPORT'!D1081+'CUSTOMERS REPORT'!D1119+'CUSTOMERS REPORT'!D1157</f>
        <v>0</v>
      </c>
      <c r="W54" s="852">
        <f>'CUSTOMERS REPORT'!E38+'CUSTOMERS REPORT'!E84+'CUSTOMERS REPORT'!E122+'CUSTOMERS REPORT'!E161+'CUSTOMERS REPORT'!E199+'CUSTOMERS REPORT'!E239+'CUSTOMERS REPORT'!E276+'CUSTOMERS REPORT'!E316+'CUSTOMERS REPORT'!E357+'CUSTOMERS REPORT'!E399+'CUSTOMERS REPORT'!E438+'CUSTOMERS REPORT'!E476+'CUSTOMERS REPORT'!E512+'CUSTOMERS REPORT'!E549+'CUSTOMERS REPORT'!E587+'CUSTOMERS REPORT'!E623+'CUSTOMERS REPORT'!E661+'CUSTOMERS REPORT'!E699+'CUSTOMERS REPORT'!E737+'CUSTOMERS REPORT'!E775+'CUSTOMERS REPORT'!E813+'CUSTOMERS REPORT'!E851+'CUSTOMERS REPORT'!E889+'CUSTOMERS REPORT'!E928+'CUSTOMERS REPORT'!E967+'CUSTOMERS REPORT'!E1005+'CUSTOMERS REPORT'!E1043+'CUSTOMERS REPORT'!E1081+'CUSTOMERS REPORT'!E1119+'CUSTOMERS REPORT'!E1157</f>
        <v>0</v>
      </c>
      <c r="X54" s="852">
        <f>'CUSTOMERS REPORT'!F38+'CUSTOMERS REPORT'!F84+'CUSTOMERS REPORT'!F122+'CUSTOMERS REPORT'!F161+'CUSTOMERS REPORT'!F199+'CUSTOMERS REPORT'!F239+'CUSTOMERS REPORT'!F276+'CUSTOMERS REPORT'!F316+'CUSTOMERS REPORT'!F357+'CUSTOMERS REPORT'!F399+'CUSTOMERS REPORT'!F438+'CUSTOMERS REPORT'!F476+'CUSTOMERS REPORT'!F512+'CUSTOMERS REPORT'!F549+'CUSTOMERS REPORT'!F587+'CUSTOMERS REPORT'!F623+'CUSTOMERS REPORT'!F661+'CUSTOMERS REPORT'!F699+'CUSTOMERS REPORT'!F737+'CUSTOMERS REPORT'!F775+'CUSTOMERS REPORT'!F813+'CUSTOMERS REPORT'!F851+'CUSTOMERS REPORT'!F889+'CUSTOMERS REPORT'!F928+'CUSTOMERS REPORT'!F967+'CUSTOMERS REPORT'!F1005+'CUSTOMERS REPORT'!F1043+'CUSTOMERS REPORT'!F1081+'CUSTOMERS REPORT'!F1119+'CUSTOMERS REPORT'!F1157</f>
        <v>0</v>
      </c>
      <c r="Y54" s="852">
        <f>'CUSTOMERS REPORT'!G38+'CUSTOMERS REPORT'!G84+'CUSTOMERS REPORT'!G122+'CUSTOMERS REPORT'!G161+'CUSTOMERS REPORT'!G199+'CUSTOMERS REPORT'!G239+'CUSTOMERS REPORT'!G276+'CUSTOMERS REPORT'!G316+'CUSTOMERS REPORT'!G357+'CUSTOMERS REPORT'!G399+'CUSTOMERS REPORT'!G438+'CUSTOMERS REPORT'!G476+'CUSTOMERS REPORT'!G512+'CUSTOMERS REPORT'!G549+'CUSTOMERS REPORT'!G587+'CUSTOMERS REPORT'!G623+'CUSTOMERS REPORT'!G661+'CUSTOMERS REPORT'!G699+'CUSTOMERS REPORT'!G737+'CUSTOMERS REPORT'!G775+'CUSTOMERS REPORT'!G813+'CUSTOMERS REPORT'!G851+'CUSTOMERS REPORT'!G889+'CUSTOMERS REPORT'!G928+'CUSTOMERS REPORT'!G967+'CUSTOMERS REPORT'!G1005+'CUSTOMERS REPORT'!G1043+'CUSTOMERS REPORT'!G1081+'CUSTOMERS REPORT'!G1119+'CUSTOMERS REPORT'!G1157</f>
        <v>0</v>
      </c>
      <c r="Z54" s="852">
        <f>'CUSTOMERS REPORT'!H38+'CUSTOMERS REPORT'!H84+'CUSTOMERS REPORT'!H122+'CUSTOMERS REPORT'!H161+'CUSTOMERS REPORT'!H199+'CUSTOMERS REPORT'!H239+'CUSTOMERS REPORT'!H276+'CUSTOMERS REPORT'!H316+'CUSTOMERS REPORT'!H357+'CUSTOMERS REPORT'!H399+'CUSTOMERS REPORT'!H438+'CUSTOMERS REPORT'!H476+'CUSTOMERS REPORT'!H512+'CUSTOMERS REPORT'!H549+'CUSTOMERS REPORT'!H587+'CUSTOMERS REPORT'!H623+'CUSTOMERS REPORT'!H661+'CUSTOMERS REPORT'!H699+'CUSTOMERS REPORT'!H737+'CUSTOMERS REPORT'!H775+'CUSTOMERS REPORT'!H813+'CUSTOMERS REPORT'!H851+'CUSTOMERS REPORT'!H889+'CUSTOMERS REPORT'!H928+'CUSTOMERS REPORT'!H967+'CUSTOMERS REPORT'!H1005+'CUSTOMERS REPORT'!H1043+'CUSTOMERS REPORT'!H1081+'CUSTOMERS REPORT'!H1119+'CUSTOMERS REPORT'!H1157</f>
        <v>0</v>
      </c>
      <c r="AA54" s="852">
        <f>'CUSTOMERS REPORT'!I38+'CUSTOMERS REPORT'!I84+'CUSTOMERS REPORT'!I122+'CUSTOMERS REPORT'!I161+'CUSTOMERS REPORT'!I199+'CUSTOMERS REPORT'!I239+'CUSTOMERS REPORT'!I276+'CUSTOMERS REPORT'!I316+'CUSTOMERS REPORT'!I357+'CUSTOMERS REPORT'!I399+'CUSTOMERS REPORT'!I438+'CUSTOMERS REPORT'!I476+'CUSTOMERS REPORT'!I512+'CUSTOMERS REPORT'!I549+'CUSTOMERS REPORT'!I587+'CUSTOMERS REPORT'!I623+'CUSTOMERS REPORT'!I661+'CUSTOMERS REPORT'!I699+'CUSTOMERS REPORT'!I737+'CUSTOMERS REPORT'!I775+'CUSTOMERS REPORT'!I813+'CUSTOMERS REPORT'!I851+'CUSTOMERS REPORT'!I889+'CUSTOMERS REPORT'!I928+'CUSTOMERS REPORT'!I967+'CUSTOMERS REPORT'!I1005+'CUSTOMERS REPORT'!I1043+'CUSTOMERS REPORT'!I1081+'CUSTOMERS REPORT'!I1119+'CUSTOMERS REPORT'!I1157</f>
        <v>0</v>
      </c>
      <c r="AB54" s="852">
        <f>'CUSTOMERS REPORT'!J38+'CUSTOMERS REPORT'!J84+'CUSTOMERS REPORT'!J122+'CUSTOMERS REPORT'!J161+'CUSTOMERS REPORT'!J199+'CUSTOMERS REPORT'!J239+'CUSTOMERS REPORT'!J276+'CUSTOMERS REPORT'!J316+'CUSTOMERS REPORT'!J357+'CUSTOMERS REPORT'!J399+'CUSTOMERS REPORT'!J438+'CUSTOMERS REPORT'!J476+'CUSTOMERS REPORT'!J512+'CUSTOMERS REPORT'!J549+'CUSTOMERS REPORT'!J587+'CUSTOMERS REPORT'!J623+'CUSTOMERS REPORT'!J661+'CUSTOMERS REPORT'!J699+'CUSTOMERS REPORT'!J737+'CUSTOMERS REPORT'!J775+'CUSTOMERS REPORT'!J813+'CUSTOMERS REPORT'!J851+'CUSTOMERS REPORT'!J889+'CUSTOMERS REPORT'!J928+'CUSTOMERS REPORT'!J967+'CUSTOMERS REPORT'!J1005+'CUSTOMERS REPORT'!J1043+'CUSTOMERS REPORT'!J1081+'CUSTOMERS REPORT'!J1119+'CUSTOMERS REPORT'!J1157</f>
        <v>0</v>
      </c>
      <c r="AC54" s="852">
        <f>'CUSTOMERS REPORT'!K38+'CUSTOMERS REPORT'!K84+'CUSTOMERS REPORT'!K122+'CUSTOMERS REPORT'!K161+'CUSTOMERS REPORT'!K199+'CUSTOMERS REPORT'!K239+'CUSTOMERS REPORT'!K276+'CUSTOMERS REPORT'!K316+'CUSTOMERS REPORT'!K357+'CUSTOMERS REPORT'!K399+'CUSTOMERS REPORT'!K438+'CUSTOMERS REPORT'!K476+'CUSTOMERS REPORT'!K512+'CUSTOMERS REPORT'!K549+'CUSTOMERS REPORT'!K587+'CUSTOMERS REPORT'!K623+'CUSTOMERS REPORT'!K661+'CUSTOMERS REPORT'!K699+'CUSTOMERS REPORT'!K737+'CUSTOMERS REPORT'!K775+'CUSTOMERS REPORT'!K813+'CUSTOMERS REPORT'!K851+'CUSTOMERS REPORT'!K889+'CUSTOMERS REPORT'!K928+'CUSTOMERS REPORT'!K967+'CUSTOMERS REPORT'!K1005+'CUSTOMERS REPORT'!K1043+'CUSTOMERS REPORT'!K1081+'CUSTOMERS REPORT'!K1119+'CUSTOMERS REPORT'!K1157</f>
        <v>0</v>
      </c>
      <c r="AD54" s="852">
        <f>'CUSTOMERS REPORT'!L38+'CUSTOMERS REPORT'!L84+'CUSTOMERS REPORT'!L122+'CUSTOMERS REPORT'!L161+'CUSTOMERS REPORT'!L199+'CUSTOMERS REPORT'!L239+'CUSTOMERS REPORT'!L276+'CUSTOMERS REPORT'!L316+'CUSTOMERS REPORT'!L357+'CUSTOMERS REPORT'!L399+'CUSTOMERS REPORT'!L438+'CUSTOMERS REPORT'!L476+'CUSTOMERS REPORT'!L512+'CUSTOMERS REPORT'!L549+'CUSTOMERS REPORT'!L587+'CUSTOMERS REPORT'!L623+'CUSTOMERS REPORT'!L661+'CUSTOMERS REPORT'!L699+'CUSTOMERS REPORT'!L737+'CUSTOMERS REPORT'!L775+'CUSTOMERS REPORT'!L813+'CUSTOMERS REPORT'!L851+'CUSTOMERS REPORT'!L889+'CUSTOMERS REPORT'!L928+'CUSTOMERS REPORT'!L967+'CUSTOMERS REPORT'!L1005+'CUSTOMERS REPORT'!L1043+'CUSTOMERS REPORT'!L1081+'CUSTOMERS REPORT'!L1119+'CUSTOMERS REPORT'!L1157</f>
        <v>0</v>
      </c>
      <c r="AE54" s="852">
        <f>'CUSTOMERS REPORT'!M38+'CUSTOMERS REPORT'!M84+'CUSTOMERS REPORT'!M122+'CUSTOMERS REPORT'!M161+'CUSTOMERS REPORT'!M199+'CUSTOMERS REPORT'!M239+'CUSTOMERS REPORT'!M276+'CUSTOMERS REPORT'!M316+'CUSTOMERS REPORT'!M357+'CUSTOMERS REPORT'!M399+'CUSTOMERS REPORT'!M438+'CUSTOMERS REPORT'!M476+'CUSTOMERS REPORT'!M512+'CUSTOMERS REPORT'!M549+'CUSTOMERS REPORT'!M587+'CUSTOMERS REPORT'!M623+'CUSTOMERS REPORT'!M661+'CUSTOMERS REPORT'!M699+'CUSTOMERS REPORT'!M737+'CUSTOMERS REPORT'!M775+'CUSTOMERS REPORT'!M813+'CUSTOMERS REPORT'!M851+'CUSTOMERS REPORT'!M889+'CUSTOMERS REPORT'!M928+'CUSTOMERS REPORT'!M967+'CUSTOMERS REPORT'!M1005+'CUSTOMERS REPORT'!M1043+'CUSTOMERS REPORT'!M1081+'CUSTOMERS REPORT'!M1119+'CUSTOMERS REPORT'!M1157</f>
        <v>0</v>
      </c>
      <c r="AF54" s="852">
        <f>'CUSTOMERS REPORT'!N38+'CUSTOMERS REPORT'!N84+'CUSTOMERS REPORT'!N122+'CUSTOMERS REPORT'!N161+'CUSTOMERS REPORT'!N199+'CUSTOMERS REPORT'!N239+'CUSTOMERS REPORT'!N276+'CUSTOMERS REPORT'!N316+'CUSTOMERS REPORT'!N357+'CUSTOMERS REPORT'!N399+'CUSTOMERS REPORT'!N438+'CUSTOMERS REPORT'!N476+'CUSTOMERS REPORT'!N512+'CUSTOMERS REPORT'!N549+'CUSTOMERS REPORT'!N587+'CUSTOMERS REPORT'!N623+'CUSTOMERS REPORT'!N661+'CUSTOMERS REPORT'!N699+'CUSTOMERS REPORT'!N737+'CUSTOMERS REPORT'!N775+'CUSTOMERS REPORT'!N813+'CUSTOMERS REPORT'!N851+'CUSTOMERS REPORT'!N889+'CUSTOMERS REPORT'!N928+'CUSTOMERS REPORT'!N967+'CUSTOMERS REPORT'!N1005+'CUSTOMERS REPORT'!N1043+'CUSTOMERS REPORT'!N1081+'CUSTOMERS REPORT'!N1119+'CUSTOMERS REPORT'!N1157</f>
        <v>0</v>
      </c>
      <c r="AG54" s="852">
        <f>'CUSTOMERS REPORT'!O38+'CUSTOMERS REPORT'!O84+'CUSTOMERS REPORT'!O122+'CUSTOMERS REPORT'!O161+'CUSTOMERS REPORT'!O199+'CUSTOMERS REPORT'!O239+'CUSTOMERS REPORT'!O276+'CUSTOMERS REPORT'!O316+'CUSTOMERS REPORT'!O357+'CUSTOMERS REPORT'!O399+'CUSTOMERS REPORT'!O438+'CUSTOMERS REPORT'!O476+'CUSTOMERS REPORT'!O512+'CUSTOMERS REPORT'!O549+'CUSTOMERS REPORT'!O587+'CUSTOMERS REPORT'!O623+'CUSTOMERS REPORT'!O661+'CUSTOMERS REPORT'!O699+'CUSTOMERS REPORT'!O737+'CUSTOMERS REPORT'!O775+'CUSTOMERS REPORT'!O813+'CUSTOMERS REPORT'!O851+'CUSTOMERS REPORT'!O889+'CUSTOMERS REPORT'!O928+'CUSTOMERS REPORT'!O967+'CUSTOMERS REPORT'!O1005+'CUSTOMERS REPORT'!O1043+'CUSTOMERS REPORT'!O1081+'CUSTOMERS REPORT'!O1119+'CUSTOMERS REPORT'!O1157</f>
        <v>0</v>
      </c>
      <c r="AH54" s="852">
        <f>'CUSTOMERS REPORT'!P38+'CUSTOMERS REPORT'!P84+'CUSTOMERS REPORT'!P122+'CUSTOMERS REPORT'!P161+'CUSTOMERS REPORT'!P199+'CUSTOMERS REPORT'!P239+'CUSTOMERS REPORT'!P276+'CUSTOMERS REPORT'!P316+'CUSTOMERS REPORT'!P357+'CUSTOMERS REPORT'!P399+'CUSTOMERS REPORT'!P438+'CUSTOMERS REPORT'!P476+'CUSTOMERS REPORT'!P512+'CUSTOMERS REPORT'!P549+'CUSTOMERS REPORT'!P587+'CUSTOMERS REPORT'!P623+'CUSTOMERS REPORT'!P661+'CUSTOMERS REPORT'!P699+'CUSTOMERS REPORT'!P737+'CUSTOMERS REPORT'!P775+'CUSTOMERS REPORT'!P813+'CUSTOMERS REPORT'!P851+'CUSTOMERS REPORT'!P889+'CUSTOMERS REPORT'!P928+'CUSTOMERS REPORT'!P967+'CUSTOMERS REPORT'!P1005+'CUSTOMERS REPORT'!P1043+'CUSTOMERS REPORT'!P1081+'CUSTOMERS REPORT'!P1119+'CUSTOMERS REPORT'!P1157</f>
        <v>0</v>
      </c>
      <c r="AI54" s="852">
        <f>'CUSTOMERS REPORT'!Q38+'CUSTOMERS REPORT'!Q84+'CUSTOMERS REPORT'!Q122+'CUSTOMERS REPORT'!Q161+'CUSTOMERS REPORT'!Q199+'CUSTOMERS REPORT'!Q239+'CUSTOMERS REPORT'!Q276+'CUSTOMERS REPORT'!Q316+'CUSTOMERS REPORT'!Q357+'CUSTOMERS REPORT'!Q399+'CUSTOMERS REPORT'!Q438+'CUSTOMERS REPORT'!Q476+'CUSTOMERS REPORT'!Q512+'CUSTOMERS REPORT'!Q549+'CUSTOMERS REPORT'!Q587+'CUSTOMERS REPORT'!Q623+'CUSTOMERS REPORT'!Q661+'CUSTOMERS REPORT'!Q699+'CUSTOMERS REPORT'!Q737+'CUSTOMERS REPORT'!Q775+'CUSTOMERS REPORT'!Q813+'CUSTOMERS REPORT'!Q851+'CUSTOMERS REPORT'!Q889+'CUSTOMERS REPORT'!Q928+'CUSTOMERS REPORT'!Q967+'CUSTOMERS REPORT'!Q1005+'CUSTOMERS REPORT'!Q1043+'CUSTOMERS REPORT'!Q1081+'CUSTOMERS REPORT'!Q1119+'CUSTOMERS REPORT'!Q1157</f>
        <v>0</v>
      </c>
      <c r="AJ54" s="852">
        <f>'CUSTOMERS REPORT'!R38+'CUSTOMERS REPORT'!R84+'CUSTOMERS REPORT'!R122+'CUSTOMERS REPORT'!R161+'CUSTOMERS REPORT'!R199+'CUSTOMERS REPORT'!R239+'CUSTOMERS REPORT'!R276+'CUSTOMERS REPORT'!R316+'CUSTOMERS REPORT'!R357+'CUSTOMERS REPORT'!R399+'CUSTOMERS REPORT'!R438+'CUSTOMERS REPORT'!R476+'CUSTOMERS REPORT'!R512+'CUSTOMERS REPORT'!R549+'CUSTOMERS REPORT'!R587+'CUSTOMERS REPORT'!R623+'CUSTOMERS REPORT'!R661+'CUSTOMERS REPORT'!R699+'CUSTOMERS REPORT'!R737+'CUSTOMERS REPORT'!R775+'CUSTOMERS REPORT'!R813+'CUSTOMERS REPORT'!R851+'CUSTOMERS REPORT'!R889+'CUSTOMERS REPORT'!R928+'CUSTOMERS REPORT'!R967+'CUSTOMERS REPORT'!R1005+'CUSTOMERS REPORT'!R1043+'CUSTOMERS REPORT'!R1081+'CUSTOMERS REPORT'!R1119+'CUSTOMERS REPORT'!R1157</f>
        <v>0</v>
      </c>
      <c r="AK54" s="852">
        <f>'CUSTOMERS REPORT'!S38+'CUSTOMERS REPORT'!S84+'CUSTOMERS REPORT'!S122+'CUSTOMERS REPORT'!S161+'CUSTOMERS REPORT'!S199+'CUSTOMERS REPORT'!S239+'CUSTOMERS REPORT'!S276+'CUSTOMERS REPORT'!S316+'CUSTOMERS REPORT'!S357+'CUSTOMERS REPORT'!S399+'CUSTOMERS REPORT'!S438+'CUSTOMERS REPORT'!S476+'CUSTOMERS REPORT'!S512+'CUSTOMERS REPORT'!S549+'CUSTOMERS REPORT'!S587+'CUSTOMERS REPORT'!S623+'CUSTOMERS REPORT'!S661+'CUSTOMERS REPORT'!S699+'CUSTOMERS REPORT'!S737+'CUSTOMERS REPORT'!S775+'CUSTOMERS REPORT'!S813+'CUSTOMERS REPORT'!S851+'CUSTOMERS REPORT'!S889+'CUSTOMERS REPORT'!S928+'CUSTOMERS REPORT'!S967+'CUSTOMERS REPORT'!S1005+'CUSTOMERS REPORT'!S1043+'CUSTOMERS REPORT'!S1081+'CUSTOMERS REPORT'!S1119+'CUSTOMERS REPORT'!S1157</f>
        <v>0</v>
      </c>
      <c r="AL54" s="852">
        <f>'CUSTOMERS REPORT'!T38+'CUSTOMERS REPORT'!T84+'CUSTOMERS REPORT'!T122+'CUSTOMERS REPORT'!T161+'CUSTOMERS REPORT'!T199+'CUSTOMERS REPORT'!T239+'CUSTOMERS REPORT'!T276+'CUSTOMERS REPORT'!T316+'CUSTOMERS REPORT'!T357+'CUSTOMERS REPORT'!T399+'CUSTOMERS REPORT'!T438+'CUSTOMERS REPORT'!T476+'CUSTOMERS REPORT'!T512+'CUSTOMERS REPORT'!T549+'CUSTOMERS REPORT'!T587+'CUSTOMERS REPORT'!T623+'CUSTOMERS REPORT'!T661+'CUSTOMERS REPORT'!T699+'CUSTOMERS REPORT'!T737+'CUSTOMERS REPORT'!T775+'CUSTOMERS REPORT'!T813+'CUSTOMERS REPORT'!T851+'CUSTOMERS REPORT'!T889+'CUSTOMERS REPORT'!T928+'CUSTOMERS REPORT'!T967+'CUSTOMERS REPORT'!T1005+'CUSTOMERS REPORT'!T1043+'CUSTOMERS REPORT'!T1081+'CUSTOMERS REPORT'!T1119+'CUSTOMERS REPORT'!T1157</f>
        <v>0</v>
      </c>
      <c r="AM54" s="852">
        <f>'CUSTOMERS REPORT'!U38+'CUSTOMERS REPORT'!U84+'CUSTOMERS REPORT'!U122+'CUSTOMERS REPORT'!U161+'CUSTOMERS REPORT'!U199+'CUSTOMERS REPORT'!U239+'CUSTOMERS REPORT'!U276+'CUSTOMERS REPORT'!U316+'CUSTOMERS REPORT'!U357+'CUSTOMERS REPORT'!U399+'CUSTOMERS REPORT'!U438+'CUSTOMERS REPORT'!U476+'CUSTOMERS REPORT'!U512+'CUSTOMERS REPORT'!U549+'CUSTOMERS REPORT'!U587+'CUSTOMERS REPORT'!U623+'CUSTOMERS REPORT'!U661+'CUSTOMERS REPORT'!U699+'CUSTOMERS REPORT'!U737+'CUSTOMERS REPORT'!U775+'CUSTOMERS REPORT'!U813+'CUSTOMERS REPORT'!U851+'CUSTOMERS REPORT'!U889+'CUSTOMERS REPORT'!U928+'CUSTOMERS REPORT'!U967+'CUSTOMERS REPORT'!U1005+'CUSTOMERS REPORT'!U1043+'CUSTOMERS REPORT'!U1081+'CUSTOMERS REPORT'!U1119+'CUSTOMERS REPORT'!U1157</f>
        <v>0</v>
      </c>
      <c r="AN54" s="852">
        <f>'CUSTOMERS REPORT'!V38+'CUSTOMERS REPORT'!V84+'CUSTOMERS REPORT'!V122+'CUSTOMERS REPORT'!V161+'CUSTOMERS REPORT'!V199+'CUSTOMERS REPORT'!V239+'CUSTOMERS REPORT'!V276+'CUSTOMERS REPORT'!V316+'CUSTOMERS REPORT'!V357+'CUSTOMERS REPORT'!V399+'CUSTOMERS REPORT'!V438+'CUSTOMERS REPORT'!V476+'CUSTOMERS REPORT'!V512+'CUSTOMERS REPORT'!V549+'CUSTOMERS REPORT'!V587+'CUSTOMERS REPORT'!V623+'CUSTOMERS REPORT'!V661+'CUSTOMERS REPORT'!V699+'CUSTOMERS REPORT'!V737+'CUSTOMERS REPORT'!V775+'CUSTOMERS REPORT'!V813+'CUSTOMERS REPORT'!V851+'CUSTOMERS REPORT'!V889+'CUSTOMERS REPORT'!V928+'CUSTOMERS REPORT'!V967+'CUSTOMERS REPORT'!V1005+'CUSTOMERS REPORT'!V1043+'CUSTOMERS REPORT'!V1081+'CUSTOMERS REPORT'!V1119+'CUSTOMERS REPORT'!V1157</f>
        <v>0</v>
      </c>
    </row>
    <row r="55" spans="1:40" ht="27" customHeight="1" thickBot="1">
      <c r="K55">
        <v>612</v>
      </c>
      <c r="L55" s="417">
        <v>20</v>
      </c>
      <c r="M55" s="417"/>
      <c r="N55" s="417">
        <f t="shared" si="10"/>
        <v>0</v>
      </c>
      <c r="R55" s="123">
        <f>'30'!R57</f>
        <v>143</v>
      </c>
      <c r="S55" s="865" t="s">
        <v>169</v>
      </c>
      <c r="T55" s="866">
        <f t="shared" ref="T55:AB55" si="14">T53-T54-T51</f>
        <v>62</v>
      </c>
      <c r="U55" s="866">
        <f t="shared" si="14"/>
        <v>0</v>
      </c>
      <c r="V55" s="866">
        <f t="shared" si="14"/>
        <v>184</v>
      </c>
      <c r="W55" s="866">
        <f t="shared" si="14"/>
        <v>19</v>
      </c>
      <c r="X55" s="866">
        <f t="shared" si="14"/>
        <v>0</v>
      </c>
      <c r="Y55" s="866">
        <f t="shared" si="14"/>
        <v>0</v>
      </c>
      <c r="Z55" s="866">
        <f t="shared" si="14"/>
        <v>525</v>
      </c>
      <c r="AA55" s="866">
        <f t="shared" si="14"/>
        <v>5632</v>
      </c>
      <c r="AB55" s="866">
        <f t="shared" si="14"/>
        <v>160</v>
      </c>
      <c r="AC55" s="866">
        <f t="shared" ref="AC55:AM55" si="15">AC53-AC54-AC51</f>
        <v>3220</v>
      </c>
      <c r="AD55" s="866">
        <f t="shared" si="15"/>
        <v>1292</v>
      </c>
      <c r="AE55" s="866">
        <f t="shared" si="15"/>
        <v>0</v>
      </c>
      <c r="AF55" s="866">
        <f t="shared" si="15"/>
        <v>3752</v>
      </c>
      <c r="AG55" s="866">
        <f t="shared" si="15"/>
        <v>1082</v>
      </c>
      <c r="AH55" s="866">
        <f t="shared" si="15"/>
        <v>2011</v>
      </c>
      <c r="AI55" s="866">
        <f t="shared" si="15"/>
        <v>631</v>
      </c>
      <c r="AJ55" s="866">
        <f t="shared" si="15"/>
        <v>0</v>
      </c>
      <c r="AK55" s="866">
        <f t="shared" si="15"/>
        <v>123</v>
      </c>
      <c r="AL55" s="866" t="e">
        <f t="shared" si="15"/>
        <v>#VALUE!</v>
      </c>
      <c r="AM55" s="872" t="e">
        <f t="shared" si="15"/>
        <v>#VALUE!</v>
      </c>
      <c r="AN55" s="872" t="e">
        <f t="shared" ref="AN55" si="16">AN53-AN54-AN51</f>
        <v>#VALUE!</v>
      </c>
    </row>
    <row r="56" spans="1:40" ht="27" customHeight="1" thickBot="1">
      <c r="A56" s="114"/>
      <c r="B56" s="120"/>
      <c r="C56" s="115"/>
      <c r="K56">
        <v>884</v>
      </c>
      <c r="L56" s="417">
        <v>10</v>
      </c>
      <c r="M56" s="417"/>
      <c r="N56" s="417">
        <f t="shared" si="10"/>
        <v>0</v>
      </c>
      <c r="R56" s="123">
        <f>T56+U56+V56+W56+X56+Y56+Z56+AA56+AB56+AC56+AD56+AE56+AF56+AG56+AH56+AI56+AJ56+AK56+AL56+AM56+AN56</f>
        <v>0</v>
      </c>
      <c r="S56" s="874" t="s">
        <v>170</v>
      </c>
      <c r="T56" s="875"/>
      <c r="U56" s="875"/>
      <c r="V56" s="875"/>
      <c r="W56" s="875"/>
      <c r="X56" s="875"/>
      <c r="Y56" s="875"/>
      <c r="Z56" s="876"/>
      <c r="AA56" s="875"/>
      <c r="AB56" s="875"/>
      <c r="AC56" s="875"/>
      <c r="AD56" s="875"/>
      <c r="AE56" s="875"/>
      <c r="AF56" s="875"/>
      <c r="AG56" s="875"/>
      <c r="AH56" s="875"/>
      <c r="AI56" s="877"/>
      <c r="AJ56" s="877"/>
      <c r="AK56" s="877"/>
      <c r="AL56" s="877"/>
      <c r="AM56" s="928"/>
      <c r="AN56" s="928"/>
    </row>
    <row r="57" spans="1:40" ht="27" customHeight="1" thickBot="1">
      <c r="A57" s="114"/>
      <c r="B57" s="131"/>
      <c r="C57" s="115"/>
      <c r="D57" s="115"/>
      <c r="E57" s="19"/>
      <c r="F57" s="19"/>
      <c r="G57" s="19"/>
      <c r="H57" s="19"/>
      <c r="I57" s="19"/>
      <c r="J57" s="19" t="s">
        <v>1</v>
      </c>
      <c r="K57" s="19">
        <v>3267</v>
      </c>
      <c r="L57" s="418">
        <v>1</v>
      </c>
      <c r="M57" s="418"/>
      <c r="N57" s="417">
        <f t="shared" si="10"/>
        <v>0</v>
      </c>
      <c r="O57" s="19"/>
      <c r="R57" s="123">
        <f>SUM(R55:R56)</f>
        <v>143</v>
      </c>
      <c r="S57" s="882" t="s">
        <v>23</v>
      </c>
      <c r="T57" s="883" t="e">
        <f t="shared" ref="T57:AB57" si="17">T50/T56</f>
        <v>#DIV/0!</v>
      </c>
      <c r="U57" s="883" t="e">
        <f t="shared" si="17"/>
        <v>#DIV/0!</v>
      </c>
      <c r="V57" s="883" t="e">
        <f t="shared" si="17"/>
        <v>#DIV/0!</v>
      </c>
      <c r="W57" s="883" t="e">
        <f t="shared" si="17"/>
        <v>#DIV/0!</v>
      </c>
      <c r="X57" s="883" t="e">
        <f t="shared" si="17"/>
        <v>#DIV/0!</v>
      </c>
      <c r="Y57" s="883" t="e">
        <f t="shared" si="17"/>
        <v>#DIV/0!</v>
      </c>
      <c r="Z57" s="883" t="e">
        <f t="shared" si="17"/>
        <v>#DIV/0!</v>
      </c>
      <c r="AA57" s="883" t="e">
        <f t="shared" si="17"/>
        <v>#DIV/0!</v>
      </c>
      <c r="AB57" s="883" t="e">
        <f t="shared" si="17"/>
        <v>#DIV/0!</v>
      </c>
      <c r="AC57" s="883" t="e">
        <f t="shared" ref="AC57:AM57" si="18">AC50/AC56</f>
        <v>#DIV/0!</v>
      </c>
      <c r="AD57" s="883" t="e">
        <f t="shared" si="18"/>
        <v>#DIV/0!</v>
      </c>
      <c r="AE57" s="883" t="e">
        <f t="shared" si="18"/>
        <v>#DIV/0!</v>
      </c>
      <c r="AF57" s="883" t="e">
        <f t="shared" si="18"/>
        <v>#DIV/0!</v>
      </c>
      <c r="AG57" s="883" t="e">
        <f t="shared" si="18"/>
        <v>#DIV/0!</v>
      </c>
      <c r="AH57" s="883" t="e">
        <f t="shared" si="18"/>
        <v>#DIV/0!</v>
      </c>
      <c r="AI57" s="883" t="e">
        <f t="shared" si="18"/>
        <v>#DIV/0!</v>
      </c>
      <c r="AJ57" s="883" t="e">
        <f t="shared" si="18"/>
        <v>#DIV/0!</v>
      </c>
      <c r="AK57" s="883" t="e">
        <f t="shared" si="18"/>
        <v>#DIV/0!</v>
      </c>
      <c r="AL57" s="883" t="e">
        <f t="shared" si="18"/>
        <v>#DIV/0!</v>
      </c>
      <c r="AM57" s="884" t="e">
        <f t="shared" si="18"/>
        <v>#DIV/0!</v>
      </c>
      <c r="AN57" s="884" t="e">
        <f t="shared" ref="AN57" si="19">AN50/AN56</f>
        <v>#DIV/0!</v>
      </c>
    </row>
    <row r="58" spans="1:40" ht="27" customHeight="1" thickBot="1">
      <c r="A58" s="114"/>
      <c r="B58" s="131"/>
      <c r="C58" s="115"/>
      <c r="D58" s="115" t="s">
        <v>1</v>
      </c>
      <c r="K58">
        <f>K53*100+K54*50+K55*20+K56*10+K57*1</f>
        <v>117897</v>
      </c>
      <c r="L58" s="1501" t="s">
        <v>171</v>
      </c>
      <c r="M58" s="1501"/>
      <c r="N58" s="419">
        <f>SUM(N50:N57)</f>
        <v>0</v>
      </c>
      <c r="R58" s="19"/>
      <c r="S58" s="878" t="s">
        <v>172</v>
      </c>
      <c r="T58" s="879">
        <f>T54</f>
        <v>0</v>
      </c>
      <c r="U58" s="879">
        <f t="shared" ref="U58:AB58" si="20">U54</f>
        <v>0</v>
      </c>
      <c r="V58" s="879">
        <f t="shared" si="20"/>
        <v>0</v>
      </c>
      <c r="W58" s="879">
        <f t="shared" si="20"/>
        <v>0</v>
      </c>
      <c r="X58" s="879">
        <f t="shared" si="20"/>
        <v>0</v>
      </c>
      <c r="Y58" s="879">
        <f t="shared" si="20"/>
        <v>0</v>
      </c>
      <c r="Z58" s="879">
        <f t="shared" si="20"/>
        <v>0</v>
      </c>
      <c r="AA58" s="879">
        <f t="shared" si="20"/>
        <v>0</v>
      </c>
      <c r="AB58" s="879">
        <f t="shared" si="20"/>
        <v>0</v>
      </c>
      <c r="AC58" s="879">
        <f t="shared" ref="AC58:AJ58" si="21">AC54</f>
        <v>0</v>
      </c>
      <c r="AD58" s="879">
        <f t="shared" si="21"/>
        <v>0</v>
      </c>
      <c r="AE58" s="879">
        <f t="shared" si="21"/>
        <v>0</v>
      </c>
      <c r="AF58" s="879">
        <f t="shared" si="21"/>
        <v>0</v>
      </c>
      <c r="AG58" s="879">
        <f t="shared" si="21"/>
        <v>0</v>
      </c>
      <c r="AH58" s="879">
        <f t="shared" si="21"/>
        <v>0</v>
      </c>
      <c r="AI58" s="879">
        <f t="shared" si="21"/>
        <v>0</v>
      </c>
      <c r="AJ58" s="879">
        <f t="shared" si="21"/>
        <v>0</v>
      </c>
      <c r="AK58" s="880"/>
      <c r="AL58" s="880"/>
      <c r="AM58" s="881"/>
      <c r="AN58" s="881"/>
    </row>
    <row r="59" spans="1:40" ht="27" customHeight="1" thickTop="1" thickBot="1">
      <c r="A59" s="114"/>
      <c r="B59" s="132"/>
      <c r="C59" s="115"/>
      <c r="D59" s="115" t="s">
        <v>1</v>
      </c>
      <c r="K59" t="s">
        <v>1</v>
      </c>
      <c r="L59" s="1486" t="s">
        <v>173</v>
      </c>
      <c r="M59" s="1486"/>
      <c r="N59" s="420">
        <f>N58-Q48</f>
        <v>4818050</v>
      </c>
      <c r="Q59" t="s">
        <v>1</v>
      </c>
      <c r="R59" s="19"/>
      <c r="S59" s="614" t="s">
        <v>91</v>
      </c>
      <c r="T59" s="524">
        <f>'1'!T51+'2'!T51+'3'!T51+'4'!T51+'5'!T51+'6'!T51+'7'!T51+'8'!T51+'9'!T51+'10'!T51+'11'!T51+'12'!T51+'13'!T51+'14'!T51+'15'!T51+'16'!T51+'17'!T51+'18'!T51+'19'!T51+'20'!T51+'21'!T51+'22'!T51+'23'!T51+'24'!T51+'25'!T51+'26'!T51+'27'!T51+'28'!T51+'29'!T51+'30'!T51+'31'!T51</f>
        <v>0</v>
      </c>
      <c r="U59" s="524">
        <f>'1'!U51+'2'!U51+'3'!U51+'4'!U51+'5'!U51+'6'!U51+'7'!U51+'8'!U51+'9'!U51+'10'!U51+'11'!U51+'12'!U51+'13'!U51+'14'!U51+'15'!U51+'16'!U51+'17'!U51+'18'!U51+'19'!U51+'20'!U51+'21'!U51+'22'!U51+'23'!U51+'24'!U51+'25'!U51+'26'!U51+'27'!U51+'28'!U51+'29'!U51+'30'!U51+'31'!U51</f>
        <v>0</v>
      </c>
      <c r="V59" s="524">
        <f>'1'!V51+'2'!V51+'3'!V51+'4'!V51+'5'!V51+'6'!V51+'7'!V51+'8'!V51+'9'!V51+'10'!V51+'11'!V51+'12'!V51+'13'!V51+'14'!V51+'15'!V51+'16'!V51+'17'!V51+'18'!V51+'19'!V51+'20'!V51+'21'!V51+'22'!V51+'23'!V51+'24'!V51+'25'!V51+'26'!V51+'27'!V51+'28'!V51+'29'!V51+'30'!V51+'31'!V51</f>
        <v>6</v>
      </c>
      <c r="W59" s="524">
        <f>'1'!W51+'2'!W51+'3'!W51+'4'!W51+'5'!W51+'6'!W51+'7'!W51+'8'!W51+'9'!W51+'10'!W51+'11'!W51+'12'!W51+'13'!W51+'14'!W51+'15'!W51+'16'!W51+'17'!W51+'18'!W51+'19'!W51+'20'!W51+'21'!W51+'22'!W51+'23'!W51+'24'!W51+'25'!W51+'26'!W51+'27'!W51+'28'!W51+'29'!W51+'30'!W51+'31'!W51</f>
        <v>0</v>
      </c>
      <c r="X59" s="524">
        <f>'1'!X51+'2'!X51+'3'!X51+'4'!X51+'5'!X51+'6'!X51+'7'!X51+'8'!X51+'9'!X51+'10'!X51+'11'!X51+'12'!X51+'13'!X51+'14'!X51+'15'!X51+'16'!X51+'17'!X51+'18'!X51+'19'!X51+'20'!X51+'21'!X51+'22'!X51+'23'!X51+'24'!X51+'25'!X51+'26'!X51+'27'!X51+'28'!X51+'29'!X51+'30'!X51+'31'!X51</f>
        <v>0</v>
      </c>
      <c r="Y59" s="524">
        <f>'1'!Y51+'2'!Y51+'3'!Y51+'4'!Y51+'5'!Y51+'6'!Y51+'7'!Y51+'8'!Y51+'9'!Y51+'10'!Y51+'11'!Y51+'12'!Y51+'13'!Y51+'14'!Y51+'15'!Y51+'16'!Y51+'17'!Y51+'18'!Y51+'19'!Y51+'20'!Y51+'21'!Y51+'22'!Y51+'23'!Y51+'24'!Y51+'25'!Y51+'26'!Y51+'27'!Y51+'28'!Y51+'29'!Y51+'30'!Y51+'31'!Y51</f>
        <v>0</v>
      </c>
      <c r="Z59" s="524">
        <f>'1'!Z51+'2'!Z51+'3'!Z51+'4'!Z51+'5'!Z51+'6'!Z51+'7'!Z51+'8'!Z51+'9'!Z51+'10'!Z51+'11'!Z51+'12'!Z51+'13'!Z51+'14'!Z51+'15'!Z51+'16'!Z51+'17'!Z51+'18'!Z51+'19'!Z51+'20'!Z51+'21'!Z51+'22'!Z51+'23'!Z51+'24'!Z51+'25'!Z51+'26'!Z51+'27'!Z51+'28'!Z51+'29'!Z51+'30'!Z51+'31'!Z51</f>
        <v>3</v>
      </c>
      <c r="AA59" s="524">
        <f>'1'!AA51+'2'!AA51+'3'!AA51+'4'!AA51+'5'!AA51+'6'!AA51+'7'!AA51+'8'!AA51+'9'!AA51+'10'!AA51+'11'!AA51+'12'!AA51+'13'!AA51+'14'!AA51+'15'!AA51+'16'!AA51+'17'!AA51+'18'!AA51+'19'!AA51+'20'!AA51+'21'!AA51+'22'!AA51+'23'!AA51+'24'!AA51+'25'!AA51+'26'!AA51+'27'!AA51+'28'!AA51+'29'!AA51+'30'!AA51+'31'!AA51</f>
        <v>58</v>
      </c>
      <c r="AB59" s="524" t="e">
        <f>'1'!#REF!+'2'!AB51+'3'!AB51+'4'!AB51+'5'!AB51+'6'!AB51+'7'!AB51+'8'!AB51+'9'!AB51+'10'!AB51+'11'!AB51+'12'!AB51+'13'!AB51+'14'!AB51+'15'!AB51+'16'!AB51+'17'!AB51+'18'!AB51+'19'!AB51+'20'!AB51+'21'!AB51+'22'!AB51+'23'!AB51+'24'!AB51+'25'!AB51+'26'!AB51+'27'!AB51+'28'!AB51+'29'!AB51+'30'!AB51+'31'!AB51</f>
        <v>#REF!</v>
      </c>
      <c r="AC59" s="524">
        <f>'1'!AC51+'2'!AD51+'3'!AD51+'4'!AD51+'5'!AD51+'6'!AD51+'7'!AD51+'8'!AD51+'9'!AD51+'10'!AD51+'11'!AD51+'12'!AD51+'13'!AD51+'14'!AD51+'15'!AD51+'16'!AD51+'17'!AD51+'18'!AD51+'19'!AD51+'20'!AD51+'21'!AD51+'22'!AD51+'23'!AD51+'24'!AD51+'25'!AC51+'26'!AC51+'27'!AC51+'28'!AC51+'29'!AC51+'30'!AC51+'31'!AC51</f>
        <v>0</v>
      </c>
      <c r="AD59" s="524">
        <f>'1'!AD51+'2'!AE51+'3'!AE51+'4'!AE51+'5'!AE51+'6'!AE51+'7'!AE51+'8'!AE51+'9'!AE51+'10'!AE51+'11'!AE51+'12'!AE51+'13'!AE51+'14'!AE51+'15'!AE51+'16'!AE51+'17'!AE51+'18'!AE51+'19'!AE51+'20'!AE51+'21'!AE51+'22'!AE51+'23'!AE51+'24'!AE51+'25'!AD51+'26'!AD51+'27'!AD51+'28'!AD51+'29'!AD51+'30'!AD51+'31'!AD51</f>
        <v>0</v>
      </c>
      <c r="AE59" s="524">
        <f>'1'!AE51+'2'!AF51+'3'!AF51+'4'!AF51+'5'!AF51+'6'!AF51+'7'!AF51+'8'!AF51+'9'!AF51+'10'!AF51+'11'!AF51+'12'!AF51+'13'!AF51+'14'!AF51+'15'!AF51+'16'!AF51+'17'!AF51+'18'!AF51+'19'!AF51+'20'!AF51+'21'!AF51+'22'!AF51+'23'!AF51+'24'!AF51+'25'!AE51+'26'!AE51+'27'!AE51+'28'!AE51+'29'!AE51+'30'!AE51+'31'!AE51</f>
        <v>0</v>
      </c>
      <c r="AF59" s="524">
        <f>'1'!AF51+'2'!AG51+'3'!AG51+'4'!AG51+'5'!AG51+'6'!AG51+'7'!AG51+'8'!AG51+'9'!AG51+'10'!AG51+'11'!AG51+'12'!AG51+'13'!AG51+'14'!AG51+'15'!AG51+'16'!AG51+'17'!AG51+'18'!AG51+'19'!AG51+'20'!AG51+'21'!AG51+'22'!AG51+'23'!AG51+'24'!AG51+'25'!AF51+'26'!AF51+'27'!AF51+'28'!AF51+'29'!AF51+'30'!AF51+'31'!AF51</f>
        <v>27</v>
      </c>
      <c r="AG59" s="524">
        <f>'1'!AG51+'2'!AH51+'3'!AH51+'4'!AH51+'5'!AH51+'6'!AH51+'7'!AH51+'8'!AH51+'9'!AH51+'10'!AH51+'11'!AH51+'12'!AH51+'13'!AH51+'14'!AH51+'15'!AH51+'16'!AH51+'17'!AH51+'18'!AH51+'19'!AH51+'20'!AH51+'21'!AH51+'22'!AH51+'23'!AH51+'24'!AH51+'25'!AG51+'26'!AG51+'27'!AG51+'28'!AG51+'29'!AG51+'30'!AG51+'31'!AG51</f>
        <v>4</v>
      </c>
      <c r="AH59" s="689">
        <f>'1'!AH51+'2'!AI51+'3'!AI51+'4'!AI51+'5'!AI51+'6'!AI51+'7'!AI51+'8'!AI51+'9'!AI51+'10'!AI51+'11'!AI51+'12'!AI51+'13'!AI51+'14'!AI51+'15'!AI51+'16'!AI51+'17'!AI51+'18'!AI51+'19'!AI51+'20'!AI51+'21'!AI51+'22'!AI51+'23'!AI51+'24'!AI51+'25'!AH51+'26'!AH51+'27'!AH51+'28'!AH51+'29'!AH51+'30'!AH51+'31'!AH51</f>
        <v>0</v>
      </c>
      <c r="AI59" s="524">
        <f>'1'!AI51+'2'!AJ51+'3'!AJ51+'4'!AJ51+'5'!AJ51+'6'!AJ51+'7'!AJ51+'8'!AJ51+'9'!AJ51+'10'!AJ51+'11'!AJ51+'12'!AJ51+'13'!AJ51+'14'!AJ51+'15'!AJ51+'16'!AJ51+'17'!AJ51+'18'!AJ51+'19'!AJ51+'20'!AJ51+'21'!AJ51+'22'!AJ51+'23'!AJ51+'24'!AJ51+'25'!AI51+'26'!AI51+'27'!AI51+'28'!AI51+'29'!AI51+'30'!AI51+'31'!AI51</f>
        <v>0</v>
      </c>
      <c r="AJ59" s="615">
        <f>'1'!AJ51+'2'!AK51+'3'!AK51+'4'!AK51+'5'!AK51+'6'!AK51+'7'!AK51+'8'!AK51+'9'!AK51+'10'!AK51+'11'!AK51+'12'!AK51+'13'!AK51+'14'!AK51+'15'!AK51+'16'!AK51+'17'!AK51+'18'!AK51+'19'!AK51+'20'!AK51+'21'!AK51+'22'!AK51+'23'!AK51+'24'!AK51+'25'!AJ51+'26'!AJ51+'27'!AJ51+'28'!AJ51+'29'!AJ51+'30'!AJ51+'31'!AJ51</f>
        <v>1</v>
      </c>
    </row>
    <row r="60" spans="1:40" ht="24" customHeight="1" thickTop="1">
      <c r="A60" s="114"/>
      <c r="B60" s="132"/>
      <c r="C60" s="115"/>
      <c r="D60" s="115"/>
      <c r="P60" s="19"/>
      <c r="Q60" s="19"/>
      <c r="R60" s="19"/>
      <c r="S60" s="19"/>
      <c r="W60">
        <v>191.95</v>
      </c>
    </row>
    <row r="61" spans="1:40" ht="23.25">
      <c r="A61" s="114"/>
      <c r="B61" s="132"/>
      <c r="C61" s="115"/>
      <c r="D61" s="116"/>
      <c r="M61" t="s">
        <v>1</v>
      </c>
      <c r="P61" s="185"/>
      <c r="Q61" s="186"/>
      <c r="R61" s="19"/>
      <c r="S61" s="19"/>
      <c r="U61" t="s">
        <v>1</v>
      </c>
      <c r="W61">
        <v>37.700000000000003</v>
      </c>
    </row>
    <row r="62" spans="1:40" ht="20.25">
      <c r="C62" s="116"/>
      <c r="P62" s="19"/>
      <c r="Q62" s="19"/>
      <c r="R62" s="19"/>
      <c r="S62" s="19"/>
      <c r="W62">
        <v>80.099999999999994</v>
      </c>
      <c r="AA62" t="s">
        <v>1</v>
      </c>
    </row>
    <row r="63" spans="1:40">
      <c r="E63" s="19"/>
      <c r="W63">
        <v>87.25</v>
      </c>
    </row>
    <row r="64" spans="1:40">
      <c r="E64" s="19"/>
      <c r="J64" t="s">
        <v>3</v>
      </c>
      <c r="W64">
        <f>SUM(W60:W63)</f>
        <v>397</v>
      </c>
    </row>
    <row r="65" spans="3:58" ht="21">
      <c r="C65" s="251"/>
      <c r="E65" s="19"/>
    </row>
    <row r="66" spans="3:58" ht="15.75" thickBot="1">
      <c r="E66" s="49"/>
    </row>
    <row r="67" spans="3:58" ht="63" thickTop="1" thickBot="1">
      <c r="E67" s="113"/>
      <c r="U67" t="s">
        <v>1</v>
      </c>
      <c r="BB67" s="1519" t="s">
        <v>202</v>
      </c>
      <c r="BC67" s="1520"/>
      <c r="BD67" s="1520"/>
      <c r="BE67" s="1520"/>
      <c r="BF67" s="1521"/>
    </row>
    <row r="68" spans="3:58" ht="50.1" customHeight="1" thickTop="1" thickBot="1">
      <c r="BB68" s="584" t="s">
        <v>174</v>
      </c>
      <c r="BC68" s="585">
        <f>'1'!Q43</f>
        <v>0</v>
      </c>
      <c r="BE68" s="81"/>
      <c r="BF68" s="81"/>
    </row>
    <row r="69" spans="3:58" ht="50.1" customHeight="1" thickTop="1">
      <c r="BB69" s="588" t="s">
        <v>175</v>
      </c>
      <c r="BC69" s="589">
        <f>'1'!Q8</f>
        <v>0</v>
      </c>
      <c r="BD69" s="515"/>
      <c r="BE69" s="596" t="s">
        <v>176</v>
      </c>
      <c r="BF69" s="595">
        <f>Q32</f>
        <v>0</v>
      </c>
    </row>
    <row r="70" spans="3:58" ht="50.1" customHeight="1">
      <c r="BB70" s="594" t="s">
        <v>177</v>
      </c>
      <c r="BC70" s="590">
        <f>J48</f>
        <v>0</v>
      </c>
      <c r="BD70" s="515"/>
      <c r="BE70" s="516"/>
      <c r="BF70" s="554"/>
    </row>
    <row r="71" spans="3:58" ht="50.1" customHeight="1">
      <c r="AU71" t="s">
        <v>1</v>
      </c>
      <c r="BB71" s="582" t="s">
        <v>178</v>
      </c>
      <c r="BC71" s="583">
        <f>BC68+BC69+BC70</f>
        <v>0</v>
      </c>
      <c r="BD71" s="515"/>
      <c r="BE71" s="594" t="s">
        <v>179</v>
      </c>
      <c r="BF71" s="590">
        <f>Q48</f>
        <v>-4818050</v>
      </c>
    </row>
    <row r="72" spans="3:58" ht="50.1" customHeight="1">
      <c r="BB72" s="594" t="s">
        <v>180</v>
      </c>
      <c r="BC72" s="590">
        <f>D48</f>
        <v>4818050</v>
      </c>
      <c r="BD72" s="515"/>
      <c r="BE72" s="516"/>
      <c r="BF72" s="554"/>
    </row>
    <row r="73" spans="3:58" ht="50.1" customHeight="1">
      <c r="BB73" s="594" t="s">
        <v>109</v>
      </c>
      <c r="BC73" s="590">
        <f>Q5</f>
        <v>0</v>
      </c>
      <c r="BD73" s="515"/>
      <c r="BE73" s="516"/>
      <c r="BF73" s="554"/>
    </row>
    <row r="74" spans="3:58" ht="50.1" customHeight="1">
      <c r="BB74" s="516"/>
      <c r="BC74" s="554"/>
      <c r="BD74" s="515"/>
      <c r="BE74" s="516"/>
      <c r="BF74" s="554"/>
    </row>
    <row r="75" spans="3:58" ht="50.1" customHeight="1">
      <c r="BB75" s="517"/>
      <c r="BC75" s="554"/>
      <c r="BD75" s="515"/>
      <c r="BE75" s="516"/>
      <c r="BF75" s="554"/>
    </row>
    <row r="76" spans="3:58" ht="50.1" customHeight="1" thickBot="1">
      <c r="BB76" s="518"/>
      <c r="BC76" s="555"/>
      <c r="BD76" s="515"/>
      <c r="BE76" s="519"/>
      <c r="BF76" s="555"/>
    </row>
    <row r="77" spans="3:58" ht="50.1" customHeight="1" thickTop="1" thickBot="1">
      <c r="BB77" s="586" t="s">
        <v>59</v>
      </c>
      <c r="BC77" s="587">
        <f>BC71-BC72-BC73-BC74-BC75-BC76</f>
        <v>-4818050</v>
      </c>
      <c r="BD77" s="520"/>
      <c r="BE77" s="586" t="s">
        <v>59</v>
      </c>
      <c r="BF77" s="593">
        <f>SUM(BF69:BF76)</f>
        <v>-4818050</v>
      </c>
    </row>
    <row r="78" spans="3:58" ht="15.75" thickTop="1">
      <c r="BB78" s="521"/>
      <c r="BC78" s="521"/>
      <c r="BD78" s="2"/>
      <c r="BE78" s="521"/>
      <c r="BF78" s="522"/>
    </row>
    <row r="79" spans="3:58" ht="21.75" thickBot="1">
      <c r="BB79" s="523"/>
      <c r="BC79" s="523"/>
      <c r="BD79" s="2"/>
      <c r="BE79" s="521"/>
      <c r="BF79" s="522"/>
    </row>
    <row r="80" spans="3:58" ht="50.1" customHeight="1" thickTop="1" thickBot="1">
      <c r="BB80" s="523"/>
      <c r="BC80" s="591" t="s">
        <v>173</v>
      </c>
      <c r="BD80" s="592">
        <f>BC77-BF77</f>
        <v>0</v>
      </c>
      <c r="BE80" s="521"/>
      <c r="BF80" s="521"/>
    </row>
    <row r="81" spans="20:20" ht="15.75" thickTop="1"/>
    <row r="88" spans="20:20">
      <c r="T88">
        <v>8</v>
      </c>
    </row>
  </sheetData>
  <mergeCells count="22">
    <mergeCell ref="A6:Q6"/>
    <mergeCell ref="S6:AE6"/>
    <mergeCell ref="A7:B7"/>
    <mergeCell ref="P7:Q7"/>
    <mergeCell ref="P24:Q24"/>
    <mergeCell ref="L59:M59"/>
    <mergeCell ref="P33:Q33"/>
    <mergeCell ref="P42:Q42"/>
    <mergeCell ref="T47:W47"/>
    <mergeCell ref="X47:Z47"/>
    <mergeCell ref="H46:I46"/>
    <mergeCell ref="H47:I47"/>
    <mergeCell ref="S47:S48"/>
    <mergeCell ref="H48:I48"/>
    <mergeCell ref="L58:M58"/>
    <mergeCell ref="AL47:AM47"/>
    <mergeCell ref="AA47:AB47"/>
    <mergeCell ref="AI7:AJ7"/>
    <mergeCell ref="AI20:AJ20"/>
    <mergeCell ref="BB67:BF67"/>
    <mergeCell ref="AC47:AI47"/>
    <mergeCell ref="AJ47:AK47"/>
  </mergeCells>
  <conditionalFormatting sqref="M48:N48">
    <cfRule type="duplicateValues" dxfId="19" priority="29"/>
    <cfRule type="duplicateValues" dxfId="18" priority="30"/>
    <cfRule type="duplicateValues" dxfId="17" priority="31"/>
    <cfRule type="duplicateValues" dxfId="16" priority="32"/>
  </conditionalFormatting>
  <conditionalFormatting sqref="L48 N48">
    <cfRule type="cellIs" dxfId="15" priority="28" operator="equal">
      <formula>66890</formula>
    </cfRule>
  </conditionalFormatting>
  <conditionalFormatting sqref="N48">
    <cfRule type="cellIs" dxfId="14" priority="27" operator="lessThan">
      <formula>1</formula>
    </cfRule>
  </conditionalFormatting>
  <conditionalFormatting sqref="T57">
    <cfRule type="cellIs" dxfId="13" priority="16" operator="lessThan">
      <formula>63</formula>
    </cfRule>
  </conditionalFormatting>
  <conditionalFormatting sqref="U57">
    <cfRule type="cellIs" dxfId="12" priority="14" operator="lessThan">
      <formula>63</formula>
    </cfRule>
    <cfRule type="cellIs" dxfId="11" priority="15" operator="lessThan">
      <formula>63</formula>
    </cfRule>
  </conditionalFormatting>
  <conditionalFormatting sqref="W57">
    <cfRule type="cellIs" dxfId="10" priority="13" operator="lessThan">
      <formula>140</formula>
    </cfRule>
  </conditionalFormatting>
  <conditionalFormatting sqref="X57">
    <cfRule type="cellIs" dxfId="9" priority="12" operator="lessThan">
      <formula>125</formula>
    </cfRule>
  </conditionalFormatting>
  <conditionalFormatting sqref="Y57">
    <cfRule type="cellIs" dxfId="8" priority="11" operator="lessThan">
      <formula>150</formula>
    </cfRule>
  </conditionalFormatting>
  <conditionalFormatting sqref="Z57">
    <cfRule type="cellIs" dxfId="7" priority="10" operator="lessThan">
      <formula>590</formula>
    </cfRule>
  </conditionalFormatting>
  <conditionalFormatting sqref="AA57">
    <cfRule type="cellIs" dxfId="6" priority="9" operator="lessThan">
      <formula>704</formula>
    </cfRule>
  </conditionalFormatting>
  <conditionalFormatting sqref="AC57">
    <cfRule type="cellIs" dxfId="5" priority="7" operator="lessThan">
      <formula>52</formula>
    </cfRule>
  </conditionalFormatting>
  <conditionalFormatting sqref="AG57">
    <cfRule type="cellIs" dxfId="4" priority="6" operator="lessThan">
      <formula>63</formula>
    </cfRule>
  </conditionalFormatting>
  <conditionalFormatting sqref="AH57">
    <cfRule type="cellIs" dxfId="3" priority="5" operator="lessThan">
      <formula>63</formula>
    </cfRule>
  </conditionalFormatting>
  <conditionalFormatting sqref="AJ57">
    <cfRule type="cellIs" dxfId="2" priority="4" operator="lessThan">
      <formula>270</formula>
    </cfRule>
  </conditionalFormatting>
  <conditionalFormatting sqref="AI57">
    <cfRule type="cellIs" dxfId="1" priority="3" operator="lessThan">
      <formula>270</formula>
    </cfRule>
  </conditionalFormatting>
  <conditionalFormatting sqref="AK57:AN57">
    <cfRule type="cellIs" dxfId="0" priority="1" operator="lessThan">
      <formula>270</formula>
    </cfRule>
  </conditionalFormatting>
  <printOptions horizontalCentered="1" verticalCentered="1"/>
  <pageMargins left="0" right="0.5" top="0" bottom="0" header="0" footer="0"/>
  <pageSetup paperSize="5" scale="80" orientation="landscape" cellComments="asDisplayed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48"/>
  <sheetViews>
    <sheetView zoomScale="120" zoomScaleNormal="120" workbookViewId="0">
      <pane xSplit="2" ySplit="2" topLeftCell="C3" activePane="bottomRight" state="frozen"/>
      <selection activeCell="B1" sqref="B1"/>
      <selection pane="topRight" activeCell="C1" sqref="C1"/>
      <selection pane="bottomLeft" activeCell="B3" sqref="B3"/>
      <selection pane="bottomRight" activeCell="G3" sqref="G3"/>
    </sheetView>
  </sheetViews>
  <sheetFormatPr defaultRowHeight="15"/>
  <cols>
    <col min="1" max="1" width="23.5703125" bestFit="1" customWidth="1"/>
    <col min="2" max="4" width="11.7109375" style="70" customWidth="1"/>
    <col min="5" max="5" width="12.85546875" style="70" customWidth="1"/>
    <col min="6" max="7" width="11.7109375" style="70" customWidth="1"/>
    <col min="8" max="8" width="12.7109375" style="70" customWidth="1"/>
    <col min="9" max="12" width="11.7109375" style="70" customWidth="1"/>
    <col min="13" max="13" width="16.42578125" style="70" bestFit="1" customWidth="1"/>
    <col min="14" max="21" width="11.7109375" style="70" customWidth="1"/>
    <col min="22" max="23" width="9.7109375" customWidth="1"/>
  </cols>
  <sheetData>
    <row r="1" spans="1:25" ht="30.75" thickBot="1">
      <c r="A1" s="6"/>
      <c r="B1" s="1071"/>
      <c r="C1" s="1072"/>
      <c r="D1" s="1525" t="s">
        <v>6</v>
      </c>
      <c r="E1" s="1525"/>
      <c r="F1" s="1525"/>
      <c r="G1" s="1525" t="s">
        <v>7</v>
      </c>
      <c r="H1" s="1525"/>
      <c r="I1" s="1525" t="s">
        <v>8</v>
      </c>
      <c r="J1" s="1525"/>
      <c r="K1" s="1525"/>
      <c r="L1" s="1525" t="s">
        <v>9</v>
      </c>
      <c r="M1" s="1525"/>
      <c r="N1" s="1525"/>
      <c r="O1" s="1525"/>
      <c r="P1" s="1525"/>
      <c r="Q1" s="1525"/>
      <c r="R1" s="1525"/>
      <c r="S1" s="1073"/>
      <c r="T1" s="1073"/>
      <c r="U1" s="1074" t="s">
        <v>208</v>
      </c>
      <c r="V1" s="1526" t="s">
        <v>222</v>
      </c>
      <c r="W1" s="1527"/>
    </row>
    <row r="2" spans="1:25" ht="41.25" thickBot="1">
      <c r="A2" s="6" t="s">
        <v>224</v>
      </c>
      <c r="B2" s="1071" t="s">
        <v>278</v>
      </c>
      <c r="C2" s="1072" t="s">
        <v>45</v>
      </c>
      <c r="D2" s="862" t="s">
        <v>12</v>
      </c>
      <c r="E2" s="862" t="s">
        <v>13</v>
      </c>
      <c r="F2" s="862" t="s">
        <v>14</v>
      </c>
      <c r="G2" s="862" t="s">
        <v>12</v>
      </c>
      <c r="H2" s="862" t="s">
        <v>13</v>
      </c>
      <c r="I2" s="862" t="s">
        <v>12</v>
      </c>
      <c r="J2" s="862" t="s">
        <v>332</v>
      </c>
      <c r="K2" s="862" t="s">
        <v>304</v>
      </c>
      <c r="L2" s="862" t="s">
        <v>17</v>
      </c>
      <c r="M2" s="862" t="s">
        <v>18</v>
      </c>
      <c r="N2" s="862" t="s">
        <v>412</v>
      </c>
      <c r="O2" s="862" t="s">
        <v>254</v>
      </c>
      <c r="P2" s="862" t="s">
        <v>20</v>
      </c>
      <c r="Q2" s="862" t="s">
        <v>96</v>
      </c>
      <c r="R2" s="862" t="s">
        <v>257</v>
      </c>
      <c r="S2" s="862" t="s">
        <v>14</v>
      </c>
      <c r="T2" s="862" t="s">
        <v>13</v>
      </c>
      <c r="U2" s="862" t="s">
        <v>259</v>
      </c>
      <c r="V2" s="862" t="s">
        <v>205</v>
      </c>
      <c r="W2" s="864" t="s">
        <v>262</v>
      </c>
    </row>
    <row r="3" spans="1:25" ht="18.75">
      <c r="A3" s="750" t="s">
        <v>125</v>
      </c>
      <c r="B3" s="1067">
        <v>100</v>
      </c>
      <c r="C3" s="1075">
        <f>3750+3750</f>
        <v>7500</v>
      </c>
      <c r="D3" s="1076">
        <f>C3</f>
        <v>7500</v>
      </c>
      <c r="E3" s="1076">
        <f t="shared" ref="E3:P3" si="0">D3</f>
        <v>7500</v>
      </c>
      <c r="F3" s="1076">
        <f t="shared" si="0"/>
        <v>7500</v>
      </c>
      <c r="G3" s="1076"/>
      <c r="H3" s="1076">
        <f t="shared" si="0"/>
        <v>0</v>
      </c>
      <c r="I3" s="1076">
        <f t="shared" si="0"/>
        <v>0</v>
      </c>
      <c r="J3" s="1076">
        <f t="shared" si="0"/>
        <v>0</v>
      </c>
      <c r="K3" s="1076">
        <f t="shared" si="0"/>
        <v>0</v>
      </c>
      <c r="L3" s="1076">
        <f t="shared" si="0"/>
        <v>0</v>
      </c>
      <c r="M3" s="1076">
        <f t="shared" si="0"/>
        <v>0</v>
      </c>
      <c r="N3" s="1076">
        <f t="shared" si="0"/>
        <v>0</v>
      </c>
      <c r="O3" s="1076">
        <f t="shared" si="0"/>
        <v>0</v>
      </c>
      <c r="P3" s="1076">
        <f t="shared" si="0"/>
        <v>0</v>
      </c>
      <c r="Q3" s="1076">
        <v>7000</v>
      </c>
      <c r="R3" s="1076">
        <v>7000</v>
      </c>
      <c r="S3" s="1076">
        <f t="shared" ref="S3:T3" si="1">R3</f>
        <v>7000</v>
      </c>
      <c r="T3" s="1076">
        <f t="shared" si="1"/>
        <v>7000</v>
      </c>
      <c r="U3" s="1076"/>
      <c r="V3" s="1077"/>
      <c r="W3" s="1077"/>
    </row>
    <row r="4" spans="1:25" ht="18.75">
      <c r="A4" s="750" t="s">
        <v>127</v>
      </c>
      <c r="B4" s="1067">
        <v>35</v>
      </c>
      <c r="C4" s="1067">
        <v>2870</v>
      </c>
      <c r="D4" s="1067">
        <v>2870</v>
      </c>
      <c r="E4" s="1067">
        <v>2870</v>
      </c>
      <c r="F4" s="1067">
        <v>2870</v>
      </c>
      <c r="G4" s="1067">
        <v>2870</v>
      </c>
      <c r="H4" s="1067">
        <v>2870</v>
      </c>
      <c r="I4" s="1067">
        <v>2870</v>
      </c>
      <c r="J4" s="1067">
        <v>2870</v>
      </c>
      <c r="K4" s="1067">
        <v>2870</v>
      </c>
      <c r="L4" s="1067">
        <v>2870</v>
      </c>
      <c r="M4" s="1067">
        <v>2870</v>
      </c>
      <c r="N4" s="1067">
        <v>2870</v>
      </c>
      <c r="O4" s="1067">
        <v>2870</v>
      </c>
      <c r="P4" s="1067">
        <v>2870</v>
      </c>
      <c r="Q4" s="1067">
        <v>2870</v>
      </c>
      <c r="R4" s="1067">
        <v>2870</v>
      </c>
      <c r="S4" s="1067">
        <v>2870</v>
      </c>
      <c r="T4" s="1067">
        <v>2870</v>
      </c>
      <c r="U4" s="752"/>
      <c r="V4" s="1022"/>
      <c r="W4" s="1022"/>
    </row>
    <row r="5" spans="1:25" ht="18.75">
      <c r="A5" s="750" t="s">
        <v>129</v>
      </c>
      <c r="B5" s="1067">
        <v>1</v>
      </c>
      <c r="C5" s="1067">
        <v>425</v>
      </c>
      <c r="D5" s="752">
        <f>C5*8</f>
        <v>3400</v>
      </c>
      <c r="E5" s="752">
        <f>C5*8</f>
        <v>3400</v>
      </c>
      <c r="F5" s="752">
        <v>4900</v>
      </c>
      <c r="G5" s="752">
        <f>C5*8</f>
        <v>3400</v>
      </c>
      <c r="H5" s="752">
        <f>C5</f>
        <v>425</v>
      </c>
      <c r="I5" s="752">
        <f>C5*5</f>
        <v>2125</v>
      </c>
      <c r="J5" s="752">
        <f>C5*8</f>
        <v>3400</v>
      </c>
      <c r="K5" s="752">
        <f>C5*2</f>
        <v>850</v>
      </c>
      <c r="L5" s="752">
        <f>C5*10</f>
        <v>4250</v>
      </c>
      <c r="M5" s="752">
        <f>C5*5</f>
        <v>2125</v>
      </c>
      <c r="N5" s="752">
        <f>C5*12</f>
        <v>5100</v>
      </c>
      <c r="O5" s="752">
        <f>C5*16</f>
        <v>6800</v>
      </c>
      <c r="P5" s="752">
        <f>C5*16</f>
        <v>6800</v>
      </c>
      <c r="Q5" s="752">
        <f>C5*5</f>
        <v>2125</v>
      </c>
      <c r="R5" s="752">
        <f>C5*10</f>
        <v>4250</v>
      </c>
      <c r="S5" s="752">
        <f>C5*10</f>
        <v>4250</v>
      </c>
      <c r="T5" s="752">
        <f>C5*10</f>
        <v>4250</v>
      </c>
      <c r="U5" s="752"/>
      <c r="V5" s="1022"/>
      <c r="W5" s="1022"/>
      <c r="Y5" t="s">
        <v>1</v>
      </c>
    </row>
    <row r="6" spans="1:25" ht="18.75">
      <c r="A6" s="750" t="s">
        <v>130</v>
      </c>
      <c r="B6" s="1067">
        <v>0.5</v>
      </c>
      <c r="C6" s="1067">
        <v>390</v>
      </c>
      <c r="D6" s="752">
        <f t="shared" ref="D6:R20" si="2">C6</f>
        <v>390</v>
      </c>
      <c r="E6" s="752">
        <f t="shared" si="2"/>
        <v>390</v>
      </c>
      <c r="F6" s="752">
        <f t="shared" si="2"/>
        <v>390</v>
      </c>
      <c r="G6" s="752">
        <f t="shared" si="2"/>
        <v>390</v>
      </c>
      <c r="H6" s="752">
        <f t="shared" si="2"/>
        <v>390</v>
      </c>
      <c r="I6" s="752">
        <f t="shared" si="2"/>
        <v>390</v>
      </c>
      <c r="J6" s="752">
        <f t="shared" si="2"/>
        <v>390</v>
      </c>
      <c r="K6" s="752">
        <f t="shared" si="2"/>
        <v>390</v>
      </c>
      <c r="L6" s="752">
        <f t="shared" si="2"/>
        <v>390</v>
      </c>
      <c r="M6" s="752">
        <f t="shared" si="2"/>
        <v>390</v>
      </c>
      <c r="N6" s="752">
        <f t="shared" si="2"/>
        <v>390</v>
      </c>
      <c r="O6" s="752">
        <f t="shared" si="2"/>
        <v>390</v>
      </c>
      <c r="P6" s="752">
        <f t="shared" si="2"/>
        <v>390</v>
      </c>
      <c r="Q6" s="752">
        <f t="shared" si="2"/>
        <v>390</v>
      </c>
      <c r="R6" s="752">
        <f t="shared" si="2"/>
        <v>390</v>
      </c>
      <c r="S6" s="752">
        <f t="shared" ref="S6:T6" si="3">R6</f>
        <v>390</v>
      </c>
      <c r="T6" s="752">
        <f t="shared" si="3"/>
        <v>390</v>
      </c>
      <c r="U6" s="752"/>
      <c r="V6" s="1022"/>
      <c r="W6" s="1022"/>
    </row>
    <row r="7" spans="1:25" ht="18.75">
      <c r="A7" s="750" t="s">
        <v>131</v>
      </c>
      <c r="B7" s="1067">
        <v>0.25</v>
      </c>
      <c r="C7" s="1067">
        <v>120</v>
      </c>
      <c r="D7" s="752">
        <f t="shared" si="2"/>
        <v>120</v>
      </c>
      <c r="E7" s="752">
        <f t="shared" si="2"/>
        <v>120</v>
      </c>
      <c r="F7" s="752">
        <f t="shared" si="2"/>
        <v>120</v>
      </c>
      <c r="G7" s="752">
        <f t="shared" si="2"/>
        <v>120</v>
      </c>
      <c r="H7" s="752">
        <f t="shared" si="2"/>
        <v>120</v>
      </c>
      <c r="I7" s="752">
        <f t="shared" si="2"/>
        <v>120</v>
      </c>
      <c r="J7" s="752">
        <f t="shared" si="2"/>
        <v>120</v>
      </c>
      <c r="K7" s="752">
        <f t="shared" si="2"/>
        <v>120</v>
      </c>
      <c r="L7" s="752">
        <f t="shared" si="2"/>
        <v>120</v>
      </c>
      <c r="M7" s="752">
        <f t="shared" si="2"/>
        <v>120</v>
      </c>
      <c r="N7" s="752">
        <f t="shared" si="2"/>
        <v>120</v>
      </c>
      <c r="O7" s="752">
        <f t="shared" si="2"/>
        <v>120</v>
      </c>
      <c r="P7" s="752">
        <f t="shared" si="2"/>
        <v>120</v>
      </c>
      <c r="Q7" s="752">
        <f t="shared" si="2"/>
        <v>120</v>
      </c>
      <c r="R7" s="752">
        <f t="shared" si="2"/>
        <v>120</v>
      </c>
      <c r="S7" s="752">
        <f t="shared" ref="S7:T7" si="4">R7</f>
        <v>120</v>
      </c>
      <c r="T7" s="752">
        <f t="shared" si="4"/>
        <v>120</v>
      </c>
      <c r="U7" s="752"/>
      <c r="V7" s="1022"/>
      <c r="W7" s="1022"/>
    </row>
    <row r="8" spans="1:25" ht="18.75">
      <c r="A8" s="750" t="s">
        <v>133</v>
      </c>
      <c r="B8" s="1067">
        <v>0.1</v>
      </c>
      <c r="C8" s="1067">
        <v>200</v>
      </c>
      <c r="D8" s="752">
        <v>196</v>
      </c>
      <c r="E8" s="752">
        <f t="shared" si="2"/>
        <v>196</v>
      </c>
      <c r="F8" s="752">
        <f t="shared" si="2"/>
        <v>196</v>
      </c>
      <c r="G8" s="752">
        <f t="shared" si="2"/>
        <v>196</v>
      </c>
      <c r="H8" s="752">
        <f t="shared" si="2"/>
        <v>196</v>
      </c>
      <c r="I8" s="752">
        <f t="shared" si="2"/>
        <v>196</v>
      </c>
      <c r="J8" s="752">
        <f t="shared" si="2"/>
        <v>196</v>
      </c>
      <c r="K8" s="752">
        <f t="shared" si="2"/>
        <v>196</v>
      </c>
      <c r="L8" s="752">
        <f t="shared" si="2"/>
        <v>196</v>
      </c>
      <c r="M8" s="752">
        <f t="shared" si="2"/>
        <v>196</v>
      </c>
      <c r="N8" s="752">
        <f t="shared" si="2"/>
        <v>196</v>
      </c>
      <c r="O8" s="752">
        <f t="shared" si="2"/>
        <v>196</v>
      </c>
      <c r="P8" s="752">
        <f t="shared" si="2"/>
        <v>196</v>
      </c>
      <c r="Q8" s="752">
        <f t="shared" si="2"/>
        <v>196</v>
      </c>
      <c r="R8" s="752">
        <f t="shared" si="2"/>
        <v>196</v>
      </c>
      <c r="S8" s="752">
        <f t="shared" ref="S8:T8" si="5">R8</f>
        <v>196</v>
      </c>
      <c r="T8" s="752">
        <f t="shared" si="5"/>
        <v>196</v>
      </c>
      <c r="U8" s="752"/>
      <c r="V8" s="1022"/>
      <c r="W8" s="1022"/>
    </row>
    <row r="9" spans="1:25" ht="18.75">
      <c r="A9" s="750" t="s">
        <v>134</v>
      </c>
      <c r="B9" s="1067">
        <v>0.1</v>
      </c>
      <c r="C9" s="1067">
        <v>5</v>
      </c>
      <c r="D9" s="752">
        <f t="shared" si="2"/>
        <v>5</v>
      </c>
      <c r="E9" s="752">
        <f t="shared" si="2"/>
        <v>5</v>
      </c>
      <c r="F9" s="752">
        <f t="shared" si="2"/>
        <v>5</v>
      </c>
      <c r="G9" s="752">
        <f t="shared" si="2"/>
        <v>5</v>
      </c>
      <c r="H9" s="752">
        <f t="shared" si="2"/>
        <v>5</v>
      </c>
      <c r="I9" s="752">
        <f t="shared" si="2"/>
        <v>5</v>
      </c>
      <c r="J9" s="752">
        <f t="shared" si="2"/>
        <v>5</v>
      </c>
      <c r="K9" s="752">
        <f t="shared" si="2"/>
        <v>5</v>
      </c>
      <c r="L9" s="752">
        <f t="shared" si="2"/>
        <v>5</v>
      </c>
      <c r="M9" s="752">
        <f t="shared" si="2"/>
        <v>5</v>
      </c>
      <c r="N9" s="752">
        <f t="shared" si="2"/>
        <v>5</v>
      </c>
      <c r="O9" s="752">
        <f t="shared" si="2"/>
        <v>5</v>
      </c>
      <c r="P9" s="752">
        <f t="shared" si="2"/>
        <v>5</v>
      </c>
      <c r="Q9" s="752">
        <f t="shared" si="2"/>
        <v>5</v>
      </c>
      <c r="R9" s="752">
        <f t="shared" si="2"/>
        <v>5</v>
      </c>
      <c r="S9" s="752">
        <f t="shared" ref="S9:T9" si="6">R9</f>
        <v>5</v>
      </c>
      <c r="T9" s="752">
        <f t="shared" si="6"/>
        <v>5</v>
      </c>
      <c r="U9" s="752"/>
      <c r="V9" s="1022"/>
      <c r="W9" s="1022"/>
    </row>
    <row r="10" spans="1:25" ht="18.75">
      <c r="A10" s="750" t="s">
        <v>297</v>
      </c>
      <c r="B10" s="1067">
        <v>0</v>
      </c>
      <c r="C10" s="1067">
        <v>3500</v>
      </c>
      <c r="D10" s="752"/>
      <c r="E10" s="752"/>
      <c r="F10" s="752"/>
      <c r="G10" s="752"/>
      <c r="H10" s="752"/>
      <c r="I10" s="752">
        <v>5110</v>
      </c>
      <c r="J10" s="752"/>
      <c r="K10" s="752"/>
      <c r="L10" s="752">
        <v>5110</v>
      </c>
      <c r="M10" s="752">
        <v>5110</v>
      </c>
      <c r="N10" s="752">
        <v>5110</v>
      </c>
      <c r="O10" s="752"/>
      <c r="P10" s="752"/>
      <c r="Q10" s="752">
        <v>5110</v>
      </c>
      <c r="R10" s="752">
        <v>5110</v>
      </c>
      <c r="S10" s="752"/>
      <c r="T10" s="752"/>
      <c r="U10" s="752"/>
      <c r="V10" s="1022"/>
      <c r="W10" s="1022"/>
    </row>
    <row r="11" spans="1:25" ht="18.75">
      <c r="A11" s="750" t="s">
        <v>138</v>
      </c>
      <c r="B11" s="1067">
        <v>0.1</v>
      </c>
      <c r="C11" s="1067">
        <v>250</v>
      </c>
      <c r="D11" s="752">
        <f t="shared" si="2"/>
        <v>250</v>
      </c>
      <c r="E11" s="752">
        <f t="shared" si="2"/>
        <v>250</v>
      </c>
      <c r="F11" s="752">
        <v>0</v>
      </c>
      <c r="G11" s="752">
        <f t="shared" si="2"/>
        <v>0</v>
      </c>
      <c r="H11" s="752">
        <f t="shared" si="2"/>
        <v>0</v>
      </c>
      <c r="I11" s="752">
        <v>0</v>
      </c>
      <c r="J11" s="752">
        <v>0</v>
      </c>
      <c r="K11" s="752">
        <f t="shared" si="2"/>
        <v>0</v>
      </c>
      <c r="L11" s="752">
        <f t="shared" si="2"/>
        <v>0</v>
      </c>
      <c r="M11" s="752">
        <f t="shared" si="2"/>
        <v>0</v>
      </c>
      <c r="N11" s="752">
        <v>250</v>
      </c>
      <c r="O11" s="752">
        <v>0</v>
      </c>
      <c r="P11" s="752">
        <v>0</v>
      </c>
      <c r="Q11" s="752">
        <v>0</v>
      </c>
      <c r="R11" s="752">
        <v>0</v>
      </c>
      <c r="S11" s="752">
        <f t="shared" ref="S11:T11" si="7">R11</f>
        <v>0</v>
      </c>
      <c r="T11" s="752">
        <f t="shared" si="7"/>
        <v>0</v>
      </c>
      <c r="U11" s="752"/>
      <c r="V11" s="1022"/>
      <c r="W11" s="1022"/>
    </row>
    <row r="12" spans="1:25" ht="18.75">
      <c r="A12" s="750" t="s">
        <v>143</v>
      </c>
      <c r="B12" s="1067">
        <v>0.1</v>
      </c>
      <c r="C12" s="1067">
        <v>10</v>
      </c>
      <c r="D12" s="752">
        <f t="shared" si="2"/>
        <v>10</v>
      </c>
      <c r="E12" s="752">
        <f t="shared" si="2"/>
        <v>10</v>
      </c>
      <c r="F12" s="752">
        <f t="shared" si="2"/>
        <v>10</v>
      </c>
      <c r="G12" s="752">
        <f t="shared" si="2"/>
        <v>10</v>
      </c>
      <c r="H12" s="752">
        <f t="shared" si="2"/>
        <v>10</v>
      </c>
      <c r="I12" s="752">
        <f t="shared" si="2"/>
        <v>10</v>
      </c>
      <c r="J12" s="752">
        <f t="shared" si="2"/>
        <v>10</v>
      </c>
      <c r="K12" s="752">
        <f t="shared" si="2"/>
        <v>10</v>
      </c>
      <c r="L12" s="752"/>
      <c r="M12" s="752">
        <f t="shared" si="2"/>
        <v>0</v>
      </c>
      <c r="N12" s="752">
        <f t="shared" si="2"/>
        <v>0</v>
      </c>
      <c r="O12" s="752">
        <f t="shared" si="2"/>
        <v>0</v>
      </c>
      <c r="P12" s="752">
        <f t="shared" si="2"/>
        <v>0</v>
      </c>
      <c r="Q12" s="752">
        <v>10</v>
      </c>
      <c r="R12" s="752">
        <v>0</v>
      </c>
      <c r="S12" s="752">
        <f t="shared" ref="S12:T12" si="8">R12</f>
        <v>0</v>
      </c>
      <c r="T12" s="752">
        <f t="shared" si="8"/>
        <v>0</v>
      </c>
      <c r="U12" s="752"/>
      <c r="V12" s="1022"/>
      <c r="W12" s="1022"/>
    </row>
    <row r="13" spans="1:25" ht="18.75">
      <c r="A13" s="750" t="s">
        <v>140</v>
      </c>
      <c r="B13" s="1067">
        <v>1</v>
      </c>
      <c r="C13" s="1067">
        <v>6</v>
      </c>
      <c r="D13" s="752">
        <f t="shared" si="2"/>
        <v>6</v>
      </c>
      <c r="E13" s="752">
        <f t="shared" si="2"/>
        <v>6</v>
      </c>
      <c r="F13" s="752">
        <f t="shared" si="2"/>
        <v>6</v>
      </c>
      <c r="G13" s="752">
        <f t="shared" si="2"/>
        <v>6</v>
      </c>
      <c r="H13" s="752">
        <f t="shared" si="2"/>
        <v>6</v>
      </c>
      <c r="I13" s="752">
        <f t="shared" si="2"/>
        <v>6</v>
      </c>
      <c r="J13" s="752">
        <f t="shared" si="2"/>
        <v>6</v>
      </c>
      <c r="K13" s="752">
        <f t="shared" si="2"/>
        <v>6</v>
      </c>
      <c r="L13" s="752">
        <f t="shared" si="2"/>
        <v>6</v>
      </c>
      <c r="M13" s="752">
        <f t="shared" si="2"/>
        <v>6</v>
      </c>
      <c r="N13" s="752">
        <f t="shared" si="2"/>
        <v>6</v>
      </c>
      <c r="O13" s="752">
        <f t="shared" si="2"/>
        <v>6</v>
      </c>
      <c r="P13" s="752">
        <f t="shared" si="2"/>
        <v>6</v>
      </c>
      <c r="Q13" s="752">
        <f t="shared" si="2"/>
        <v>6</v>
      </c>
      <c r="R13" s="752">
        <f t="shared" si="2"/>
        <v>6</v>
      </c>
      <c r="S13" s="752">
        <f t="shared" ref="S13:T13" si="9">R13</f>
        <v>6</v>
      </c>
      <c r="T13" s="752">
        <f t="shared" si="9"/>
        <v>6</v>
      </c>
      <c r="U13" s="752"/>
      <c r="V13" s="1022"/>
      <c r="W13" s="1022"/>
    </row>
    <row r="14" spans="1:25" ht="18.75">
      <c r="A14" s="750" t="s">
        <v>226</v>
      </c>
      <c r="B14" s="1067">
        <v>2.5</v>
      </c>
      <c r="C14" s="1067">
        <v>1200</v>
      </c>
      <c r="D14" s="752">
        <f t="shared" si="2"/>
        <v>1200</v>
      </c>
      <c r="E14" s="752">
        <f t="shared" si="2"/>
        <v>1200</v>
      </c>
      <c r="F14" s="752">
        <v>640</v>
      </c>
      <c r="G14" s="752">
        <f t="shared" si="2"/>
        <v>640</v>
      </c>
      <c r="H14" s="752">
        <f t="shared" si="2"/>
        <v>640</v>
      </c>
      <c r="I14" s="752">
        <f t="shared" si="2"/>
        <v>640</v>
      </c>
      <c r="J14" s="752">
        <f t="shared" si="2"/>
        <v>640</v>
      </c>
      <c r="K14" s="752">
        <f t="shared" si="2"/>
        <v>640</v>
      </c>
      <c r="L14" s="752">
        <f t="shared" si="2"/>
        <v>640</v>
      </c>
      <c r="M14" s="752">
        <f t="shared" si="2"/>
        <v>640</v>
      </c>
      <c r="N14" s="752">
        <f t="shared" si="2"/>
        <v>640</v>
      </c>
      <c r="O14" s="752">
        <f t="shared" si="2"/>
        <v>640</v>
      </c>
      <c r="P14" s="752">
        <f t="shared" si="2"/>
        <v>640</v>
      </c>
      <c r="Q14" s="752">
        <f t="shared" si="2"/>
        <v>640</v>
      </c>
      <c r="R14" s="752">
        <f t="shared" si="2"/>
        <v>640</v>
      </c>
      <c r="S14" s="752">
        <f t="shared" ref="S14:T14" si="10">R14</f>
        <v>640</v>
      </c>
      <c r="T14" s="752">
        <f t="shared" si="10"/>
        <v>640</v>
      </c>
      <c r="U14" s="752"/>
      <c r="V14" s="1022"/>
      <c r="W14" s="1022"/>
    </row>
    <row r="15" spans="1:25" ht="18.75">
      <c r="A15" s="750" t="s">
        <v>215</v>
      </c>
      <c r="B15" s="1067"/>
      <c r="C15" s="1067"/>
      <c r="D15" s="752">
        <f t="shared" si="2"/>
        <v>0</v>
      </c>
      <c r="E15" s="752">
        <f t="shared" si="2"/>
        <v>0</v>
      </c>
      <c r="F15" s="752">
        <f t="shared" si="2"/>
        <v>0</v>
      </c>
      <c r="G15" s="752">
        <f t="shared" si="2"/>
        <v>0</v>
      </c>
      <c r="H15" s="752">
        <f t="shared" si="2"/>
        <v>0</v>
      </c>
      <c r="I15" s="752">
        <f t="shared" si="2"/>
        <v>0</v>
      </c>
      <c r="J15" s="752">
        <f t="shared" si="2"/>
        <v>0</v>
      </c>
      <c r="K15" s="752">
        <f t="shared" si="2"/>
        <v>0</v>
      </c>
      <c r="L15" s="752">
        <f t="shared" si="2"/>
        <v>0</v>
      </c>
      <c r="M15" s="752">
        <f t="shared" si="2"/>
        <v>0</v>
      </c>
      <c r="N15" s="752">
        <f t="shared" si="2"/>
        <v>0</v>
      </c>
      <c r="O15" s="752">
        <f t="shared" si="2"/>
        <v>0</v>
      </c>
      <c r="P15" s="752">
        <f t="shared" si="2"/>
        <v>0</v>
      </c>
      <c r="Q15" s="752">
        <f t="shared" si="2"/>
        <v>0</v>
      </c>
      <c r="R15" s="752">
        <f t="shared" si="2"/>
        <v>0</v>
      </c>
      <c r="S15" s="752">
        <f t="shared" ref="S15:T15" si="11">R15</f>
        <v>0</v>
      </c>
      <c r="T15" s="752">
        <f t="shared" si="11"/>
        <v>0</v>
      </c>
      <c r="U15" s="752"/>
      <c r="V15" s="1022"/>
      <c r="W15" s="1022"/>
    </row>
    <row r="16" spans="1:25" ht="18.75">
      <c r="A16" s="750" t="s">
        <v>227</v>
      </c>
      <c r="B16" s="1067"/>
      <c r="C16" s="1067">
        <v>250</v>
      </c>
      <c r="D16" s="752">
        <f t="shared" si="2"/>
        <v>250</v>
      </c>
      <c r="E16" s="752">
        <f t="shared" si="2"/>
        <v>250</v>
      </c>
      <c r="F16" s="752">
        <f t="shared" si="2"/>
        <v>250</v>
      </c>
      <c r="G16" s="752">
        <f t="shared" si="2"/>
        <v>250</v>
      </c>
      <c r="H16" s="752">
        <f t="shared" si="2"/>
        <v>250</v>
      </c>
      <c r="I16" s="752">
        <f t="shared" si="2"/>
        <v>250</v>
      </c>
      <c r="J16" s="752">
        <f t="shared" si="2"/>
        <v>250</v>
      </c>
      <c r="K16" s="752">
        <f t="shared" si="2"/>
        <v>250</v>
      </c>
      <c r="L16" s="752">
        <f t="shared" si="2"/>
        <v>250</v>
      </c>
      <c r="M16" s="752">
        <f t="shared" si="2"/>
        <v>250</v>
      </c>
      <c r="N16" s="752">
        <f t="shared" si="2"/>
        <v>250</v>
      </c>
      <c r="O16" s="752">
        <f t="shared" si="2"/>
        <v>250</v>
      </c>
      <c r="P16" s="752">
        <f t="shared" si="2"/>
        <v>250</v>
      </c>
      <c r="Q16" s="752">
        <f t="shared" si="2"/>
        <v>250</v>
      </c>
      <c r="R16" s="752">
        <f t="shared" si="2"/>
        <v>250</v>
      </c>
      <c r="S16" s="752">
        <f t="shared" ref="S16:T16" si="12">R16</f>
        <v>250</v>
      </c>
      <c r="T16" s="752">
        <f t="shared" si="12"/>
        <v>250</v>
      </c>
      <c r="U16" s="752"/>
      <c r="V16" s="1022"/>
      <c r="W16" s="1022"/>
    </row>
    <row r="17" spans="1:23" ht="18.75">
      <c r="A17" s="750" t="s">
        <v>228</v>
      </c>
      <c r="B17" s="1067"/>
      <c r="C17" s="1067">
        <v>1800</v>
      </c>
      <c r="D17" s="1067">
        <v>1800</v>
      </c>
      <c r="E17" s="1067">
        <v>1800</v>
      </c>
      <c r="F17" s="1067">
        <v>1800</v>
      </c>
      <c r="G17" s="1067">
        <v>1800</v>
      </c>
      <c r="H17" s="1067">
        <v>1800</v>
      </c>
      <c r="I17" s="1067">
        <v>1800</v>
      </c>
      <c r="J17" s="1067">
        <v>1800</v>
      </c>
      <c r="K17" s="1067">
        <v>1800</v>
      </c>
      <c r="L17" s="1067">
        <v>1800</v>
      </c>
      <c r="M17" s="1067">
        <v>1800</v>
      </c>
      <c r="N17" s="1067">
        <v>1800</v>
      </c>
      <c r="O17" s="1067">
        <v>1800</v>
      </c>
      <c r="P17" s="1067">
        <v>1800</v>
      </c>
      <c r="Q17" s="1067">
        <v>1400</v>
      </c>
      <c r="R17" s="1067">
        <v>1400</v>
      </c>
      <c r="S17" s="1067">
        <v>1800</v>
      </c>
      <c r="T17" s="1067">
        <v>1800</v>
      </c>
      <c r="U17" s="752"/>
      <c r="V17" s="1022"/>
      <c r="W17" s="1022"/>
    </row>
    <row r="18" spans="1:23" ht="18.75">
      <c r="A18" s="750" t="s">
        <v>229</v>
      </c>
      <c r="B18" s="1067"/>
      <c r="C18" s="1067">
        <v>2000</v>
      </c>
      <c r="D18" s="752">
        <v>2000</v>
      </c>
      <c r="E18" s="752">
        <v>2000</v>
      </c>
      <c r="F18" s="752">
        <v>2000</v>
      </c>
      <c r="G18" s="752">
        <v>2000</v>
      </c>
      <c r="H18" s="752">
        <v>2000</v>
      </c>
      <c r="I18" s="752">
        <v>2000</v>
      </c>
      <c r="J18" s="752">
        <v>2000</v>
      </c>
      <c r="K18" s="752">
        <v>2000</v>
      </c>
      <c r="L18" s="752">
        <v>2000</v>
      </c>
      <c r="M18" s="752">
        <v>2000</v>
      </c>
      <c r="N18" s="752">
        <v>2000</v>
      </c>
      <c r="O18" s="752">
        <v>2000</v>
      </c>
      <c r="P18" s="752">
        <v>2000</v>
      </c>
      <c r="Q18" s="752">
        <v>2000</v>
      </c>
      <c r="R18" s="752">
        <v>2000</v>
      </c>
      <c r="S18" s="752">
        <f t="shared" ref="S18:T18" si="13">R18</f>
        <v>2000</v>
      </c>
      <c r="T18" s="752">
        <f t="shared" si="13"/>
        <v>2000</v>
      </c>
      <c r="U18" s="752"/>
      <c r="V18" s="1022"/>
      <c r="W18" s="1022"/>
    </row>
    <row r="19" spans="1:23" ht="18.75">
      <c r="A19" s="750" t="s">
        <v>230</v>
      </c>
      <c r="B19" s="1067"/>
      <c r="C19" s="1067">
        <v>210</v>
      </c>
      <c r="D19" s="1067">
        <v>210</v>
      </c>
      <c r="E19" s="1067">
        <v>210</v>
      </c>
      <c r="F19" s="1067">
        <v>210</v>
      </c>
      <c r="G19" s="1067">
        <v>210</v>
      </c>
      <c r="H19" s="1067">
        <v>210</v>
      </c>
      <c r="I19" s="1067">
        <v>210</v>
      </c>
      <c r="J19" s="1067">
        <v>210</v>
      </c>
      <c r="K19" s="1067">
        <v>210</v>
      </c>
      <c r="L19" s="1067">
        <v>210</v>
      </c>
      <c r="M19" s="1067">
        <v>210</v>
      </c>
      <c r="N19" s="1067">
        <v>210</v>
      </c>
      <c r="O19" s="1067">
        <v>210</v>
      </c>
      <c r="P19" s="1067">
        <v>210</v>
      </c>
      <c r="Q19" s="1067">
        <v>210</v>
      </c>
      <c r="R19" s="1067">
        <v>210</v>
      </c>
      <c r="S19" s="1067">
        <v>210</v>
      </c>
      <c r="T19" s="1067">
        <v>210</v>
      </c>
      <c r="U19" s="752"/>
      <c r="V19" s="1022"/>
      <c r="W19" s="1022"/>
    </row>
    <row r="20" spans="1:23" ht="18.75">
      <c r="A20" s="750" t="s">
        <v>231</v>
      </c>
      <c r="B20" s="1067" t="s">
        <v>1</v>
      </c>
      <c r="C20" s="1067">
        <v>500</v>
      </c>
      <c r="D20" s="752">
        <f t="shared" si="2"/>
        <v>500</v>
      </c>
      <c r="E20" s="752">
        <f t="shared" si="2"/>
        <v>500</v>
      </c>
      <c r="F20" s="752">
        <f t="shared" si="2"/>
        <v>500</v>
      </c>
      <c r="G20" s="752">
        <f t="shared" si="2"/>
        <v>500</v>
      </c>
      <c r="H20" s="752">
        <f t="shared" si="2"/>
        <v>500</v>
      </c>
      <c r="I20" s="752">
        <f t="shared" si="2"/>
        <v>500</v>
      </c>
      <c r="J20" s="752">
        <f t="shared" si="2"/>
        <v>500</v>
      </c>
      <c r="K20" s="752">
        <f t="shared" si="2"/>
        <v>500</v>
      </c>
      <c r="L20" s="752">
        <f t="shared" si="2"/>
        <v>500</v>
      </c>
      <c r="M20" s="752">
        <f t="shared" si="2"/>
        <v>500</v>
      </c>
      <c r="N20" s="752">
        <f t="shared" si="2"/>
        <v>500</v>
      </c>
      <c r="O20" s="752">
        <f t="shared" si="2"/>
        <v>500</v>
      </c>
      <c r="P20" s="752">
        <f t="shared" si="2"/>
        <v>500</v>
      </c>
      <c r="Q20" s="752">
        <f t="shared" si="2"/>
        <v>500</v>
      </c>
      <c r="R20" s="752">
        <f t="shared" si="2"/>
        <v>500</v>
      </c>
      <c r="S20" s="752">
        <f t="shared" ref="S20:T20" si="14">R20</f>
        <v>500</v>
      </c>
      <c r="T20" s="752">
        <f t="shared" si="14"/>
        <v>500</v>
      </c>
      <c r="U20" s="752"/>
      <c r="V20" s="1022"/>
      <c r="W20" s="1022"/>
    </row>
    <row r="21" spans="1:23" ht="18.75">
      <c r="A21" s="750" t="s">
        <v>322</v>
      </c>
      <c r="B21" s="1067"/>
      <c r="C21" s="1067">
        <v>500</v>
      </c>
      <c r="D21" s="1067">
        <v>500</v>
      </c>
      <c r="E21" s="1067">
        <v>500</v>
      </c>
      <c r="F21" s="1067">
        <v>500</v>
      </c>
      <c r="G21" s="1067">
        <v>500</v>
      </c>
      <c r="H21" s="1067">
        <v>500</v>
      </c>
      <c r="I21" s="1067">
        <v>500</v>
      </c>
      <c r="J21" s="1067">
        <v>500</v>
      </c>
      <c r="K21" s="1067">
        <v>500</v>
      </c>
      <c r="L21" s="1067">
        <v>500</v>
      </c>
      <c r="M21" s="1067">
        <v>500</v>
      </c>
      <c r="N21" s="1067">
        <v>500</v>
      </c>
      <c r="O21" s="1067">
        <v>500</v>
      </c>
      <c r="P21" s="1067">
        <v>500</v>
      </c>
      <c r="Q21" s="1067">
        <v>500</v>
      </c>
      <c r="R21" s="1067">
        <v>500</v>
      </c>
      <c r="S21" s="1067">
        <v>500</v>
      </c>
      <c r="T21" s="1067">
        <v>500</v>
      </c>
      <c r="U21" s="752"/>
      <c r="V21" s="1022"/>
      <c r="W21" s="1022"/>
    </row>
    <row r="22" spans="1:23" ht="18.75">
      <c r="A22" s="750"/>
      <c r="B22" s="1067"/>
      <c r="C22" s="1067"/>
      <c r="D22" s="752"/>
      <c r="E22" s="752"/>
      <c r="F22" s="752"/>
      <c r="G22" s="752"/>
      <c r="H22" s="752"/>
      <c r="I22" s="752"/>
      <c r="J22" s="752"/>
      <c r="K22" s="752"/>
      <c r="L22" s="752"/>
      <c r="M22" s="752"/>
      <c r="N22" s="752"/>
      <c r="O22" s="752"/>
      <c r="P22" s="752"/>
      <c r="Q22" s="752"/>
      <c r="R22" s="752"/>
      <c r="S22" s="752"/>
      <c r="T22" s="752"/>
      <c r="U22" s="752"/>
      <c r="V22" s="1022"/>
      <c r="W22" s="1022"/>
    </row>
    <row r="23" spans="1:23" ht="18.75">
      <c r="A23" s="750" t="s">
        <v>74</v>
      </c>
      <c r="B23" s="1239"/>
      <c r="C23" s="1239"/>
      <c r="D23" s="1068">
        <f>SUM(D3:D21)</f>
        <v>21207</v>
      </c>
      <c r="E23" s="1068">
        <f t="shared" ref="E23:W23" si="15">SUM(E3:E21)</f>
        <v>21207</v>
      </c>
      <c r="F23" s="1068">
        <f t="shared" si="15"/>
        <v>21897</v>
      </c>
      <c r="G23" s="1068">
        <f t="shared" si="15"/>
        <v>12897</v>
      </c>
      <c r="H23" s="1068">
        <f t="shared" si="15"/>
        <v>9922</v>
      </c>
      <c r="I23" s="1068">
        <f>SUM(I3:I21)</f>
        <v>16732</v>
      </c>
      <c r="J23" s="1068">
        <f t="shared" si="15"/>
        <v>12897</v>
      </c>
      <c r="K23" s="1068">
        <f t="shared" si="15"/>
        <v>10347</v>
      </c>
      <c r="L23" s="1068">
        <f t="shared" si="15"/>
        <v>18847</v>
      </c>
      <c r="M23" s="1068">
        <f t="shared" si="15"/>
        <v>16722</v>
      </c>
      <c r="N23" s="1068">
        <f t="shared" si="15"/>
        <v>19947</v>
      </c>
      <c r="O23" s="1068">
        <f t="shared" si="15"/>
        <v>16287</v>
      </c>
      <c r="P23" s="1068">
        <f t="shared" si="15"/>
        <v>16287</v>
      </c>
      <c r="Q23" s="1068">
        <f t="shared" si="15"/>
        <v>23332</v>
      </c>
      <c r="R23" s="1068">
        <f t="shared" si="15"/>
        <v>25447</v>
      </c>
      <c r="S23" s="1068">
        <f t="shared" si="15"/>
        <v>20737</v>
      </c>
      <c r="T23" s="1068">
        <f t="shared" si="15"/>
        <v>20737</v>
      </c>
      <c r="U23" s="1068">
        <f t="shared" si="15"/>
        <v>0</v>
      </c>
      <c r="V23" s="1238">
        <f t="shared" si="15"/>
        <v>0</v>
      </c>
      <c r="W23" s="1238">
        <f t="shared" si="15"/>
        <v>0</v>
      </c>
    </row>
    <row r="24" spans="1:23" ht="18.75">
      <c r="A24" s="750" t="s">
        <v>232</v>
      </c>
      <c r="B24" s="1067"/>
      <c r="C24" s="1067"/>
      <c r="D24" s="752">
        <v>59</v>
      </c>
      <c r="E24" s="752">
        <v>63</v>
      </c>
      <c r="F24" s="752">
        <v>61</v>
      </c>
      <c r="G24" s="752">
        <v>122</v>
      </c>
      <c r="H24" s="752">
        <v>122</v>
      </c>
      <c r="I24" s="752">
        <v>800</v>
      </c>
      <c r="J24" s="752">
        <v>600</v>
      </c>
      <c r="K24" s="752">
        <v>165</v>
      </c>
      <c r="L24" s="752">
        <v>88</v>
      </c>
      <c r="M24" s="752">
        <v>70</v>
      </c>
      <c r="N24" s="752">
        <v>45</v>
      </c>
      <c r="O24" s="752">
        <v>0</v>
      </c>
      <c r="P24" s="752">
        <v>0</v>
      </c>
      <c r="Q24" s="752">
        <v>72</v>
      </c>
      <c r="R24" s="752">
        <v>90</v>
      </c>
      <c r="S24" s="752">
        <v>64</v>
      </c>
      <c r="T24" s="752">
        <v>64</v>
      </c>
      <c r="U24" s="752">
        <v>330</v>
      </c>
      <c r="V24" s="1022"/>
      <c r="W24" s="1022"/>
    </row>
    <row r="25" spans="1:23" ht="18.75">
      <c r="A25" s="750" t="s">
        <v>233</v>
      </c>
      <c r="B25" s="1067"/>
      <c r="C25" s="1067"/>
      <c r="D25" s="1068">
        <f>D23/D24</f>
        <v>359.4406779661017</v>
      </c>
      <c r="E25" s="1068">
        <f>E23/E24</f>
        <v>336.61904761904759</v>
      </c>
      <c r="F25" s="1068">
        <f t="shared" ref="F25:L25" si="16">F23/F24</f>
        <v>358.96721311475409</v>
      </c>
      <c r="G25" s="1068">
        <f t="shared" si="16"/>
        <v>105.71311475409836</v>
      </c>
      <c r="H25" s="1068">
        <f t="shared" si="16"/>
        <v>81.327868852459019</v>
      </c>
      <c r="I25" s="1068">
        <f t="shared" si="16"/>
        <v>20.914999999999999</v>
      </c>
      <c r="J25" s="1068">
        <f t="shared" si="16"/>
        <v>21.495000000000001</v>
      </c>
      <c r="K25" s="1068">
        <f t="shared" si="16"/>
        <v>62.709090909090911</v>
      </c>
      <c r="L25" s="1068">
        <f t="shared" si="16"/>
        <v>214.17045454545453</v>
      </c>
      <c r="M25" s="1068">
        <f t="shared" ref="M25:P25" si="17">M23/M24</f>
        <v>238.88571428571427</v>
      </c>
      <c r="N25" s="1068">
        <f t="shared" si="17"/>
        <v>443.26666666666665</v>
      </c>
      <c r="O25" s="1068" t="e">
        <f t="shared" si="17"/>
        <v>#DIV/0!</v>
      </c>
      <c r="P25" s="1068" t="e">
        <f t="shared" si="17"/>
        <v>#DIV/0!</v>
      </c>
      <c r="Q25" s="1068">
        <f>Q23/Q24</f>
        <v>324.05555555555554</v>
      </c>
      <c r="R25" s="1068">
        <f>R23/R24</f>
        <v>282.74444444444447</v>
      </c>
      <c r="S25" s="1068">
        <f>S23/S24</f>
        <v>324.015625</v>
      </c>
      <c r="T25" s="1068">
        <f>T23/T24</f>
        <v>324.015625</v>
      </c>
      <c r="U25" s="1068">
        <f>U23/U24</f>
        <v>0</v>
      </c>
      <c r="V25" s="1238"/>
      <c r="W25" s="1238" t="e">
        <f>W23/W24</f>
        <v>#DIV/0!</v>
      </c>
    </row>
    <row r="26" spans="1:23" ht="18.75">
      <c r="A26" s="750" t="s">
        <v>234</v>
      </c>
      <c r="B26" s="1067"/>
      <c r="C26" s="1067"/>
      <c r="D26" s="752">
        <v>370</v>
      </c>
      <c r="E26" s="752">
        <v>370</v>
      </c>
      <c r="F26" s="752">
        <v>370</v>
      </c>
      <c r="G26" s="752">
        <v>190</v>
      </c>
      <c r="H26" s="752">
        <v>190</v>
      </c>
      <c r="I26" s="752">
        <v>43</v>
      </c>
      <c r="J26" s="752">
        <v>43</v>
      </c>
      <c r="K26" s="752">
        <v>130</v>
      </c>
      <c r="L26" s="752">
        <v>350</v>
      </c>
      <c r="M26" s="752">
        <v>380</v>
      </c>
      <c r="N26" s="752">
        <v>673</v>
      </c>
      <c r="O26" s="752">
        <v>375</v>
      </c>
      <c r="P26" s="752">
        <v>375</v>
      </c>
      <c r="Q26" s="752">
        <v>365</v>
      </c>
      <c r="R26" s="752">
        <v>330</v>
      </c>
      <c r="S26" s="752">
        <v>360</v>
      </c>
      <c r="T26" s="752">
        <v>360</v>
      </c>
      <c r="U26" s="752"/>
      <c r="V26" s="1022"/>
      <c r="W26" s="1022">
        <f>W23/301</f>
        <v>0</v>
      </c>
    </row>
    <row r="27" spans="1:23" ht="18.75">
      <c r="A27" s="750" t="s">
        <v>235</v>
      </c>
      <c r="B27" s="1067"/>
      <c r="C27" s="1067"/>
      <c r="D27" s="1068">
        <f>D26-D25</f>
        <v>10.559322033898297</v>
      </c>
      <c r="E27" s="1068">
        <f>E26-E25</f>
        <v>33.380952380952408</v>
      </c>
      <c r="F27" s="1068">
        <f t="shared" ref="F27:L27" si="18">F26-F25</f>
        <v>11.032786885245912</v>
      </c>
      <c r="G27" s="1068">
        <f t="shared" si="18"/>
        <v>84.286885245901644</v>
      </c>
      <c r="H27" s="1068">
        <f t="shared" si="18"/>
        <v>108.67213114754098</v>
      </c>
      <c r="I27" s="1068">
        <f t="shared" si="18"/>
        <v>22.085000000000001</v>
      </c>
      <c r="J27" s="1068">
        <f t="shared" si="18"/>
        <v>21.504999999999999</v>
      </c>
      <c r="K27" s="1068">
        <f t="shared" si="18"/>
        <v>67.290909090909082</v>
      </c>
      <c r="L27" s="1068">
        <f t="shared" si="18"/>
        <v>135.82954545454547</v>
      </c>
      <c r="M27" s="1068">
        <f t="shared" ref="M27:P27" si="19">M26-M25</f>
        <v>141.11428571428573</v>
      </c>
      <c r="N27" s="1068">
        <f t="shared" si="19"/>
        <v>229.73333333333335</v>
      </c>
      <c r="O27" s="1068" t="e">
        <f t="shared" si="19"/>
        <v>#DIV/0!</v>
      </c>
      <c r="P27" s="1068" t="e">
        <f t="shared" si="19"/>
        <v>#DIV/0!</v>
      </c>
      <c r="Q27" s="1068">
        <f>Q26-Q25</f>
        <v>40.944444444444457</v>
      </c>
      <c r="R27" s="1068">
        <f>R26-R25</f>
        <v>47.255555555555532</v>
      </c>
      <c r="S27" s="1068">
        <f>S26-S25</f>
        <v>35.984375</v>
      </c>
      <c r="T27" s="1068">
        <f>T26-T25</f>
        <v>35.984375</v>
      </c>
      <c r="U27" s="1068"/>
      <c r="V27" s="1238"/>
      <c r="W27" s="1238"/>
    </row>
    <row r="28" spans="1:23" ht="18.75">
      <c r="A28" s="750"/>
      <c r="B28" s="1067"/>
      <c r="C28" s="1067"/>
      <c r="D28" s="752"/>
      <c r="E28" s="752"/>
      <c r="F28" s="752"/>
      <c r="G28" s="752"/>
      <c r="H28" s="752"/>
      <c r="I28" s="752"/>
      <c r="J28" s="752" t="s">
        <v>1</v>
      </c>
      <c r="K28" s="752"/>
      <c r="L28" s="752"/>
      <c r="M28" s="752"/>
      <c r="N28" s="752"/>
      <c r="O28" s="752"/>
      <c r="P28" s="752"/>
      <c r="Q28" s="752"/>
      <c r="R28" s="752"/>
      <c r="S28" s="752"/>
      <c r="T28" s="752"/>
      <c r="U28" s="752"/>
      <c r="V28" s="1022"/>
      <c r="W28" s="1022"/>
    </row>
    <row r="29" spans="1:23" ht="18">
      <c r="A29" s="750" t="s">
        <v>321</v>
      </c>
      <c r="B29" s="1067"/>
      <c r="C29" s="1067"/>
      <c r="D29" s="129">
        <v>350</v>
      </c>
      <c r="E29" s="129"/>
      <c r="F29" s="129">
        <v>400</v>
      </c>
      <c r="G29" s="129">
        <v>300</v>
      </c>
      <c r="H29" s="129"/>
      <c r="I29" s="129">
        <v>300</v>
      </c>
      <c r="J29" s="129"/>
      <c r="K29" s="129">
        <v>220</v>
      </c>
      <c r="L29" s="129">
        <v>130</v>
      </c>
      <c r="M29" s="129">
        <v>240</v>
      </c>
      <c r="N29" s="129"/>
      <c r="O29" s="129"/>
      <c r="P29" s="129"/>
      <c r="Q29" s="129">
        <v>210</v>
      </c>
      <c r="R29" s="129">
        <v>300</v>
      </c>
      <c r="S29" s="129">
        <v>400</v>
      </c>
      <c r="T29" s="129">
        <v>150</v>
      </c>
      <c r="U29" s="129"/>
      <c r="V29" s="6"/>
      <c r="W29" s="6"/>
    </row>
    <row r="30" spans="1:23">
      <c r="M30" s="70">
        <v>6.5</v>
      </c>
      <c r="V30">
        <f>118*7</f>
        <v>826</v>
      </c>
    </row>
    <row r="31" spans="1:23">
      <c r="C31" s="70" t="s">
        <v>1</v>
      </c>
      <c r="E31" s="70" t="s">
        <v>1</v>
      </c>
      <c r="K31" s="70">
        <v>18400</v>
      </c>
      <c r="V31">
        <f>V30*18</f>
        <v>14868</v>
      </c>
    </row>
    <row r="32" spans="1:23">
      <c r="C32" s="70" t="s">
        <v>1</v>
      </c>
      <c r="K32" s="70">
        <v>171</v>
      </c>
      <c r="V32">
        <f>V31/40</f>
        <v>371.7</v>
      </c>
    </row>
    <row r="33" spans="1:17">
      <c r="D33" s="70" t="s">
        <v>1</v>
      </c>
      <c r="G33" s="70" t="s">
        <v>1</v>
      </c>
      <c r="K33" s="70">
        <f>K31/K32</f>
        <v>107.60233918128655</v>
      </c>
      <c r="L33" s="70">
        <v>80</v>
      </c>
      <c r="M33" s="70">
        <v>73</v>
      </c>
      <c r="Q33" s="70">
        <v>67</v>
      </c>
    </row>
    <row r="35" spans="1:17">
      <c r="A35" s="6" t="s">
        <v>224</v>
      </c>
      <c r="B35" s="1070"/>
      <c r="C35" s="1070"/>
    </row>
    <row r="36" spans="1:17" ht="18">
      <c r="A36" s="750" t="s">
        <v>125</v>
      </c>
      <c r="B36" s="1069"/>
      <c r="C36" s="1069"/>
    </row>
    <row r="37" spans="1:17" ht="18">
      <c r="A37" s="750" t="s">
        <v>127</v>
      </c>
      <c r="B37" s="1069"/>
      <c r="C37" s="1069"/>
    </row>
    <row r="38" spans="1:17" ht="18">
      <c r="A38" s="750" t="s">
        <v>129</v>
      </c>
      <c r="B38" s="1069"/>
      <c r="C38" s="1069"/>
    </row>
    <row r="39" spans="1:17" ht="18">
      <c r="A39" s="750" t="s">
        <v>130</v>
      </c>
      <c r="B39" s="1069"/>
      <c r="C39" s="1069"/>
    </row>
    <row r="40" spans="1:17" ht="18">
      <c r="A40" s="750" t="s">
        <v>131</v>
      </c>
      <c r="B40" s="1069"/>
      <c r="C40" s="1069"/>
    </row>
    <row r="41" spans="1:17" ht="18">
      <c r="A41" s="750" t="s">
        <v>133</v>
      </c>
      <c r="B41" s="1069"/>
      <c r="C41" s="1069"/>
    </row>
    <row r="42" spans="1:17" ht="18">
      <c r="A42" s="750" t="s">
        <v>134</v>
      </c>
      <c r="B42" s="1069"/>
      <c r="C42" s="1069" t="s">
        <v>1</v>
      </c>
    </row>
    <row r="43" spans="1:17" ht="18">
      <c r="A43" s="750" t="s">
        <v>135</v>
      </c>
      <c r="B43" s="1069"/>
      <c r="C43" s="1069"/>
    </row>
    <row r="44" spans="1:17" ht="18">
      <c r="A44" s="750" t="s">
        <v>138</v>
      </c>
      <c r="B44" s="1069"/>
      <c r="C44" s="1069"/>
    </row>
    <row r="45" spans="1:17" ht="18">
      <c r="A45" s="750" t="s">
        <v>143</v>
      </c>
      <c r="B45" s="1069"/>
      <c r="C45" s="1069"/>
    </row>
    <row r="46" spans="1:17" ht="18">
      <c r="A46" s="750" t="s">
        <v>140</v>
      </c>
      <c r="B46" s="1069"/>
      <c r="C46" s="1069"/>
    </row>
    <row r="47" spans="1:17" ht="18">
      <c r="A47" s="750" t="s">
        <v>226</v>
      </c>
      <c r="B47" s="1069"/>
      <c r="C47" s="1069"/>
    </row>
    <row r="48" spans="1:17" ht="18">
      <c r="A48" s="750" t="s">
        <v>215</v>
      </c>
      <c r="B48" s="1069"/>
      <c r="C48" s="1069"/>
    </row>
  </sheetData>
  <mergeCells count="5">
    <mergeCell ref="D1:F1"/>
    <mergeCell ref="G1:H1"/>
    <mergeCell ref="I1:K1"/>
    <mergeCell ref="L1:R1"/>
    <mergeCell ref="V1:W1"/>
  </mergeCells>
  <pageMargins left="0.25" right="0.25" top="1.75" bottom="0.75" header="0.3" footer="0.3"/>
  <pageSetup paperSize="258" scale="48" orientation="landscape" r:id="rId1"/>
  <ignoredErrors>
    <ignoredError sqref="D5:E5 G5:H5 J5:K5 O5:P5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B85"/>
  <sheetViews>
    <sheetView topLeftCell="Q22" workbookViewId="0">
      <selection activeCell="W35" sqref="W35"/>
    </sheetView>
  </sheetViews>
  <sheetFormatPr defaultRowHeight="15"/>
  <cols>
    <col min="1" max="1" width="23.140625" style="920" customWidth="1"/>
    <col min="2" max="2" width="9.85546875" bestFit="1" customWidth="1"/>
    <col min="3" max="3" width="7.85546875" customWidth="1"/>
    <col min="4" max="4" width="16.28515625" customWidth="1"/>
    <col min="5" max="5" width="13" customWidth="1"/>
    <col min="6" max="12" width="19.5703125" customWidth="1"/>
    <col min="13" max="13" width="18.28515625" style="1009" customWidth="1"/>
    <col min="15" max="15" width="16.5703125" bestFit="1" customWidth="1"/>
    <col min="16" max="16" width="18.140625" customWidth="1"/>
    <col min="17" max="17" width="8.42578125" customWidth="1"/>
    <col min="18" max="18" width="15.140625" bestFit="1" customWidth="1"/>
    <col min="19" max="19" width="11.5703125" bestFit="1" customWidth="1"/>
    <col min="20" max="20" width="21.7109375" customWidth="1"/>
    <col min="22" max="22" width="16.28515625" bestFit="1" customWidth="1"/>
    <col min="23" max="24" width="17.85546875" customWidth="1"/>
    <col min="25" max="25" width="7.42578125" customWidth="1"/>
    <col min="26" max="26" width="17.42578125" customWidth="1"/>
    <col min="27" max="27" width="18.7109375" customWidth="1"/>
    <col min="28" max="28" width="19.28515625" customWidth="1"/>
  </cols>
  <sheetData>
    <row r="3" spans="1:28" ht="31.5">
      <c r="A3" s="1533" t="s">
        <v>281</v>
      </c>
      <c r="B3" s="1533"/>
      <c r="C3" s="1533"/>
      <c r="D3" s="1533"/>
      <c r="E3" s="1533"/>
      <c r="F3" s="1533"/>
      <c r="G3" s="926"/>
      <c r="H3" s="1533" t="s">
        <v>280</v>
      </c>
      <c r="I3" s="1533"/>
      <c r="J3" s="1533"/>
      <c r="K3" s="1533"/>
      <c r="L3" s="1533"/>
      <c r="M3" s="1533"/>
      <c r="O3" s="1533" t="s">
        <v>280</v>
      </c>
      <c r="P3" s="1533"/>
      <c r="Q3" s="1533"/>
      <c r="R3" s="1533"/>
      <c r="S3" s="1533"/>
      <c r="T3" s="1533"/>
      <c r="V3" s="1528" t="s">
        <v>463</v>
      </c>
      <c r="W3" s="1528"/>
      <c r="X3" s="1528"/>
      <c r="Y3" s="1528"/>
      <c r="Z3" s="1528"/>
      <c r="AA3" s="1528"/>
      <c r="AB3" s="1528"/>
    </row>
    <row r="4" spans="1:28" ht="31.5">
      <c r="A4" s="1534"/>
      <c r="B4" s="1534"/>
      <c r="C4" s="1534"/>
      <c r="D4" s="1534"/>
      <c r="E4" s="1534"/>
      <c r="F4" s="1534"/>
      <c r="G4" s="925"/>
      <c r="H4" s="1534"/>
      <c r="I4" s="1534"/>
      <c r="J4" s="1534"/>
      <c r="K4" s="1534"/>
      <c r="L4" s="1534"/>
      <c r="M4" s="1534"/>
      <c r="O4" s="1534"/>
      <c r="P4" s="1534"/>
      <c r="Q4" s="1534"/>
      <c r="R4" s="1534"/>
      <c r="S4" s="1534"/>
      <c r="T4" s="1534"/>
      <c r="V4" s="1529"/>
      <c r="W4" s="1529"/>
      <c r="X4" s="1529"/>
      <c r="Y4" s="1529"/>
      <c r="Z4" s="1529"/>
      <c r="AA4" s="1529"/>
      <c r="AB4" s="1529"/>
    </row>
    <row r="5" spans="1:28" ht="23.25">
      <c r="A5" s="1535" t="s">
        <v>279</v>
      </c>
      <c r="B5" s="1536"/>
      <c r="C5" s="1537"/>
      <c r="D5" s="921">
        <f t="shared" ref="D5:D36" si="0">B5*C5</f>
        <v>0</v>
      </c>
      <c r="E5" s="921">
        <v>-72590</v>
      </c>
      <c r="F5" s="921">
        <f t="shared" ref="F5:F36" si="1">F4+D5-E5</f>
        <v>72590</v>
      </c>
      <c r="G5" s="923"/>
      <c r="H5" s="1535"/>
      <c r="I5" s="1536"/>
      <c r="J5" s="1537"/>
      <c r="K5" s="921">
        <f t="shared" ref="K5:K36" si="2">I5*J5</f>
        <v>0</v>
      </c>
      <c r="L5" s="921">
        <v>750000</v>
      </c>
      <c r="M5" s="1008">
        <f t="shared" ref="M5:M36" si="3">M4+K5-L5</f>
        <v>-750000</v>
      </c>
      <c r="O5" s="1535"/>
      <c r="P5" s="1536"/>
      <c r="Q5" s="1537"/>
      <c r="R5" s="921">
        <f t="shared" ref="R5:R37" si="4">P5*Q5</f>
        <v>0</v>
      </c>
      <c r="S5" s="921">
        <v>37025.160000000003</v>
      </c>
      <c r="T5" s="967">
        <f t="shared" ref="T5:T37" si="5">T4+R5-S5</f>
        <v>-37025.160000000003</v>
      </c>
      <c r="V5" s="1530" t="s">
        <v>279</v>
      </c>
      <c r="W5" s="1531"/>
      <c r="X5" s="1531"/>
      <c r="Y5" s="1532"/>
      <c r="Z5" s="1254">
        <f t="shared" ref="Z5" si="6">W5*Y5</f>
        <v>0</v>
      </c>
      <c r="AA5" s="1253">
        <v>100000</v>
      </c>
      <c r="AB5" s="1260">
        <f t="shared" ref="AB5:AB62" si="7">AB4+Z5-AA5</f>
        <v>-100000</v>
      </c>
    </row>
    <row r="6" spans="1:28" ht="23.25">
      <c r="A6" s="922">
        <v>43459</v>
      </c>
      <c r="B6" s="72">
        <v>837</v>
      </c>
      <c r="C6" s="72">
        <v>28</v>
      </c>
      <c r="D6" s="921">
        <f t="shared" si="0"/>
        <v>23436</v>
      </c>
      <c r="E6" s="921"/>
      <c r="F6" s="921">
        <f t="shared" si="1"/>
        <v>96026</v>
      </c>
      <c r="G6" s="923"/>
      <c r="H6" s="922">
        <v>43514</v>
      </c>
      <c r="I6" s="72">
        <v>1042.1600000000001</v>
      </c>
      <c r="J6" s="72">
        <v>28</v>
      </c>
      <c r="K6" s="921">
        <f t="shared" si="2"/>
        <v>29180.480000000003</v>
      </c>
      <c r="L6" s="921"/>
      <c r="M6" s="1008">
        <f t="shared" si="3"/>
        <v>-720819.52</v>
      </c>
      <c r="O6" s="922">
        <v>43775</v>
      </c>
      <c r="P6" s="72">
        <v>652.76</v>
      </c>
      <c r="Q6" s="72">
        <v>28</v>
      </c>
      <c r="R6" s="921">
        <f t="shared" si="4"/>
        <v>18277.28</v>
      </c>
      <c r="S6" s="921">
        <v>700000</v>
      </c>
      <c r="T6" s="967">
        <f t="shared" si="5"/>
        <v>-718747.88</v>
      </c>
      <c r="V6" s="1256">
        <v>44450</v>
      </c>
      <c r="W6" s="1257">
        <v>1203.94</v>
      </c>
      <c r="X6" s="1257"/>
      <c r="Y6" s="1255">
        <v>40</v>
      </c>
      <c r="Z6" s="1259">
        <f>W6*Y6+X6</f>
        <v>48157.600000000006</v>
      </c>
      <c r="AA6" s="1253"/>
      <c r="AB6" s="1260">
        <f t="shared" si="7"/>
        <v>-51842.399999999994</v>
      </c>
    </row>
    <row r="7" spans="1:28" ht="23.25">
      <c r="A7" s="922">
        <v>43461</v>
      </c>
      <c r="B7" s="72">
        <v>2555</v>
      </c>
      <c r="C7" s="72">
        <v>28</v>
      </c>
      <c r="D7" s="921">
        <f t="shared" si="0"/>
        <v>71540</v>
      </c>
      <c r="E7" s="921">
        <f>1975*200</f>
        <v>395000</v>
      </c>
      <c r="F7" s="921">
        <f t="shared" si="1"/>
        <v>-227434</v>
      </c>
      <c r="G7" s="923"/>
      <c r="H7" s="922">
        <v>43524</v>
      </c>
      <c r="I7" s="72">
        <v>1001.6</v>
      </c>
      <c r="J7" s="72">
        <v>28</v>
      </c>
      <c r="K7" s="921">
        <f t="shared" si="2"/>
        <v>28044.799999999999</v>
      </c>
      <c r="L7" s="921"/>
      <c r="M7" s="1008">
        <f t="shared" si="3"/>
        <v>-692774.72</v>
      </c>
      <c r="O7" s="922">
        <v>43796</v>
      </c>
      <c r="P7" s="72">
        <v>1625.13</v>
      </c>
      <c r="Q7" s="72">
        <v>28</v>
      </c>
      <c r="R7" s="921">
        <f t="shared" si="4"/>
        <v>45503.64</v>
      </c>
      <c r="S7" s="921"/>
      <c r="T7" s="967">
        <f t="shared" si="5"/>
        <v>-673244.24</v>
      </c>
      <c r="V7" s="1256">
        <v>44457</v>
      </c>
      <c r="W7" s="1257">
        <v>1068.03</v>
      </c>
      <c r="X7" s="1257"/>
      <c r="Y7" s="1255">
        <v>40</v>
      </c>
      <c r="Z7" s="1259">
        <f t="shared" ref="Z7:Z70" si="8">W7*Y7+X7</f>
        <v>42721.2</v>
      </c>
      <c r="AA7" s="1253"/>
      <c r="AB7" s="1260">
        <f t="shared" si="7"/>
        <v>-9121.1999999999971</v>
      </c>
    </row>
    <row r="8" spans="1:28" ht="23.25">
      <c r="A8" s="922">
        <v>43468</v>
      </c>
      <c r="B8" s="72">
        <v>2001</v>
      </c>
      <c r="C8" s="72">
        <v>28</v>
      </c>
      <c r="D8" s="921">
        <f t="shared" si="0"/>
        <v>56028</v>
      </c>
      <c r="E8" s="921"/>
      <c r="F8" s="921">
        <f t="shared" si="1"/>
        <v>-171406</v>
      </c>
      <c r="G8" s="923"/>
      <c r="H8" s="922">
        <v>43526</v>
      </c>
      <c r="I8" s="72">
        <v>932.84</v>
      </c>
      <c r="J8" s="72">
        <v>28</v>
      </c>
      <c r="K8" s="921">
        <f t="shared" si="2"/>
        <v>26119.52</v>
      </c>
      <c r="L8" s="921"/>
      <c r="M8" s="1008">
        <f t="shared" si="3"/>
        <v>-666655.19999999995</v>
      </c>
      <c r="O8" s="922">
        <v>43810</v>
      </c>
      <c r="P8" s="72">
        <v>1360.66</v>
      </c>
      <c r="Q8" s="72">
        <v>28</v>
      </c>
      <c r="R8" s="921">
        <f t="shared" si="4"/>
        <v>38098.480000000003</v>
      </c>
      <c r="S8" s="921"/>
      <c r="T8" s="967">
        <f t="shared" si="5"/>
        <v>-635145.76</v>
      </c>
      <c r="V8" s="1256">
        <v>44462</v>
      </c>
      <c r="W8" s="1257"/>
      <c r="X8" s="1257"/>
      <c r="Y8" s="1255">
        <v>40</v>
      </c>
      <c r="Z8" s="1259">
        <f t="shared" si="8"/>
        <v>0</v>
      </c>
      <c r="AA8" s="1253">
        <v>100000</v>
      </c>
      <c r="AB8" s="1260">
        <f t="shared" si="7"/>
        <v>-109121.2</v>
      </c>
    </row>
    <row r="9" spans="1:28" ht="23.25">
      <c r="A9" s="922">
        <v>43480</v>
      </c>
      <c r="B9" s="72">
        <v>1906</v>
      </c>
      <c r="C9" s="72">
        <v>28</v>
      </c>
      <c r="D9" s="921">
        <f t="shared" si="0"/>
        <v>53368</v>
      </c>
      <c r="E9" s="921"/>
      <c r="F9" s="921">
        <f t="shared" si="1"/>
        <v>-118038</v>
      </c>
      <c r="G9" s="923"/>
      <c r="H9" s="922">
        <v>43536</v>
      </c>
      <c r="I9" s="72">
        <v>1002.62</v>
      </c>
      <c r="J9" s="72">
        <v>28</v>
      </c>
      <c r="K9" s="921">
        <f t="shared" si="2"/>
        <v>28073.360000000001</v>
      </c>
      <c r="L9" s="921"/>
      <c r="M9" s="1008">
        <f t="shared" si="3"/>
        <v>-638581.84</v>
      </c>
      <c r="O9" s="922">
        <v>43822</v>
      </c>
      <c r="P9" s="72">
        <v>1314.65</v>
      </c>
      <c r="Q9" s="72">
        <v>28</v>
      </c>
      <c r="R9" s="921">
        <f t="shared" si="4"/>
        <v>36810.200000000004</v>
      </c>
      <c r="S9" s="921"/>
      <c r="T9" s="967">
        <f t="shared" si="5"/>
        <v>-598335.56000000006</v>
      </c>
      <c r="V9" s="1256">
        <v>44463</v>
      </c>
      <c r="W9" s="1257">
        <v>406.07</v>
      </c>
      <c r="X9" s="1257"/>
      <c r="Y9" s="1255">
        <v>40</v>
      </c>
      <c r="Z9" s="1259">
        <f t="shared" si="8"/>
        <v>16242.8</v>
      </c>
      <c r="AA9" s="1253"/>
      <c r="AB9" s="1260">
        <f t="shared" si="7"/>
        <v>-92878.399999999994</v>
      </c>
    </row>
    <row r="10" spans="1:28" ht="23.25">
      <c r="A10" s="922">
        <v>43491</v>
      </c>
      <c r="B10" s="72">
        <v>2706</v>
      </c>
      <c r="C10" s="72">
        <v>28</v>
      </c>
      <c r="D10" s="921">
        <f t="shared" si="0"/>
        <v>75768</v>
      </c>
      <c r="E10" s="921"/>
      <c r="F10" s="921">
        <f t="shared" si="1"/>
        <v>-42270</v>
      </c>
      <c r="G10" s="923"/>
      <c r="H10" s="922">
        <v>43540</v>
      </c>
      <c r="I10" s="72">
        <v>521.72</v>
      </c>
      <c r="J10" s="72">
        <v>28</v>
      </c>
      <c r="K10" s="921">
        <f t="shared" si="2"/>
        <v>14608.16</v>
      </c>
      <c r="L10" s="921"/>
      <c r="M10" s="1008">
        <f t="shared" si="3"/>
        <v>-623973.67999999993</v>
      </c>
      <c r="O10" s="922">
        <v>43832</v>
      </c>
      <c r="P10" s="72">
        <v>815.5</v>
      </c>
      <c r="Q10" s="72">
        <v>28</v>
      </c>
      <c r="R10" s="921">
        <f t="shared" si="4"/>
        <v>22834</v>
      </c>
      <c r="S10" s="921"/>
      <c r="T10" s="967">
        <f t="shared" si="5"/>
        <v>-575501.56000000006</v>
      </c>
      <c r="V10" s="1256">
        <v>44441</v>
      </c>
      <c r="W10" s="1257">
        <v>1143.03</v>
      </c>
      <c r="X10" s="1257"/>
      <c r="Y10" s="1255">
        <v>40</v>
      </c>
      <c r="Z10" s="1259">
        <f t="shared" si="8"/>
        <v>45721.2</v>
      </c>
      <c r="AA10" s="1253"/>
      <c r="AB10" s="1260">
        <f t="shared" si="7"/>
        <v>-47157.2</v>
      </c>
    </row>
    <row r="11" spans="1:28" ht="23.25">
      <c r="A11" s="922">
        <v>43495</v>
      </c>
      <c r="B11" s="72">
        <v>1225</v>
      </c>
      <c r="C11" s="72">
        <v>28</v>
      </c>
      <c r="D11" s="921">
        <f t="shared" si="0"/>
        <v>34300</v>
      </c>
      <c r="E11" s="921"/>
      <c r="F11" s="921">
        <f t="shared" si="1"/>
        <v>-7970</v>
      </c>
      <c r="G11" s="923"/>
      <c r="H11" s="922">
        <v>43545</v>
      </c>
      <c r="I11" s="72">
        <v>490.63</v>
      </c>
      <c r="J11" s="72">
        <v>28</v>
      </c>
      <c r="K11" s="921">
        <f t="shared" si="2"/>
        <v>13737.64</v>
      </c>
      <c r="L11" s="921"/>
      <c r="M11" s="1008">
        <f t="shared" si="3"/>
        <v>-610236.03999999992</v>
      </c>
      <c r="O11" s="922">
        <v>43846</v>
      </c>
      <c r="P11" s="72">
        <v>1219</v>
      </c>
      <c r="Q11" s="72">
        <v>28</v>
      </c>
      <c r="R11" s="921">
        <f t="shared" si="4"/>
        <v>34132</v>
      </c>
      <c r="S11" s="921"/>
      <c r="T11" s="967">
        <f t="shared" si="5"/>
        <v>-541369.56000000006</v>
      </c>
      <c r="V11" s="1256">
        <v>44845</v>
      </c>
      <c r="W11" s="1257">
        <v>920.08</v>
      </c>
      <c r="X11" s="1257"/>
      <c r="Y11" s="1255">
        <v>40</v>
      </c>
      <c r="Z11" s="1259">
        <f t="shared" si="8"/>
        <v>36803.200000000004</v>
      </c>
      <c r="AA11" s="1253"/>
      <c r="AB11" s="1260">
        <f t="shared" si="7"/>
        <v>-10353.999999999993</v>
      </c>
    </row>
    <row r="12" spans="1:28" ht="23.25">
      <c r="A12" s="922">
        <v>43512</v>
      </c>
      <c r="B12" s="72">
        <v>1872</v>
      </c>
      <c r="C12" s="72">
        <v>28</v>
      </c>
      <c r="D12" s="921">
        <f t="shared" si="0"/>
        <v>52416</v>
      </c>
      <c r="E12" s="921"/>
      <c r="F12" s="921">
        <f t="shared" si="1"/>
        <v>44446</v>
      </c>
      <c r="G12" s="923"/>
      <c r="H12" s="922">
        <v>43554</v>
      </c>
      <c r="I12" s="72">
        <v>833.67</v>
      </c>
      <c r="J12" s="72">
        <v>28</v>
      </c>
      <c r="K12" s="921">
        <f t="shared" si="2"/>
        <v>23342.76</v>
      </c>
      <c r="L12" s="921"/>
      <c r="M12" s="1008">
        <f t="shared" si="3"/>
        <v>-586893.27999999991</v>
      </c>
      <c r="O12" s="922">
        <v>43859</v>
      </c>
      <c r="P12" s="72">
        <v>1344.6</v>
      </c>
      <c r="Q12" s="72">
        <v>28</v>
      </c>
      <c r="R12" s="921">
        <f t="shared" si="4"/>
        <v>37648.799999999996</v>
      </c>
      <c r="S12" s="921"/>
      <c r="T12" s="967">
        <f t="shared" si="5"/>
        <v>-503720.76000000007</v>
      </c>
      <c r="V12" s="1256">
        <v>44482</v>
      </c>
      <c r="W12" s="1257"/>
      <c r="X12" s="1257"/>
      <c r="Y12" s="1255">
        <v>40</v>
      </c>
      <c r="Z12" s="1259">
        <f t="shared" si="8"/>
        <v>0</v>
      </c>
      <c r="AA12" s="1253">
        <v>100000</v>
      </c>
      <c r="AB12" s="1260">
        <f t="shared" si="7"/>
        <v>-110354</v>
      </c>
    </row>
    <row r="13" spans="1:28" ht="23.25">
      <c r="A13" s="922">
        <v>43524</v>
      </c>
      <c r="B13" s="72">
        <v>803</v>
      </c>
      <c r="C13" s="72">
        <v>28</v>
      </c>
      <c r="D13" s="921">
        <f t="shared" si="0"/>
        <v>22484</v>
      </c>
      <c r="E13" s="921"/>
      <c r="F13" s="921">
        <f t="shared" si="1"/>
        <v>66930</v>
      </c>
      <c r="G13" s="923"/>
      <c r="H13" s="922">
        <v>43563</v>
      </c>
      <c r="I13" s="72">
        <v>1019.49</v>
      </c>
      <c r="J13" s="72">
        <v>28</v>
      </c>
      <c r="K13" s="921">
        <f t="shared" si="2"/>
        <v>28545.72</v>
      </c>
      <c r="L13" s="921"/>
      <c r="M13" s="1008">
        <f t="shared" si="3"/>
        <v>-558347.55999999994</v>
      </c>
      <c r="O13" s="922">
        <v>43872</v>
      </c>
      <c r="P13" s="72">
        <v>1325.1</v>
      </c>
      <c r="Q13" s="72">
        <v>28</v>
      </c>
      <c r="R13" s="921">
        <f t="shared" si="4"/>
        <v>37102.799999999996</v>
      </c>
      <c r="S13" s="921"/>
      <c r="T13" s="967">
        <f t="shared" si="5"/>
        <v>-466617.96000000008</v>
      </c>
      <c r="V13" s="1256">
        <v>44486</v>
      </c>
      <c r="W13" s="1257">
        <v>799.55</v>
      </c>
      <c r="X13" s="1257"/>
      <c r="Y13" s="1255">
        <v>40</v>
      </c>
      <c r="Z13" s="1259">
        <f t="shared" si="8"/>
        <v>31982</v>
      </c>
      <c r="AA13" s="1253"/>
      <c r="AB13" s="1260">
        <f t="shared" si="7"/>
        <v>-78372</v>
      </c>
    </row>
    <row r="14" spans="1:28" ht="23.25">
      <c r="A14" s="922">
        <v>43536</v>
      </c>
      <c r="B14" s="72">
        <v>633</v>
      </c>
      <c r="C14" s="72">
        <v>28</v>
      </c>
      <c r="D14" s="921">
        <f t="shared" si="0"/>
        <v>17724</v>
      </c>
      <c r="E14" s="921">
        <v>215000</v>
      </c>
      <c r="F14" s="921">
        <f t="shared" si="1"/>
        <v>-130346</v>
      </c>
      <c r="G14" s="923"/>
      <c r="H14" s="922">
        <v>43573</v>
      </c>
      <c r="I14" s="72">
        <v>1111.08</v>
      </c>
      <c r="J14" s="72">
        <v>28</v>
      </c>
      <c r="K14" s="921">
        <f t="shared" si="2"/>
        <v>31110.239999999998</v>
      </c>
      <c r="L14" s="921"/>
      <c r="M14" s="1008">
        <f t="shared" si="3"/>
        <v>-527237.31999999995</v>
      </c>
      <c r="O14" s="922">
        <v>43894</v>
      </c>
      <c r="P14" s="924">
        <v>1733.8</v>
      </c>
      <c r="Q14" s="72">
        <v>28</v>
      </c>
      <c r="R14" s="921">
        <f t="shared" si="4"/>
        <v>48546.400000000001</v>
      </c>
      <c r="S14" s="921"/>
      <c r="T14" s="967">
        <f t="shared" si="5"/>
        <v>-418071.56000000006</v>
      </c>
      <c r="V14" s="1256">
        <v>44489</v>
      </c>
      <c r="W14" s="1257">
        <v>376.1</v>
      </c>
      <c r="X14" s="1257"/>
      <c r="Y14" s="1255">
        <v>40</v>
      </c>
      <c r="Z14" s="1259">
        <f t="shared" si="8"/>
        <v>15044</v>
      </c>
      <c r="AA14" s="1253"/>
      <c r="AB14" s="1260">
        <f t="shared" si="7"/>
        <v>-63328</v>
      </c>
    </row>
    <row r="15" spans="1:28" ht="23.25">
      <c r="A15" s="922">
        <v>43552</v>
      </c>
      <c r="B15" s="72">
        <v>653</v>
      </c>
      <c r="C15" s="72">
        <v>28</v>
      </c>
      <c r="D15" s="921">
        <f t="shared" si="0"/>
        <v>18284</v>
      </c>
      <c r="E15" s="921"/>
      <c r="F15" s="921">
        <f t="shared" si="1"/>
        <v>-112062</v>
      </c>
      <c r="G15" s="923"/>
      <c r="H15" s="922">
        <v>43587</v>
      </c>
      <c r="I15" s="72">
        <v>1270.0899999999999</v>
      </c>
      <c r="J15" s="72">
        <v>28</v>
      </c>
      <c r="K15" s="921">
        <f t="shared" si="2"/>
        <v>35562.519999999997</v>
      </c>
      <c r="L15" s="921"/>
      <c r="M15" s="1008">
        <f t="shared" si="3"/>
        <v>-491674.79999999993</v>
      </c>
      <c r="O15" s="922">
        <v>43908</v>
      </c>
      <c r="P15" s="72">
        <v>1364.93</v>
      </c>
      <c r="Q15" s="72">
        <v>28</v>
      </c>
      <c r="R15" s="921">
        <f t="shared" si="4"/>
        <v>38218.04</v>
      </c>
      <c r="S15" s="921"/>
      <c r="T15" s="967">
        <f t="shared" si="5"/>
        <v>-379853.52000000008</v>
      </c>
      <c r="V15" s="1256">
        <v>44501</v>
      </c>
      <c r="W15" s="1257">
        <v>1313.4</v>
      </c>
      <c r="X15" s="1257"/>
      <c r="Y15" s="1255">
        <v>40</v>
      </c>
      <c r="Z15" s="1259">
        <f t="shared" si="8"/>
        <v>52536</v>
      </c>
      <c r="AA15" s="1253"/>
      <c r="AB15" s="1260">
        <f t="shared" si="7"/>
        <v>-10792</v>
      </c>
    </row>
    <row r="16" spans="1:28" ht="23.25">
      <c r="A16" s="922">
        <v>43656</v>
      </c>
      <c r="B16" s="72">
        <v>1657</v>
      </c>
      <c r="C16" s="72">
        <v>28</v>
      </c>
      <c r="D16" s="921">
        <f t="shared" si="0"/>
        <v>46396</v>
      </c>
      <c r="E16" s="921"/>
      <c r="F16" s="921">
        <f t="shared" si="1"/>
        <v>-65666</v>
      </c>
      <c r="G16" s="923"/>
      <c r="H16" s="922">
        <v>43598</v>
      </c>
      <c r="I16" s="72">
        <v>429.42</v>
      </c>
      <c r="J16" s="72">
        <v>28</v>
      </c>
      <c r="K16" s="921">
        <f t="shared" si="2"/>
        <v>12023.76</v>
      </c>
      <c r="L16" s="921"/>
      <c r="M16" s="1008">
        <f t="shared" si="3"/>
        <v>-479651.03999999992</v>
      </c>
      <c r="O16" s="922"/>
      <c r="P16" s="72"/>
      <c r="Q16" s="72">
        <v>28</v>
      </c>
      <c r="R16" s="921">
        <f t="shared" si="4"/>
        <v>0</v>
      </c>
      <c r="S16" s="921"/>
      <c r="T16" s="967">
        <f t="shared" si="5"/>
        <v>-379853.52000000008</v>
      </c>
      <c r="V16" s="1256">
        <v>44513</v>
      </c>
      <c r="W16" s="1257"/>
      <c r="X16" s="1257"/>
      <c r="Y16" s="1255">
        <v>40</v>
      </c>
      <c r="Z16" s="1259">
        <f t="shared" si="8"/>
        <v>0</v>
      </c>
      <c r="AA16" s="1253">
        <v>100000</v>
      </c>
      <c r="AB16" s="1260">
        <f t="shared" si="7"/>
        <v>-110792</v>
      </c>
    </row>
    <row r="17" spans="1:28" ht="23.25">
      <c r="A17" s="922">
        <v>43697</v>
      </c>
      <c r="B17" s="72">
        <v>1326</v>
      </c>
      <c r="C17" s="72">
        <v>28</v>
      </c>
      <c r="D17" s="921">
        <f t="shared" si="0"/>
        <v>37128</v>
      </c>
      <c r="E17" s="921"/>
      <c r="F17" s="921">
        <f t="shared" si="1"/>
        <v>-28538</v>
      </c>
      <c r="G17" s="923"/>
      <c r="H17" s="922">
        <v>43610</v>
      </c>
      <c r="I17" s="72">
        <v>1142.71</v>
      </c>
      <c r="J17" s="72">
        <v>28</v>
      </c>
      <c r="K17" s="921">
        <f t="shared" si="2"/>
        <v>31995.88</v>
      </c>
      <c r="L17" s="921"/>
      <c r="M17" s="1008">
        <f t="shared" si="3"/>
        <v>-447655.15999999992</v>
      </c>
      <c r="O17" s="922"/>
      <c r="P17" s="72"/>
      <c r="Q17" s="72">
        <v>28</v>
      </c>
      <c r="R17" s="921">
        <f t="shared" si="4"/>
        <v>0</v>
      </c>
      <c r="S17" s="921"/>
      <c r="T17" s="967">
        <f t="shared" si="5"/>
        <v>-379853.52000000008</v>
      </c>
      <c r="V17" s="1256">
        <v>44515</v>
      </c>
      <c r="W17" s="1257">
        <v>1405.25</v>
      </c>
      <c r="X17" s="1257"/>
      <c r="Y17" s="1255">
        <v>40</v>
      </c>
      <c r="Z17" s="1259">
        <f t="shared" si="8"/>
        <v>56210</v>
      </c>
      <c r="AA17" s="1253"/>
      <c r="AB17" s="1260">
        <f t="shared" si="7"/>
        <v>-54582</v>
      </c>
    </row>
    <row r="18" spans="1:28" ht="23.25">
      <c r="A18" s="922">
        <v>43715</v>
      </c>
      <c r="B18" s="72">
        <v>1472</v>
      </c>
      <c r="C18" s="72">
        <v>28</v>
      </c>
      <c r="D18" s="921">
        <f t="shared" si="0"/>
        <v>41216</v>
      </c>
      <c r="E18" s="921"/>
      <c r="F18" s="921">
        <f t="shared" si="1"/>
        <v>12678</v>
      </c>
      <c r="G18" s="923"/>
      <c r="H18" s="922">
        <v>43627</v>
      </c>
      <c r="I18" s="72">
        <v>1396.23</v>
      </c>
      <c r="J18" s="72">
        <v>28</v>
      </c>
      <c r="K18" s="921">
        <f t="shared" si="2"/>
        <v>39094.44</v>
      </c>
      <c r="L18" s="921"/>
      <c r="M18" s="1008">
        <f t="shared" si="3"/>
        <v>-408560.71999999991</v>
      </c>
      <c r="O18" s="922"/>
      <c r="P18" s="72"/>
      <c r="Q18" s="72">
        <v>30</v>
      </c>
      <c r="R18" s="921">
        <f t="shared" si="4"/>
        <v>0</v>
      </c>
      <c r="S18" s="921"/>
      <c r="T18" s="967">
        <f t="shared" si="5"/>
        <v>-379853.52000000008</v>
      </c>
      <c r="V18" s="1256">
        <v>44522</v>
      </c>
      <c r="W18" s="1257">
        <v>644.05999999999995</v>
      </c>
      <c r="X18" s="1257"/>
      <c r="Y18" s="1255">
        <v>40</v>
      </c>
      <c r="Z18" s="1259">
        <f t="shared" si="8"/>
        <v>25762.399999999998</v>
      </c>
      <c r="AA18" s="1253"/>
      <c r="AB18" s="1260">
        <f t="shared" si="7"/>
        <v>-28819.600000000002</v>
      </c>
    </row>
    <row r="19" spans="1:28" ht="23.25">
      <c r="A19" s="922"/>
      <c r="B19" s="72"/>
      <c r="C19" s="72"/>
      <c r="D19" s="921">
        <f t="shared" si="0"/>
        <v>0</v>
      </c>
      <c r="E19" s="921"/>
      <c r="F19" s="921">
        <f t="shared" si="1"/>
        <v>12678</v>
      </c>
      <c r="G19" s="923"/>
      <c r="H19" s="922">
        <v>43641</v>
      </c>
      <c r="I19" s="72">
        <v>557.91999999999996</v>
      </c>
      <c r="J19" s="72">
        <v>28</v>
      </c>
      <c r="K19" s="921">
        <f t="shared" si="2"/>
        <v>15621.759999999998</v>
      </c>
      <c r="L19" s="921"/>
      <c r="M19" s="1008">
        <f t="shared" si="3"/>
        <v>-392938.9599999999</v>
      </c>
      <c r="O19" s="922"/>
      <c r="P19" s="72"/>
      <c r="Q19" s="72">
        <v>30</v>
      </c>
      <c r="R19" s="921">
        <f t="shared" si="4"/>
        <v>0</v>
      </c>
      <c r="S19" s="921"/>
      <c r="T19" s="967">
        <f t="shared" si="5"/>
        <v>-379853.52000000008</v>
      </c>
      <c r="V19" s="1256">
        <v>44527</v>
      </c>
      <c r="W19" s="1257">
        <v>800</v>
      </c>
      <c r="X19" s="1257"/>
      <c r="Y19" s="1255">
        <v>40</v>
      </c>
      <c r="Z19" s="1259">
        <f t="shared" si="8"/>
        <v>32000</v>
      </c>
      <c r="AA19" s="1253"/>
      <c r="AB19" s="1260">
        <f t="shared" si="7"/>
        <v>3180.3999999999978</v>
      </c>
    </row>
    <row r="20" spans="1:28" ht="23.25">
      <c r="A20" s="922"/>
      <c r="B20" s="72"/>
      <c r="C20" s="72"/>
      <c r="D20" s="921">
        <f t="shared" si="0"/>
        <v>0</v>
      </c>
      <c r="E20" s="921"/>
      <c r="F20" s="921">
        <f t="shared" si="1"/>
        <v>12678</v>
      </c>
      <c r="G20" s="923"/>
      <c r="H20" s="922">
        <v>43666</v>
      </c>
      <c r="I20" s="72">
        <v>923.07</v>
      </c>
      <c r="J20" s="72">
        <v>28</v>
      </c>
      <c r="K20" s="921">
        <f t="shared" si="2"/>
        <v>25845.960000000003</v>
      </c>
      <c r="L20" s="921"/>
      <c r="M20" s="1008">
        <f t="shared" si="3"/>
        <v>-367092.99999999988</v>
      </c>
      <c r="O20" s="922"/>
      <c r="P20" s="72"/>
      <c r="Q20" s="72">
        <v>30</v>
      </c>
      <c r="R20" s="921">
        <f t="shared" si="4"/>
        <v>0</v>
      </c>
      <c r="S20" s="921"/>
      <c r="T20" s="967">
        <f t="shared" si="5"/>
        <v>-379853.52000000008</v>
      </c>
      <c r="V20" s="1256">
        <v>44535</v>
      </c>
      <c r="W20" s="1257"/>
      <c r="X20" s="1257"/>
      <c r="Y20" s="1255">
        <v>40</v>
      </c>
      <c r="Z20" s="1259">
        <f t="shared" si="8"/>
        <v>0</v>
      </c>
      <c r="AA20" s="1253">
        <v>100000</v>
      </c>
      <c r="AB20" s="1260">
        <f t="shared" si="7"/>
        <v>-96819.6</v>
      </c>
    </row>
    <row r="21" spans="1:28" ht="23.25">
      <c r="A21" s="922"/>
      <c r="B21" s="72"/>
      <c r="C21" s="72"/>
      <c r="D21" s="921">
        <f t="shared" si="0"/>
        <v>0</v>
      </c>
      <c r="E21" s="921"/>
      <c r="F21" s="921">
        <f t="shared" si="1"/>
        <v>12678</v>
      </c>
      <c r="G21" s="923"/>
      <c r="H21" s="922">
        <v>43678</v>
      </c>
      <c r="I21" s="72">
        <v>1359.18</v>
      </c>
      <c r="J21" s="72">
        <v>28</v>
      </c>
      <c r="K21" s="921">
        <f t="shared" si="2"/>
        <v>38057.040000000001</v>
      </c>
      <c r="L21" s="921"/>
      <c r="M21" s="1008">
        <f t="shared" si="3"/>
        <v>-329035.9599999999</v>
      </c>
      <c r="O21" s="922"/>
      <c r="P21" s="72"/>
      <c r="Q21" s="72">
        <v>30</v>
      </c>
      <c r="R21" s="921">
        <f t="shared" si="4"/>
        <v>0</v>
      </c>
      <c r="S21" s="921"/>
      <c r="T21" s="967">
        <f t="shared" si="5"/>
        <v>-379853.52000000008</v>
      </c>
      <c r="V21" s="1256">
        <v>44536</v>
      </c>
      <c r="W21" s="1257">
        <v>1027.2</v>
      </c>
      <c r="X21" s="1257"/>
      <c r="Y21" s="1255">
        <v>40</v>
      </c>
      <c r="Z21" s="1259">
        <f t="shared" si="8"/>
        <v>41088</v>
      </c>
      <c r="AA21" s="1253"/>
      <c r="AB21" s="1260">
        <f t="shared" si="7"/>
        <v>-55731.600000000006</v>
      </c>
    </row>
    <row r="22" spans="1:28" ht="23.25">
      <c r="A22" s="922"/>
      <c r="B22" s="72"/>
      <c r="C22" s="72"/>
      <c r="D22" s="921">
        <f t="shared" si="0"/>
        <v>0</v>
      </c>
      <c r="E22" s="921"/>
      <c r="F22" s="921">
        <f t="shared" si="1"/>
        <v>12678</v>
      </c>
      <c r="G22" s="923"/>
      <c r="H22" s="922">
        <v>43706</v>
      </c>
      <c r="I22" s="72">
        <v>786.69</v>
      </c>
      <c r="J22" s="72">
        <v>28</v>
      </c>
      <c r="K22" s="921">
        <f t="shared" si="2"/>
        <v>22027.32</v>
      </c>
      <c r="L22" s="921"/>
      <c r="M22" s="1008">
        <f t="shared" si="3"/>
        <v>-307008.6399999999</v>
      </c>
      <c r="O22" s="922"/>
      <c r="P22" s="72"/>
      <c r="Q22" s="72">
        <v>28</v>
      </c>
      <c r="R22" s="921">
        <f t="shared" si="4"/>
        <v>0</v>
      </c>
      <c r="S22" s="921"/>
      <c r="T22" s="967">
        <f t="shared" si="5"/>
        <v>-379853.52000000008</v>
      </c>
      <c r="V22" s="1256">
        <v>44543</v>
      </c>
      <c r="W22" s="1257">
        <v>984.1</v>
      </c>
      <c r="X22" s="1257"/>
      <c r="Y22" s="1255">
        <v>40</v>
      </c>
      <c r="Z22" s="1259">
        <f t="shared" si="8"/>
        <v>39364</v>
      </c>
      <c r="AA22" s="1253"/>
      <c r="AB22" s="1260">
        <f t="shared" si="7"/>
        <v>-16367.600000000006</v>
      </c>
    </row>
    <row r="23" spans="1:28" ht="23.25">
      <c r="A23" s="922"/>
      <c r="B23" s="72"/>
      <c r="C23" s="72"/>
      <c r="D23" s="921">
        <f t="shared" si="0"/>
        <v>0</v>
      </c>
      <c r="E23" s="921"/>
      <c r="F23" s="921">
        <f t="shared" si="1"/>
        <v>12678</v>
      </c>
      <c r="G23" s="923"/>
      <c r="H23" s="922">
        <v>43720</v>
      </c>
      <c r="I23" s="72">
        <v>1176.01</v>
      </c>
      <c r="J23" s="72">
        <v>28</v>
      </c>
      <c r="K23" s="921">
        <f t="shared" si="2"/>
        <v>32928.28</v>
      </c>
      <c r="L23" s="921"/>
      <c r="M23" s="1008">
        <f t="shared" si="3"/>
        <v>-274080.35999999987</v>
      </c>
      <c r="O23" s="922"/>
      <c r="P23" s="72"/>
      <c r="Q23" s="72">
        <v>28</v>
      </c>
      <c r="R23" s="921">
        <f t="shared" si="4"/>
        <v>0</v>
      </c>
      <c r="S23" s="921"/>
      <c r="T23" s="967">
        <f t="shared" si="5"/>
        <v>-379853.52000000008</v>
      </c>
      <c r="V23" s="1256">
        <v>44549</v>
      </c>
      <c r="W23" s="1257"/>
      <c r="X23" s="1257"/>
      <c r="Y23" s="1255">
        <v>40</v>
      </c>
      <c r="Z23" s="1259">
        <f t="shared" si="8"/>
        <v>0</v>
      </c>
      <c r="AA23" s="1253">
        <v>150000</v>
      </c>
      <c r="AB23" s="1260">
        <f t="shared" si="7"/>
        <v>-166367.6</v>
      </c>
    </row>
    <row r="24" spans="1:28" ht="23.25">
      <c r="A24" s="922"/>
      <c r="B24" s="72"/>
      <c r="C24" s="72"/>
      <c r="D24" s="921">
        <f t="shared" si="0"/>
        <v>0</v>
      </c>
      <c r="E24" s="921"/>
      <c r="F24" s="921">
        <f t="shared" si="1"/>
        <v>12678</v>
      </c>
      <c r="G24" s="923"/>
      <c r="H24" s="922">
        <v>43734</v>
      </c>
      <c r="I24" s="72">
        <v>1611.73</v>
      </c>
      <c r="J24" s="72">
        <v>28</v>
      </c>
      <c r="K24" s="921">
        <f t="shared" si="2"/>
        <v>45128.44</v>
      </c>
      <c r="L24" s="921"/>
      <c r="M24" s="1008">
        <f t="shared" si="3"/>
        <v>-228951.91999999987</v>
      </c>
      <c r="O24" s="922"/>
      <c r="P24" s="72"/>
      <c r="Q24" s="72">
        <v>28</v>
      </c>
      <c r="R24" s="921">
        <f t="shared" si="4"/>
        <v>0</v>
      </c>
      <c r="S24" s="921"/>
      <c r="T24" s="967">
        <f t="shared" si="5"/>
        <v>-379853.52000000008</v>
      </c>
      <c r="V24" s="1256">
        <v>44550</v>
      </c>
      <c r="W24" s="1257">
        <v>1037.3</v>
      </c>
      <c r="X24" s="1257"/>
      <c r="Y24" s="1255">
        <v>40</v>
      </c>
      <c r="Z24" s="1259">
        <f t="shared" si="8"/>
        <v>41492</v>
      </c>
      <c r="AA24" s="1253"/>
      <c r="AB24" s="1260">
        <f t="shared" si="7"/>
        <v>-124875.6</v>
      </c>
    </row>
    <row r="25" spans="1:28" ht="23.25">
      <c r="A25" s="922"/>
      <c r="B25" s="72"/>
      <c r="C25" s="72"/>
      <c r="D25" s="921">
        <f t="shared" si="0"/>
        <v>0</v>
      </c>
      <c r="E25" s="921"/>
      <c r="F25" s="921">
        <f t="shared" si="1"/>
        <v>12678</v>
      </c>
      <c r="G25" s="923"/>
      <c r="H25" s="922">
        <v>43745</v>
      </c>
      <c r="I25" s="72">
        <v>3910</v>
      </c>
      <c r="J25" s="72">
        <v>28</v>
      </c>
      <c r="K25" s="921">
        <f t="shared" si="2"/>
        <v>109480</v>
      </c>
      <c r="L25" s="921"/>
      <c r="M25" s="1008">
        <f t="shared" si="3"/>
        <v>-119471.91999999987</v>
      </c>
      <c r="O25" s="922"/>
      <c r="P25" s="72"/>
      <c r="Q25" s="72">
        <v>28</v>
      </c>
      <c r="R25" s="921">
        <f t="shared" si="4"/>
        <v>0</v>
      </c>
      <c r="S25" s="921"/>
      <c r="T25" s="967">
        <f t="shared" si="5"/>
        <v>-379853.52000000008</v>
      </c>
      <c r="V25" s="1256">
        <v>44556</v>
      </c>
      <c r="W25" s="1257">
        <v>1118.3599999999999</v>
      </c>
      <c r="X25" s="1257"/>
      <c r="Y25" s="1255">
        <v>40</v>
      </c>
      <c r="Z25" s="1259">
        <f t="shared" si="8"/>
        <v>44734.399999999994</v>
      </c>
      <c r="AA25" s="1253"/>
      <c r="AB25" s="1260">
        <f t="shared" si="7"/>
        <v>-80141.200000000012</v>
      </c>
    </row>
    <row r="26" spans="1:28" ht="23.25">
      <c r="A26" s="922"/>
      <c r="B26" s="72"/>
      <c r="C26" s="72"/>
      <c r="D26" s="921">
        <f t="shared" si="0"/>
        <v>0</v>
      </c>
      <c r="E26" s="921"/>
      <c r="F26" s="921">
        <f t="shared" si="1"/>
        <v>12678</v>
      </c>
      <c r="G26" s="923"/>
      <c r="H26" s="922">
        <v>43754</v>
      </c>
      <c r="I26" s="72">
        <v>1389.46</v>
      </c>
      <c r="J26" s="72">
        <v>28</v>
      </c>
      <c r="K26" s="921">
        <f t="shared" si="2"/>
        <v>38904.880000000005</v>
      </c>
      <c r="L26" s="921"/>
      <c r="M26" s="1008">
        <f t="shared" si="3"/>
        <v>-80567.039999999863</v>
      </c>
      <c r="O26" s="922"/>
      <c r="P26" s="72"/>
      <c r="Q26" s="72">
        <v>28</v>
      </c>
      <c r="R26" s="921">
        <f t="shared" si="4"/>
        <v>0</v>
      </c>
      <c r="S26" s="921"/>
      <c r="T26" s="967">
        <f t="shared" si="5"/>
        <v>-379853.52000000008</v>
      </c>
      <c r="V26" s="1256">
        <v>44562</v>
      </c>
      <c r="W26" s="1257">
        <v>593.4</v>
      </c>
      <c r="X26" s="1257"/>
      <c r="Y26" s="1255">
        <v>40</v>
      </c>
      <c r="Z26" s="1259">
        <f t="shared" si="8"/>
        <v>23736</v>
      </c>
      <c r="AA26" s="1253"/>
      <c r="AB26" s="1260">
        <f t="shared" si="7"/>
        <v>-56405.200000000012</v>
      </c>
    </row>
    <row r="27" spans="1:28" ht="23.25">
      <c r="A27" s="922"/>
      <c r="B27" s="72"/>
      <c r="C27" s="72"/>
      <c r="D27" s="921">
        <f t="shared" si="0"/>
        <v>0</v>
      </c>
      <c r="E27" s="921"/>
      <c r="F27" s="921">
        <f t="shared" si="1"/>
        <v>12678</v>
      </c>
      <c r="G27" s="923"/>
      <c r="H27" s="922">
        <v>43766</v>
      </c>
      <c r="I27" s="72">
        <v>1555</v>
      </c>
      <c r="J27" s="72">
        <v>28</v>
      </c>
      <c r="K27" s="921">
        <f t="shared" si="2"/>
        <v>43540</v>
      </c>
      <c r="L27" s="921"/>
      <c r="M27" s="1008">
        <f t="shared" si="3"/>
        <v>-37027.039999999863</v>
      </c>
      <c r="O27" s="922"/>
      <c r="P27" s="72"/>
      <c r="Q27" s="72">
        <v>28</v>
      </c>
      <c r="R27" s="921">
        <f t="shared" si="4"/>
        <v>0</v>
      </c>
      <c r="S27" s="921"/>
      <c r="T27" s="967">
        <f t="shared" si="5"/>
        <v>-379853.52000000008</v>
      </c>
      <c r="V27" s="1256">
        <v>44571</v>
      </c>
      <c r="W27" s="1257">
        <v>1081.25</v>
      </c>
      <c r="X27" s="1257"/>
      <c r="Y27" s="1255">
        <v>40</v>
      </c>
      <c r="Z27" s="1259">
        <f t="shared" si="8"/>
        <v>43250</v>
      </c>
      <c r="AA27" s="1253"/>
      <c r="AB27" s="1260">
        <f t="shared" si="7"/>
        <v>-13155.200000000012</v>
      </c>
    </row>
    <row r="28" spans="1:28" ht="23.25">
      <c r="A28" s="922"/>
      <c r="B28" s="72"/>
      <c r="C28" s="72"/>
      <c r="D28" s="921">
        <f t="shared" si="0"/>
        <v>0</v>
      </c>
      <c r="E28" s="921"/>
      <c r="F28" s="921">
        <f t="shared" si="1"/>
        <v>12678</v>
      </c>
      <c r="G28" s="923"/>
      <c r="H28" s="922">
        <v>43775</v>
      </c>
      <c r="I28" s="72">
        <v>652.76</v>
      </c>
      <c r="J28" s="72">
        <v>28</v>
      </c>
      <c r="K28" s="921">
        <f t="shared" si="2"/>
        <v>18277.28</v>
      </c>
      <c r="L28" s="921">
        <v>700000</v>
      </c>
      <c r="M28" s="1008">
        <f t="shared" si="3"/>
        <v>-718749.75999999989</v>
      </c>
      <c r="O28" s="922"/>
      <c r="P28" s="72"/>
      <c r="Q28" s="72">
        <v>28</v>
      </c>
      <c r="R28" s="921">
        <f t="shared" si="4"/>
        <v>0</v>
      </c>
      <c r="S28" s="921">
        <v>250000</v>
      </c>
      <c r="T28" s="967">
        <f t="shared" si="5"/>
        <v>-629853.52</v>
      </c>
      <c r="V28" s="1256">
        <v>44572</v>
      </c>
      <c r="W28" s="1257"/>
      <c r="X28" s="1257"/>
      <c r="Y28" s="1255">
        <v>40</v>
      </c>
      <c r="Z28" s="1259">
        <f t="shared" si="8"/>
        <v>0</v>
      </c>
      <c r="AA28" s="1253">
        <v>100000</v>
      </c>
      <c r="AB28" s="1260">
        <f t="shared" si="7"/>
        <v>-113155.20000000001</v>
      </c>
    </row>
    <row r="29" spans="1:28" ht="23.25">
      <c r="A29" s="922"/>
      <c r="B29" s="72"/>
      <c r="C29" s="72"/>
      <c r="D29" s="921">
        <f t="shared" si="0"/>
        <v>0</v>
      </c>
      <c r="E29" s="921"/>
      <c r="F29" s="921">
        <f t="shared" si="1"/>
        <v>12678</v>
      </c>
      <c r="G29" s="923"/>
      <c r="H29" s="922">
        <v>43795</v>
      </c>
      <c r="I29" s="72">
        <v>1625.13</v>
      </c>
      <c r="J29" s="72">
        <v>28</v>
      </c>
      <c r="K29" s="921">
        <f t="shared" si="2"/>
        <v>45503.64</v>
      </c>
      <c r="L29" s="921"/>
      <c r="M29" s="1008">
        <f t="shared" si="3"/>
        <v>-673246.11999999988</v>
      </c>
      <c r="O29" s="922"/>
      <c r="P29" s="72"/>
      <c r="Q29" s="72">
        <v>28</v>
      </c>
      <c r="R29" s="921">
        <f t="shared" si="4"/>
        <v>0</v>
      </c>
      <c r="S29" s="921">
        <v>200000</v>
      </c>
      <c r="T29" s="967">
        <f t="shared" si="5"/>
        <v>-829853.52</v>
      </c>
      <c r="V29" s="1256">
        <v>44573</v>
      </c>
      <c r="W29" s="1257">
        <v>930.75</v>
      </c>
      <c r="X29" s="1257"/>
      <c r="Y29" s="1255">
        <v>40</v>
      </c>
      <c r="Z29" s="1259">
        <f t="shared" si="8"/>
        <v>37230</v>
      </c>
      <c r="AA29" s="1253"/>
      <c r="AB29" s="1260">
        <f t="shared" si="7"/>
        <v>-75925.200000000012</v>
      </c>
    </row>
    <row r="30" spans="1:28" ht="23.25">
      <c r="A30" s="922"/>
      <c r="B30" s="72"/>
      <c r="C30" s="72"/>
      <c r="D30" s="921">
        <f t="shared" si="0"/>
        <v>0</v>
      </c>
      <c r="E30" s="921"/>
      <c r="F30" s="921">
        <f t="shared" si="1"/>
        <v>12678</v>
      </c>
      <c r="G30" s="923"/>
      <c r="H30" s="922">
        <v>43810</v>
      </c>
      <c r="I30" s="72">
        <v>1360.66</v>
      </c>
      <c r="J30" s="72">
        <v>28</v>
      </c>
      <c r="K30" s="921">
        <f t="shared" si="2"/>
        <v>38098.480000000003</v>
      </c>
      <c r="L30" s="921"/>
      <c r="M30" s="1008">
        <f t="shared" si="3"/>
        <v>-635147.6399999999</v>
      </c>
      <c r="O30" s="922"/>
      <c r="P30" s="72"/>
      <c r="Q30" s="72">
        <v>28</v>
      </c>
      <c r="R30" s="921">
        <f t="shared" si="4"/>
        <v>0</v>
      </c>
      <c r="S30" s="921"/>
      <c r="T30" s="967">
        <f t="shared" si="5"/>
        <v>-829853.52</v>
      </c>
      <c r="V30" s="1256">
        <v>44578</v>
      </c>
      <c r="W30" s="1257">
        <v>732.75</v>
      </c>
      <c r="X30" s="1257">
        <v>360</v>
      </c>
      <c r="Y30" s="1255">
        <v>40</v>
      </c>
      <c r="Z30" s="1259">
        <f t="shared" si="8"/>
        <v>29670</v>
      </c>
      <c r="AA30" s="1253"/>
      <c r="AB30" s="1260">
        <f t="shared" si="7"/>
        <v>-46255.200000000012</v>
      </c>
    </row>
    <row r="31" spans="1:28" ht="23.25">
      <c r="A31" s="922"/>
      <c r="B31" s="72"/>
      <c r="C31" s="72"/>
      <c r="D31" s="921">
        <f t="shared" si="0"/>
        <v>0</v>
      </c>
      <c r="E31" s="921"/>
      <c r="F31" s="921">
        <f t="shared" si="1"/>
        <v>12678</v>
      </c>
      <c r="G31" s="923"/>
      <c r="H31" s="922">
        <v>43822</v>
      </c>
      <c r="I31" s="72">
        <v>1314.65</v>
      </c>
      <c r="J31" s="72">
        <v>28</v>
      </c>
      <c r="K31" s="921">
        <f t="shared" si="2"/>
        <v>36810.200000000004</v>
      </c>
      <c r="L31" s="921"/>
      <c r="M31" s="1008">
        <f t="shared" si="3"/>
        <v>-598337.43999999994</v>
      </c>
      <c r="O31" s="922"/>
      <c r="P31" s="72"/>
      <c r="Q31" s="72">
        <v>28</v>
      </c>
      <c r="R31" s="921">
        <f t="shared" si="4"/>
        <v>0</v>
      </c>
      <c r="S31" s="921">
        <v>250000</v>
      </c>
      <c r="T31" s="967">
        <f t="shared" si="5"/>
        <v>-1079853.52</v>
      </c>
      <c r="V31" s="1256">
        <v>44583</v>
      </c>
      <c r="W31" s="1257">
        <v>861.15</v>
      </c>
      <c r="X31" s="1257">
        <v>684</v>
      </c>
      <c r="Y31" s="1255">
        <v>40</v>
      </c>
      <c r="Z31" s="1259">
        <f t="shared" si="8"/>
        <v>35130</v>
      </c>
      <c r="AA31" s="1253"/>
      <c r="AB31" s="1260">
        <f t="shared" si="7"/>
        <v>-11125.200000000012</v>
      </c>
    </row>
    <row r="32" spans="1:28" ht="23.25">
      <c r="A32" s="922"/>
      <c r="B32" s="72"/>
      <c r="C32" s="72"/>
      <c r="D32" s="921">
        <f t="shared" si="0"/>
        <v>0</v>
      </c>
      <c r="E32" s="921"/>
      <c r="F32" s="921">
        <f t="shared" si="1"/>
        <v>12678</v>
      </c>
      <c r="G32" s="923"/>
      <c r="H32" s="922">
        <v>43832</v>
      </c>
      <c r="I32" s="72">
        <v>815.5</v>
      </c>
      <c r="J32" s="72">
        <v>28</v>
      </c>
      <c r="K32" s="921">
        <f t="shared" si="2"/>
        <v>22834</v>
      </c>
      <c r="L32" s="921"/>
      <c r="M32" s="1008">
        <f t="shared" si="3"/>
        <v>-575503.43999999994</v>
      </c>
      <c r="O32" s="922"/>
      <c r="P32" s="72"/>
      <c r="Q32" s="72">
        <v>28</v>
      </c>
      <c r="R32" s="921">
        <f t="shared" si="4"/>
        <v>0</v>
      </c>
      <c r="S32" s="921"/>
      <c r="T32" s="967">
        <f t="shared" si="5"/>
        <v>-1079853.52</v>
      </c>
      <c r="V32" s="1256">
        <v>44591</v>
      </c>
      <c r="W32" s="1257"/>
      <c r="X32" s="1257"/>
      <c r="Y32" s="1255"/>
      <c r="Z32" s="1259">
        <f t="shared" si="8"/>
        <v>0</v>
      </c>
      <c r="AA32" s="1253">
        <v>99500</v>
      </c>
      <c r="AB32" s="1260">
        <f t="shared" si="7"/>
        <v>-110625.20000000001</v>
      </c>
    </row>
    <row r="33" spans="1:28" ht="23.25">
      <c r="A33" s="922"/>
      <c r="B33" s="72"/>
      <c r="C33" s="72"/>
      <c r="D33" s="921">
        <f t="shared" si="0"/>
        <v>0</v>
      </c>
      <c r="E33" s="921"/>
      <c r="F33" s="921">
        <f t="shared" si="1"/>
        <v>12678</v>
      </c>
      <c r="G33" s="923"/>
      <c r="H33" s="922">
        <v>43846</v>
      </c>
      <c r="I33" s="72">
        <v>1219</v>
      </c>
      <c r="J33" s="72">
        <v>28</v>
      </c>
      <c r="K33" s="921">
        <f t="shared" si="2"/>
        <v>34132</v>
      </c>
      <c r="L33" s="921"/>
      <c r="M33" s="1008">
        <f t="shared" si="3"/>
        <v>-541371.43999999994</v>
      </c>
      <c r="O33" s="922"/>
      <c r="P33" s="72"/>
      <c r="Q33" s="72">
        <v>28</v>
      </c>
      <c r="R33" s="921">
        <f t="shared" si="4"/>
        <v>0</v>
      </c>
      <c r="S33" s="921"/>
      <c r="T33" s="967">
        <f t="shared" si="5"/>
        <v>-1079853.52</v>
      </c>
      <c r="V33" s="1256">
        <v>44895</v>
      </c>
      <c r="W33" s="1257">
        <v>1044.4000000000001</v>
      </c>
      <c r="X33" s="1257">
        <v>720</v>
      </c>
      <c r="Y33" s="1255">
        <v>40</v>
      </c>
      <c r="Z33" s="1259">
        <f t="shared" si="8"/>
        <v>42496</v>
      </c>
      <c r="AA33" s="1253"/>
      <c r="AB33" s="1260">
        <f t="shared" si="7"/>
        <v>-68129.200000000012</v>
      </c>
    </row>
    <row r="34" spans="1:28" ht="23.25">
      <c r="A34" s="922"/>
      <c r="B34" s="72"/>
      <c r="C34" s="72"/>
      <c r="D34" s="921">
        <f t="shared" si="0"/>
        <v>0</v>
      </c>
      <c r="E34" s="921"/>
      <c r="F34" s="921">
        <f t="shared" si="1"/>
        <v>12678</v>
      </c>
      <c r="G34" s="923"/>
      <c r="H34" s="922">
        <v>43859</v>
      </c>
      <c r="I34" s="72">
        <v>1344.6</v>
      </c>
      <c r="J34" s="72">
        <v>28</v>
      </c>
      <c r="K34" s="921">
        <f t="shared" si="2"/>
        <v>37648.799999999996</v>
      </c>
      <c r="L34" s="921"/>
      <c r="M34" s="1008">
        <f t="shared" si="3"/>
        <v>-503722.63999999996</v>
      </c>
      <c r="O34" s="922"/>
      <c r="P34" s="72"/>
      <c r="Q34" s="72">
        <v>28</v>
      </c>
      <c r="R34" s="921">
        <f t="shared" si="4"/>
        <v>0</v>
      </c>
      <c r="S34" s="921"/>
      <c r="T34" s="967">
        <f t="shared" si="5"/>
        <v>-1079853.52</v>
      </c>
      <c r="V34" s="1256">
        <v>44594</v>
      </c>
      <c r="W34" s="1257">
        <v>722.7</v>
      </c>
      <c r="X34" s="1257">
        <v>528</v>
      </c>
      <c r="Y34" s="1255">
        <v>40</v>
      </c>
      <c r="Z34" s="1259">
        <f t="shared" si="8"/>
        <v>29436</v>
      </c>
      <c r="AA34" s="1253"/>
      <c r="AB34" s="1260">
        <f t="shared" si="7"/>
        <v>-38693.200000000012</v>
      </c>
    </row>
    <row r="35" spans="1:28" ht="23.25">
      <c r="A35" s="922"/>
      <c r="B35" s="72"/>
      <c r="C35" s="72"/>
      <c r="D35" s="921">
        <f t="shared" si="0"/>
        <v>0</v>
      </c>
      <c r="E35" s="921"/>
      <c r="F35" s="921">
        <f t="shared" si="1"/>
        <v>12678</v>
      </c>
      <c r="G35" s="923"/>
      <c r="H35" s="922">
        <v>43872</v>
      </c>
      <c r="I35" s="72">
        <v>1325.1</v>
      </c>
      <c r="J35" s="72">
        <v>28</v>
      </c>
      <c r="K35" s="921">
        <f t="shared" si="2"/>
        <v>37102.799999999996</v>
      </c>
      <c r="L35" s="921"/>
      <c r="M35" s="1008">
        <f t="shared" si="3"/>
        <v>-466619.83999999997</v>
      </c>
      <c r="O35" s="922"/>
      <c r="P35" s="72"/>
      <c r="Q35" s="72">
        <v>28</v>
      </c>
      <c r="R35" s="921">
        <f t="shared" si="4"/>
        <v>0</v>
      </c>
      <c r="S35" s="921"/>
      <c r="T35" s="967">
        <f t="shared" si="5"/>
        <v>-1079853.52</v>
      </c>
      <c r="V35" s="1256">
        <v>44602</v>
      </c>
      <c r="W35" s="1257">
        <v>694.38</v>
      </c>
      <c r="X35" s="1257">
        <v>552</v>
      </c>
      <c r="Y35" s="1255">
        <v>40</v>
      </c>
      <c r="Z35" s="1259">
        <f t="shared" si="8"/>
        <v>28327.200000000001</v>
      </c>
      <c r="AA35" s="1253"/>
      <c r="AB35" s="1260">
        <f t="shared" si="7"/>
        <v>-10366.000000000011</v>
      </c>
    </row>
    <row r="36" spans="1:28" ht="23.25">
      <c r="A36" s="922"/>
      <c r="B36" s="72"/>
      <c r="C36" s="72"/>
      <c r="D36" s="921">
        <f t="shared" si="0"/>
        <v>0</v>
      </c>
      <c r="E36" s="921"/>
      <c r="F36" s="921">
        <f t="shared" si="1"/>
        <v>12678</v>
      </c>
      <c r="G36" s="923"/>
      <c r="H36" s="922">
        <v>43894</v>
      </c>
      <c r="I36" s="72">
        <v>1733.8</v>
      </c>
      <c r="J36" s="72">
        <v>28</v>
      </c>
      <c r="K36" s="921">
        <f t="shared" si="2"/>
        <v>48546.400000000001</v>
      </c>
      <c r="L36" s="921"/>
      <c r="M36" s="1008">
        <f t="shared" si="3"/>
        <v>-418073.43999999994</v>
      </c>
      <c r="O36" s="922"/>
      <c r="P36" s="72"/>
      <c r="Q36" s="72">
        <v>28</v>
      </c>
      <c r="R36" s="921">
        <f t="shared" si="4"/>
        <v>0</v>
      </c>
      <c r="S36" s="921"/>
      <c r="T36" s="967">
        <f t="shared" si="5"/>
        <v>-1079853.52</v>
      </c>
      <c r="V36" s="1256">
        <v>44605</v>
      </c>
      <c r="W36" s="1257"/>
      <c r="X36" s="1257"/>
      <c r="Y36" s="1255">
        <v>40</v>
      </c>
      <c r="Z36" s="1259">
        <f t="shared" si="8"/>
        <v>0</v>
      </c>
      <c r="AA36" s="1253">
        <v>100000</v>
      </c>
      <c r="AB36" s="1260">
        <f t="shared" si="7"/>
        <v>-110366.00000000001</v>
      </c>
    </row>
    <row r="37" spans="1:28" ht="23.25">
      <c r="A37" s="922"/>
      <c r="B37" s="72"/>
      <c r="C37" s="72"/>
      <c r="D37" s="921">
        <f t="shared" ref="D37:D62" si="9">B37*C37</f>
        <v>0</v>
      </c>
      <c r="E37" s="921"/>
      <c r="F37" s="921">
        <f t="shared" ref="F37:F62" si="10">F36+D37-E37</f>
        <v>12678</v>
      </c>
      <c r="G37" s="923"/>
      <c r="H37" s="922">
        <v>43908</v>
      </c>
      <c r="I37" s="72">
        <v>1364.93</v>
      </c>
      <c r="J37" s="72">
        <v>28</v>
      </c>
      <c r="K37" s="921">
        <f t="shared" ref="K37:K83" si="11">I37*J37</f>
        <v>38218.04</v>
      </c>
      <c r="L37" s="921"/>
      <c r="M37" s="1008">
        <f t="shared" ref="M37:M83" si="12">M36+K37-L37</f>
        <v>-379855.39999999997</v>
      </c>
      <c r="O37" s="922"/>
      <c r="P37" s="72"/>
      <c r="Q37" s="72">
        <v>28</v>
      </c>
      <c r="R37" s="921">
        <f t="shared" si="4"/>
        <v>0</v>
      </c>
      <c r="S37" s="921"/>
      <c r="T37" s="967">
        <f t="shared" si="5"/>
        <v>-1079853.52</v>
      </c>
      <c r="V37" s="1256"/>
      <c r="W37" s="1257"/>
      <c r="X37" s="1257"/>
      <c r="Y37" s="1255">
        <v>40</v>
      </c>
      <c r="Z37" s="1259">
        <f t="shared" si="8"/>
        <v>0</v>
      </c>
      <c r="AA37" s="1253"/>
      <c r="AB37" s="1260">
        <f t="shared" si="7"/>
        <v>-110366.00000000001</v>
      </c>
    </row>
    <row r="38" spans="1:28" ht="23.25">
      <c r="A38" s="922"/>
      <c r="B38" s="72"/>
      <c r="C38" s="72"/>
      <c r="D38" s="921">
        <f t="shared" si="9"/>
        <v>0</v>
      </c>
      <c r="E38" s="921"/>
      <c r="F38" s="921">
        <f t="shared" si="10"/>
        <v>12678</v>
      </c>
      <c r="G38" s="923"/>
      <c r="H38" s="922">
        <v>43924</v>
      </c>
      <c r="I38" s="72">
        <v>1323.15</v>
      </c>
      <c r="J38" s="72">
        <v>28</v>
      </c>
      <c r="K38" s="921">
        <f t="shared" si="11"/>
        <v>37048.200000000004</v>
      </c>
      <c r="L38" s="921"/>
      <c r="M38" s="1008">
        <f t="shared" si="12"/>
        <v>-342807.19999999995</v>
      </c>
      <c r="V38" s="1256"/>
      <c r="W38" s="1257"/>
      <c r="X38" s="1257"/>
      <c r="Y38" s="1255">
        <v>40</v>
      </c>
      <c r="Z38" s="1259">
        <f t="shared" si="8"/>
        <v>0</v>
      </c>
      <c r="AA38" s="1253"/>
      <c r="AB38" s="1260">
        <f t="shared" si="7"/>
        <v>-110366.00000000001</v>
      </c>
    </row>
    <row r="39" spans="1:28" ht="23.25">
      <c r="A39" s="922"/>
      <c r="B39" s="72"/>
      <c r="C39" s="72"/>
      <c r="D39" s="921">
        <f t="shared" si="9"/>
        <v>0</v>
      </c>
      <c r="E39" s="921"/>
      <c r="F39" s="921">
        <f t="shared" si="10"/>
        <v>12678</v>
      </c>
      <c r="G39" s="923"/>
      <c r="H39" s="922">
        <v>43936</v>
      </c>
      <c r="I39" s="72">
        <v>1418.65</v>
      </c>
      <c r="J39" s="72">
        <v>28</v>
      </c>
      <c r="K39" s="921">
        <f t="shared" si="11"/>
        <v>39722.200000000004</v>
      </c>
      <c r="L39" s="921"/>
      <c r="M39" s="1008">
        <f t="shared" si="12"/>
        <v>-303084.99999999994</v>
      </c>
      <c r="V39" s="1256"/>
      <c r="W39" s="1257"/>
      <c r="X39" s="1257"/>
      <c r="Y39" s="1255">
        <v>40</v>
      </c>
      <c r="Z39" s="1259">
        <f t="shared" si="8"/>
        <v>0</v>
      </c>
      <c r="AA39" s="1253"/>
      <c r="AB39" s="1260">
        <f t="shared" si="7"/>
        <v>-110366.00000000001</v>
      </c>
    </row>
    <row r="40" spans="1:28" ht="23.25">
      <c r="A40" s="922"/>
      <c r="B40" s="72"/>
      <c r="C40" s="72"/>
      <c r="D40" s="921">
        <f t="shared" si="9"/>
        <v>0</v>
      </c>
      <c r="E40" s="921"/>
      <c r="F40" s="921">
        <f t="shared" si="10"/>
        <v>12678</v>
      </c>
      <c r="G40" s="923"/>
      <c r="H40" s="922">
        <v>43948</v>
      </c>
      <c r="I40" s="72">
        <v>1356.35</v>
      </c>
      <c r="J40" s="72">
        <v>30</v>
      </c>
      <c r="K40" s="921">
        <f t="shared" si="11"/>
        <v>40690.5</v>
      </c>
      <c r="L40" s="921"/>
      <c r="M40" s="1008">
        <f t="shared" si="12"/>
        <v>-262394.49999999994</v>
      </c>
      <c r="V40" s="1256"/>
      <c r="W40" s="1257"/>
      <c r="X40" s="1257"/>
      <c r="Y40" s="1255">
        <v>40</v>
      </c>
      <c r="Z40" s="1259">
        <f t="shared" si="8"/>
        <v>0</v>
      </c>
      <c r="AA40" s="1253"/>
      <c r="AB40" s="1260">
        <f t="shared" si="7"/>
        <v>-110366.00000000001</v>
      </c>
    </row>
    <row r="41" spans="1:28" ht="23.25">
      <c r="A41" s="922"/>
      <c r="B41" s="72"/>
      <c r="C41" s="72"/>
      <c r="D41" s="921">
        <f t="shared" si="9"/>
        <v>0</v>
      </c>
      <c r="E41" s="921"/>
      <c r="F41" s="921">
        <f t="shared" si="10"/>
        <v>12678</v>
      </c>
      <c r="G41" s="923"/>
      <c r="H41" s="922">
        <v>43962</v>
      </c>
      <c r="I41" s="72">
        <v>1704.65</v>
      </c>
      <c r="J41" s="72">
        <v>30</v>
      </c>
      <c r="K41" s="921">
        <f t="shared" si="11"/>
        <v>51139.5</v>
      </c>
      <c r="L41" s="921"/>
      <c r="M41" s="1008">
        <f t="shared" si="12"/>
        <v>-211254.99999999994</v>
      </c>
      <c r="V41" s="1256"/>
      <c r="W41" s="1257"/>
      <c r="X41" s="1257"/>
      <c r="Y41" s="1255">
        <v>40</v>
      </c>
      <c r="Z41" s="1259">
        <f t="shared" si="8"/>
        <v>0</v>
      </c>
      <c r="AA41" s="1253"/>
      <c r="AB41" s="1260">
        <f t="shared" si="7"/>
        <v>-110366.00000000001</v>
      </c>
    </row>
    <row r="42" spans="1:28" ht="23.25">
      <c r="A42" s="922"/>
      <c r="B42" s="72"/>
      <c r="C42" s="72"/>
      <c r="D42" s="921">
        <f t="shared" si="9"/>
        <v>0</v>
      </c>
      <c r="E42" s="921"/>
      <c r="F42" s="921">
        <f t="shared" si="10"/>
        <v>12678</v>
      </c>
      <c r="G42" s="923"/>
      <c r="H42" s="922">
        <v>43974</v>
      </c>
      <c r="I42" s="72">
        <v>1873</v>
      </c>
      <c r="J42" s="72">
        <v>30</v>
      </c>
      <c r="K42" s="921">
        <f t="shared" si="11"/>
        <v>56190</v>
      </c>
      <c r="L42" s="921"/>
      <c r="M42" s="1008">
        <f t="shared" si="12"/>
        <v>-155064.99999999994</v>
      </c>
      <c r="V42" s="1256"/>
      <c r="W42" s="1257"/>
      <c r="X42" s="1257"/>
      <c r="Y42" s="1255">
        <v>40</v>
      </c>
      <c r="Z42" s="1259">
        <f t="shared" si="8"/>
        <v>0</v>
      </c>
      <c r="AA42" s="1253"/>
      <c r="AB42" s="1260">
        <f t="shared" si="7"/>
        <v>-110366.00000000001</v>
      </c>
    </row>
    <row r="43" spans="1:28" ht="23.25">
      <c r="A43" s="922"/>
      <c r="B43" s="72"/>
      <c r="C43" s="72"/>
      <c r="D43" s="921">
        <f t="shared" si="9"/>
        <v>0</v>
      </c>
      <c r="E43" s="921"/>
      <c r="F43" s="921">
        <f t="shared" si="10"/>
        <v>12678</v>
      </c>
      <c r="G43" s="923"/>
      <c r="H43" s="922">
        <v>44005</v>
      </c>
      <c r="I43" s="72">
        <v>1474.84</v>
      </c>
      <c r="J43" s="72">
        <v>30</v>
      </c>
      <c r="K43" s="921">
        <f t="shared" si="11"/>
        <v>44245.2</v>
      </c>
      <c r="L43" s="921"/>
      <c r="M43" s="1008">
        <f t="shared" si="12"/>
        <v>-110819.79999999994</v>
      </c>
      <c r="V43" s="1256"/>
      <c r="W43" s="1257"/>
      <c r="X43" s="1257"/>
      <c r="Y43" s="1255">
        <v>40</v>
      </c>
      <c r="Z43" s="1259">
        <f t="shared" si="8"/>
        <v>0</v>
      </c>
      <c r="AA43" s="1253"/>
      <c r="AB43" s="1260">
        <f t="shared" si="7"/>
        <v>-110366.00000000001</v>
      </c>
    </row>
    <row r="44" spans="1:28" ht="23.25">
      <c r="A44" s="922"/>
      <c r="B44" s="72"/>
      <c r="C44" s="72"/>
      <c r="D44" s="921">
        <f t="shared" si="9"/>
        <v>0</v>
      </c>
      <c r="E44" s="921"/>
      <c r="F44" s="921">
        <f t="shared" si="10"/>
        <v>12678</v>
      </c>
      <c r="G44" s="923"/>
      <c r="H44" s="922">
        <v>44013</v>
      </c>
      <c r="I44" s="72"/>
      <c r="J44" s="72"/>
      <c r="K44" s="921">
        <f t="shared" si="11"/>
        <v>0</v>
      </c>
      <c r="L44" s="921">
        <v>500000</v>
      </c>
      <c r="M44" s="1008">
        <f t="shared" si="12"/>
        <v>-610819.79999999993</v>
      </c>
      <c r="V44" s="1256"/>
      <c r="W44" s="1257"/>
      <c r="X44" s="1257"/>
      <c r="Y44" s="1255">
        <v>40</v>
      </c>
      <c r="Z44" s="1259">
        <f t="shared" si="8"/>
        <v>0</v>
      </c>
      <c r="AA44" s="1253"/>
      <c r="AB44" s="1260">
        <f t="shared" si="7"/>
        <v>-110366.00000000001</v>
      </c>
    </row>
    <row r="45" spans="1:28" ht="23.25">
      <c r="A45" s="922"/>
      <c r="B45" s="72"/>
      <c r="C45" s="72"/>
      <c r="D45" s="921">
        <f t="shared" si="9"/>
        <v>0</v>
      </c>
      <c r="E45" s="921"/>
      <c r="F45" s="921">
        <f t="shared" si="10"/>
        <v>12678</v>
      </c>
      <c r="G45" s="923"/>
      <c r="H45" s="922">
        <v>44019</v>
      </c>
      <c r="I45" s="72">
        <v>1489</v>
      </c>
      <c r="J45" s="72">
        <v>30</v>
      </c>
      <c r="K45" s="921">
        <f t="shared" si="11"/>
        <v>44670</v>
      </c>
      <c r="L45" s="921"/>
      <c r="M45" s="1008">
        <f t="shared" si="12"/>
        <v>-566149.79999999993</v>
      </c>
      <c r="V45" s="1256"/>
      <c r="W45" s="1257"/>
      <c r="X45" s="1257"/>
      <c r="Y45" s="1255">
        <v>40</v>
      </c>
      <c r="Z45" s="1259">
        <f t="shared" si="8"/>
        <v>0</v>
      </c>
      <c r="AA45" s="1253"/>
      <c r="AB45" s="1260">
        <f t="shared" si="7"/>
        <v>-110366.00000000001</v>
      </c>
    </row>
    <row r="46" spans="1:28" ht="23.25">
      <c r="A46" s="922"/>
      <c r="B46" s="72"/>
      <c r="C46" s="72"/>
      <c r="D46" s="921">
        <f t="shared" si="9"/>
        <v>0</v>
      </c>
      <c r="E46" s="921"/>
      <c r="F46" s="921">
        <f t="shared" si="10"/>
        <v>12678</v>
      </c>
      <c r="G46" s="923"/>
      <c r="H46" s="922">
        <v>44030</v>
      </c>
      <c r="I46" s="72">
        <v>1663.34</v>
      </c>
      <c r="J46" s="72">
        <v>30</v>
      </c>
      <c r="K46" s="921">
        <f t="shared" si="11"/>
        <v>49900.2</v>
      </c>
      <c r="L46" s="921"/>
      <c r="M46" s="1008">
        <f t="shared" si="12"/>
        <v>-516249.59999999992</v>
      </c>
      <c r="V46" s="1256"/>
      <c r="W46" s="1257"/>
      <c r="X46" s="1257"/>
      <c r="Y46" s="1255">
        <v>40</v>
      </c>
      <c r="Z46" s="1259">
        <f t="shared" si="8"/>
        <v>0</v>
      </c>
      <c r="AA46" s="1253"/>
      <c r="AB46" s="1260">
        <f t="shared" si="7"/>
        <v>-110366.00000000001</v>
      </c>
    </row>
    <row r="47" spans="1:28" ht="23.25">
      <c r="A47" s="922"/>
      <c r="B47" s="72"/>
      <c r="C47" s="72"/>
      <c r="D47" s="921">
        <f t="shared" si="9"/>
        <v>0</v>
      </c>
      <c r="E47" s="921"/>
      <c r="F47" s="921">
        <f t="shared" si="10"/>
        <v>12678</v>
      </c>
      <c r="G47" s="923"/>
      <c r="H47" s="922">
        <v>44040</v>
      </c>
      <c r="I47" s="72">
        <v>1201.58</v>
      </c>
      <c r="J47" s="72">
        <v>30</v>
      </c>
      <c r="K47" s="921">
        <f t="shared" si="11"/>
        <v>36047.399999999994</v>
      </c>
      <c r="L47" s="921"/>
      <c r="M47" s="1008">
        <f t="shared" si="12"/>
        <v>-480202.19999999995</v>
      </c>
      <c r="V47" s="1256"/>
      <c r="W47" s="1257"/>
      <c r="X47" s="1257"/>
      <c r="Y47" s="1255"/>
      <c r="Z47" s="1259">
        <f t="shared" si="8"/>
        <v>0</v>
      </c>
      <c r="AA47" s="1253"/>
      <c r="AB47" s="1260">
        <f t="shared" si="7"/>
        <v>-110366.00000000001</v>
      </c>
    </row>
    <row r="48" spans="1:28" ht="23.25">
      <c r="A48" s="922"/>
      <c r="B48" s="72"/>
      <c r="C48" s="72"/>
      <c r="D48" s="921">
        <f t="shared" si="9"/>
        <v>0</v>
      </c>
      <c r="E48" s="921"/>
      <c r="F48" s="921">
        <f t="shared" si="10"/>
        <v>12678</v>
      </c>
      <c r="G48" s="923"/>
      <c r="H48" s="922">
        <v>44060</v>
      </c>
      <c r="I48" s="72">
        <v>1603.45</v>
      </c>
      <c r="J48" s="72">
        <v>30</v>
      </c>
      <c r="K48" s="921">
        <f t="shared" si="11"/>
        <v>48103.5</v>
      </c>
      <c r="L48" s="921"/>
      <c r="M48" s="1008">
        <f t="shared" si="12"/>
        <v>-432098.69999999995</v>
      </c>
      <c r="V48" s="1256"/>
      <c r="W48" s="1257"/>
      <c r="X48" s="1257"/>
      <c r="Y48" s="1255"/>
      <c r="Z48" s="1259">
        <f t="shared" si="8"/>
        <v>0</v>
      </c>
      <c r="AA48" s="1253"/>
      <c r="AB48" s="1260">
        <f t="shared" si="7"/>
        <v>-110366.00000000001</v>
      </c>
    </row>
    <row r="49" spans="1:28" ht="23.25">
      <c r="A49" s="922"/>
      <c r="B49" s="72"/>
      <c r="C49" s="72"/>
      <c r="D49" s="921">
        <f t="shared" si="9"/>
        <v>0</v>
      </c>
      <c r="E49" s="921"/>
      <c r="F49" s="921">
        <f t="shared" si="10"/>
        <v>12678</v>
      </c>
      <c r="G49" s="923"/>
      <c r="H49" s="922">
        <v>44071</v>
      </c>
      <c r="I49" s="72">
        <v>1416</v>
      </c>
      <c r="J49" s="72">
        <v>30</v>
      </c>
      <c r="K49" s="921">
        <f t="shared" si="11"/>
        <v>42480</v>
      </c>
      <c r="L49" s="921"/>
      <c r="M49" s="1008">
        <f t="shared" si="12"/>
        <v>-389618.69999999995</v>
      </c>
      <c r="V49" s="1256"/>
      <c r="W49" s="1257"/>
      <c r="X49" s="1257"/>
      <c r="Y49" s="1255"/>
      <c r="Z49" s="1259">
        <f t="shared" si="8"/>
        <v>0</v>
      </c>
      <c r="AA49" s="1253"/>
      <c r="AB49" s="1260">
        <f t="shared" si="7"/>
        <v>-110366.00000000001</v>
      </c>
    </row>
    <row r="50" spans="1:28" ht="23.25">
      <c r="A50" s="922"/>
      <c r="B50" s="72"/>
      <c r="C50" s="72"/>
      <c r="D50" s="921">
        <f t="shared" si="9"/>
        <v>0</v>
      </c>
      <c r="E50" s="921"/>
      <c r="F50" s="921">
        <f t="shared" si="10"/>
        <v>12678</v>
      </c>
      <c r="G50" s="923"/>
      <c r="H50" s="922">
        <v>44088</v>
      </c>
      <c r="I50" s="72">
        <v>2374</v>
      </c>
      <c r="J50" s="72">
        <v>30</v>
      </c>
      <c r="K50" s="921">
        <f t="shared" si="11"/>
        <v>71220</v>
      </c>
      <c r="L50" s="921"/>
      <c r="M50" s="1008">
        <f t="shared" si="12"/>
        <v>-318398.69999999995</v>
      </c>
      <c r="V50" s="1256"/>
      <c r="W50" s="1257"/>
      <c r="X50" s="1257"/>
      <c r="Y50" s="1255"/>
      <c r="Z50" s="1259">
        <f t="shared" si="8"/>
        <v>0</v>
      </c>
      <c r="AA50" s="1253"/>
      <c r="AB50" s="1260">
        <f t="shared" si="7"/>
        <v>-110366.00000000001</v>
      </c>
    </row>
    <row r="51" spans="1:28" ht="23.25">
      <c r="A51" s="922"/>
      <c r="B51" s="72"/>
      <c r="C51" s="72"/>
      <c r="D51" s="921">
        <f t="shared" si="9"/>
        <v>0</v>
      </c>
      <c r="E51" s="921"/>
      <c r="F51" s="921">
        <f t="shared" si="10"/>
        <v>12678</v>
      </c>
      <c r="G51" s="923"/>
      <c r="H51" s="922">
        <v>44097</v>
      </c>
      <c r="I51" s="72">
        <v>1803.15</v>
      </c>
      <c r="J51" s="72">
        <v>30</v>
      </c>
      <c r="K51" s="921">
        <f t="shared" si="11"/>
        <v>54094.5</v>
      </c>
      <c r="L51" s="921"/>
      <c r="M51" s="1008">
        <f t="shared" si="12"/>
        <v>-264304.19999999995</v>
      </c>
      <c r="V51" s="1256"/>
      <c r="W51" s="1257"/>
      <c r="X51" s="1257"/>
      <c r="Y51" s="1255"/>
      <c r="Z51" s="1259">
        <f t="shared" si="8"/>
        <v>0</v>
      </c>
      <c r="AA51" s="1253"/>
      <c r="AB51" s="1260">
        <f t="shared" si="7"/>
        <v>-110366.00000000001</v>
      </c>
    </row>
    <row r="52" spans="1:28" ht="23.25">
      <c r="A52" s="922"/>
      <c r="B52" s="72"/>
      <c r="C52" s="72"/>
      <c r="D52" s="921">
        <f t="shared" si="9"/>
        <v>0</v>
      </c>
      <c r="E52" s="921"/>
      <c r="F52" s="921">
        <f t="shared" si="10"/>
        <v>12678</v>
      </c>
      <c r="G52" s="923"/>
      <c r="H52" s="922">
        <v>44107</v>
      </c>
      <c r="I52" s="72">
        <v>1918.7</v>
      </c>
      <c r="J52" s="72">
        <v>30</v>
      </c>
      <c r="K52" s="921">
        <f t="shared" si="11"/>
        <v>57561</v>
      </c>
      <c r="L52" s="921"/>
      <c r="M52" s="1008">
        <f t="shared" si="12"/>
        <v>-206743.19999999995</v>
      </c>
      <c r="N52">
        <f>I52+I53+I54</f>
        <v>5540.65</v>
      </c>
      <c r="V52" s="1256"/>
      <c r="W52" s="1257"/>
      <c r="X52" s="1257"/>
      <c r="Y52" s="1255"/>
      <c r="Z52" s="1259">
        <f t="shared" si="8"/>
        <v>0</v>
      </c>
      <c r="AA52" s="1253"/>
      <c r="AB52" s="1260">
        <f t="shared" si="7"/>
        <v>-110366.00000000001</v>
      </c>
    </row>
    <row r="53" spans="1:28" ht="23.25">
      <c r="A53" s="922"/>
      <c r="B53" s="72"/>
      <c r="C53" s="72"/>
      <c r="D53" s="921">
        <f t="shared" si="9"/>
        <v>0</v>
      </c>
      <c r="E53" s="921"/>
      <c r="F53" s="921">
        <f t="shared" si="10"/>
        <v>12678</v>
      </c>
      <c r="G53" s="923"/>
      <c r="H53" s="922">
        <v>44117</v>
      </c>
      <c r="I53" s="72">
        <v>2007.95</v>
      </c>
      <c r="J53" s="72">
        <v>30</v>
      </c>
      <c r="K53" s="921">
        <f t="shared" si="11"/>
        <v>60238.5</v>
      </c>
      <c r="L53" s="921"/>
      <c r="M53" s="1008">
        <f t="shared" si="12"/>
        <v>-146504.69999999995</v>
      </c>
      <c r="V53" s="1256"/>
      <c r="W53" s="1257"/>
      <c r="X53" s="1257"/>
      <c r="Y53" s="1255"/>
      <c r="Z53" s="1259">
        <f t="shared" si="8"/>
        <v>0</v>
      </c>
      <c r="AA53" s="1253"/>
      <c r="AB53" s="1260">
        <f t="shared" si="7"/>
        <v>-110366.00000000001</v>
      </c>
    </row>
    <row r="54" spans="1:28" ht="23.25">
      <c r="A54" s="922"/>
      <c r="B54" s="72"/>
      <c r="C54" s="72"/>
      <c r="D54" s="921">
        <f t="shared" si="9"/>
        <v>0</v>
      </c>
      <c r="E54" s="921"/>
      <c r="F54" s="921">
        <f t="shared" si="10"/>
        <v>12678</v>
      </c>
      <c r="G54" s="923"/>
      <c r="H54" s="922">
        <v>44126</v>
      </c>
      <c r="I54" s="72">
        <v>1614</v>
      </c>
      <c r="J54" s="72">
        <v>30</v>
      </c>
      <c r="K54" s="921">
        <f t="shared" si="11"/>
        <v>48420</v>
      </c>
      <c r="L54" s="921"/>
      <c r="M54" s="1008">
        <f t="shared" si="12"/>
        <v>-98084.699999999953</v>
      </c>
      <c r="V54" s="1256"/>
      <c r="W54" s="1257"/>
      <c r="X54" s="1257"/>
      <c r="Y54" s="1255"/>
      <c r="Z54" s="1259">
        <f t="shared" si="8"/>
        <v>0</v>
      </c>
      <c r="AA54" s="1253"/>
      <c r="AB54" s="1260">
        <f t="shared" si="7"/>
        <v>-110366.00000000001</v>
      </c>
    </row>
    <row r="55" spans="1:28" ht="23.25">
      <c r="A55" s="922"/>
      <c r="B55" s="72"/>
      <c r="C55" s="72"/>
      <c r="D55" s="921">
        <f t="shared" si="9"/>
        <v>0</v>
      </c>
      <c r="E55" s="921"/>
      <c r="F55" s="921">
        <f t="shared" si="10"/>
        <v>12678</v>
      </c>
      <c r="G55" s="923"/>
      <c r="H55" s="922">
        <v>44138</v>
      </c>
      <c r="I55" s="72">
        <v>1865</v>
      </c>
      <c r="J55" s="72">
        <v>30</v>
      </c>
      <c r="K55" s="921">
        <f t="shared" si="11"/>
        <v>55950</v>
      </c>
      <c r="L55" s="921"/>
      <c r="M55" s="1008">
        <f t="shared" si="12"/>
        <v>-42134.699999999953</v>
      </c>
      <c r="V55" s="1256"/>
      <c r="W55" s="1257"/>
      <c r="X55" s="1257"/>
      <c r="Y55" s="1255"/>
      <c r="Z55" s="1259">
        <f t="shared" si="8"/>
        <v>0</v>
      </c>
      <c r="AA55" s="1253"/>
      <c r="AB55" s="1260">
        <f t="shared" si="7"/>
        <v>-110366.00000000001</v>
      </c>
    </row>
    <row r="56" spans="1:28" ht="23.25">
      <c r="A56" s="922"/>
      <c r="B56" s="72"/>
      <c r="C56" s="72"/>
      <c r="D56" s="921">
        <f t="shared" si="9"/>
        <v>0</v>
      </c>
      <c r="E56" s="921"/>
      <c r="F56" s="921">
        <f t="shared" si="10"/>
        <v>12678</v>
      </c>
      <c r="G56" s="923"/>
      <c r="H56" s="922">
        <v>44146</v>
      </c>
      <c r="I56" s="72">
        <v>1819.85</v>
      </c>
      <c r="J56" s="72">
        <v>30</v>
      </c>
      <c r="K56" s="921">
        <f t="shared" si="11"/>
        <v>54595.5</v>
      </c>
      <c r="L56" s="921"/>
      <c r="M56" s="1008">
        <f t="shared" si="12"/>
        <v>12460.800000000047</v>
      </c>
      <c r="V56" s="1256"/>
      <c r="W56" s="1257"/>
      <c r="X56" s="1257"/>
      <c r="Y56" s="1255"/>
      <c r="Z56" s="1259">
        <f t="shared" si="8"/>
        <v>0</v>
      </c>
      <c r="AA56" s="1253"/>
      <c r="AB56" s="1260">
        <f t="shared" si="7"/>
        <v>-110366.00000000001</v>
      </c>
    </row>
    <row r="57" spans="1:28" ht="23.25">
      <c r="A57" s="922"/>
      <c r="B57" s="72"/>
      <c r="C57" s="72"/>
      <c r="D57" s="921">
        <f t="shared" si="9"/>
        <v>0</v>
      </c>
      <c r="E57" s="921"/>
      <c r="F57" s="921">
        <f t="shared" si="10"/>
        <v>12678</v>
      </c>
      <c r="G57" s="923"/>
      <c r="H57" s="922">
        <v>44159</v>
      </c>
      <c r="I57" s="72">
        <v>2016.1</v>
      </c>
      <c r="J57" s="72">
        <v>30</v>
      </c>
      <c r="K57" s="921">
        <f t="shared" si="11"/>
        <v>60483</v>
      </c>
      <c r="L57" s="921">
        <v>500000</v>
      </c>
      <c r="M57" s="1008">
        <f t="shared" si="12"/>
        <v>-427056.19999999995</v>
      </c>
      <c r="V57" s="1256"/>
      <c r="W57" s="1257"/>
      <c r="X57" s="1257"/>
      <c r="Y57" s="1255"/>
      <c r="Z57" s="1259">
        <f t="shared" si="8"/>
        <v>0</v>
      </c>
      <c r="AA57" s="1253"/>
      <c r="AB57" s="1260">
        <f t="shared" si="7"/>
        <v>-110366.00000000001</v>
      </c>
    </row>
    <row r="58" spans="1:28" ht="23.25">
      <c r="A58" s="922"/>
      <c r="B58" s="72"/>
      <c r="C58" s="72"/>
      <c r="D58" s="921">
        <f t="shared" si="9"/>
        <v>0</v>
      </c>
      <c r="E58" s="921"/>
      <c r="F58" s="921">
        <f t="shared" si="10"/>
        <v>12678</v>
      </c>
      <c r="G58" s="923"/>
      <c r="H58" s="922">
        <v>44167</v>
      </c>
      <c r="I58" s="72">
        <v>1589.5</v>
      </c>
      <c r="J58" s="72">
        <v>30</v>
      </c>
      <c r="K58" s="921">
        <f t="shared" si="11"/>
        <v>47685</v>
      </c>
      <c r="L58" s="921"/>
      <c r="M58" s="1008">
        <f t="shared" si="12"/>
        <v>-379371.19999999995</v>
      </c>
      <c r="V58" s="1256"/>
      <c r="W58" s="1257"/>
      <c r="X58" s="1257"/>
      <c r="Y58" s="1255"/>
      <c r="Z58" s="1259">
        <f t="shared" si="8"/>
        <v>0</v>
      </c>
      <c r="AA58" s="1253"/>
      <c r="AB58" s="1260">
        <f t="shared" si="7"/>
        <v>-110366.00000000001</v>
      </c>
    </row>
    <row r="59" spans="1:28" ht="23.25">
      <c r="A59" s="922"/>
      <c r="B59" s="72"/>
      <c r="C59" s="72"/>
      <c r="D59" s="921">
        <f t="shared" si="9"/>
        <v>0</v>
      </c>
      <c r="E59" s="921"/>
      <c r="F59" s="921">
        <f t="shared" si="10"/>
        <v>12678</v>
      </c>
      <c r="G59" s="923"/>
      <c r="H59" s="922">
        <v>44179</v>
      </c>
      <c r="I59" s="72">
        <v>2151</v>
      </c>
      <c r="J59" s="72">
        <v>30</v>
      </c>
      <c r="K59" s="921">
        <f t="shared" si="11"/>
        <v>64530</v>
      </c>
      <c r="L59" s="921"/>
      <c r="M59" s="1008">
        <f t="shared" si="12"/>
        <v>-314841.19999999995</v>
      </c>
      <c r="V59" s="1256"/>
      <c r="W59" s="1257"/>
      <c r="X59" s="1257"/>
      <c r="Y59" s="1255"/>
      <c r="Z59" s="1259">
        <f t="shared" si="8"/>
        <v>0</v>
      </c>
      <c r="AA59" s="1253"/>
      <c r="AB59" s="1260">
        <f t="shared" si="7"/>
        <v>-110366.00000000001</v>
      </c>
    </row>
    <row r="60" spans="1:28" ht="23.25">
      <c r="A60" s="922"/>
      <c r="B60" s="72"/>
      <c r="C60" s="72"/>
      <c r="D60" s="921">
        <f t="shared" si="9"/>
        <v>0</v>
      </c>
      <c r="E60" s="921"/>
      <c r="F60" s="921">
        <f t="shared" si="10"/>
        <v>12678</v>
      </c>
      <c r="G60" s="923"/>
      <c r="H60" s="922">
        <v>44189</v>
      </c>
      <c r="I60" s="72">
        <v>1807.7</v>
      </c>
      <c r="J60" s="72">
        <v>30</v>
      </c>
      <c r="K60" s="921">
        <f t="shared" si="11"/>
        <v>54231</v>
      </c>
      <c r="L60" s="921"/>
      <c r="M60" s="1008">
        <f t="shared" si="12"/>
        <v>-260610.19999999995</v>
      </c>
      <c r="V60" s="1256"/>
      <c r="W60" s="1257"/>
      <c r="X60" s="1257"/>
      <c r="Y60" s="1255"/>
      <c r="Z60" s="1259">
        <f t="shared" si="8"/>
        <v>0</v>
      </c>
      <c r="AA60" s="1253"/>
      <c r="AB60" s="1260">
        <f t="shared" si="7"/>
        <v>-110366.00000000001</v>
      </c>
    </row>
    <row r="61" spans="1:28" ht="23.25">
      <c r="A61" s="922"/>
      <c r="B61" s="72"/>
      <c r="C61" s="72"/>
      <c r="D61" s="921">
        <f t="shared" si="9"/>
        <v>0</v>
      </c>
      <c r="E61" s="921"/>
      <c r="F61" s="921">
        <f t="shared" si="10"/>
        <v>12678</v>
      </c>
      <c r="G61" s="923"/>
      <c r="H61" s="922">
        <v>44196</v>
      </c>
      <c r="I61" s="72">
        <v>1288.9000000000001</v>
      </c>
      <c r="J61" s="72">
        <v>30</v>
      </c>
      <c r="K61" s="921">
        <f t="shared" si="11"/>
        <v>38667</v>
      </c>
      <c r="L61" s="921"/>
      <c r="M61" s="1008">
        <f t="shared" si="12"/>
        <v>-221943.19999999995</v>
      </c>
      <c r="V61" s="1256"/>
      <c r="W61" s="1257"/>
      <c r="X61" s="1257"/>
      <c r="Y61" s="1255"/>
      <c r="Z61" s="1259">
        <f t="shared" si="8"/>
        <v>0</v>
      </c>
      <c r="AA61" s="1253"/>
      <c r="AB61" s="1260">
        <f t="shared" si="7"/>
        <v>-110366.00000000001</v>
      </c>
    </row>
    <row r="62" spans="1:28" ht="23.25">
      <c r="A62" s="922"/>
      <c r="B62" s="924"/>
      <c r="C62" s="72"/>
      <c r="D62" s="921">
        <f t="shared" si="9"/>
        <v>0</v>
      </c>
      <c r="E62" s="921"/>
      <c r="F62" s="921">
        <f t="shared" si="10"/>
        <v>12678</v>
      </c>
      <c r="G62" s="923"/>
      <c r="H62" s="922">
        <v>43836</v>
      </c>
      <c r="I62" s="924">
        <v>1012.25</v>
      </c>
      <c r="J62" s="72">
        <v>30</v>
      </c>
      <c r="K62" s="921">
        <f t="shared" si="11"/>
        <v>30367.5</v>
      </c>
      <c r="L62" s="921"/>
      <c r="M62" s="1008">
        <f t="shared" si="12"/>
        <v>-191575.69999999995</v>
      </c>
      <c r="V62" s="1256"/>
      <c r="W62" s="1258"/>
      <c r="X62" s="1258"/>
      <c r="Y62" s="1255"/>
      <c r="Z62" s="1259">
        <f t="shared" si="8"/>
        <v>0</v>
      </c>
      <c r="AA62" s="1253"/>
      <c r="AB62" s="1260">
        <f t="shared" si="7"/>
        <v>-110366.00000000001</v>
      </c>
    </row>
    <row r="63" spans="1:28" ht="23.25">
      <c r="A63" s="922"/>
      <c r="B63" s="924"/>
      <c r="C63" s="72"/>
      <c r="D63" s="921"/>
      <c r="E63" s="921"/>
      <c r="F63" s="921"/>
      <c r="G63" s="923"/>
      <c r="H63" s="922">
        <v>44210</v>
      </c>
      <c r="I63" s="924">
        <v>1095.75</v>
      </c>
      <c r="J63" s="72">
        <v>30</v>
      </c>
      <c r="K63" s="921">
        <f t="shared" si="11"/>
        <v>32872.5</v>
      </c>
      <c r="L63" s="921"/>
      <c r="M63" s="1008">
        <f t="shared" si="12"/>
        <v>-158703.19999999995</v>
      </c>
      <c r="V63" s="1256"/>
      <c r="W63" s="1258"/>
      <c r="X63" s="1258"/>
      <c r="Y63" s="1255"/>
      <c r="Z63" s="1259">
        <f t="shared" si="8"/>
        <v>0</v>
      </c>
      <c r="AA63" s="1253"/>
      <c r="AB63" s="1260"/>
    </row>
    <row r="64" spans="1:28" ht="23.25">
      <c r="A64" s="922"/>
      <c r="B64" s="924"/>
      <c r="C64" s="72"/>
      <c r="D64" s="921"/>
      <c r="E64" s="921"/>
      <c r="F64" s="921"/>
      <c r="G64" s="923"/>
      <c r="H64" s="922">
        <v>44217</v>
      </c>
      <c r="I64" s="924">
        <v>976.6</v>
      </c>
      <c r="J64" s="72">
        <v>30</v>
      </c>
      <c r="K64" s="921">
        <f t="shared" si="11"/>
        <v>29298</v>
      </c>
      <c r="L64" s="921">
        <v>500000</v>
      </c>
      <c r="M64" s="1008">
        <f t="shared" si="12"/>
        <v>-629405.19999999995</v>
      </c>
      <c r="V64" s="1256"/>
      <c r="W64" s="1258"/>
      <c r="X64" s="1258"/>
      <c r="Y64" s="1255"/>
      <c r="Z64" s="1259">
        <f t="shared" si="8"/>
        <v>0</v>
      </c>
      <c r="AA64" s="1253"/>
      <c r="AB64" s="1260"/>
    </row>
    <row r="65" spans="1:28" ht="23.25">
      <c r="A65" s="922"/>
      <c r="B65" s="924"/>
      <c r="C65" s="72"/>
      <c r="D65" s="921"/>
      <c r="E65" s="921"/>
      <c r="F65" s="921"/>
      <c r="G65" s="923"/>
      <c r="H65" s="922">
        <v>44229</v>
      </c>
      <c r="I65" s="924">
        <v>1685.9</v>
      </c>
      <c r="J65" s="72">
        <v>30</v>
      </c>
      <c r="K65" s="921">
        <f t="shared" si="11"/>
        <v>50577</v>
      </c>
      <c r="L65" s="921"/>
      <c r="M65" s="1008">
        <f t="shared" si="12"/>
        <v>-578828.19999999995</v>
      </c>
      <c r="V65" s="1256"/>
      <c r="W65" s="1258"/>
      <c r="X65" s="1258"/>
      <c r="Y65" s="1255"/>
      <c r="Z65" s="1259">
        <f t="shared" si="8"/>
        <v>0</v>
      </c>
      <c r="AA65" s="1253"/>
      <c r="AB65" s="1260"/>
    </row>
    <row r="66" spans="1:28" ht="23.25">
      <c r="A66" s="922"/>
      <c r="B66" s="924"/>
      <c r="C66" s="72"/>
      <c r="D66" s="921"/>
      <c r="E66" s="921"/>
      <c r="F66" s="921"/>
      <c r="G66" s="923"/>
      <c r="H66" s="922">
        <v>44240</v>
      </c>
      <c r="I66" s="924">
        <v>844.1</v>
      </c>
      <c r="J66" s="72">
        <v>30</v>
      </c>
      <c r="K66" s="921">
        <f t="shared" si="11"/>
        <v>25323</v>
      </c>
      <c r="L66" s="921"/>
      <c r="M66" s="1008">
        <f t="shared" si="12"/>
        <v>-553505.19999999995</v>
      </c>
      <c r="V66" s="1256"/>
      <c r="W66" s="1258"/>
      <c r="X66" s="1258"/>
      <c r="Y66" s="1255"/>
      <c r="Z66" s="1259">
        <f t="shared" si="8"/>
        <v>0</v>
      </c>
      <c r="AA66" s="1253"/>
      <c r="AB66" s="1260"/>
    </row>
    <row r="67" spans="1:28" ht="23.25">
      <c r="A67" s="922"/>
      <c r="B67" s="924"/>
      <c r="C67" s="72"/>
      <c r="D67" s="921"/>
      <c r="E67" s="921"/>
      <c r="F67" s="921"/>
      <c r="G67" s="923"/>
      <c r="H67" s="922">
        <v>44250</v>
      </c>
      <c r="I67" s="924">
        <v>846.85</v>
      </c>
      <c r="J67" s="72">
        <v>30</v>
      </c>
      <c r="K67" s="921">
        <f t="shared" si="11"/>
        <v>25405.5</v>
      </c>
      <c r="L67" s="921">
        <v>300000</v>
      </c>
      <c r="M67" s="1008">
        <f t="shared" si="12"/>
        <v>-828099.7</v>
      </c>
      <c r="V67" s="1256"/>
      <c r="W67" s="1258"/>
      <c r="X67" s="1258"/>
      <c r="Y67" s="1255"/>
      <c r="Z67" s="1259">
        <f t="shared" si="8"/>
        <v>0</v>
      </c>
      <c r="AA67" s="1253"/>
      <c r="AB67" s="1260"/>
    </row>
    <row r="68" spans="1:28" ht="23.25">
      <c r="A68" s="922"/>
      <c r="B68" s="924"/>
      <c r="C68" s="72"/>
      <c r="D68" s="921"/>
      <c r="E68" s="921"/>
      <c r="F68" s="921"/>
      <c r="G68" s="923"/>
      <c r="H68" s="922">
        <v>44259</v>
      </c>
      <c r="I68" s="924">
        <v>710.2</v>
      </c>
      <c r="J68" s="72">
        <v>30</v>
      </c>
      <c r="K68" s="921">
        <f t="shared" si="11"/>
        <v>21306</v>
      </c>
      <c r="L68" s="921"/>
      <c r="M68" s="1008">
        <f t="shared" si="12"/>
        <v>-806793.7</v>
      </c>
      <c r="V68" s="1256"/>
      <c r="W68" s="1258"/>
      <c r="X68" s="1258"/>
      <c r="Y68" s="1255"/>
      <c r="Z68" s="1259">
        <f t="shared" si="8"/>
        <v>0</v>
      </c>
      <c r="AA68" s="1253"/>
      <c r="AB68" s="1260"/>
    </row>
    <row r="69" spans="1:28" ht="23.25">
      <c r="A69" s="922"/>
      <c r="B69" s="924"/>
      <c r="C69" s="72"/>
      <c r="D69" s="921"/>
      <c r="E69" s="921"/>
      <c r="F69" s="921"/>
      <c r="G69" s="923"/>
      <c r="H69" s="922">
        <v>44268</v>
      </c>
      <c r="I69" s="924">
        <v>536.1</v>
      </c>
      <c r="J69" s="72">
        <v>30</v>
      </c>
      <c r="K69" s="921">
        <f t="shared" si="11"/>
        <v>16083</v>
      </c>
      <c r="L69" s="921"/>
      <c r="M69" s="1008">
        <f t="shared" si="12"/>
        <v>-790710.7</v>
      </c>
      <c r="V69" s="1256"/>
      <c r="W69" s="1258"/>
      <c r="X69" s="1258"/>
      <c r="Y69" s="1255"/>
      <c r="Z69" s="1259">
        <f t="shared" si="8"/>
        <v>0</v>
      </c>
      <c r="AA69" s="1253"/>
      <c r="AB69" s="1260"/>
    </row>
    <row r="70" spans="1:28" ht="23.25">
      <c r="A70" s="922"/>
      <c r="B70" s="924"/>
      <c r="C70" s="72"/>
      <c r="D70" s="921"/>
      <c r="E70" s="921"/>
      <c r="F70" s="921"/>
      <c r="G70" s="923"/>
      <c r="H70" s="922">
        <v>44278</v>
      </c>
      <c r="I70" s="924">
        <v>1265.2</v>
      </c>
      <c r="J70" s="72">
        <v>30</v>
      </c>
      <c r="K70" s="921">
        <f t="shared" si="11"/>
        <v>37956</v>
      </c>
      <c r="L70" s="921"/>
      <c r="M70" s="1008">
        <f t="shared" si="12"/>
        <v>-752754.7</v>
      </c>
      <c r="V70" s="1256"/>
      <c r="W70" s="1258"/>
      <c r="X70" s="1258"/>
      <c r="Y70" s="1255"/>
      <c r="Z70" s="1259">
        <f t="shared" si="8"/>
        <v>0</v>
      </c>
      <c r="AA70" s="1253"/>
      <c r="AB70" s="1260"/>
    </row>
    <row r="71" spans="1:28" ht="23.25">
      <c r="A71" s="922"/>
      <c r="B71" s="924"/>
      <c r="C71" s="72"/>
      <c r="D71" s="921"/>
      <c r="E71" s="921"/>
      <c r="F71" s="921"/>
      <c r="G71" s="923"/>
      <c r="H71" s="922">
        <v>44287</v>
      </c>
      <c r="I71" s="924">
        <v>881.2</v>
      </c>
      <c r="J71" s="72">
        <v>30</v>
      </c>
      <c r="K71" s="921">
        <f t="shared" si="11"/>
        <v>26436</v>
      </c>
      <c r="L71" s="921"/>
      <c r="M71" s="1008">
        <f t="shared" si="12"/>
        <v>-726318.7</v>
      </c>
      <c r="V71" s="1256"/>
      <c r="W71" s="1258"/>
      <c r="X71" s="1258"/>
      <c r="Y71" s="1255"/>
      <c r="Z71" s="1259">
        <f t="shared" ref="Z71:Z83" si="13">W71*Y71+X71</f>
        <v>0</v>
      </c>
      <c r="AA71" s="1253"/>
      <c r="AB71" s="1260"/>
    </row>
    <row r="72" spans="1:28" ht="23.25">
      <c r="A72" s="922"/>
      <c r="B72" s="924"/>
      <c r="C72" s="72"/>
      <c r="D72" s="921"/>
      <c r="E72" s="921"/>
      <c r="F72" s="921"/>
      <c r="G72" s="923"/>
      <c r="H72" s="922">
        <v>44299</v>
      </c>
      <c r="I72" s="924">
        <v>860.5</v>
      </c>
      <c r="J72" s="72">
        <v>33</v>
      </c>
      <c r="K72" s="921">
        <f t="shared" si="11"/>
        <v>28396.5</v>
      </c>
      <c r="L72" s="921"/>
      <c r="M72" s="1008">
        <f t="shared" si="12"/>
        <v>-697922.2</v>
      </c>
      <c r="V72" s="1256"/>
      <c r="W72" s="1258"/>
      <c r="X72" s="1258"/>
      <c r="Y72" s="1255"/>
      <c r="Z72" s="1259">
        <f t="shared" si="13"/>
        <v>0</v>
      </c>
      <c r="AA72" s="1253"/>
      <c r="AB72" s="1260"/>
    </row>
    <row r="73" spans="1:28" ht="23.25">
      <c r="A73" s="922"/>
      <c r="B73" s="924"/>
      <c r="C73" s="72"/>
      <c r="D73" s="921"/>
      <c r="E73" s="921"/>
      <c r="F73" s="921"/>
      <c r="G73" s="923"/>
      <c r="H73" s="922">
        <v>44308</v>
      </c>
      <c r="I73" s="924">
        <v>735.95</v>
      </c>
      <c r="J73" s="72">
        <v>33</v>
      </c>
      <c r="K73" s="921">
        <f t="shared" si="11"/>
        <v>24286.350000000002</v>
      </c>
      <c r="L73" s="921"/>
      <c r="M73" s="1008">
        <f t="shared" si="12"/>
        <v>-673635.85</v>
      </c>
      <c r="V73" s="1256"/>
      <c r="W73" s="1258"/>
      <c r="X73" s="1258"/>
      <c r="Y73" s="1255"/>
      <c r="Z73" s="1259">
        <f t="shared" si="13"/>
        <v>0</v>
      </c>
      <c r="AA73" s="1253"/>
      <c r="AB73" s="1260"/>
    </row>
    <row r="74" spans="1:28" ht="23.25">
      <c r="A74" s="922"/>
      <c r="B74" s="924"/>
      <c r="C74" s="72"/>
      <c r="D74" s="921"/>
      <c r="E74" s="921"/>
      <c r="F74" s="921"/>
      <c r="G74" s="923"/>
      <c r="H74" s="922">
        <v>44315</v>
      </c>
      <c r="I74" s="924">
        <v>585.54999999999995</v>
      </c>
      <c r="J74" s="72">
        <v>33</v>
      </c>
      <c r="K74" s="921">
        <f t="shared" si="11"/>
        <v>19323.149999999998</v>
      </c>
      <c r="L74" s="921"/>
      <c r="M74" s="1008">
        <f t="shared" si="12"/>
        <v>-654312.69999999995</v>
      </c>
      <c r="V74" s="1256"/>
      <c r="W74" s="1258"/>
      <c r="X74" s="1258"/>
      <c r="Y74" s="1255"/>
      <c r="Z74" s="1259">
        <f t="shared" si="13"/>
        <v>0</v>
      </c>
      <c r="AA74" s="1253"/>
      <c r="AB74" s="1260"/>
    </row>
    <row r="75" spans="1:28" ht="23.25">
      <c r="A75" s="922"/>
      <c r="B75" s="924"/>
      <c r="C75" s="72"/>
      <c r="D75" s="921"/>
      <c r="E75" s="921"/>
      <c r="F75" s="921"/>
      <c r="G75" s="923"/>
      <c r="H75" s="922">
        <v>44324</v>
      </c>
      <c r="I75" s="924">
        <v>747.4</v>
      </c>
      <c r="J75" s="72">
        <v>33</v>
      </c>
      <c r="K75" s="921">
        <f t="shared" si="11"/>
        <v>24664.2</v>
      </c>
      <c r="L75" s="921"/>
      <c r="M75" s="1008">
        <f t="shared" si="12"/>
        <v>-629648.5</v>
      </c>
      <c r="V75" s="1256"/>
      <c r="W75" s="1258"/>
      <c r="X75" s="1258"/>
      <c r="Y75" s="1255"/>
      <c r="Z75" s="1259">
        <f t="shared" si="13"/>
        <v>0</v>
      </c>
      <c r="AA75" s="1253"/>
      <c r="AB75" s="1260"/>
    </row>
    <row r="76" spans="1:28" ht="23.25">
      <c r="A76" s="922"/>
      <c r="B76" s="924"/>
      <c r="C76" s="72"/>
      <c r="D76" s="921"/>
      <c r="E76" s="921"/>
      <c r="F76" s="921"/>
      <c r="G76" s="923"/>
      <c r="H76" s="922">
        <v>44353</v>
      </c>
      <c r="I76" s="924">
        <v>850.35</v>
      </c>
      <c r="J76" s="72">
        <v>33</v>
      </c>
      <c r="K76" s="921">
        <f t="shared" si="11"/>
        <v>28061.55</v>
      </c>
      <c r="L76" s="921"/>
      <c r="M76" s="1008">
        <f t="shared" si="12"/>
        <v>-601586.94999999995</v>
      </c>
      <c r="V76" s="1256"/>
      <c r="W76" s="1258"/>
      <c r="X76" s="1258"/>
      <c r="Y76" s="1255"/>
      <c r="Z76" s="1259">
        <f t="shared" si="13"/>
        <v>0</v>
      </c>
      <c r="AA76" s="1253"/>
      <c r="AB76" s="1260"/>
    </row>
    <row r="77" spans="1:28" ht="23.25">
      <c r="A77" s="922"/>
      <c r="B77" s="924"/>
      <c r="C77" s="72"/>
      <c r="D77" s="921"/>
      <c r="E77" s="921"/>
      <c r="F77" s="921"/>
      <c r="G77" s="923"/>
      <c r="H77" s="922">
        <v>44368</v>
      </c>
      <c r="I77" s="924">
        <v>1020.8</v>
      </c>
      <c r="J77" s="72">
        <v>33</v>
      </c>
      <c r="K77" s="921">
        <f t="shared" si="11"/>
        <v>33686.400000000001</v>
      </c>
      <c r="L77" s="921"/>
      <c r="M77" s="1008">
        <f t="shared" si="12"/>
        <v>-567900.54999999993</v>
      </c>
      <c r="V77" s="1256"/>
      <c r="W77" s="1258"/>
      <c r="X77" s="1258"/>
      <c r="Y77" s="1255"/>
      <c r="Z77" s="1259">
        <f t="shared" si="13"/>
        <v>0</v>
      </c>
      <c r="AA77" s="1253"/>
      <c r="AB77" s="1260"/>
    </row>
    <row r="78" spans="1:28" ht="23.25">
      <c r="A78" s="922"/>
      <c r="B78" s="924"/>
      <c r="C78" s="72"/>
      <c r="D78" s="921"/>
      <c r="E78" s="921"/>
      <c r="F78" s="921"/>
      <c r="G78" s="923"/>
      <c r="H78" s="922">
        <v>44382</v>
      </c>
      <c r="I78" s="924">
        <v>1036.55</v>
      </c>
      <c r="J78" s="72">
        <v>35</v>
      </c>
      <c r="K78" s="921">
        <f t="shared" si="11"/>
        <v>36279.25</v>
      </c>
      <c r="L78" s="921"/>
      <c r="M78" s="1008">
        <f t="shared" si="12"/>
        <v>-531621.29999999993</v>
      </c>
      <c r="V78" s="1256"/>
      <c r="W78" s="1258"/>
      <c r="X78" s="1258"/>
      <c r="Y78" s="1255"/>
      <c r="Z78" s="1259">
        <f t="shared" si="13"/>
        <v>0</v>
      </c>
      <c r="AA78" s="1253"/>
      <c r="AB78" s="1260"/>
    </row>
    <row r="79" spans="1:28" ht="23.25">
      <c r="A79" s="922"/>
      <c r="B79" s="924"/>
      <c r="C79" s="72"/>
      <c r="D79" s="921"/>
      <c r="E79" s="921"/>
      <c r="F79" s="921"/>
      <c r="G79" s="923"/>
      <c r="H79" s="922">
        <v>44395</v>
      </c>
      <c r="I79" s="924">
        <v>868.7</v>
      </c>
      <c r="J79" s="72">
        <v>35</v>
      </c>
      <c r="K79" s="921">
        <f t="shared" si="11"/>
        <v>30404.5</v>
      </c>
      <c r="L79" s="921"/>
      <c r="M79" s="1008">
        <f t="shared" si="12"/>
        <v>-501216.79999999993</v>
      </c>
      <c r="V79" s="1256"/>
      <c r="W79" s="1258"/>
      <c r="X79" s="1258"/>
      <c r="Y79" s="1255"/>
      <c r="Z79" s="1259">
        <f t="shared" si="13"/>
        <v>0</v>
      </c>
      <c r="AA79" s="1253"/>
      <c r="AB79" s="1260"/>
    </row>
    <row r="80" spans="1:28" ht="23.25">
      <c r="A80" s="922"/>
      <c r="B80" s="924"/>
      <c r="C80" s="72"/>
      <c r="D80" s="921"/>
      <c r="E80" s="921"/>
      <c r="F80" s="921"/>
      <c r="G80" s="923"/>
      <c r="H80" s="922">
        <v>44415</v>
      </c>
      <c r="I80" s="924">
        <v>1299.55</v>
      </c>
      <c r="J80" s="72">
        <v>35</v>
      </c>
      <c r="K80" s="921">
        <f t="shared" si="11"/>
        <v>45484.25</v>
      </c>
      <c r="L80" s="921"/>
      <c r="M80" s="1008">
        <f t="shared" si="12"/>
        <v>-455732.54999999993</v>
      </c>
      <c r="V80" s="1256"/>
      <c r="W80" s="1258"/>
      <c r="X80" s="1258"/>
      <c r="Y80" s="1255"/>
      <c r="Z80" s="1259">
        <f t="shared" si="13"/>
        <v>0</v>
      </c>
      <c r="AA80" s="1253"/>
      <c r="AB80" s="1260"/>
    </row>
    <row r="81" spans="1:28" ht="23.25">
      <c r="A81" s="922"/>
      <c r="B81" s="924"/>
      <c r="C81" s="72"/>
      <c r="D81" s="921"/>
      <c r="E81" s="921"/>
      <c r="F81" s="921"/>
      <c r="G81" s="923"/>
      <c r="H81" s="922">
        <v>44429</v>
      </c>
      <c r="I81" s="924">
        <v>1548.45</v>
      </c>
      <c r="J81" s="72">
        <v>35</v>
      </c>
      <c r="K81" s="921">
        <f t="shared" si="11"/>
        <v>54195.75</v>
      </c>
      <c r="L81" s="921"/>
      <c r="M81" s="1008">
        <f t="shared" si="12"/>
        <v>-401536.79999999993</v>
      </c>
      <c r="V81" s="1256"/>
      <c r="W81" s="1258"/>
      <c r="X81" s="1258"/>
      <c r="Y81" s="1255"/>
      <c r="Z81" s="1259">
        <f t="shared" si="13"/>
        <v>0</v>
      </c>
      <c r="AA81" s="1253"/>
      <c r="AB81" s="1260"/>
    </row>
    <row r="82" spans="1:28" ht="23.25">
      <c r="A82" s="922"/>
      <c r="B82" s="924"/>
      <c r="C82" s="72"/>
      <c r="D82" s="921"/>
      <c r="E82" s="921"/>
      <c r="F82" s="921"/>
      <c r="G82" s="923"/>
      <c r="H82" s="922">
        <v>44449</v>
      </c>
      <c r="I82" s="924">
        <v>2677.9</v>
      </c>
      <c r="J82" s="72">
        <v>37</v>
      </c>
      <c r="K82" s="921">
        <f t="shared" si="11"/>
        <v>99082.3</v>
      </c>
      <c r="L82" s="921"/>
      <c r="M82" s="1008">
        <f t="shared" si="12"/>
        <v>-302454.49999999994</v>
      </c>
      <c r="V82" s="1256"/>
      <c r="W82" s="1258"/>
      <c r="X82" s="1258"/>
      <c r="Y82" s="1255"/>
      <c r="Z82" s="1259">
        <f t="shared" si="13"/>
        <v>0</v>
      </c>
      <c r="AA82" s="1253"/>
      <c r="AB82" s="1260"/>
    </row>
    <row r="83" spans="1:28" ht="23.25">
      <c r="A83" s="922"/>
      <c r="B83" s="924"/>
      <c r="C83" s="72"/>
      <c r="D83" s="921"/>
      <c r="E83" s="921"/>
      <c r="F83" s="921"/>
      <c r="G83" s="923"/>
      <c r="H83" s="922">
        <v>44459</v>
      </c>
      <c r="I83" s="924">
        <v>1273</v>
      </c>
      <c r="J83" s="72">
        <v>37</v>
      </c>
      <c r="K83" s="921">
        <f t="shared" si="11"/>
        <v>47101</v>
      </c>
      <c r="L83" s="921"/>
      <c r="M83" s="1008">
        <f t="shared" si="12"/>
        <v>-255353.49999999994</v>
      </c>
      <c r="V83" s="1256"/>
      <c r="W83" s="1258"/>
      <c r="X83" s="1258"/>
      <c r="Y83" s="1255"/>
      <c r="Z83" s="1259">
        <f t="shared" si="13"/>
        <v>0</v>
      </c>
      <c r="AA83" s="1253"/>
      <c r="AB83" s="1260"/>
    </row>
    <row r="84" spans="1:28" ht="23.25">
      <c r="A84" s="922"/>
      <c r="B84" s="72">
        <f>SUM(B5:B62)</f>
        <v>19646</v>
      </c>
      <c r="C84" s="72"/>
      <c r="D84" s="921">
        <f>SUM(D5:D62)</f>
        <v>550088</v>
      </c>
      <c r="E84" s="921"/>
      <c r="F84" s="921"/>
      <c r="G84" s="923"/>
      <c r="H84" s="922"/>
      <c r="I84" s="1092">
        <f>SUM(I45:I83)</f>
        <v>52988.069999999985</v>
      </c>
      <c r="J84" s="72"/>
      <c r="K84" s="921">
        <f>SUM(K5:K63)</f>
        <v>2291296.7999999998</v>
      </c>
      <c r="L84" s="921"/>
      <c r="M84" s="1008"/>
      <c r="V84" s="1256"/>
      <c r="W84" s="1257">
        <f>SUM(W5:W62)</f>
        <v>20907.250000000007</v>
      </c>
      <c r="X84" s="1257"/>
      <c r="Y84" s="1255"/>
      <c r="Z84" s="1259">
        <f>SUM(Z5:Z62)</f>
        <v>839134</v>
      </c>
      <c r="AA84" s="1253"/>
      <c r="AB84" s="1260"/>
    </row>
    <row r="85" spans="1:28" ht="23.25" customHeight="1">
      <c r="I85">
        <f>I84/24</f>
        <v>2207.8362499999994</v>
      </c>
    </row>
  </sheetData>
  <mergeCells count="8">
    <mergeCell ref="V3:AB4"/>
    <mergeCell ref="V5:Y5"/>
    <mergeCell ref="A3:F4"/>
    <mergeCell ref="A5:C5"/>
    <mergeCell ref="H3:M4"/>
    <mergeCell ref="H5:J5"/>
    <mergeCell ref="O3:T4"/>
    <mergeCell ref="O5:Q5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"/>
  <sheetViews>
    <sheetView workbookViewId="0">
      <selection sqref="A1:C1"/>
    </sheetView>
  </sheetViews>
  <sheetFormatPr defaultRowHeight="15"/>
  <cols>
    <col min="1" max="2" width="15.7109375" style="2" customWidth="1"/>
    <col min="3" max="3" width="16.28515625" style="2" hidden="1" customWidth="1"/>
    <col min="4" max="4" width="15.7109375" style="2" hidden="1" customWidth="1"/>
    <col min="5" max="5" width="16.28515625" style="2" bestFit="1" customWidth="1"/>
    <col min="6" max="6" width="15.7109375" style="2" customWidth="1"/>
    <col min="7" max="8" width="15.7109375" style="2" hidden="1" customWidth="1"/>
    <col min="9" max="9" width="15.7109375" style="1055" customWidth="1"/>
    <col min="10" max="10" width="15.7109375" style="2" customWidth="1"/>
    <col min="11" max="11" width="9.140625" style="2"/>
    <col min="12" max="21" width="15.7109375" style="2" customWidth="1"/>
    <col min="22" max="16384" width="9.140625" style="2"/>
  </cols>
  <sheetData>
    <row r="1" spans="1:21" ht="23.25">
      <c r="A1" s="1544"/>
      <c r="B1" s="1544"/>
      <c r="C1" s="1544"/>
      <c r="D1" s="923"/>
      <c r="E1" s="923"/>
      <c r="F1" s="923"/>
      <c r="G1" s="1050"/>
    </row>
    <row r="2" spans="1:21" ht="23.25">
      <c r="A2" s="1051"/>
      <c r="B2" s="1052"/>
      <c r="C2" s="1052"/>
      <c r="D2" s="923"/>
      <c r="E2" s="923"/>
      <c r="F2" s="923"/>
      <c r="G2" s="1050"/>
    </row>
    <row r="3" spans="1:21" s="1054" customFormat="1" ht="18.75">
      <c r="A3" s="1539" t="s">
        <v>315</v>
      </c>
      <c r="B3" s="1539"/>
      <c r="C3" s="1545" t="s">
        <v>316</v>
      </c>
      <c r="D3" s="1545"/>
      <c r="E3" s="1546" t="s">
        <v>317</v>
      </c>
      <c r="F3" s="1546"/>
      <c r="G3" s="1547" t="s">
        <v>318</v>
      </c>
      <c r="H3" s="1547"/>
      <c r="I3" s="1539" t="s">
        <v>319</v>
      </c>
      <c r="J3" s="1539"/>
      <c r="L3" s="1540"/>
      <c r="M3" s="1540"/>
      <c r="N3" s="1541"/>
      <c r="O3" s="1541"/>
      <c r="P3" s="1542"/>
      <c r="Q3" s="1542"/>
      <c r="R3" s="1543"/>
      <c r="S3" s="1543"/>
      <c r="T3" s="1538"/>
      <c r="U3" s="1538"/>
    </row>
    <row r="4" spans="1:21" ht="18.75">
      <c r="A4" s="1057">
        <v>44018</v>
      </c>
      <c r="B4" s="1058">
        <v>93.3</v>
      </c>
      <c r="C4" s="1059"/>
      <c r="D4" s="1060"/>
      <c r="E4" s="1057">
        <v>44059</v>
      </c>
      <c r="F4" s="1060">
        <v>203.49</v>
      </c>
      <c r="G4" s="1061"/>
      <c r="H4" s="1060"/>
      <c r="I4" s="1057">
        <v>44074</v>
      </c>
      <c r="J4" s="1060">
        <v>115.38</v>
      </c>
      <c r="K4" s="1245">
        <v>1</v>
      </c>
      <c r="L4" s="1055">
        <v>39804</v>
      </c>
      <c r="M4" s="2">
        <v>4418</v>
      </c>
    </row>
    <row r="5" spans="1:21" ht="18.75">
      <c r="A5" s="1057">
        <v>44021</v>
      </c>
      <c r="B5" s="1058">
        <v>244.54</v>
      </c>
      <c r="C5" s="1058"/>
      <c r="D5" s="1060"/>
      <c r="E5" s="1057">
        <v>44060</v>
      </c>
      <c r="F5" s="1060">
        <v>210.94</v>
      </c>
      <c r="G5" s="1061"/>
      <c r="H5" s="1060"/>
      <c r="I5" s="1057">
        <v>44079</v>
      </c>
      <c r="J5" s="1060">
        <v>267.39999999999998</v>
      </c>
      <c r="K5" s="1245">
        <v>2</v>
      </c>
      <c r="L5" s="1055">
        <v>39823</v>
      </c>
      <c r="M5" s="2">
        <v>14720</v>
      </c>
    </row>
    <row r="6" spans="1:21" ht="18.75">
      <c r="A6" s="1057">
        <v>44023</v>
      </c>
      <c r="B6" s="1058">
        <v>295.25</v>
      </c>
      <c r="C6" s="1058"/>
      <c r="D6" s="1060"/>
      <c r="E6" s="1057">
        <v>44088</v>
      </c>
      <c r="F6" s="1060">
        <v>78.8</v>
      </c>
      <c r="G6" s="1061"/>
      <c r="H6" s="1060"/>
      <c r="I6" s="1057">
        <v>44086</v>
      </c>
      <c r="J6" s="1060">
        <v>188.1</v>
      </c>
      <c r="K6" s="1245">
        <v>3</v>
      </c>
      <c r="L6" s="1055">
        <v>39854</v>
      </c>
      <c r="M6" s="2">
        <v>14716</v>
      </c>
    </row>
    <row r="7" spans="1:21" ht="18.75">
      <c r="A7" s="1057">
        <v>44028</v>
      </c>
      <c r="B7" s="1058">
        <v>311.8</v>
      </c>
      <c r="C7" s="1058"/>
      <c r="D7" s="1060"/>
      <c r="E7" s="1057">
        <v>44138</v>
      </c>
      <c r="F7" s="1060">
        <v>275.87</v>
      </c>
      <c r="G7" s="1061"/>
      <c r="H7" s="1060"/>
      <c r="I7" s="1057">
        <v>44086</v>
      </c>
      <c r="J7" s="1060">
        <v>118</v>
      </c>
      <c r="K7" s="1246">
        <v>4</v>
      </c>
      <c r="L7" s="1055">
        <v>39881</v>
      </c>
      <c r="M7" s="19">
        <v>14720</v>
      </c>
    </row>
    <row r="8" spans="1:21" ht="18.75">
      <c r="A8" s="1057">
        <v>44079</v>
      </c>
      <c r="B8" s="1058">
        <v>60</v>
      </c>
      <c r="C8" s="1058"/>
      <c r="D8" s="1060"/>
      <c r="E8" s="1057">
        <v>44139</v>
      </c>
      <c r="F8" s="1060">
        <v>384.3</v>
      </c>
      <c r="G8" s="1061"/>
      <c r="H8" s="1060"/>
      <c r="I8" s="1057">
        <v>44088</v>
      </c>
      <c r="J8" s="1060">
        <v>234.85</v>
      </c>
      <c r="K8" s="1246">
        <v>5</v>
      </c>
      <c r="L8" s="1055">
        <v>39913</v>
      </c>
      <c r="M8" s="19">
        <v>14720</v>
      </c>
    </row>
    <row r="9" spans="1:21" ht="18.75">
      <c r="A9" s="1057">
        <v>44088</v>
      </c>
      <c r="B9" s="1058">
        <v>245.9</v>
      </c>
      <c r="C9" s="1058"/>
      <c r="D9" s="1060"/>
      <c r="E9" s="1057">
        <v>44145</v>
      </c>
      <c r="F9" s="1060">
        <v>321.10000000000002</v>
      </c>
      <c r="G9" s="1061"/>
      <c r="H9" s="1060"/>
      <c r="I9" s="1057">
        <v>44097</v>
      </c>
      <c r="J9" s="1060">
        <v>210.52</v>
      </c>
      <c r="K9" s="1246">
        <v>6</v>
      </c>
      <c r="L9" s="1055">
        <v>39947</v>
      </c>
      <c r="M9" s="19">
        <v>14720</v>
      </c>
    </row>
    <row r="10" spans="1:21" ht="18.75">
      <c r="A10" s="1057">
        <v>44110</v>
      </c>
      <c r="B10" s="1058">
        <v>205.35</v>
      </c>
      <c r="C10" s="1058"/>
      <c r="D10" s="1060"/>
      <c r="E10" s="1057">
        <v>44156</v>
      </c>
      <c r="F10" s="1060">
        <v>73.400000000000006</v>
      </c>
      <c r="G10" s="1061"/>
      <c r="H10" s="1060"/>
      <c r="I10" s="1057">
        <v>44097</v>
      </c>
      <c r="J10" s="1060">
        <v>125.8</v>
      </c>
      <c r="K10" s="1246">
        <v>7</v>
      </c>
      <c r="L10" s="1055">
        <v>40002</v>
      </c>
      <c r="M10" s="19">
        <v>29440</v>
      </c>
    </row>
    <row r="11" spans="1:21" ht="18.75">
      <c r="A11" s="1057">
        <v>44117</v>
      </c>
      <c r="B11" s="1058">
        <v>68.44</v>
      </c>
      <c r="C11" s="1058"/>
      <c r="D11" s="1060"/>
      <c r="E11" s="1057"/>
      <c r="F11" s="1060"/>
      <c r="G11" s="1061"/>
      <c r="H11" s="1060"/>
      <c r="I11" s="1057">
        <v>44100</v>
      </c>
      <c r="J11" s="1060">
        <v>313.66000000000003</v>
      </c>
      <c r="K11" s="1246">
        <v>8</v>
      </c>
      <c r="L11" s="1055">
        <v>40038</v>
      </c>
      <c r="M11" s="19">
        <v>13100</v>
      </c>
    </row>
    <row r="12" spans="1:21" ht="18.75">
      <c r="A12" s="1057">
        <v>44131</v>
      </c>
      <c r="B12" s="1058">
        <v>277.10000000000002</v>
      </c>
      <c r="C12" s="1058"/>
      <c r="D12" s="1060"/>
      <c r="E12" s="1057"/>
      <c r="F12" s="1060"/>
      <c r="G12" s="1061"/>
      <c r="H12" s="1060"/>
      <c r="I12" s="1057">
        <v>44100</v>
      </c>
      <c r="J12" s="1060">
        <v>345.8</v>
      </c>
      <c r="K12" s="1246">
        <v>9</v>
      </c>
      <c r="L12" s="1055">
        <v>40060</v>
      </c>
      <c r="M12" s="19">
        <v>13120</v>
      </c>
    </row>
    <row r="13" spans="1:21" ht="18.75">
      <c r="A13" s="1057">
        <v>44144</v>
      </c>
      <c r="B13" s="1058">
        <v>567.5</v>
      </c>
      <c r="C13" s="1058"/>
      <c r="D13" s="1060"/>
      <c r="E13" s="1057"/>
      <c r="F13" s="1060"/>
      <c r="G13" s="1061"/>
      <c r="H13" s="1060"/>
      <c r="I13" s="1057">
        <v>44110</v>
      </c>
      <c r="J13" s="1060">
        <v>223.02</v>
      </c>
      <c r="K13" s="1246">
        <v>10</v>
      </c>
      <c r="L13" s="1055">
        <v>40098</v>
      </c>
      <c r="M13" s="19">
        <v>13120</v>
      </c>
    </row>
    <row r="14" spans="1:21" ht="18.75">
      <c r="A14" s="1057">
        <v>44167</v>
      </c>
      <c r="B14" s="1058">
        <v>77.62</v>
      </c>
      <c r="C14" s="1058"/>
      <c r="D14" s="1060"/>
      <c r="E14" s="1057"/>
      <c r="F14" s="1060"/>
      <c r="G14" s="1061"/>
      <c r="H14" s="1060"/>
      <c r="I14" s="1057">
        <v>44110</v>
      </c>
      <c r="J14" s="1060">
        <v>194.78</v>
      </c>
      <c r="K14" s="1246">
        <v>11</v>
      </c>
      <c r="L14" s="1055">
        <v>40130</v>
      </c>
      <c r="M14" s="19">
        <v>13120</v>
      </c>
    </row>
    <row r="15" spans="1:21" ht="18.75">
      <c r="A15" s="1057">
        <v>44174</v>
      </c>
      <c r="B15" s="1058">
        <v>386.75</v>
      </c>
      <c r="C15" s="1058"/>
      <c r="D15" s="1060"/>
      <c r="E15" s="1057"/>
      <c r="F15" s="1060"/>
      <c r="G15" s="1061"/>
      <c r="H15" s="1060"/>
      <c r="I15" s="1057">
        <v>44117</v>
      </c>
      <c r="J15" s="1060">
        <v>263.75</v>
      </c>
      <c r="K15" s="1246">
        <v>12</v>
      </c>
      <c r="L15" s="1055">
        <v>40158</v>
      </c>
      <c r="M15" s="19">
        <v>13120</v>
      </c>
    </row>
    <row r="16" spans="1:21" ht="18.75">
      <c r="A16" s="1057"/>
      <c r="B16" s="1058"/>
      <c r="C16" s="1058"/>
      <c r="D16" s="1060"/>
      <c r="E16" s="1057"/>
      <c r="F16" s="1060"/>
      <c r="G16" s="1061"/>
      <c r="H16" s="1060"/>
      <c r="I16" s="1057">
        <v>44128</v>
      </c>
      <c r="J16" s="1060">
        <v>141.15</v>
      </c>
      <c r="K16" s="1246">
        <v>13</v>
      </c>
      <c r="L16" s="1055">
        <v>40192</v>
      </c>
      <c r="M16" s="19">
        <v>13120</v>
      </c>
    </row>
    <row r="17" spans="1:13" ht="18.75">
      <c r="A17" s="1057"/>
      <c r="B17" s="1058"/>
      <c r="C17" s="1058"/>
      <c r="D17" s="1060"/>
      <c r="E17" s="1057"/>
      <c r="F17" s="1060"/>
      <c r="G17" s="1061"/>
      <c r="H17" s="1060"/>
      <c r="I17" s="1057">
        <v>44131</v>
      </c>
      <c r="J17" s="1060">
        <v>292.18</v>
      </c>
      <c r="K17" s="1246">
        <v>14</v>
      </c>
      <c r="L17" s="1055">
        <v>40218</v>
      </c>
      <c r="M17" s="19">
        <v>13120</v>
      </c>
    </row>
    <row r="18" spans="1:13" ht="18.75">
      <c r="A18" s="1057"/>
      <c r="B18" s="1058"/>
      <c r="C18" s="1058"/>
      <c r="D18" s="1060"/>
      <c r="E18" s="1057"/>
      <c r="F18" s="1060"/>
      <c r="G18" s="1061"/>
      <c r="H18" s="1060"/>
      <c r="I18" s="1057">
        <v>44131</v>
      </c>
      <c r="J18" s="1060">
        <v>215.62</v>
      </c>
      <c r="K18" s="1246">
        <v>15</v>
      </c>
      <c r="L18" s="1055">
        <v>40249</v>
      </c>
      <c r="M18" s="19">
        <v>13120</v>
      </c>
    </row>
    <row r="19" spans="1:13" ht="18.75">
      <c r="A19" s="1057"/>
      <c r="B19" s="1058"/>
      <c r="C19" s="1058"/>
      <c r="D19" s="1060"/>
      <c r="E19" s="1057"/>
      <c r="F19" s="1060"/>
      <c r="G19" s="1061"/>
      <c r="H19" s="1060"/>
      <c r="I19" s="1057">
        <v>44139</v>
      </c>
      <c r="J19" s="1060">
        <v>50.1</v>
      </c>
      <c r="K19" s="1246">
        <v>16</v>
      </c>
      <c r="L19" s="1055">
        <v>40278</v>
      </c>
      <c r="M19" s="19">
        <v>13120</v>
      </c>
    </row>
    <row r="20" spans="1:13" ht="18.75">
      <c r="A20" s="1057"/>
      <c r="B20" s="1058"/>
      <c r="C20" s="1058"/>
      <c r="D20" s="1060"/>
      <c r="E20" s="1057"/>
      <c r="F20" s="1060"/>
      <c r="G20" s="1061"/>
      <c r="H20" s="1060"/>
      <c r="I20" s="1057">
        <v>44144</v>
      </c>
      <c r="J20" s="1060">
        <v>284.10000000000002</v>
      </c>
      <c r="K20" s="1246">
        <v>17</v>
      </c>
      <c r="L20" s="1055">
        <v>40308</v>
      </c>
      <c r="M20" s="19">
        <v>13120</v>
      </c>
    </row>
    <row r="21" spans="1:13" ht="18.75">
      <c r="A21" s="1057"/>
      <c r="B21" s="1058"/>
      <c r="C21" s="1058"/>
      <c r="D21" s="1060"/>
      <c r="E21" s="1057"/>
      <c r="F21" s="1060"/>
      <c r="G21" s="1061"/>
      <c r="H21" s="1060"/>
      <c r="I21" s="1057">
        <v>44145</v>
      </c>
      <c r="J21" s="1060">
        <v>524.75</v>
      </c>
      <c r="K21" s="1246">
        <v>18</v>
      </c>
      <c r="L21" s="1055">
        <v>40343</v>
      </c>
      <c r="M21" s="19">
        <v>13120</v>
      </c>
    </row>
    <row r="22" spans="1:13" ht="18.75">
      <c r="A22" s="1057"/>
      <c r="B22" s="1058"/>
      <c r="C22" s="1058"/>
      <c r="D22" s="1060"/>
      <c r="E22" s="1057"/>
      <c r="F22" s="1060"/>
      <c r="G22" s="1061"/>
      <c r="H22" s="1060"/>
      <c r="I22" s="1057">
        <v>44149</v>
      </c>
      <c r="J22" s="1060">
        <v>924.35</v>
      </c>
      <c r="L22" s="1055"/>
    </row>
    <row r="23" spans="1:13" ht="18.75">
      <c r="A23" s="1057"/>
      <c r="B23" s="1058"/>
      <c r="C23" s="1058"/>
      <c r="D23" s="1060"/>
      <c r="E23" s="1057"/>
      <c r="F23" s="1060"/>
      <c r="G23" s="1061"/>
      <c r="H23" s="1060"/>
      <c r="I23" s="1057">
        <v>44156</v>
      </c>
      <c r="J23" s="1060">
        <v>55.53</v>
      </c>
      <c r="L23" s="1055"/>
    </row>
    <row r="24" spans="1:13" ht="18.75">
      <c r="A24" s="1057"/>
      <c r="B24" s="1058"/>
      <c r="C24" s="1058"/>
      <c r="D24" s="1060"/>
      <c r="E24" s="1057"/>
      <c r="F24" s="1060"/>
      <c r="G24" s="1061"/>
      <c r="H24" s="1060"/>
      <c r="I24" s="1057">
        <v>44156</v>
      </c>
      <c r="J24" s="1060">
        <v>297.87</v>
      </c>
      <c r="L24" s="1055"/>
    </row>
    <row r="25" spans="1:13" ht="18.75">
      <c r="A25" s="1057"/>
      <c r="B25" s="1058"/>
      <c r="C25" s="1058"/>
      <c r="D25" s="1060"/>
      <c r="E25" s="1060"/>
      <c r="F25" s="1060"/>
      <c r="G25" s="1061"/>
      <c r="H25" s="1060"/>
      <c r="I25" s="1057">
        <v>44163</v>
      </c>
      <c r="J25" s="1060">
        <v>80</v>
      </c>
      <c r="L25" s="1055"/>
    </row>
    <row r="26" spans="1:13" ht="18.75">
      <c r="A26" s="1057"/>
      <c r="B26" s="1058"/>
      <c r="C26" s="1058"/>
      <c r="D26" s="1060"/>
      <c r="E26" s="1060"/>
      <c r="F26" s="1060"/>
      <c r="G26" s="1061"/>
      <c r="H26" s="1060"/>
      <c r="I26" s="1057">
        <v>44166</v>
      </c>
      <c r="J26" s="1060">
        <v>487.8</v>
      </c>
      <c r="L26" s="1055"/>
    </row>
    <row r="27" spans="1:13" ht="18.75">
      <c r="A27" s="1057"/>
      <c r="B27" s="1058"/>
      <c r="C27" s="1058"/>
      <c r="D27" s="1060"/>
      <c r="E27" s="1060"/>
      <c r="F27" s="1060"/>
      <c r="G27" s="1061"/>
      <c r="H27" s="1060"/>
      <c r="I27" s="1057">
        <v>44179</v>
      </c>
      <c r="J27" s="1060">
        <v>119.8</v>
      </c>
      <c r="L27" s="1055"/>
    </row>
    <row r="28" spans="1:13" ht="23.25">
      <c r="A28" s="922"/>
      <c r="B28" s="72"/>
      <c r="C28" s="72"/>
      <c r="D28" s="921"/>
      <c r="E28" s="921"/>
      <c r="F28" s="921"/>
      <c r="G28" s="1008"/>
      <c r="H28" s="6"/>
      <c r="I28" s="1056">
        <v>44180</v>
      </c>
      <c r="J28" s="6">
        <v>541.79</v>
      </c>
    </row>
    <row r="29" spans="1:13" ht="23.25">
      <c r="A29" s="922"/>
      <c r="B29" s="72"/>
      <c r="C29" s="72"/>
      <c r="D29" s="921"/>
      <c r="E29" s="921"/>
      <c r="F29" s="921"/>
      <c r="G29" s="1008"/>
      <c r="H29" s="6"/>
      <c r="I29" s="1056"/>
      <c r="J29" s="6"/>
    </row>
    <row r="30" spans="1:13" ht="23.25">
      <c r="A30" s="922"/>
      <c r="B30" s="72"/>
      <c r="C30" s="72"/>
      <c r="D30" s="921"/>
      <c r="E30" s="921"/>
      <c r="F30" s="921"/>
      <c r="G30" s="1008"/>
      <c r="H30" s="6"/>
      <c r="I30" s="1056"/>
      <c r="J30" s="6"/>
    </row>
    <row r="31" spans="1:13" ht="23.25">
      <c r="A31" s="922"/>
      <c r="B31" s="72">
        <f>SUM(B4:B30)</f>
        <v>2833.5499999999997</v>
      </c>
      <c r="C31" s="72"/>
      <c r="D31" s="921"/>
      <c r="E31" s="921"/>
      <c r="F31" s="72">
        <f>SUM(F4:F30)</f>
        <v>1547.9</v>
      </c>
      <c r="G31" s="1008"/>
      <c r="H31" s="6"/>
      <c r="I31" s="1056"/>
      <c r="J31" s="72">
        <f>SUM(J4:J30)</f>
        <v>6616.1</v>
      </c>
      <c r="L31" s="2" t="s">
        <v>1</v>
      </c>
    </row>
    <row r="32" spans="1:13" ht="23.25">
      <c r="A32" s="922"/>
      <c r="B32" s="72"/>
      <c r="C32" s="72"/>
      <c r="D32" s="921"/>
      <c r="E32" s="921"/>
      <c r="F32" s="921"/>
      <c r="G32" s="1008"/>
      <c r="H32" s="6"/>
      <c r="I32" s="1056"/>
      <c r="J32" s="6"/>
    </row>
    <row r="33" spans="1:10" ht="23.25">
      <c r="A33" s="922"/>
      <c r="B33" s="72"/>
      <c r="C33" s="72"/>
      <c r="D33" s="921"/>
      <c r="E33" s="921"/>
      <c r="F33" s="921"/>
      <c r="G33" s="1008"/>
      <c r="H33" s="6"/>
      <c r="I33" s="1056"/>
      <c r="J33" s="6"/>
    </row>
    <row r="34" spans="1:10" ht="23.25">
      <c r="A34" s="922"/>
      <c r="B34" s="72"/>
      <c r="C34" s="72"/>
      <c r="D34" s="921"/>
      <c r="E34" s="921"/>
      <c r="F34" s="921"/>
      <c r="G34" s="1008"/>
      <c r="H34" s="6"/>
      <c r="I34" s="1056"/>
      <c r="J34" s="6"/>
    </row>
    <row r="35" spans="1:10" ht="23.25">
      <c r="A35" s="1051"/>
      <c r="B35" s="1052"/>
      <c r="C35" s="1052"/>
      <c r="D35" s="923"/>
      <c r="E35" s="923"/>
      <c r="F35" s="923"/>
      <c r="G35" s="1050"/>
    </row>
    <row r="36" spans="1:10" ht="23.25">
      <c r="A36" s="1051"/>
      <c r="B36" s="1052"/>
      <c r="C36" s="1052"/>
      <c r="D36" s="923"/>
      <c r="E36" s="923"/>
      <c r="F36" s="923"/>
      <c r="G36" s="1050"/>
    </row>
    <row r="37" spans="1:10" ht="23.25">
      <c r="A37" s="1051"/>
      <c r="B37" s="1052"/>
      <c r="C37" s="1052"/>
      <c r="D37" s="923"/>
      <c r="E37" s="923"/>
      <c r="F37" s="923"/>
      <c r="G37" s="1050"/>
    </row>
    <row r="38" spans="1:10" ht="23.25">
      <c r="A38" s="1051"/>
      <c r="B38" s="1052"/>
      <c r="C38" s="1052"/>
      <c r="D38" s="923"/>
      <c r="E38" s="923"/>
      <c r="F38" s="923"/>
      <c r="G38" s="1050"/>
    </row>
    <row r="39" spans="1:10" ht="23.25">
      <c r="A39" s="1051"/>
      <c r="B39" s="1052"/>
      <c r="C39" s="1052"/>
      <c r="D39" s="923"/>
      <c r="E39" s="923"/>
      <c r="F39" s="923"/>
      <c r="G39" s="1050"/>
    </row>
    <row r="40" spans="1:10" ht="23.25">
      <c r="A40" s="1051"/>
      <c r="B40" s="1052"/>
      <c r="C40" s="1052"/>
      <c r="D40" s="923"/>
      <c r="E40" s="923"/>
      <c r="F40" s="923"/>
      <c r="G40" s="1050"/>
    </row>
    <row r="41" spans="1:10" ht="23.25">
      <c r="A41" s="1051"/>
      <c r="B41" s="1052"/>
      <c r="C41" s="1052"/>
      <c r="D41" s="923"/>
      <c r="E41" s="923"/>
      <c r="F41" s="923"/>
      <c r="G41" s="1050"/>
    </row>
    <row r="42" spans="1:10" ht="23.25">
      <c r="A42" s="1051"/>
      <c r="B42" s="1052"/>
      <c r="C42" s="1052"/>
      <c r="D42" s="923"/>
      <c r="E42" s="923"/>
      <c r="F42" s="923"/>
      <c r="G42" s="1050"/>
    </row>
    <row r="43" spans="1:10" ht="23.25">
      <c r="A43" s="1051"/>
      <c r="B43" s="1052"/>
      <c r="C43" s="1052"/>
      <c r="D43" s="923"/>
      <c r="E43" s="923"/>
      <c r="F43" s="923"/>
      <c r="G43" s="1050"/>
    </row>
    <row r="44" spans="1:10" ht="23.25">
      <c r="A44" s="1051"/>
      <c r="B44" s="1052"/>
      <c r="C44" s="1052"/>
      <c r="D44" s="923"/>
      <c r="E44" s="923"/>
      <c r="F44" s="923"/>
      <c r="G44" s="1050"/>
    </row>
    <row r="45" spans="1:10" ht="23.25">
      <c r="A45" s="1051"/>
      <c r="B45" s="1052"/>
      <c r="C45" s="1052"/>
      <c r="D45" s="923"/>
      <c r="E45" s="923"/>
      <c r="F45" s="923"/>
      <c r="G45" s="1050"/>
    </row>
    <row r="46" spans="1:10" ht="23.25">
      <c r="A46" s="1051"/>
      <c r="B46" s="1052"/>
      <c r="C46" s="1052"/>
      <c r="D46" s="923"/>
      <c r="E46" s="923"/>
      <c r="F46" s="923"/>
      <c r="G46" s="1050"/>
    </row>
    <row r="47" spans="1:10" ht="23.25">
      <c r="A47" s="1051"/>
      <c r="B47" s="1052"/>
      <c r="C47" s="1052"/>
      <c r="D47" s="923"/>
      <c r="E47" s="923"/>
      <c r="F47" s="923"/>
      <c r="G47" s="1050"/>
    </row>
    <row r="48" spans="1:10" ht="23.25">
      <c r="A48" s="1051"/>
      <c r="B48" s="1052"/>
      <c r="C48" s="1052"/>
      <c r="D48" s="923"/>
      <c r="E48" s="923"/>
      <c r="F48" s="923"/>
      <c r="G48" s="1050"/>
    </row>
    <row r="49" spans="1:7" ht="23.25">
      <c r="A49" s="1051"/>
      <c r="B49" s="1052"/>
      <c r="C49" s="1052"/>
      <c r="D49" s="923"/>
      <c r="E49" s="923"/>
      <c r="F49" s="923"/>
      <c r="G49" s="1050"/>
    </row>
    <row r="50" spans="1:7" ht="23.25">
      <c r="A50" s="1051"/>
      <c r="B50" s="1052"/>
      <c r="C50" s="1052"/>
      <c r="D50" s="923"/>
      <c r="E50" s="923"/>
      <c r="F50" s="923"/>
      <c r="G50" s="1050"/>
    </row>
    <row r="51" spans="1:7" ht="23.25">
      <c r="A51" s="1051"/>
      <c r="B51" s="1052"/>
      <c r="C51" s="1052"/>
      <c r="D51" s="923"/>
      <c r="E51" s="923"/>
      <c r="F51" s="923"/>
      <c r="G51" s="1050"/>
    </row>
    <row r="52" spans="1:7" ht="23.25">
      <c r="A52" s="1051"/>
      <c r="B52" s="1052"/>
      <c r="C52" s="1052"/>
      <c r="D52" s="923"/>
      <c r="E52" s="923"/>
      <c r="F52" s="923"/>
      <c r="G52" s="1050"/>
    </row>
    <row r="53" spans="1:7" ht="23.25">
      <c r="A53" s="1051"/>
      <c r="B53" s="1052"/>
      <c r="C53" s="1052"/>
      <c r="D53" s="923"/>
      <c r="E53" s="923"/>
      <c r="F53" s="923"/>
      <c r="G53" s="1050"/>
    </row>
    <row r="54" spans="1:7" ht="23.25">
      <c r="A54" s="1051"/>
      <c r="B54" s="1052"/>
      <c r="C54" s="1052"/>
      <c r="D54" s="923"/>
      <c r="E54" s="923"/>
      <c r="F54" s="923"/>
      <c r="G54" s="1050"/>
    </row>
    <row r="55" spans="1:7" ht="23.25">
      <c r="A55" s="1051"/>
      <c r="B55" s="1052"/>
      <c r="C55" s="1052"/>
      <c r="D55" s="923"/>
      <c r="E55" s="923"/>
      <c r="F55" s="923"/>
      <c r="G55" s="1050"/>
    </row>
    <row r="56" spans="1:7" ht="23.25">
      <c r="A56" s="1051"/>
      <c r="B56" s="1052"/>
      <c r="C56" s="1052"/>
      <c r="D56" s="923"/>
      <c r="E56" s="923"/>
      <c r="F56" s="923"/>
      <c r="G56" s="1050"/>
    </row>
    <row r="57" spans="1:7" ht="23.25">
      <c r="A57" s="1051"/>
      <c r="B57" s="1052"/>
      <c r="C57" s="1052"/>
      <c r="D57" s="923"/>
      <c r="E57" s="923"/>
      <c r="F57" s="923"/>
      <c r="G57" s="1050"/>
    </row>
    <row r="58" spans="1:7" ht="23.25">
      <c r="A58" s="1051"/>
      <c r="B58" s="1052"/>
      <c r="C58" s="1052"/>
      <c r="D58" s="923"/>
      <c r="E58" s="923"/>
      <c r="F58" s="923"/>
      <c r="G58" s="1050"/>
    </row>
    <row r="59" spans="1:7" ht="23.25">
      <c r="A59" s="1051"/>
      <c r="B59" s="1052"/>
      <c r="C59" s="1052"/>
      <c r="D59" s="923"/>
      <c r="E59" s="923"/>
      <c r="F59" s="923"/>
      <c r="G59" s="1050"/>
    </row>
    <row r="60" spans="1:7" ht="23.25">
      <c r="A60" s="1051"/>
      <c r="B60" s="1053"/>
      <c r="C60" s="1052"/>
      <c r="D60" s="923"/>
      <c r="E60" s="923"/>
      <c r="F60" s="923"/>
      <c r="G60" s="1050"/>
    </row>
    <row r="61" spans="1:7" ht="23.25">
      <c r="A61" s="1051"/>
      <c r="B61" s="1052"/>
      <c r="C61" s="1052"/>
      <c r="D61" s="923"/>
      <c r="E61" s="923"/>
      <c r="F61" s="923"/>
      <c r="G61" s="1050"/>
    </row>
  </sheetData>
  <mergeCells count="11">
    <mergeCell ref="A1:C1"/>
    <mergeCell ref="A3:B3"/>
    <mergeCell ref="C3:D3"/>
    <mergeCell ref="E3:F3"/>
    <mergeCell ref="G3:H3"/>
    <mergeCell ref="T3:U3"/>
    <mergeCell ref="I3:J3"/>
    <mergeCell ref="L3:M3"/>
    <mergeCell ref="N3:O3"/>
    <mergeCell ref="P3:Q3"/>
    <mergeCell ref="R3:S3"/>
  </mergeCells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45"/>
  <sheetViews>
    <sheetView topLeftCell="A10" workbookViewId="0">
      <selection activeCell="D27" sqref="D27"/>
    </sheetView>
  </sheetViews>
  <sheetFormatPr defaultRowHeight="15"/>
  <cols>
    <col min="2" max="2" width="10.140625" bestFit="1" customWidth="1"/>
    <col min="4" max="5" width="12" customWidth="1"/>
    <col min="6" max="6" width="16.28515625" bestFit="1" customWidth="1"/>
    <col min="7" max="7" width="22" bestFit="1" customWidth="1"/>
    <col min="8" max="8" width="14.28515625" customWidth="1"/>
    <col min="9" max="9" width="20.5703125" customWidth="1"/>
    <col min="10" max="11" width="9.7109375" bestFit="1" customWidth="1"/>
  </cols>
  <sheetData>
    <row r="4" spans="1:11">
      <c r="A4">
        <v>1</v>
      </c>
      <c r="B4" s="1001">
        <v>43900</v>
      </c>
      <c r="C4" s="1002">
        <v>50000</v>
      </c>
      <c r="D4">
        <v>50000</v>
      </c>
      <c r="F4" s="959" t="s">
        <v>380</v>
      </c>
      <c r="G4" s="920" t="s">
        <v>370</v>
      </c>
      <c r="H4" t="s">
        <v>69</v>
      </c>
    </row>
    <row r="5" spans="1:11">
      <c r="A5">
        <v>2</v>
      </c>
      <c r="B5" s="1001">
        <v>43931</v>
      </c>
      <c r="C5" s="1002">
        <v>50000</v>
      </c>
      <c r="D5">
        <v>50000</v>
      </c>
      <c r="F5" s="959"/>
      <c r="G5" s="920"/>
      <c r="J5" s="920"/>
      <c r="K5" s="1004"/>
    </row>
    <row r="6" spans="1:11">
      <c r="A6">
        <v>3</v>
      </c>
      <c r="B6" s="1001">
        <v>43961</v>
      </c>
      <c r="C6" s="1002">
        <v>50000</v>
      </c>
      <c r="D6">
        <v>50000</v>
      </c>
      <c r="F6" s="959" t="s">
        <v>381</v>
      </c>
      <c r="G6" s="920" t="s">
        <v>371</v>
      </c>
      <c r="H6" t="s">
        <v>372</v>
      </c>
      <c r="I6" s="1229" t="s">
        <v>373</v>
      </c>
      <c r="J6" s="920"/>
      <c r="K6" s="1004"/>
    </row>
    <row r="7" spans="1:11">
      <c r="A7">
        <v>4</v>
      </c>
      <c r="B7" s="1001">
        <v>43992</v>
      </c>
      <c r="C7" s="1002">
        <v>50000</v>
      </c>
      <c r="D7">
        <v>50000</v>
      </c>
      <c r="F7" s="959" t="s">
        <v>381</v>
      </c>
      <c r="G7" s="920" t="s">
        <v>371</v>
      </c>
      <c r="H7" t="s">
        <v>374</v>
      </c>
      <c r="I7" s="1229" t="s">
        <v>375</v>
      </c>
      <c r="J7" s="920"/>
      <c r="K7" s="1004"/>
    </row>
    <row r="8" spans="1:11">
      <c r="A8">
        <v>5</v>
      </c>
      <c r="B8" s="1001">
        <v>44022</v>
      </c>
      <c r="C8" s="1002">
        <v>50000</v>
      </c>
      <c r="D8">
        <v>50000</v>
      </c>
      <c r="F8" s="959"/>
      <c r="G8" s="920"/>
      <c r="I8" s="1229"/>
      <c r="J8" s="920"/>
      <c r="K8" s="1004"/>
    </row>
    <row r="9" spans="1:11">
      <c r="A9">
        <v>6</v>
      </c>
      <c r="B9" s="1001">
        <v>44053</v>
      </c>
      <c r="C9" s="1002">
        <v>50000</v>
      </c>
      <c r="D9">
        <v>50000</v>
      </c>
      <c r="F9" s="959" t="s">
        <v>376</v>
      </c>
      <c r="G9" s="920" t="s">
        <v>379</v>
      </c>
      <c r="H9" t="s">
        <v>378</v>
      </c>
      <c r="I9" s="1229" t="s">
        <v>377</v>
      </c>
      <c r="J9" s="920"/>
      <c r="K9" s="1004"/>
    </row>
    <row r="10" spans="1:11">
      <c r="A10">
        <v>7</v>
      </c>
      <c r="B10" s="1001">
        <v>44084</v>
      </c>
      <c r="C10" s="1002">
        <v>50000</v>
      </c>
      <c r="D10">
        <v>50000</v>
      </c>
      <c r="F10" s="959"/>
      <c r="G10" s="920"/>
      <c r="I10" s="1229"/>
      <c r="J10" s="920"/>
      <c r="K10" s="1004"/>
    </row>
    <row r="11" spans="1:11">
      <c r="A11">
        <v>8</v>
      </c>
      <c r="B11" s="1001">
        <v>44114</v>
      </c>
      <c r="C11" s="1002">
        <v>50000</v>
      </c>
      <c r="D11">
        <v>50000</v>
      </c>
      <c r="F11" s="959" t="s">
        <v>382</v>
      </c>
      <c r="G11" s="959" t="s">
        <v>382</v>
      </c>
      <c r="H11" t="s">
        <v>383</v>
      </c>
      <c r="I11" s="1229" t="s">
        <v>384</v>
      </c>
      <c r="J11" s="920"/>
      <c r="K11" s="1004"/>
    </row>
    <row r="12" spans="1:11">
      <c r="A12">
        <v>9</v>
      </c>
      <c r="B12" s="1001">
        <v>44145</v>
      </c>
      <c r="C12" s="1002">
        <v>50000</v>
      </c>
      <c r="D12">
        <v>50000</v>
      </c>
      <c r="F12" s="959"/>
      <c r="G12" s="920"/>
      <c r="I12" s="1229"/>
      <c r="J12" s="920"/>
      <c r="K12" s="1004"/>
    </row>
    <row r="13" spans="1:11">
      <c r="A13">
        <v>10</v>
      </c>
      <c r="B13" s="1001">
        <v>44175</v>
      </c>
      <c r="C13" s="1002">
        <v>50000</v>
      </c>
      <c r="D13" s="739">
        <v>50000</v>
      </c>
      <c r="E13" s="739"/>
      <c r="F13" s="959" t="s">
        <v>385</v>
      </c>
      <c r="G13" s="920" t="s">
        <v>387</v>
      </c>
      <c r="H13" t="s">
        <v>372</v>
      </c>
      <c r="I13" s="1229" t="s">
        <v>386</v>
      </c>
      <c r="J13" s="920"/>
      <c r="K13" s="1004"/>
    </row>
    <row r="14" spans="1:11">
      <c r="A14">
        <v>11</v>
      </c>
      <c r="B14" s="1001">
        <v>44206</v>
      </c>
      <c r="C14" s="1002">
        <v>50000</v>
      </c>
      <c r="D14" s="739">
        <v>50000</v>
      </c>
      <c r="E14" s="739"/>
      <c r="F14" s="959"/>
      <c r="G14" s="920"/>
      <c r="I14" s="1229"/>
      <c r="J14" s="920"/>
      <c r="K14" s="1004"/>
    </row>
    <row r="15" spans="1:11">
      <c r="A15">
        <v>12</v>
      </c>
      <c r="B15" s="920">
        <v>44229</v>
      </c>
      <c r="C15" s="6">
        <v>50000</v>
      </c>
      <c r="D15" s="739">
        <v>50000</v>
      </c>
      <c r="E15" s="739"/>
      <c r="F15" s="959" t="s">
        <v>388</v>
      </c>
      <c r="G15" s="959" t="s">
        <v>388</v>
      </c>
      <c r="H15" t="s">
        <v>390</v>
      </c>
      <c r="I15" s="1229" t="s">
        <v>389</v>
      </c>
      <c r="J15" s="920"/>
      <c r="K15" s="1004"/>
    </row>
    <row r="16" spans="1:11">
      <c r="A16">
        <v>13</v>
      </c>
      <c r="B16" s="920">
        <v>44258</v>
      </c>
      <c r="C16" s="6">
        <v>50000</v>
      </c>
      <c r="D16" s="739">
        <v>50000</v>
      </c>
      <c r="F16" s="959"/>
      <c r="G16" s="920"/>
      <c r="I16" s="1229"/>
      <c r="J16" s="920"/>
      <c r="K16" s="1004"/>
    </row>
    <row r="17" spans="1:11">
      <c r="A17">
        <v>14</v>
      </c>
      <c r="B17" s="920">
        <v>44290</v>
      </c>
      <c r="C17" s="6">
        <v>50000</v>
      </c>
      <c r="D17" s="739">
        <v>50000</v>
      </c>
      <c r="F17" t="s">
        <v>391</v>
      </c>
      <c r="G17" s="920" t="s">
        <v>393</v>
      </c>
      <c r="H17" t="s">
        <v>390</v>
      </c>
      <c r="I17" s="1229" t="s">
        <v>392</v>
      </c>
      <c r="J17" s="920"/>
      <c r="K17" s="1004"/>
    </row>
    <row r="18" spans="1:11">
      <c r="A18">
        <v>15</v>
      </c>
      <c r="B18" s="920">
        <v>44321</v>
      </c>
      <c r="C18" s="6">
        <v>50000</v>
      </c>
      <c r="D18" s="739">
        <v>50000</v>
      </c>
      <c r="G18" s="920"/>
      <c r="I18" s="1229"/>
      <c r="J18" s="920"/>
      <c r="K18" s="1004"/>
    </row>
    <row r="19" spans="1:11">
      <c r="A19">
        <v>16</v>
      </c>
      <c r="B19" s="920">
        <v>44353</v>
      </c>
      <c r="C19" s="6">
        <v>50000</v>
      </c>
      <c r="D19" s="739">
        <v>50000</v>
      </c>
      <c r="F19" t="s">
        <v>394</v>
      </c>
      <c r="G19" s="920" t="s">
        <v>394</v>
      </c>
      <c r="H19" t="s">
        <v>374</v>
      </c>
      <c r="I19" s="1229" t="s">
        <v>395</v>
      </c>
      <c r="J19" s="920"/>
      <c r="K19" s="1004"/>
    </row>
    <row r="20" spans="1:11">
      <c r="A20">
        <v>17</v>
      </c>
      <c r="B20" s="920">
        <v>44384</v>
      </c>
      <c r="C20" s="6">
        <v>50000</v>
      </c>
      <c r="D20" s="739">
        <v>50000</v>
      </c>
      <c r="G20" s="920"/>
      <c r="I20" s="1229"/>
      <c r="J20" s="920"/>
      <c r="K20" s="1004"/>
    </row>
    <row r="21" spans="1:11">
      <c r="A21">
        <v>18</v>
      </c>
      <c r="B21" s="920">
        <v>44416</v>
      </c>
      <c r="C21" s="6">
        <v>50000</v>
      </c>
      <c r="D21" s="739">
        <v>50000</v>
      </c>
      <c r="F21" t="s">
        <v>396</v>
      </c>
      <c r="G21" s="920" t="s">
        <v>396</v>
      </c>
      <c r="H21" t="s">
        <v>374</v>
      </c>
      <c r="I21" s="1229" t="s">
        <v>397</v>
      </c>
      <c r="J21" s="920"/>
      <c r="K21" s="1004"/>
    </row>
    <row r="22" spans="1:11">
      <c r="A22">
        <v>19</v>
      </c>
      <c r="B22" s="920">
        <v>44448</v>
      </c>
      <c r="C22" s="6">
        <v>50000</v>
      </c>
      <c r="D22" s="739">
        <v>50000</v>
      </c>
      <c r="G22" s="920"/>
      <c r="I22" s="1229"/>
      <c r="J22" s="920"/>
      <c r="K22" s="1004"/>
    </row>
    <row r="23" spans="1:11">
      <c r="A23">
        <v>20</v>
      </c>
      <c r="B23" s="920">
        <v>44479</v>
      </c>
      <c r="C23" s="6">
        <v>50000</v>
      </c>
      <c r="D23" s="739">
        <v>50000</v>
      </c>
      <c r="F23" t="s">
        <v>398</v>
      </c>
      <c r="G23" s="920" t="s">
        <v>400</v>
      </c>
      <c r="H23" t="s">
        <v>390</v>
      </c>
      <c r="I23" s="1229" t="s">
        <v>399</v>
      </c>
      <c r="J23" s="920"/>
      <c r="K23" s="1004"/>
    </row>
    <row r="24" spans="1:11">
      <c r="A24">
        <v>21</v>
      </c>
      <c r="B24" s="920">
        <v>44511</v>
      </c>
      <c r="C24" s="1003">
        <v>50000</v>
      </c>
      <c r="D24" s="739">
        <v>50000</v>
      </c>
      <c r="G24" s="920"/>
      <c r="I24" s="1229"/>
      <c r="J24" s="920"/>
      <c r="K24" s="1004"/>
    </row>
    <row r="25" spans="1:11">
      <c r="A25">
        <v>22</v>
      </c>
      <c r="B25" s="920">
        <v>44542</v>
      </c>
      <c r="C25" s="1003">
        <v>50000</v>
      </c>
      <c r="D25" s="739">
        <v>50000</v>
      </c>
      <c r="F25" t="s">
        <v>348</v>
      </c>
      <c r="G25" s="920" t="s">
        <v>348</v>
      </c>
      <c r="H25" t="s">
        <v>372</v>
      </c>
      <c r="I25" s="1229" t="s">
        <v>401</v>
      </c>
      <c r="J25" s="920"/>
      <c r="K25" s="1004"/>
    </row>
    <row r="26" spans="1:11">
      <c r="A26">
        <v>23</v>
      </c>
      <c r="B26" s="920">
        <v>44571</v>
      </c>
      <c r="C26" s="1003">
        <v>50000</v>
      </c>
      <c r="D26" s="739">
        <v>50000</v>
      </c>
      <c r="F26" t="s">
        <v>402</v>
      </c>
      <c r="G26" s="920" t="s">
        <v>402</v>
      </c>
      <c r="H26" t="s">
        <v>372</v>
      </c>
      <c r="I26" s="1229" t="s">
        <v>403</v>
      </c>
      <c r="J26" s="920"/>
      <c r="K26" s="1004"/>
    </row>
    <row r="27" spans="1:11">
      <c r="A27">
        <v>24</v>
      </c>
      <c r="B27" s="920">
        <v>44602</v>
      </c>
      <c r="C27" s="1003">
        <v>50000</v>
      </c>
      <c r="G27" s="920"/>
      <c r="I27" s="1229"/>
      <c r="J27" s="920"/>
      <c r="K27" s="1004"/>
    </row>
    <row r="28" spans="1:11">
      <c r="A28">
        <v>25</v>
      </c>
      <c r="B28" s="920">
        <v>44630</v>
      </c>
      <c r="C28" s="1003">
        <v>50000</v>
      </c>
      <c r="G28" s="920"/>
      <c r="I28" s="1229"/>
      <c r="J28" s="920"/>
      <c r="K28" s="1004"/>
    </row>
    <row r="29" spans="1:11">
      <c r="A29">
        <v>26</v>
      </c>
      <c r="B29" s="920">
        <v>44661</v>
      </c>
      <c r="C29" s="1003">
        <v>50000</v>
      </c>
      <c r="G29" s="920"/>
      <c r="I29" s="1229"/>
      <c r="J29" s="920"/>
      <c r="K29" s="1004"/>
    </row>
    <row r="30" spans="1:11">
      <c r="A30">
        <v>27</v>
      </c>
      <c r="B30" s="920">
        <v>44691</v>
      </c>
      <c r="C30" s="1003">
        <v>50000</v>
      </c>
      <c r="F30" t="s">
        <v>123</v>
      </c>
      <c r="G30" s="920"/>
      <c r="I30" s="1229"/>
      <c r="J30" s="920"/>
      <c r="K30" s="1004"/>
    </row>
    <row r="31" spans="1:11">
      <c r="A31">
        <v>28</v>
      </c>
      <c r="B31" s="920">
        <v>44722</v>
      </c>
      <c r="C31" s="1003">
        <v>50000</v>
      </c>
      <c r="G31" s="920"/>
      <c r="I31" s="1229"/>
      <c r="J31" s="920"/>
      <c r="K31" s="1004"/>
    </row>
    <row r="32" spans="1:11">
      <c r="A32">
        <v>29</v>
      </c>
      <c r="B32" s="920">
        <v>44752</v>
      </c>
      <c r="C32" s="1003">
        <v>50000</v>
      </c>
      <c r="G32" s="920"/>
      <c r="I32" s="1229"/>
      <c r="J32" s="920"/>
      <c r="K32" s="1004"/>
    </row>
    <row r="33" spans="1:11">
      <c r="A33">
        <v>30</v>
      </c>
      <c r="B33" s="920">
        <v>44793</v>
      </c>
      <c r="C33" s="1003">
        <v>50000</v>
      </c>
      <c r="G33" s="920"/>
      <c r="I33" s="1229"/>
      <c r="J33" s="920"/>
      <c r="K33" s="1004"/>
    </row>
    <row r="34" spans="1:11">
      <c r="A34">
        <v>31</v>
      </c>
      <c r="B34" s="920">
        <v>44825</v>
      </c>
      <c r="C34" s="1003">
        <v>50000</v>
      </c>
      <c r="G34" s="920"/>
      <c r="I34" s="1229"/>
      <c r="J34" s="920"/>
      <c r="K34" s="1004"/>
    </row>
    <row r="35" spans="1:11">
      <c r="A35">
        <v>32</v>
      </c>
      <c r="B35" s="920">
        <v>44856</v>
      </c>
      <c r="C35" s="1003">
        <v>50000</v>
      </c>
      <c r="G35" s="920"/>
      <c r="J35" s="920"/>
      <c r="K35" s="1004"/>
    </row>
    <row r="36" spans="1:11">
      <c r="A36">
        <v>33</v>
      </c>
      <c r="B36" s="920">
        <v>44888</v>
      </c>
      <c r="C36" s="1003">
        <v>50000</v>
      </c>
      <c r="G36" s="920"/>
      <c r="J36" s="920"/>
      <c r="K36" s="1004"/>
    </row>
    <row r="37" spans="1:11">
      <c r="A37">
        <v>34</v>
      </c>
      <c r="B37" s="920">
        <v>44919</v>
      </c>
      <c r="C37" s="1003">
        <v>50000</v>
      </c>
      <c r="G37" s="920"/>
      <c r="J37" s="920"/>
      <c r="K37" s="1004"/>
    </row>
    <row r="38" spans="1:11">
      <c r="A38">
        <v>35</v>
      </c>
      <c r="B38" s="920">
        <v>44936</v>
      </c>
      <c r="C38" s="1003">
        <v>50000</v>
      </c>
      <c r="G38" s="920"/>
      <c r="J38" s="920"/>
      <c r="K38" s="1004"/>
    </row>
    <row r="39" spans="1:11">
      <c r="A39">
        <v>36</v>
      </c>
      <c r="B39" s="920">
        <v>44967</v>
      </c>
      <c r="C39" s="1003">
        <v>50000</v>
      </c>
      <c r="G39" s="920"/>
      <c r="J39" s="920"/>
      <c r="K39" s="1004"/>
    </row>
    <row r="40" spans="1:11">
      <c r="A40">
        <v>37</v>
      </c>
      <c r="B40" s="920">
        <v>45012</v>
      </c>
      <c r="C40" s="1003">
        <v>50000</v>
      </c>
      <c r="G40" s="920"/>
      <c r="J40" s="920"/>
      <c r="K40" s="1004"/>
    </row>
    <row r="41" spans="1:11">
      <c r="A41">
        <v>38</v>
      </c>
      <c r="B41" s="920">
        <v>45026</v>
      </c>
      <c r="C41" s="1003">
        <v>50000</v>
      </c>
      <c r="G41" s="920"/>
      <c r="J41" s="920"/>
      <c r="K41" s="1004"/>
    </row>
    <row r="42" spans="1:11">
      <c r="A42">
        <v>39</v>
      </c>
      <c r="B42" s="920">
        <v>45075</v>
      </c>
      <c r="C42" s="1003">
        <v>50000</v>
      </c>
      <c r="G42" s="920"/>
      <c r="J42" s="920"/>
      <c r="K42" s="1004"/>
    </row>
    <row r="43" spans="1:11">
      <c r="A43">
        <v>40</v>
      </c>
      <c r="B43" s="920">
        <v>45107</v>
      </c>
      <c r="C43" s="1003">
        <v>50000</v>
      </c>
      <c r="G43" s="920"/>
      <c r="J43" s="920"/>
      <c r="K43" s="1004"/>
    </row>
    <row r="44" spans="1:11">
      <c r="A44">
        <v>41</v>
      </c>
      <c r="B44" s="920">
        <v>45137</v>
      </c>
      <c r="C44" s="1003">
        <v>50000</v>
      </c>
      <c r="G44" s="920"/>
      <c r="H44">
        <f>SUM(H5:H43)</f>
        <v>0</v>
      </c>
      <c r="J44" s="920"/>
      <c r="K44" s="1004">
        <f>SUM(K5:K43)</f>
        <v>0</v>
      </c>
    </row>
    <row r="45" spans="1:11">
      <c r="C45">
        <f>SUM(C4:C44)</f>
        <v>2050000</v>
      </c>
      <c r="D45">
        <f>SUM(D4:D44)</f>
        <v>1150000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44</vt:i4>
      </vt:variant>
      <vt:variant>
        <vt:lpstr>Named Ranges</vt:lpstr>
      </vt:variant>
      <vt:variant>
        <vt:i4>39</vt:i4>
      </vt:variant>
    </vt:vector>
  </HeadingPairs>
  <TitlesOfParts>
    <vt:vector size="83" baseType="lpstr">
      <vt:lpstr>Main Page</vt:lpstr>
      <vt:lpstr>AVERAGE</vt:lpstr>
      <vt:lpstr>ATTENDANCE</vt:lpstr>
      <vt:lpstr>SHAKEEL RUSK</vt:lpstr>
      <vt:lpstr>AQEEL RUSK</vt:lpstr>
      <vt:lpstr>CLOSING</vt:lpstr>
      <vt:lpstr>SALERY SHEET</vt:lpstr>
      <vt:lpstr>DAMAGE REPAIR</vt:lpstr>
      <vt:lpstr>CUSTOMERS REPORT</vt:lpstr>
      <vt:lpstr>1</vt:lpstr>
      <vt:lpstr>2</vt:lpstr>
      <vt:lpstr>3</vt:lpstr>
      <vt:lpstr>4</vt:lpstr>
      <vt:lpstr>5</vt:lpstr>
      <vt:lpstr>6</vt:lpstr>
      <vt:lpstr>7</vt:lpstr>
      <vt:lpstr>8</vt:lpstr>
      <vt:lpstr>12</vt:lpstr>
      <vt:lpstr>9</vt:lpstr>
      <vt:lpstr>10</vt:lpstr>
      <vt:lpstr>11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Sheet1</vt:lpstr>
      <vt:lpstr>chora</vt:lpstr>
      <vt:lpstr>Sheet2</vt:lpstr>
      <vt:lpstr>BC</vt:lpstr>
      <vt:lpstr>a</vt:lpstr>
      <vt:lpstr>'1'!Print_Area</vt:lpstr>
      <vt:lpstr>'10'!Print_Area</vt:lpstr>
      <vt:lpstr>'11'!Print_Area</vt:lpstr>
      <vt:lpstr>'12'!Print_Area</vt:lpstr>
      <vt:lpstr>'13'!Print_Area</vt:lpstr>
      <vt:lpstr>'14'!Print_Area</vt:lpstr>
      <vt:lpstr>'15'!Print_Area</vt:lpstr>
      <vt:lpstr>'16'!Print_Area</vt:lpstr>
      <vt:lpstr>'17'!Print_Area</vt:lpstr>
      <vt:lpstr>'18'!Print_Area</vt:lpstr>
      <vt:lpstr>'19'!Print_Area</vt:lpstr>
      <vt:lpstr>'2'!Print_Area</vt:lpstr>
      <vt:lpstr>'20'!Print_Area</vt:lpstr>
      <vt:lpstr>'21'!Print_Area</vt:lpstr>
      <vt:lpstr>'22'!Print_Area</vt:lpstr>
      <vt:lpstr>'23'!Print_Area</vt:lpstr>
      <vt:lpstr>'24'!Print_Area</vt:lpstr>
      <vt:lpstr>'25'!Print_Area</vt:lpstr>
      <vt:lpstr>'26'!Print_Area</vt:lpstr>
      <vt:lpstr>'27'!Print_Area</vt:lpstr>
      <vt:lpstr>'28'!Print_Area</vt:lpstr>
      <vt:lpstr>'29'!Print_Area</vt:lpstr>
      <vt:lpstr>'3'!Print_Area</vt:lpstr>
      <vt:lpstr>'30'!Print_Area</vt:lpstr>
      <vt:lpstr>'31'!Print_Area</vt:lpstr>
      <vt:lpstr>'4'!Print_Area</vt:lpstr>
      <vt:lpstr>'5'!Print_Area</vt:lpstr>
      <vt:lpstr>'6'!Print_Area</vt:lpstr>
      <vt:lpstr>'7'!Print_Area</vt:lpstr>
      <vt:lpstr>'8'!Print_Area</vt:lpstr>
      <vt:lpstr>'9'!Print_Area</vt:lpstr>
      <vt:lpstr>'AQEEL RUSK'!Print_Area</vt:lpstr>
      <vt:lpstr>ATTENDANCE!Print_Area</vt:lpstr>
      <vt:lpstr>AVERAGE!Print_Area</vt:lpstr>
      <vt:lpstr>CLOSING!Print_Area</vt:lpstr>
      <vt:lpstr>'CUSTOMERS REPORT'!Print_Area</vt:lpstr>
      <vt:lpstr>'DAMAGE REPAIR'!Print_Area</vt:lpstr>
      <vt:lpstr>'SHAKEEL RUSK'!Print_Area</vt:lpstr>
    </vt:vector>
  </TitlesOfParts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Capricorn</dc:creator>
  <cp:lastModifiedBy>HP</cp:lastModifiedBy>
  <cp:revision/>
  <cp:lastPrinted>2021-02-01T06:02:09Z</cp:lastPrinted>
  <dcterms:created xsi:type="dcterms:W3CDTF">2011-09-22T18:03:13Z</dcterms:created>
  <dcterms:modified xsi:type="dcterms:W3CDTF">2022-10-31T13:03:51Z</dcterms:modified>
</cp:coreProperties>
</file>